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grego\OneDrive\Desktop\"/>
    </mc:Choice>
  </mc:AlternateContent>
  <xr:revisionPtr revIDLastSave="0" documentId="13_ncr:1_{D37CEC4A-B275-4DBF-838A-ADBA8975D360}" xr6:coauthVersionLast="47" xr6:coauthVersionMax="47" xr10:uidLastSave="{00000000-0000-0000-0000-000000000000}"/>
  <workbookProtection workbookAlgorithmName="SHA-512" workbookHashValue="8jNQrD6blamhG03Fi5mFsaawYYItj8gtxtouz63m4/+FdIYxv46qvarKhSOKgIvkNtI4vacO2s3lkg3dpRCupw==" workbookSaltValue="d2/FlrugIjKItFkkK6ND8Q==" workbookSpinCount="100000" lockStructure="1"/>
  <bookViews>
    <workbookView xWindow="-28920" yWindow="-120" windowWidth="29040" windowHeight="16440" tabRatio="886" xr2:uid="{B795502D-65DF-492C-B4DA-082E49F2D5F5}"/>
  </bookViews>
  <sheets>
    <sheet name="Dashboard" sheetId="19" r:id="rId1"/>
    <sheet name="Inputs" sheetId="17" r:id="rId2"/>
    <sheet name="Seasonality Adjustment" sheetId="18" r:id="rId3"/>
    <sheet name="Projections-BASE" sheetId="3" r:id="rId4"/>
    <sheet name="Projections-BEST" sheetId="27" r:id="rId5"/>
    <sheet name="Projections-WORST" sheetId="28" r:id="rId6"/>
    <sheet name="Amort. Sched.-BASE" sheetId="7" r:id="rId7"/>
    <sheet name="Amort. Sched.-BEST" sheetId="22" r:id="rId8"/>
    <sheet name="Amort. Sched.-WORST" sheetId="23"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88" i="17" l="1"/>
  <c r="H182" i="17"/>
  <c r="H176" i="17"/>
  <c r="H170" i="17"/>
  <c r="D21" i="19"/>
  <c r="D22" i="19"/>
  <c r="D26" i="28"/>
  <c r="E80" i="28"/>
  <c r="E79" i="28"/>
  <c r="E78" i="28"/>
  <c r="E77" i="28"/>
  <c r="E76" i="28"/>
  <c r="C88" i="28"/>
  <c r="C87" i="28"/>
  <c r="C86" i="28"/>
  <c r="C85" i="28"/>
  <c r="C84" i="28"/>
  <c r="C83" i="28"/>
  <c r="C82" i="28"/>
  <c r="C81" i="28"/>
  <c r="C80" i="28"/>
  <c r="C79" i="28"/>
  <c r="C78" i="28"/>
  <c r="C77" i="28"/>
  <c r="C76" i="28"/>
  <c r="C70" i="28"/>
  <c r="C69" i="28"/>
  <c r="C68" i="28"/>
  <c r="C67" i="28"/>
  <c r="C66" i="28"/>
  <c r="C59" i="28"/>
  <c r="C58" i="28"/>
  <c r="C57" i="28"/>
  <c r="C56" i="28"/>
  <c r="C55" i="28"/>
  <c r="C54" i="28"/>
  <c r="C53" i="28"/>
  <c r="C52" i="28"/>
  <c r="C51" i="28"/>
  <c r="F8" i="28"/>
  <c r="F86" i="17"/>
  <c r="E86" i="17"/>
  <c r="D86" i="17"/>
  <c r="E14" i="19"/>
  <c r="F14" i="19" s="1"/>
  <c r="G14" i="19" s="1"/>
  <c r="F85" i="17"/>
  <c r="E85" i="17"/>
  <c r="D85" i="17"/>
  <c r="E13" i="17"/>
  <c r="E14" i="17"/>
  <c r="F14" i="17" s="1"/>
  <c r="E18" i="17"/>
  <c r="E15" i="17"/>
  <c r="F110" i="17"/>
  <c r="E110" i="17"/>
  <c r="D110" i="17"/>
  <c r="I8" i="7"/>
  <c r="C11" i="7" s="1"/>
  <c r="D16" i="19"/>
  <c r="D15" i="19"/>
  <c r="D19" i="19"/>
  <c r="D18" i="19"/>
  <c r="E80" i="27"/>
  <c r="E79" i="27"/>
  <c r="E78" i="27"/>
  <c r="E77" i="27"/>
  <c r="E76" i="27"/>
  <c r="D26" i="27"/>
  <c r="C88" i="27"/>
  <c r="C87" i="27"/>
  <c r="C86" i="27"/>
  <c r="C85" i="27"/>
  <c r="C84" i="27"/>
  <c r="C83" i="27"/>
  <c r="C82" i="27"/>
  <c r="C81" i="27"/>
  <c r="C80" i="27"/>
  <c r="C79" i="27"/>
  <c r="C78" i="27"/>
  <c r="C77" i="27"/>
  <c r="C76" i="27"/>
  <c r="C70" i="27"/>
  <c r="C69" i="27"/>
  <c r="C68" i="27"/>
  <c r="C67" i="27"/>
  <c r="C66" i="27"/>
  <c r="C59" i="27"/>
  <c r="C58" i="27"/>
  <c r="C57" i="27"/>
  <c r="C56" i="27"/>
  <c r="C55" i="27"/>
  <c r="C54" i="27"/>
  <c r="C53" i="27"/>
  <c r="C52" i="27"/>
  <c r="C51" i="27"/>
  <c r="F8" i="27"/>
  <c r="E76" i="3"/>
  <c r="F4" i="19"/>
  <c r="H14" i="19" s="1"/>
  <c r="C5" i="19"/>
  <c r="C4" i="19"/>
  <c r="D14" i="19"/>
  <c r="E80" i="3"/>
  <c r="E79" i="3"/>
  <c r="E78" i="3"/>
  <c r="E77" i="3"/>
  <c r="R8" i="7"/>
  <c r="L11" i="7" s="1"/>
  <c r="L12" i="7" s="1"/>
  <c r="L13" i="7" s="1"/>
  <c r="L14" i="7" s="1"/>
  <c r="L15" i="7" s="1"/>
  <c r="L16" i="7" s="1"/>
  <c r="L17" i="7" s="1"/>
  <c r="L18" i="7" s="1"/>
  <c r="L19" i="7" s="1"/>
  <c r="L20" i="7" s="1"/>
  <c r="L21" i="7" s="1"/>
  <c r="L22" i="7" s="1"/>
  <c r="L23" i="7" s="1"/>
  <c r="L24" i="7" s="1"/>
  <c r="L25" i="7" s="1"/>
  <c r="L26" i="7" s="1"/>
  <c r="L27" i="7" s="1"/>
  <c r="L28" i="7" s="1"/>
  <c r="L29" i="7" s="1"/>
  <c r="L30" i="7" s="1"/>
  <c r="L31" i="7" s="1"/>
  <c r="L32" i="7" s="1"/>
  <c r="L33" i="7" s="1"/>
  <c r="L34" i="7" s="1"/>
  <c r="L35" i="7" s="1"/>
  <c r="L36" i="7" s="1"/>
  <c r="L37" i="7" s="1"/>
  <c r="L38" i="7" s="1"/>
  <c r="L39" i="7" s="1"/>
  <c r="L40" i="7" s="1"/>
  <c r="L41" i="7" s="1"/>
  <c r="L42" i="7" s="1"/>
  <c r="L43" i="7" s="1"/>
  <c r="L44" i="7" s="1"/>
  <c r="L45" i="7" s="1"/>
  <c r="L46" i="7" s="1"/>
  <c r="L47" i="7" s="1"/>
  <c r="L48" i="7" s="1"/>
  <c r="L49" i="7" s="1"/>
  <c r="L50" i="7" s="1"/>
  <c r="L51" i="7" s="1"/>
  <c r="L52" i="7" s="1"/>
  <c r="L53" i="7" s="1"/>
  <c r="L54" i="7" s="1"/>
  <c r="L55" i="7" s="1"/>
  <c r="L56" i="7" s="1"/>
  <c r="L57" i="7" s="1"/>
  <c r="L58" i="7" s="1"/>
  <c r="L59" i="7" s="1"/>
  <c r="L60" i="7" s="1"/>
  <c r="L61" i="7" s="1"/>
  <c r="L62" i="7" s="1"/>
  <c r="L63" i="7" s="1"/>
  <c r="L64" i="7" s="1"/>
  <c r="L65" i="7" s="1"/>
  <c r="L66" i="7" s="1"/>
  <c r="L67" i="7" s="1"/>
  <c r="L68" i="7" s="1"/>
  <c r="L69" i="7" s="1"/>
  <c r="L70" i="7" s="1"/>
  <c r="L71" i="7" s="1"/>
  <c r="L72" i="7" s="1"/>
  <c r="L73" i="7" s="1"/>
  <c r="L74" i="7" s="1"/>
  <c r="L75" i="7" s="1"/>
  <c r="L76" i="7" s="1"/>
  <c r="L77" i="7" s="1"/>
  <c r="L78" i="7" s="1"/>
  <c r="L79" i="7" s="1"/>
  <c r="L80" i="7" s="1"/>
  <c r="L81" i="7" s="1"/>
  <c r="L82" i="7" s="1"/>
  <c r="L83" i="7" s="1"/>
  <c r="L84" i="7" s="1"/>
  <c r="L85" i="7" s="1"/>
  <c r="L86" i="7" s="1"/>
  <c r="L87" i="7" s="1"/>
  <c r="L88" i="7" s="1"/>
  <c r="L89" i="7" s="1"/>
  <c r="L90" i="7" s="1"/>
  <c r="L91" i="7" s="1"/>
  <c r="L92" i="7" s="1"/>
  <c r="L93" i="7" s="1"/>
  <c r="L94" i="7" s="1"/>
  <c r="L95" i="7" s="1"/>
  <c r="L96" i="7" s="1"/>
  <c r="L97" i="7" s="1"/>
  <c r="L98" i="7" s="1"/>
  <c r="L99" i="7" s="1"/>
  <c r="L100" i="7" s="1"/>
  <c r="L101" i="7" s="1"/>
  <c r="L102" i="7" s="1"/>
  <c r="L103" i="7" s="1"/>
  <c r="L104" i="7" s="1"/>
  <c r="L105" i="7" s="1"/>
  <c r="L106" i="7" s="1"/>
  <c r="L107" i="7" s="1"/>
  <c r="L108" i="7" s="1"/>
  <c r="L109" i="7" s="1"/>
  <c r="L110" i="7" s="1"/>
  <c r="L111" i="7" s="1"/>
  <c r="L112" i="7" s="1"/>
  <c r="L113" i="7" s="1"/>
  <c r="L114" i="7" s="1"/>
  <c r="L115" i="7" s="1"/>
  <c r="L116" i="7" s="1"/>
  <c r="L117" i="7" s="1"/>
  <c r="L118" i="7" s="1"/>
  <c r="L119" i="7" s="1"/>
  <c r="L120" i="7" s="1"/>
  <c r="L121" i="7" s="1"/>
  <c r="L122" i="7" s="1"/>
  <c r="L123" i="7" s="1"/>
  <c r="L124" i="7" s="1"/>
  <c r="L125" i="7" s="1"/>
  <c r="L126" i="7" s="1"/>
  <c r="L127" i="7" s="1"/>
  <c r="L128" i="7" s="1"/>
  <c r="L129" i="7" s="1"/>
  <c r="L130" i="7" s="1"/>
  <c r="L131" i="7" s="1"/>
  <c r="L132" i="7" s="1"/>
  <c r="L133" i="7" s="1"/>
  <c r="L134" i="7" s="1"/>
  <c r="L135" i="7" s="1"/>
  <c r="L136" i="7" s="1"/>
  <c r="L137" i="7" s="1"/>
  <c r="L138" i="7" s="1"/>
  <c r="L139" i="7" s="1"/>
  <c r="L140" i="7" s="1"/>
  <c r="L141" i="7" s="1"/>
  <c r="L142" i="7" s="1"/>
  <c r="L143" i="7" s="1"/>
  <c r="L144" i="7" s="1"/>
  <c r="L145" i="7" s="1"/>
  <c r="L146" i="7" s="1"/>
  <c r="L147" i="7" s="1"/>
  <c r="L148" i="7" s="1"/>
  <c r="L149" i="7" s="1"/>
  <c r="L150" i="7" s="1"/>
  <c r="L151" i="7" s="1"/>
  <c r="L152" i="7" s="1"/>
  <c r="L153" i="7" s="1"/>
  <c r="L154" i="7" s="1"/>
  <c r="L155" i="7" s="1"/>
  <c r="L156" i="7" s="1"/>
  <c r="L157" i="7" s="1"/>
  <c r="L158" i="7" s="1"/>
  <c r="L159" i="7" s="1"/>
  <c r="L160" i="7" s="1"/>
  <c r="L161" i="7" s="1"/>
  <c r="L162" i="7" s="1"/>
  <c r="L163" i="7" s="1"/>
  <c r="L164" i="7" s="1"/>
  <c r="L165" i="7" s="1"/>
  <c r="L166" i="7" s="1"/>
  <c r="L167" i="7" s="1"/>
  <c r="L168" i="7" s="1"/>
  <c r="L169" i="7" s="1"/>
  <c r="L170" i="7" s="1"/>
  <c r="L171" i="7" s="1"/>
  <c r="L172" i="7" s="1"/>
  <c r="L173" i="7" s="1"/>
  <c r="L174" i="7" s="1"/>
  <c r="L175" i="7" s="1"/>
  <c r="L176" i="7" s="1"/>
  <c r="L177" i="7" s="1"/>
  <c r="L178" i="7" s="1"/>
  <c r="L179" i="7" s="1"/>
  <c r="L180" i="7" s="1"/>
  <c r="L181" i="7" s="1"/>
  <c r="L182" i="7" s="1"/>
  <c r="L183" i="7" s="1"/>
  <c r="L184" i="7" s="1"/>
  <c r="L185" i="7" s="1"/>
  <c r="L186" i="7" s="1"/>
  <c r="L187" i="7" s="1"/>
  <c r="L188" i="7" s="1"/>
  <c r="L189" i="7" s="1"/>
  <c r="L190" i="7" s="1"/>
  <c r="L191" i="7" s="1"/>
  <c r="D44" i="17"/>
  <c r="D48" i="17" s="1"/>
  <c r="D32" i="17"/>
  <c r="C23" i="17"/>
  <c r="C27" i="17"/>
  <c r="C20" i="17"/>
  <c r="D163" i="17"/>
  <c r="C19" i="17"/>
  <c r="H15" i="17"/>
  <c r="C18" i="17"/>
  <c r="C24" i="17"/>
  <c r="C22" i="17"/>
  <c r="F5" i="3"/>
  <c r="E6" i="3" s="1"/>
  <c r="E7" i="3" s="1"/>
  <c r="C160" i="17"/>
  <c r="E5" i="3"/>
  <c r="C26" i="17"/>
  <c r="E44" i="17" l="1"/>
  <c r="F44" i="17" s="1"/>
  <c r="F48" i="17" s="1"/>
  <c r="F80" i="28"/>
  <c r="F79" i="28"/>
  <c r="F77" i="28"/>
  <c r="F76" i="28"/>
  <c r="F78" i="28"/>
  <c r="D105" i="28"/>
  <c r="G8" i="28"/>
  <c r="F18" i="17"/>
  <c r="D32" i="3"/>
  <c r="D7" i="3"/>
  <c r="F80" i="27"/>
  <c r="F79" i="27"/>
  <c r="F78" i="27"/>
  <c r="F77" i="27"/>
  <c r="F76" i="27"/>
  <c r="D105" i="27"/>
  <c r="G8" i="27"/>
  <c r="L192" i="7"/>
  <c r="L193" i="7" s="1"/>
  <c r="L194" i="7" s="1"/>
  <c r="L195" i="7" s="1"/>
  <c r="L196" i="7" s="1"/>
  <c r="L197" i="7" s="1"/>
  <c r="L198" i="7" s="1"/>
  <c r="L199" i="7" s="1"/>
  <c r="L200" i="7" s="1"/>
  <c r="L201" i="7" s="1"/>
  <c r="L202" i="7" s="1"/>
  <c r="L203" i="7" s="1"/>
  <c r="L204" i="7" s="1"/>
  <c r="L205" i="7" s="1"/>
  <c r="L206" i="7" s="1"/>
  <c r="L207" i="7" s="1"/>
  <c r="L208" i="7" s="1"/>
  <c r="L209" i="7" s="1"/>
  <c r="L210" i="7" s="1"/>
  <c r="L211" i="7" s="1"/>
  <c r="L212" i="7" s="1"/>
  <c r="L213" i="7" s="1"/>
  <c r="L214" i="7" s="1"/>
  <c r="L215" i="7" s="1"/>
  <c r="L216" i="7" s="1"/>
  <c r="L217" i="7" s="1"/>
  <c r="L218" i="7" s="1"/>
  <c r="L219" i="7" s="1"/>
  <c r="L220" i="7" s="1"/>
  <c r="L221" i="7" s="1"/>
  <c r="L222" i="7" s="1"/>
  <c r="L223" i="7" s="1"/>
  <c r="L224" i="7" s="1"/>
  <c r="L225" i="7" s="1"/>
  <c r="L226" i="7" s="1"/>
  <c r="L227" i="7" s="1"/>
  <c r="L228" i="7" s="1"/>
  <c r="L229" i="7" s="1"/>
  <c r="L230" i="7" s="1"/>
  <c r="L231" i="7" s="1"/>
  <c r="L232" i="7" s="1"/>
  <c r="L233" i="7" s="1"/>
  <c r="L234" i="7" s="1"/>
  <c r="L235" i="7" s="1"/>
  <c r="L236" i="7" s="1"/>
  <c r="L237" i="7" s="1"/>
  <c r="L238" i="7" s="1"/>
  <c r="L239" i="7" s="1"/>
  <c r="L240" i="7" s="1"/>
  <c r="L241" i="7" s="1"/>
  <c r="L242" i="7" s="1"/>
  <c r="L243" i="7" s="1"/>
  <c r="L244" i="7" s="1"/>
  <c r="L245" i="7" s="1"/>
  <c r="L246" i="7" s="1"/>
  <c r="L247" i="7" s="1"/>
  <c r="L248" i="7" s="1"/>
  <c r="L249" i="7" s="1"/>
  <c r="L250" i="7" s="1"/>
  <c r="L251" i="7" s="1"/>
  <c r="L252" i="7" s="1"/>
  <c r="L253" i="7" s="1"/>
  <c r="L254" i="7" s="1"/>
  <c r="L255" i="7" s="1"/>
  <c r="L256" i="7" s="1"/>
  <c r="L257" i="7" s="1"/>
  <c r="L258" i="7" s="1"/>
  <c r="L259" i="7" s="1"/>
  <c r="L260" i="7" s="1"/>
  <c r="L261" i="7" s="1"/>
  <c r="L262" i="7" s="1"/>
  <c r="L263" i="7" s="1"/>
  <c r="L264" i="7" s="1"/>
  <c r="L265" i="7" s="1"/>
  <c r="L266" i="7" s="1"/>
  <c r="L267" i="7" s="1"/>
  <c r="L268" i="7" s="1"/>
  <c r="L269" i="7" s="1"/>
  <c r="L270" i="7" s="1"/>
  <c r="L271" i="7" s="1"/>
  <c r="L272" i="7" s="1"/>
  <c r="L273" i="7" s="1"/>
  <c r="L274" i="7" s="1"/>
  <c r="L275" i="7" s="1"/>
  <c r="L276" i="7" s="1"/>
  <c r="L277" i="7" s="1"/>
  <c r="L278" i="7" s="1"/>
  <c r="L279" i="7" s="1"/>
  <c r="L280" i="7" s="1"/>
  <c r="L281" i="7" s="1"/>
  <c r="L282" i="7" s="1"/>
  <c r="L283" i="7" s="1"/>
  <c r="L284" i="7" s="1"/>
  <c r="L285" i="7" s="1"/>
  <c r="L286" i="7" s="1"/>
  <c r="L287" i="7" s="1"/>
  <c r="L288" i="7" s="1"/>
  <c r="L289" i="7" s="1"/>
  <c r="L290" i="7" s="1"/>
  <c r="L291" i="7" s="1"/>
  <c r="L292" i="7" s="1"/>
  <c r="L293" i="7" s="1"/>
  <c r="L294" i="7" s="1"/>
  <c r="L295" i="7" s="1"/>
  <c r="L296" i="7" s="1"/>
  <c r="L297" i="7" s="1"/>
  <c r="L298" i="7" s="1"/>
  <c r="L299" i="7" s="1"/>
  <c r="L300" i="7" s="1"/>
  <c r="L301" i="7" s="1"/>
  <c r="L302" i="7" s="1"/>
  <c r="L303" i="7" s="1"/>
  <c r="L304" i="7" s="1"/>
  <c r="L305" i="7" s="1"/>
  <c r="L306" i="7" s="1"/>
  <c r="L307" i="7" s="1"/>
  <c r="L308" i="7" s="1"/>
  <c r="L309" i="7" s="1"/>
  <c r="L310" i="7" s="1"/>
  <c r="L311" i="7" s="1"/>
  <c r="L312" i="7" s="1"/>
  <c r="L313" i="7" s="1"/>
  <c r="L314" i="7" s="1"/>
  <c r="L315" i="7" s="1"/>
  <c r="L316" i="7" s="1"/>
  <c r="L317" i="7" s="1"/>
  <c r="L318" i="7" s="1"/>
  <c r="L319" i="7" s="1"/>
  <c r="L320" i="7" s="1"/>
  <c r="L321" i="7" s="1"/>
  <c r="L322" i="7" s="1"/>
  <c r="L323" i="7" s="1"/>
  <c r="L324" i="7" s="1"/>
  <c r="L325" i="7" s="1"/>
  <c r="L326" i="7" s="1"/>
  <c r="L327" i="7" s="1"/>
  <c r="L328" i="7" s="1"/>
  <c r="L329" i="7" s="1"/>
  <c r="L330" i="7" s="1"/>
  <c r="L331" i="7" s="1"/>
  <c r="L332" i="7" s="1"/>
  <c r="L333" i="7" s="1"/>
  <c r="L334" i="7" s="1"/>
  <c r="L335" i="7" s="1"/>
  <c r="L336" i="7" s="1"/>
  <c r="L337" i="7" s="1"/>
  <c r="L338" i="7" s="1"/>
  <c r="L339" i="7" s="1"/>
  <c r="L340" i="7" s="1"/>
  <c r="L341" i="7" s="1"/>
  <c r="L342" i="7" s="1"/>
  <c r="L343" i="7" s="1"/>
  <c r="L344" i="7" s="1"/>
  <c r="L345" i="7" s="1"/>
  <c r="L346" i="7" s="1"/>
  <c r="L347" i="7" s="1"/>
  <c r="L348" i="7" s="1"/>
  <c r="L349" i="7" s="1"/>
  <c r="L350" i="7" s="1"/>
  <c r="L351" i="7" s="1"/>
  <c r="L352" i="7" s="1"/>
  <c r="L353" i="7" s="1"/>
  <c r="L354" i="7" s="1"/>
  <c r="L355" i="7" s="1"/>
  <c r="L356" i="7" s="1"/>
  <c r="L357" i="7" s="1"/>
  <c r="L358" i="7" s="1"/>
  <c r="L359" i="7" s="1"/>
  <c r="L360" i="7" s="1"/>
  <c r="L361" i="7" s="1"/>
  <c r="L362" i="7" s="1"/>
  <c r="L363" i="7" s="1"/>
  <c r="L364" i="7" s="1"/>
  <c r="L365" i="7" s="1"/>
  <c r="L366" i="7" s="1"/>
  <c r="L367" i="7" s="1"/>
  <c r="L368" i="7" s="1"/>
  <c r="L369" i="7" s="1"/>
  <c r="L370" i="7" s="1"/>
  <c r="L371" i="7" s="1"/>
  <c r="C12" i="7"/>
  <c r="C88" i="3"/>
  <c r="C87" i="3"/>
  <c r="C86" i="3"/>
  <c r="C85" i="3"/>
  <c r="C84" i="3"/>
  <c r="C83" i="3"/>
  <c r="C82" i="3"/>
  <c r="C81" i="3"/>
  <c r="C80" i="3"/>
  <c r="C79" i="3"/>
  <c r="C78" i="3"/>
  <c r="C77" i="3"/>
  <c r="C76" i="3"/>
  <c r="C67" i="3"/>
  <c r="C68" i="3"/>
  <c r="C69" i="3"/>
  <c r="C70" i="3"/>
  <c r="C66" i="3"/>
  <c r="C57" i="3"/>
  <c r="C58" i="3"/>
  <c r="C59" i="3"/>
  <c r="C52" i="3"/>
  <c r="C53" i="3"/>
  <c r="C54" i="3"/>
  <c r="C55" i="3"/>
  <c r="C56" i="3"/>
  <c r="C51" i="3"/>
  <c r="D23" i="17"/>
  <c r="D26" i="3"/>
  <c r="D105" i="3" s="1"/>
  <c r="C8" i="18"/>
  <c r="E48" i="17" l="1"/>
  <c r="G77" i="28"/>
  <c r="G80" i="28"/>
  <c r="G76" i="28"/>
  <c r="G78" i="28"/>
  <c r="G79" i="28"/>
  <c r="H8" i="28"/>
  <c r="D90" i="3"/>
  <c r="D96" i="3" s="1"/>
  <c r="D9" i="19"/>
  <c r="AK34" i="3"/>
  <c r="AJ34" i="3"/>
  <c r="AF34" i="3"/>
  <c r="AA34" i="3"/>
  <c r="V34" i="3"/>
  <c r="R34" i="3"/>
  <c r="M34" i="3"/>
  <c r="H34" i="3"/>
  <c r="AM34" i="3"/>
  <c r="AH34" i="3"/>
  <c r="AE34" i="3"/>
  <c r="AB34" i="3"/>
  <c r="Y34" i="3"/>
  <c r="W34" i="3"/>
  <c r="T34" i="3"/>
  <c r="Q34" i="3"/>
  <c r="N34" i="3"/>
  <c r="K34" i="3"/>
  <c r="I34" i="3"/>
  <c r="F34" i="3"/>
  <c r="AL34" i="3"/>
  <c r="AI34" i="3"/>
  <c r="AD34" i="3"/>
  <c r="Z34" i="3"/>
  <c r="S34" i="3"/>
  <c r="O34" i="3"/>
  <c r="J34" i="3"/>
  <c r="AN34" i="3"/>
  <c r="AG34" i="3"/>
  <c r="AC34" i="3"/>
  <c r="X34" i="3"/>
  <c r="U34" i="3"/>
  <c r="P34" i="3"/>
  <c r="L34" i="3"/>
  <c r="G34" i="3"/>
  <c r="E34" i="3"/>
  <c r="G78" i="27"/>
  <c r="G79" i="27"/>
  <c r="G76" i="27"/>
  <c r="G77" i="27"/>
  <c r="G80" i="27"/>
  <c r="H8" i="27"/>
  <c r="C13" i="7"/>
  <c r="H79" i="28" l="1"/>
  <c r="H77" i="28"/>
  <c r="H76" i="28"/>
  <c r="H80" i="28"/>
  <c r="H78" i="28"/>
  <c r="I8" i="28"/>
  <c r="C14" i="7"/>
  <c r="C15" i="7" s="1"/>
  <c r="C16" i="7" s="1"/>
  <c r="C17" i="7" s="1"/>
  <c r="C18" i="7" s="1"/>
  <c r="C19" i="7" s="1"/>
  <c r="C20" i="7" s="1"/>
  <c r="C21" i="7" s="1"/>
  <c r="C22" i="7" s="1"/>
  <c r="C23" i="7" s="1"/>
  <c r="C24" i="7" s="1"/>
  <c r="C25" i="7" s="1"/>
  <c r="C26" i="7" s="1"/>
  <c r="C27" i="7" s="1"/>
  <c r="C28" i="7" s="1"/>
  <c r="C29" i="7" s="1"/>
  <c r="C30" i="7" s="1"/>
  <c r="C31" i="7" s="1"/>
  <c r="C32" i="7" s="1"/>
  <c r="C33" i="7" s="1"/>
  <c r="C34" i="7" s="1"/>
  <c r="C35" i="7" s="1"/>
  <c r="C36" i="7" s="1"/>
  <c r="C37" i="7" s="1"/>
  <c r="C38" i="7" s="1"/>
  <c r="C39" i="7" s="1"/>
  <c r="C40" i="7" s="1"/>
  <c r="C41" i="7" s="1"/>
  <c r="C42" i="7" s="1"/>
  <c r="C43" i="7" s="1"/>
  <c r="C44" i="7" s="1"/>
  <c r="C45" i="7" s="1"/>
  <c r="C46" i="7" s="1"/>
  <c r="C47" i="7" s="1"/>
  <c r="C48" i="7" s="1"/>
  <c r="C49" i="7" s="1"/>
  <c r="C50" i="7" s="1"/>
  <c r="C51" i="7" s="1"/>
  <c r="C52" i="7" s="1"/>
  <c r="C53" i="7" s="1"/>
  <c r="C54" i="7" s="1"/>
  <c r="C55" i="7" s="1"/>
  <c r="C56" i="7" s="1"/>
  <c r="C57" i="7" s="1"/>
  <c r="C58" i="7" s="1"/>
  <c r="C59" i="7" s="1"/>
  <c r="C60" i="7" s="1"/>
  <c r="C61" i="7" s="1"/>
  <c r="C62" i="7" s="1"/>
  <c r="C63" i="7" s="1"/>
  <c r="C64" i="7" s="1"/>
  <c r="C65" i="7" s="1"/>
  <c r="C66" i="7" s="1"/>
  <c r="C67" i="7" s="1"/>
  <c r="C68" i="7" s="1"/>
  <c r="C69" i="7" s="1"/>
  <c r="C70" i="7" s="1"/>
  <c r="C71" i="7" s="1"/>
  <c r="C72" i="7" s="1"/>
  <c r="C73" i="7" s="1"/>
  <c r="C74" i="7" s="1"/>
  <c r="C75" i="7" s="1"/>
  <c r="C76" i="7" s="1"/>
  <c r="C77" i="7" s="1"/>
  <c r="C78" i="7" s="1"/>
  <c r="C79" i="7" s="1"/>
  <c r="C80" i="7" s="1"/>
  <c r="C81" i="7" s="1"/>
  <c r="C82" i="7" s="1"/>
  <c r="C83" i="7" s="1"/>
  <c r="C84" i="7" s="1"/>
  <c r="C85" i="7" s="1"/>
  <c r="C86" i="7" s="1"/>
  <c r="C87" i="7" s="1"/>
  <c r="C88" i="7" s="1"/>
  <c r="C89" i="7" s="1"/>
  <c r="C90" i="7" s="1"/>
  <c r="C91" i="7" s="1"/>
  <c r="C92" i="7" s="1"/>
  <c r="C93" i="7" s="1"/>
  <c r="C94" i="7" s="1"/>
  <c r="C95" i="7" s="1"/>
  <c r="C96" i="7" s="1"/>
  <c r="C97" i="7" s="1"/>
  <c r="C98" i="7" s="1"/>
  <c r="C99" i="7" s="1"/>
  <c r="C100" i="7" s="1"/>
  <c r="C101" i="7" s="1"/>
  <c r="C102" i="7" s="1"/>
  <c r="C103" i="7" s="1"/>
  <c r="C104" i="7" s="1"/>
  <c r="C105" i="7" s="1"/>
  <c r="C106" i="7" s="1"/>
  <c r="C107" i="7" s="1"/>
  <c r="C108" i="7" s="1"/>
  <c r="C109" i="7" s="1"/>
  <c r="C110" i="7" s="1"/>
  <c r="C111" i="7" s="1"/>
  <c r="C112" i="7" s="1"/>
  <c r="C113" i="7" s="1"/>
  <c r="C114" i="7" s="1"/>
  <c r="C115" i="7" s="1"/>
  <c r="C116" i="7" s="1"/>
  <c r="C117" i="7" s="1"/>
  <c r="C118" i="7" s="1"/>
  <c r="C119" i="7" s="1"/>
  <c r="C120" i="7" s="1"/>
  <c r="C121" i="7" s="1"/>
  <c r="C122" i="7" s="1"/>
  <c r="C123" i="7" s="1"/>
  <c r="C124" i="7" s="1"/>
  <c r="C125" i="7" s="1"/>
  <c r="C126" i="7" s="1"/>
  <c r="C127" i="7" s="1"/>
  <c r="C128" i="7" s="1"/>
  <c r="C129" i="7" s="1"/>
  <c r="C130" i="7" s="1"/>
  <c r="C131" i="7" s="1"/>
  <c r="C132" i="7" s="1"/>
  <c r="C133" i="7" s="1"/>
  <c r="C134" i="7" s="1"/>
  <c r="C135" i="7" s="1"/>
  <c r="C136" i="7" s="1"/>
  <c r="C137" i="7" s="1"/>
  <c r="C138" i="7" s="1"/>
  <c r="C139" i="7" s="1"/>
  <c r="C140" i="7" s="1"/>
  <c r="C141" i="7" s="1"/>
  <c r="C142" i="7" s="1"/>
  <c r="C143" i="7" s="1"/>
  <c r="C144" i="7" s="1"/>
  <c r="C145" i="7" s="1"/>
  <c r="C146" i="7" s="1"/>
  <c r="C147" i="7" s="1"/>
  <c r="C148" i="7" s="1"/>
  <c r="C149" i="7" s="1"/>
  <c r="C150" i="7" s="1"/>
  <c r="C151" i="7" s="1"/>
  <c r="C152" i="7" s="1"/>
  <c r="C153" i="7" s="1"/>
  <c r="C154" i="7" s="1"/>
  <c r="C155" i="7" s="1"/>
  <c r="C156" i="7" s="1"/>
  <c r="C157" i="7" s="1"/>
  <c r="C158" i="7" s="1"/>
  <c r="C159" i="7" s="1"/>
  <c r="C160" i="7" s="1"/>
  <c r="C161" i="7" s="1"/>
  <c r="C162" i="7" s="1"/>
  <c r="C163" i="7" s="1"/>
  <c r="C164" i="7" s="1"/>
  <c r="C165" i="7" s="1"/>
  <c r="C166" i="7" s="1"/>
  <c r="C167" i="7" s="1"/>
  <c r="C168" i="7" s="1"/>
  <c r="C169" i="7" s="1"/>
  <c r="C170" i="7" s="1"/>
  <c r="C171" i="7" s="1"/>
  <c r="C172" i="7" s="1"/>
  <c r="C173" i="7" s="1"/>
  <c r="C174" i="7" s="1"/>
  <c r="C175" i="7" s="1"/>
  <c r="C176" i="7" s="1"/>
  <c r="C177" i="7" s="1"/>
  <c r="C178" i="7" s="1"/>
  <c r="C179" i="7" s="1"/>
  <c r="C180" i="7" s="1"/>
  <c r="C181" i="7" s="1"/>
  <c r="C182" i="7" s="1"/>
  <c r="C183" i="7" s="1"/>
  <c r="C184" i="7" s="1"/>
  <c r="C185" i="7" s="1"/>
  <c r="C186" i="7" s="1"/>
  <c r="C187" i="7" s="1"/>
  <c r="C188" i="7" s="1"/>
  <c r="C189" i="7" s="1"/>
  <c r="C190" i="7" s="1"/>
  <c r="C191" i="7" s="1"/>
  <c r="C192" i="7" s="1"/>
  <c r="C193" i="7" s="1"/>
  <c r="C194" i="7" s="1"/>
  <c r="C195" i="7" s="1"/>
  <c r="C196" i="7" s="1"/>
  <c r="C197" i="7" s="1"/>
  <c r="C198" i="7" s="1"/>
  <c r="C199" i="7" s="1"/>
  <c r="C200" i="7" s="1"/>
  <c r="C201" i="7" s="1"/>
  <c r="C202" i="7" s="1"/>
  <c r="C203" i="7" s="1"/>
  <c r="C204" i="7" s="1"/>
  <c r="C205" i="7" s="1"/>
  <c r="C206" i="7" s="1"/>
  <c r="C207" i="7" s="1"/>
  <c r="C208" i="7" s="1"/>
  <c r="C209" i="7" s="1"/>
  <c r="C210" i="7" s="1"/>
  <c r="C211" i="7" s="1"/>
  <c r="C212" i="7" s="1"/>
  <c r="C213" i="7" s="1"/>
  <c r="C214" i="7" s="1"/>
  <c r="C215" i="7" s="1"/>
  <c r="C216" i="7" s="1"/>
  <c r="C217" i="7" s="1"/>
  <c r="C218" i="7" s="1"/>
  <c r="C219" i="7" s="1"/>
  <c r="C220" i="7" s="1"/>
  <c r="C221" i="7" s="1"/>
  <c r="C222" i="7" s="1"/>
  <c r="C223" i="7" s="1"/>
  <c r="C224" i="7" s="1"/>
  <c r="C225" i="7" s="1"/>
  <c r="C226" i="7" s="1"/>
  <c r="C227" i="7" s="1"/>
  <c r="C228" i="7" s="1"/>
  <c r="C229" i="7" s="1"/>
  <c r="C230" i="7" s="1"/>
  <c r="C231" i="7" s="1"/>
  <c r="C232" i="7" s="1"/>
  <c r="C233" i="7" s="1"/>
  <c r="C234" i="7" s="1"/>
  <c r="C235" i="7" s="1"/>
  <c r="C236" i="7" s="1"/>
  <c r="C237" i="7" s="1"/>
  <c r="C238" i="7" s="1"/>
  <c r="C239" i="7" s="1"/>
  <c r="C240" i="7" s="1"/>
  <c r="C241" i="7" s="1"/>
  <c r="C242" i="7" s="1"/>
  <c r="C243" i="7" s="1"/>
  <c r="C244" i="7" s="1"/>
  <c r="C245" i="7" s="1"/>
  <c r="C246" i="7" s="1"/>
  <c r="C247" i="7" s="1"/>
  <c r="C248" i="7" s="1"/>
  <c r="C249" i="7" s="1"/>
  <c r="C250" i="7" s="1"/>
  <c r="C251" i="7" s="1"/>
  <c r="C252" i="7" s="1"/>
  <c r="C253" i="7" s="1"/>
  <c r="C254" i="7" s="1"/>
  <c r="C255" i="7" s="1"/>
  <c r="C256" i="7" s="1"/>
  <c r="C257" i="7" s="1"/>
  <c r="C258" i="7" s="1"/>
  <c r="C259" i="7" s="1"/>
  <c r="C260" i="7" s="1"/>
  <c r="C261" i="7" s="1"/>
  <c r="C262" i="7" s="1"/>
  <c r="C263" i="7" s="1"/>
  <c r="C264" i="7" s="1"/>
  <c r="C265" i="7" s="1"/>
  <c r="C266" i="7" s="1"/>
  <c r="C267" i="7" s="1"/>
  <c r="C268" i="7" s="1"/>
  <c r="C269" i="7" s="1"/>
  <c r="C270" i="7" s="1"/>
  <c r="C271" i="7" s="1"/>
  <c r="C272" i="7" s="1"/>
  <c r="C273" i="7" s="1"/>
  <c r="C274" i="7" s="1"/>
  <c r="C275" i="7" s="1"/>
  <c r="C276" i="7" s="1"/>
  <c r="C277" i="7" s="1"/>
  <c r="C278" i="7" s="1"/>
  <c r="C279" i="7" s="1"/>
  <c r="C280" i="7" s="1"/>
  <c r="C281" i="7" s="1"/>
  <c r="C282" i="7" s="1"/>
  <c r="C283" i="7" s="1"/>
  <c r="C284" i="7" s="1"/>
  <c r="C285" i="7" s="1"/>
  <c r="C286" i="7" s="1"/>
  <c r="C287" i="7" s="1"/>
  <c r="C288" i="7" s="1"/>
  <c r="C289" i="7" s="1"/>
  <c r="C290" i="7" s="1"/>
  <c r="C291" i="7" s="1"/>
  <c r="C292" i="7" s="1"/>
  <c r="C293" i="7" s="1"/>
  <c r="C294" i="7" s="1"/>
  <c r="C295" i="7" s="1"/>
  <c r="C296" i="7" s="1"/>
  <c r="C297" i="7" s="1"/>
  <c r="C298" i="7" s="1"/>
  <c r="C299" i="7" s="1"/>
  <c r="C300" i="7" s="1"/>
  <c r="C301" i="7" s="1"/>
  <c r="C302" i="7" s="1"/>
  <c r="C303" i="7" s="1"/>
  <c r="C304" i="7" s="1"/>
  <c r="C305" i="7" s="1"/>
  <c r="C306" i="7" s="1"/>
  <c r="C307" i="7" s="1"/>
  <c r="C308" i="7" s="1"/>
  <c r="C309" i="7" s="1"/>
  <c r="C310" i="7" s="1"/>
  <c r="C311" i="7" s="1"/>
  <c r="C312" i="7" s="1"/>
  <c r="C313" i="7" s="1"/>
  <c r="C314" i="7" s="1"/>
  <c r="C315" i="7" s="1"/>
  <c r="C316" i="7" s="1"/>
  <c r="C317" i="7" s="1"/>
  <c r="C318" i="7" s="1"/>
  <c r="C319" i="7" s="1"/>
  <c r="C320" i="7" s="1"/>
  <c r="C321" i="7" s="1"/>
  <c r="C322" i="7" s="1"/>
  <c r="C323" i="7" s="1"/>
  <c r="C324" i="7" s="1"/>
  <c r="C325" i="7" s="1"/>
  <c r="C326" i="7" s="1"/>
  <c r="C327" i="7" s="1"/>
  <c r="C328" i="7" s="1"/>
  <c r="C329" i="7" s="1"/>
  <c r="C330" i="7" s="1"/>
  <c r="C331" i="7" s="1"/>
  <c r="C332" i="7" s="1"/>
  <c r="C333" i="7" s="1"/>
  <c r="C334" i="7" s="1"/>
  <c r="C335" i="7" s="1"/>
  <c r="C336" i="7" s="1"/>
  <c r="C337" i="7" s="1"/>
  <c r="C338" i="7" s="1"/>
  <c r="C339" i="7" s="1"/>
  <c r="C340" i="7" s="1"/>
  <c r="C341" i="7" s="1"/>
  <c r="C342" i="7" s="1"/>
  <c r="C343" i="7" s="1"/>
  <c r="C344" i="7" s="1"/>
  <c r="C345" i="7" s="1"/>
  <c r="C346" i="7" s="1"/>
  <c r="C347" i="7" s="1"/>
  <c r="C348" i="7" s="1"/>
  <c r="C349" i="7" s="1"/>
  <c r="C350" i="7" s="1"/>
  <c r="C351" i="7" s="1"/>
  <c r="C352" i="7" s="1"/>
  <c r="C353" i="7" s="1"/>
  <c r="C354" i="7" s="1"/>
  <c r="C355" i="7" s="1"/>
  <c r="C356" i="7" s="1"/>
  <c r="C357" i="7" s="1"/>
  <c r="C358" i="7" s="1"/>
  <c r="C359" i="7" s="1"/>
  <c r="C360" i="7" s="1"/>
  <c r="C361" i="7" s="1"/>
  <c r="C362" i="7" s="1"/>
  <c r="C363" i="7" s="1"/>
  <c r="C364" i="7" s="1"/>
  <c r="C365" i="7" s="1"/>
  <c r="C366" i="7" s="1"/>
  <c r="C367" i="7" s="1"/>
  <c r="C368" i="7" s="1"/>
  <c r="C369" i="7" s="1"/>
  <c r="C370" i="7" s="1"/>
  <c r="C371" i="7" s="1"/>
  <c r="H78" i="27"/>
  <c r="H77" i="27"/>
  <c r="H76" i="27"/>
  <c r="H80" i="27"/>
  <c r="H79" i="27"/>
  <c r="I8" i="27"/>
  <c r="E9" i="3"/>
  <c r="E11" i="3"/>
  <c r="I79" i="28" l="1"/>
  <c r="I78" i="28"/>
  <c r="I77" i="28"/>
  <c r="I80" i="28"/>
  <c r="I76" i="28"/>
  <c r="J8" i="28"/>
  <c r="E65" i="3"/>
  <c r="E63" i="3"/>
  <c r="E68" i="3"/>
  <c r="E62" i="3"/>
  <c r="E69" i="3"/>
  <c r="E67" i="3"/>
  <c r="E64" i="3"/>
  <c r="E70" i="3"/>
  <c r="E66" i="3"/>
  <c r="I79" i="27"/>
  <c r="I78" i="27"/>
  <c r="I80" i="27"/>
  <c r="I77" i="27"/>
  <c r="I76" i="27"/>
  <c r="J8" i="27"/>
  <c r="E81" i="3"/>
  <c r="E88" i="3"/>
  <c r="E87" i="3"/>
  <c r="E85" i="3"/>
  <c r="E86" i="3"/>
  <c r="E84" i="3"/>
  <c r="E83" i="3"/>
  <c r="E82" i="3"/>
  <c r="E52" i="3"/>
  <c r="E58" i="3"/>
  <c r="E53" i="3"/>
  <c r="E54" i="3"/>
  <c r="E55" i="3"/>
  <c r="E56" i="3"/>
  <c r="E57" i="3"/>
  <c r="E51" i="3"/>
  <c r="E59" i="3"/>
  <c r="J78" i="28" l="1"/>
  <c r="J77" i="28"/>
  <c r="J76" i="28"/>
  <c r="J79" i="28"/>
  <c r="J80" i="28"/>
  <c r="K8" i="28"/>
  <c r="E75" i="3"/>
  <c r="J76" i="27"/>
  <c r="J78" i="27"/>
  <c r="J77" i="27"/>
  <c r="J79" i="27"/>
  <c r="J80" i="27"/>
  <c r="K8" i="27"/>
  <c r="E60" i="3"/>
  <c r="K78" i="28" l="1"/>
  <c r="K77" i="28"/>
  <c r="K80" i="28"/>
  <c r="K79" i="28"/>
  <c r="K76" i="28"/>
  <c r="L8" i="28"/>
  <c r="K78" i="27"/>
  <c r="K77" i="27"/>
  <c r="K76" i="27"/>
  <c r="K80" i="27"/>
  <c r="K79" i="27"/>
  <c r="L8" i="27"/>
  <c r="L79" i="28" l="1"/>
  <c r="L77" i="28"/>
  <c r="L78" i="28"/>
  <c r="L80" i="28"/>
  <c r="L76" i="28"/>
  <c r="M8" i="28"/>
  <c r="L79" i="27"/>
  <c r="L78" i="27"/>
  <c r="L80" i="27"/>
  <c r="L77" i="27"/>
  <c r="L76" i="27"/>
  <c r="M8" i="27"/>
  <c r="M76" i="28" l="1"/>
  <c r="M79" i="28"/>
  <c r="M80" i="28"/>
  <c r="M78" i="28"/>
  <c r="M77" i="28"/>
  <c r="N8" i="28"/>
  <c r="M79" i="27"/>
  <c r="M78" i="27"/>
  <c r="M80" i="27"/>
  <c r="M77" i="27"/>
  <c r="M76" i="27"/>
  <c r="N8" i="27"/>
  <c r="N79" i="28" l="1"/>
  <c r="N78" i="28"/>
  <c r="N77" i="28"/>
  <c r="N80" i="28"/>
  <c r="N76" i="28"/>
  <c r="O8" i="28"/>
  <c r="N79" i="27"/>
  <c r="N76" i="27"/>
  <c r="N77" i="27"/>
  <c r="N80" i="27"/>
  <c r="N78" i="27"/>
  <c r="O8" i="27"/>
  <c r="O80" i="28" l="1"/>
  <c r="O79" i="28"/>
  <c r="O76" i="28"/>
  <c r="O78" i="28"/>
  <c r="O77" i="28"/>
  <c r="P8" i="28"/>
  <c r="O78" i="27"/>
  <c r="O77" i="27"/>
  <c r="O76" i="27"/>
  <c r="O80" i="27"/>
  <c r="O79" i="27"/>
  <c r="P8" i="27"/>
  <c r="P76" i="28" l="1"/>
  <c r="P80" i="28"/>
  <c r="P79" i="28"/>
  <c r="P78" i="28"/>
  <c r="P77" i="28"/>
  <c r="Q8" i="28"/>
  <c r="P79" i="27"/>
  <c r="P78" i="27"/>
  <c r="P80" i="27"/>
  <c r="P77" i="27"/>
  <c r="P76" i="27"/>
  <c r="Q8" i="27"/>
  <c r="Q79" i="28" l="1"/>
  <c r="Q76" i="28"/>
  <c r="Q78" i="28"/>
  <c r="Q80" i="28"/>
  <c r="Q77" i="28"/>
  <c r="R8" i="28"/>
  <c r="Q78" i="27"/>
  <c r="Q77" i="27"/>
  <c r="Q76" i="27"/>
  <c r="Q80" i="27"/>
  <c r="Q79" i="27"/>
  <c r="R8" i="27"/>
  <c r="R79" i="28" l="1"/>
  <c r="R80" i="28"/>
  <c r="R78" i="28"/>
  <c r="R77" i="28"/>
  <c r="R76" i="28"/>
  <c r="S8" i="28"/>
  <c r="R79" i="27"/>
  <c r="R78" i="27"/>
  <c r="R80" i="27"/>
  <c r="R77" i="27"/>
  <c r="R76" i="27"/>
  <c r="S8" i="27"/>
  <c r="S76" i="28" l="1"/>
  <c r="S79" i="28"/>
  <c r="S80" i="28"/>
  <c r="S78" i="28"/>
  <c r="S77" i="28"/>
  <c r="T8" i="28"/>
  <c r="S78" i="27"/>
  <c r="S77" i="27"/>
  <c r="S76" i="27"/>
  <c r="S80" i="27"/>
  <c r="S79" i="27"/>
  <c r="T8" i="27"/>
  <c r="T76" i="28" l="1"/>
  <c r="T78" i="28"/>
  <c r="T77" i="28"/>
  <c r="T80" i="28"/>
  <c r="T79" i="28"/>
  <c r="U8" i="28"/>
  <c r="T78" i="27"/>
  <c r="T77" i="27"/>
  <c r="T76" i="27"/>
  <c r="T80" i="27"/>
  <c r="T79" i="27"/>
  <c r="U8" i="27"/>
  <c r="U76" i="28" l="1"/>
  <c r="U79" i="28"/>
  <c r="U78" i="28"/>
  <c r="U77" i="28"/>
  <c r="U80" i="28"/>
  <c r="V8" i="28"/>
  <c r="U78" i="27"/>
  <c r="U77" i="27"/>
  <c r="U76" i="27"/>
  <c r="U80" i="27"/>
  <c r="U79" i="27"/>
  <c r="V8" i="27"/>
  <c r="V76" i="28" l="1"/>
  <c r="V80" i="28"/>
  <c r="V79" i="28"/>
  <c r="V78" i="28"/>
  <c r="V77" i="28"/>
  <c r="W8" i="28"/>
  <c r="V78" i="27"/>
  <c r="V77" i="27"/>
  <c r="V76" i="27"/>
  <c r="V80" i="27"/>
  <c r="V79" i="27"/>
  <c r="W8" i="27"/>
  <c r="W79" i="28" l="1"/>
  <c r="W80" i="28"/>
  <c r="W76" i="28"/>
  <c r="W78" i="28"/>
  <c r="W77" i="28"/>
  <c r="X8" i="28"/>
  <c r="W78" i="27"/>
  <c r="W77" i="27"/>
  <c r="W76" i="27"/>
  <c r="W80" i="27"/>
  <c r="W79" i="27"/>
  <c r="X8" i="27"/>
  <c r="X77" i="28" l="1"/>
  <c r="X80" i="28"/>
  <c r="X79" i="28"/>
  <c r="X78" i="28"/>
  <c r="X76" i="28"/>
  <c r="Y8" i="28"/>
  <c r="X78" i="27"/>
  <c r="X77" i="27"/>
  <c r="X76" i="27"/>
  <c r="X80" i="27"/>
  <c r="X79" i="27"/>
  <c r="Y8" i="27"/>
  <c r="Y78" i="28" l="1"/>
  <c r="Y77" i="28"/>
  <c r="Y76" i="28"/>
  <c r="Y79" i="28"/>
  <c r="Y80" i="28"/>
  <c r="Z8" i="28"/>
  <c r="Y76" i="27"/>
  <c r="Y78" i="27"/>
  <c r="Y77" i="27"/>
  <c r="Y79" i="27"/>
  <c r="Y80" i="27"/>
  <c r="Z8" i="27"/>
  <c r="Z79" i="28" l="1"/>
  <c r="Z78" i="28"/>
  <c r="Z76" i="28"/>
  <c r="Z77" i="28"/>
  <c r="Z80" i="28"/>
  <c r="AA8" i="28"/>
  <c r="Z78" i="27"/>
  <c r="Z77" i="27"/>
  <c r="Z76" i="27"/>
  <c r="Z80" i="27"/>
  <c r="Z79" i="27"/>
  <c r="AA8" i="27"/>
  <c r="AA76" i="28" l="1"/>
  <c r="AA78" i="28"/>
  <c r="AA77" i="28"/>
  <c r="AA79" i="28"/>
  <c r="AA80" i="28"/>
  <c r="AB8" i="28"/>
  <c r="AA79" i="27"/>
  <c r="AA78" i="27"/>
  <c r="AA80" i="27"/>
  <c r="AA77" i="27"/>
  <c r="AA76" i="27"/>
  <c r="AB8" i="27"/>
  <c r="AB78" i="28" l="1"/>
  <c r="AB76" i="28"/>
  <c r="AB77" i="28"/>
  <c r="AB80" i="28"/>
  <c r="AB79" i="28"/>
  <c r="AC8" i="28"/>
  <c r="AB78" i="27"/>
  <c r="AB77" i="27"/>
  <c r="AB76" i="27"/>
  <c r="AB80" i="27"/>
  <c r="AB79" i="27"/>
  <c r="AC8" i="27"/>
  <c r="AC80" i="28" l="1"/>
  <c r="AC78" i="28"/>
  <c r="AC79" i="28"/>
  <c r="AC76" i="28"/>
  <c r="AC77" i="28"/>
  <c r="AD8" i="28"/>
  <c r="AC78" i="27"/>
  <c r="AC77" i="27"/>
  <c r="AC76" i="27"/>
  <c r="AC80" i="27"/>
  <c r="AC79" i="27"/>
  <c r="AD8" i="27"/>
  <c r="AD77" i="28" l="1"/>
  <c r="AD80" i="28"/>
  <c r="AD79" i="28"/>
  <c r="AD78" i="28"/>
  <c r="AD76" i="28"/>
  <c r="AE8" i="28"/>
  <c r="AD78" i="27"/>
  <c r="AD77" i="27"/>
  <c r="AD76" i="27"/>
  <c r="AD80" i="27"/>
  <c r="AD79" i="27"/>
  <c r="AE8" i="27"/>
  <c r="AE80" i="28" l="1"/>
  <c r="AE77" i="28"/>
  <c r="AE79" i="28"/>
  <c r="AE78" i="28"/>
  <c r="AE76" i="28"/>
  <c r="AF8" i="28"/>
  <c r="AE79" i="27"/>
  <c r="AE78" i="27"/>
  <c r="AE80" i="27"/>
  <c r="AE77" i="27"/>
  <c r="AE76" i="27"/>
  <c r="AF8" i="27"/>
  <c r="AF80" i="28" l="1"/>
  <c r="AF79" i="28"/>
  <c r="AF78" i="28"/>
  <c r="AF76" i="28"/>
  <c r="AF77" i="28"/>
  <c r="AG8" i="28"/>
  <c r="AF78" i="27"/>
  <c r="AF77" i="27"/>
  <c r="AF76" i="27"/>
  <c r="AF80" i="27"/>
  <c r="AF79" i="27"/>
  <c r="AG8" i="27"/>
  <c r="AG80" i="28" l="1"/>
  <c r="AG79" i="28"/>
  <c r="AG78" i="28"/>
  <c r="AG77" i="28"/>
  <c r="AG76" i="28"/>
  <c r="AH8" i="28"/>
  <c r="AG78" i="27"/>
  <c r="AG77" i="27"/>
  <c r="AG76" i="27"/>
  <c r="AG80" i="27"/>
  <c r="AG79" i="27"/>
  <c r="AH8" i="27"/>
  <c r="AH79" i="28" l="1"/>
  <c r="AH78" i="28"/>
  <c r="AH77" i="28"/>
  <c r="AH80" i="28"/>
  <c r="AH76" i="28"/>
  <c r="AI8" i="28"/>
  <c r="AH78" i="27"/>
  <c r="AH77" i="27"/>
  <c r="AH76" i="27"/>
  <c r="AH80" i="27"/>
  <c r="AH79" i="27"/>
  <c r="AI8" i="27"/>
  <c r="AI80" i="28" l="1"/>
  <c r="AI77" i="28"/>
  <c r="AI76" i="28"/>
  <c r="AI79" i="28"/>
  <c r="AI78" i="28"/>
  <c r="AJ8" i="28"/>
  <c r="AI78" i="27"/>
  <c r="AI77" i="27"/>
  <c r="AI76" i="27"/>
  <c r="AI80" i="27"/>
  <c r="AI79" i="27"/>
  <c r="AJ8" i="27"/>
  <c r="AJ79" i="28" l="1"/>
  <c r="AJ76" i="28"/>
  <c r="AJ78" i="28"/>
  <c r="AJ80" i="28"/>
  <c r="AJ77" i="28"/>
  <c r="AK8" i="28"/>
  <c r="AJ78" i="27"/>
  <c r="AJ77" i="27"/>
  <c r="AJ76" i="27"/>
  <c r="AJ80" i="27"/>
  <c r="AJ79" i="27"/>
  <c r="AK8" i="27"/>
  <c r="AK79" i="28" l="1"/>
  <c r="AK78" i="28"/>
  <c r="AK76" i="28"/>
  <c r="AK77" i="28"/>
  <c r="AK80" i="28"/>
  <c r="AL8" i="28"/>
  <c r="AK79" i="27"/>
  <c r="AK78" i="27"/>
  <c r="AK80" i="27"/>
  <c r="AK77" i="27"/>
  <c r="AK76" i="27"/>
  <c r="AL8" i="27"/>
  <c r="AL79" i="28" l="1"/>
  <c r="AL80" i="28"/>
  <c r="AL78" i="28"/>
  <c r="AL77" i="28"/>
  <c r="AL76" i="28"/>
  <c r="AM8" i="28"/>
  <c r="AL78" i="27"/>
  <c r="AL77" i="27"/>
  <c r="AL76" i="27"/>
  <c r="AL80" i="27"/>
  <c r="AL79" i="27"/>
  <c r="AM8" i="27"/>
  <c r="AM78" i="28" l="1"/>
  <c r="AM76" i="28"/>
  <c r="AM80" i="28"/>
  <c r="AM79" i="28"/>
  <c r="AM77" i="28"/>
  <c r="AN8" i="28"/>
  <c r="AM79" i="27"/>
  <c r="AM78" i="27"/>
  <c r="AM80" i="27"/>
  <c r="AM77" i="27"/>
  <c r="AM76" i="27"/>
  <c r="AN8" i="27"/>
  <c r="AN79" i="28" l="1"/>
  <c r="AN80" i="28"/>
  <c r="AN77" i="28"/>
  <c r="AN78" i="28"/>
  <c r="AN76" i="28"/>
  <c r="AN78" i="27"/>
  <c r="AN77" i="27"/>
  <c r="AN76" i="27"/>
  <c r="AN80" i="27"/>
  <c r="AN79" i="27"/>
  <c r="D27" i="17" l="1"/>
  <c r="F16" i="17"/>
  <c r="E16" i="17"/>
  <c r="F23" i="17" l="1"/>
  <c r="F163" i="17"/>
  <c r="E23" i="17"/>
  <c r="E163" i="17"/>
  <c r="X34" i="28" l="1"/>
  <c r="G34" i="28"/>
  <c r="AJ34" i="28"/>
  <c r="AA34" i="28"/>
  <c r="Y34" i="28"/>
  <c r="W34" i="28"/>
  <c r="U34" i="28"/>
  <c r="S34" i="28"/>
  <c r="Q34" i="28"/>
  <c r="O34" i="28"/>
  <c r="M34" i="28"/>
  <c r="K34" i="28"/>
  <c r="I34" i="28"/>
  <c r="F34" i="28"/>
  <c r="AN34" i="28"/>
  <c r="AM34" i="28"/>
  <c r="AL34" i="28"/>
  <c r="AK34" i="28"/>
  <c r="AI34" i="28"/>
  <c r="AH34" i="28"/>
  <c r="AG34" i="28"/>
  <c r="AF34" i="28"/>
  <c r="AE34" i="28"/>
  <c r="AD34" i="28"/>
  <c r="AC34" i="28"/>
  <c r="AB34" i="28"/>
  <c r="Z34" i="28"/>
  <c r="V34" i="28"/>
  <c r="T34" i="28"/>
  <c r="R34" i="28"/>
  <c r="P34" i="28"/>
  <c r="N34" i="28"/>
  <c r="L34" i="28"/>
  <c r="J34" i="28"/>
  <c r="H34" i="28"/>
  <c r="E34" i="28"/>
  <c r="AN34" i="27"/>
  <c r="AM34" i="27"/>
  <c r="AL34" i="27"/>
  <c r="AK34" i="27"/>
  <c r="AJ34" i="27"/>
  <c r="AI34" i="27"/>
  <c r="AH34" i="27"/>
  <c r="AG34" i="27"/>
  <c r="AF34" i="27"/>
  <c r="AE34" i="27"/>
  <c r="AD34" i="27"/>
  <c r="AC34" i="27"/>
  <c r="AA34" i="27"/>
  <c r="Z34" i="27"/>
  <c r="Y34" i="27"/>
  <c r="X34" i="27"/>
  <c r="W34" i="27"/>
  <c r="V34" i="27"/>
  <c r="U34" i="27"/>
  <c r="T34" i="27"/>
  <c r="S34" i="27"/>
  <c r="R34" i="27"/>
  <c r="Q34" i="27"/>
  <c r="P34" i="27"/>
  <c r="AB34" i="27"/>
  <c r="N34" i="27"/>
  <c r="M34" i="27"/>
  <c r="L34" i="27"/>
  <c r="K34" i="27"/>
  <c r="J34" i="27"/>
  <c r="I34" i="27"/>
  <c r="H34" i="27"/>
  <c r="G34" i="27"/>
  <c r="F34" i="27"/>
  <c r="E34" i="27"/>
  <c r="O34" i="27"/>
  <c r="E32" i="17"/>
  <c r="F32" i="17" s="1"/>
  <c r="E15" i="3"/>
  <c r="E14" i="3"/>
  <c r="E13" i="3"/>
  <c r="D46" i="17"/>
  <c r="D75" i="17" s="1"/>
  <c r="D106" i="17" l="1"/>
  <c r="E61" i="3" s="1"/>
  <c r="E50" i="3" s="1"/>
  <c r="D84" i="17"/>
  <c r="E44" i="3" s="1"/>
  <c r="E45" i="3" s="1"/>
  <c r="E12" i="3"/>
  <c r="D50" i="17"/>
  <c r="D79" i="17" s="1"/>
  <c r="E17" i="3"/>
  <c r="E42" i="3" s="1"/>
  <c r="D52" i="17" l="1"/>
  <c r="C10" i="18"/>
  <c r="E41" i="3"/>
  <c r="E43" i="3"/>
  <c r="E47" i="3"/>
  <c r="E46" i="3"/>
  <c r="E48" i="3"/>
  <c r="F10" i="18"/>
  <c r="D10" i="18"/>
  <c r="L10" i="18"/>
  <c r="E10" i="18"/>
  <c r="J10" i="18"/>
  <c r="N10" i="18"/>
  <c r="M10" i="18"/>
  <c r="K10" i="18"/>
  <c r="I10" i="18"/>
  <c r="H10" i="18"/>
  <c r="G10" i="18"/>
  <c r="E40" i="3" l="1"/>
  <c r="D108" i="17"/>
  <c r="D109" i="17" s="1"/>
  <c r="F5" i="27" l="1"/>
  <c r="E6" i="27" s="1"/>
  <c r="I8" i="22"/>
  <c r="C11" i="22" s="1"/>
  <c r="E5" i="27"/>
  <c r="F13" i="17"/>
  <c r="E5" i="28" s="1"/>
  <c r="F15" i="17"/>
  <c r="E8" i="23"/>
  <c r="I7" i="23"/>
  <c r="AS8" i="23"/>
  <c r="AO8" i="23"/>
  <c r="AJ8" i="23"/>
  <c r="AF8" i="23"/>
  <c r="AA8" i="23"/>
  <c r="W8" i="23"/>
  <c r="R8" i="23"/>
  <c r="L11" i="23" s="1"/>
  <c r="L12" i="23" s="1"/>
  <c r="N8" i="23"/>
  <c r="AS7" i="23"/>
  <c r="AO7" i="23"/>
  <c r="AR11" i="23" s="1"/>
  <c r="AJ7" i="23"/>
  <c r="AF7" i="23"/>
  <c r="AI11" i="23" s="1"/>
  <c r="AA7" i="23"/>
  <c r="W7" i="23"/>
  <c r="Z11" i="23" s="1"/>
  <c r="R7" i="23"/>
  <c r="N7" i="23"/>
  <c r="Q11" i="23" s="1"/>
  <c r="AS8" i="22"/>
  <c r="AO8" i="22"/>
  <c r="AJ8" i="22"/>
  <c r="AF8" i="22"/>
  <c r="AA8" i="22"/>
  <c r="W8" i="22"/>
  <c r="R8" i="22"/>
  <c r="N8" i="22"/>
  <c r="AS7" i="22"/>
  <c r="AO7" i="22"/>
  <c r="AR11" i="22" s="1"/>
  <c r="AJ7" i="22"/>
  <c r="AF7" i="22"/>
  <c r="AI11" i="22" s="1"/>
  <c r="AA7" i="22"/>
  <c r="W7" i="22"/>
  <c r="Z11" i="22" s="1"/>
  <c r="R7" i="22"/>
  <c r="N7" i="22"/>
  <c r="Q11" i="22" s="1"/>
  <c r="E8" i="22"/>
  <c r="I7" i="22"/>
  <c r="AS8" i="7"/>
  <c r="AS7" i="7"/>
  <c r="AO8" i="7"/>
  <c r="AO7" i="7"/>
  <c r="AJ8" i="7"/>
  <c r="AJ7" i="7"/>
  <c r="AF8" i="7"/>
  <c r="AF7" i="7"/>
  <c r="AA8" i="7"/>
  <c r="AA7" i="7"/>
  <c r="W8" i="7"/>
  <c r="W7" i="7"/>
  <c r="R7" i="7"/>
  <c r="N8" i="7"/>
  <c r="N7" i="7"/>
  <c r="E8" i="7"/>
  <c r="I7" i="7"/>
  <c r="D7" i="28" l="1"/>
  <c r="D32" i="28"/>
  <c r="F6" i="27"/>
  <c r="E7" i="27"/>
  <c r="E9" i="27" s="1"/>
  <c r="I8" i="23"/>
  <c r="C11" i="23" s="1"/>
  <c r="F5" i="28"/>
  <c r="E6" i="28" s="1"/>
  <c r="E11" i="27"/>
  <c r="D7" i="27"/>
  <c r="D32" i="27"/>
  <c r="E9" i="19" s="1"/>
  <c r="AM11" i="22"/>
  <c r="E7" i="7"/>
  <c r="S12" i="23"/>
  <c r="P12" i="23"/>
  <c r="Q12" i="23"/>
  <c r="R12" i="23"/>
  <c r="M12" i="23"/>
  <c r="O12" i="23"/>
  <c r="N12" i="23"/>
  <c r="L13" i="23"/>
  <c r="P11" i="23"/>
  <c r="D21" i="28" s="1"/>
  <c r="U11" i="23"/>
  <c r="AD11" i="23"/>
  <c r="AD12" i="23" s="1"/>
  <c r="AH12" i="23" s="1"/>
  <c r="AM11" i="23"/>
  <c r="AM12" i="23" s="1"/>
  <c r="AQ12" i="23" s="1"/>
  <c r="U11" i="22"/>
  <c r="U12" i="22" s="1"/>
  <c r="Y12" i="22" s="1"/>
  <c r="L11" i="22"/>
  <c r="C12" i="22"/>
  <c r="AD11" i="22"/>
  <c r="AD12" i="22" s="1"/>
  <c r="D90" i="28" l="1"/>
  <c r="D96" i="28" s="1"/>
  <c r="F9" i="19"/>
  <c r="G6" i="27"/>
  <c r="F11" i="27"/>
  <c r="F7" i="27"/>
  <c r="F9" i="27" s="1"/>
  <c r="F6" i="28"/>
  <c r="E7" i="28"/>
  <c r="E9" i="28" s="1"/>
  <c r="E11" i="28"/>
  <c r="E66" i="27"/>
  <c r="E85" i="27"/>
  <c r="E53" i="27"/>
  <c r="E58" i="27"/>
  <c r="E67" i="27"/>
  <c r="E88" i="27"/>
  <c r="E15" i="27"/>
  <c r="E86" i="27"/>
  <c r="E14" i="27"/>
  <c r="E52" i="27"/>
  <c r="E94" i="27"/>
  <c r="E54" i="27"/>
  <c r="E56" i="27"/>
  <c r="E59" i="27"/>
  <c r="E63" i="27"/>
  <c r="E65" i="27"/>
  <c r="E68" i="27"/>
  <c r="E83" i="27"/>
  <c r="E81" i="27"/>
  <c r="E69" i="27"/>
  <c r="E84" i="27"/>
  <c r="E13" i="27"/>
  <c r="E87" i="27"/>
  <c r="E51" i="27"/>
  <c r="E55" i="27"/>
  <c r="E57" i="27"/>
  <c r="E62" i="27"/>
  <c r="E64" i="27"/>
  <c r="E70" i="27"/>
  <c r="E82" i="27"/>
  <c r="D90" i="27"/>
  <c r="D96" i="27" s="1"/>
  <c r="AM12" i="22"/>
  <c r="AS12" i="22" s="1"/>
  <c r="AQ11" i="22"/>
  <c r="D14" i="7"/>
  <c r="D12" i="7"/>
  <c r="AE12" i="23"/>
  <c r="AD13" i="23"/>
  <c r="AK12" i="23"/>
  <c r="AJ12" i="23"/>
  <c r="AI12" i="23"/>
  <c r="AG12" i="23"/>
  <c r="AF12" i="23"/>
  <c r="AM13" i="23"/>
  <c r="AT12" i="23"/>
  <c r="AS12" i="23"/>
  <c r="AR12" i="23"/>
  <c r="AP12" i="23"/>
  <c r="AO12" i="23"/>
  <c r="AN12" i="23"/>
  <c r="AH12" i="22"/>
  <c r="AE12" i="22"/>
  <c r="AF12" i="22"/>
  <c r="AG12" i="22"/>
  <c r="AI12" i="22"/>
  <c r="AJ12" i="22"/>
  <c r="AK12" i="22"/>
  <c r="Y11" i="22"/>
  <c r="AQ11" i="23"/>
  <c r="C12" i="23"/>
  <c r="N13" i="23"/>
  <c r="L14" i="23"/>
  <c r="M13" i="23"/>
  <c r="S13" i="23"/>
  <c r="O13" i="23"/>
  <c r="R13" i="23"/>
  <c r="Q13" i="23"/>
  <c r="P13" i="23"/>
  <c r="Y11" i="23"/>
  <c r="U12" i="23"/>
  <c r="AH11" i="23"/>
  <c r="L12" i="22"/>
  <c r="P11" i="22"/>
  <c r="D21" i="27" s="1"/>
  <c r="AH11" i="22"/>
  <c r="C13" i="22"/>
  <c r="G12" i="22"/>
  <c r="W12" i="22"/>
  <c r="U13" i="22"/>
  <c r="V12" i="22"/>
  <c r="X12" i="22"/>
  <c r="AP12" i="22" l="1"/>
  <c r="AN12" i="22"/>
  <c r="AR12" i="22"/>
  <c r="AT12" i="22"/>
  <c r="AO12" i="22"/>
  <c r="H6" i="27"/>
  <c r="G11" i="27"/>
  <c r="G7" i="27"/>
  <c r="G9" i="27" s="1"/>
  <c r="F58" i="27"/>
  <c r="F53" i="27"/>
  <c r="F56" i="27"/>
  <c r="F59" i="27"/>
  <c r="F55" i="27"/>
  <c r="F54" i="27"/>
  <c r="F57" i="27"/>
  <c r="F62" i="27"/>
  <c r="F65" i="27"/>
  <c r="F85" i="27"/>
  <c r="F13" i="27"/>
  <c r="F15" i="27"/>
  <c r="F51" i="27"/>
  <c r="F63" i="27"/>
  <c r="F64" i="27"/>
  <c r="F66" i="27"/>
  <c r="F67" i="27"/>
  <c r="F70" i="27"/>
  <c r="F81" i="27"/>
  <c r="F82" i="27"/>
  <c r="F83" i="27"/>
  <c r="F94" i="27"/>
  <c r="F68" i="27"/>
  <c r="F84" i="27"/>
  <c r="F86" i="27"/>
  <c r="F87" i="27"/>
  <c r="F14" i="27"/>
  <c r="F88" i="27"/>
  <c r="F69" i="27"/>
  <c r="F52" i="27"/>
  <c r="E12" i="27"/>
  <c r="F7" i="28"/>
  <c r="F9" i="28" s="1"/>
  <c r="G6" i="28"/>
  <c r="F11" i="28"/>
  <c r="E59" i="28"/>
  <c r="E94" i="28"/>
  <c r="E15" i="28"/>
  <c r="E51" i="28"/>
  <c r="E55" i="28"/>
  <c r="E86" i="28"/>
  <c r="E87" i="28"/>
  <c r="E63" i="28"/>
  <c r="E66" i="28"/>
  <c r="E68" i="28"/>
  <c r="E69" i="28"/>
  <c r="E70" i="28"/>
  <c r="E83" i="28"/>
  <c r="E81" i="28"/>
  <c r="E82" i="28"/>
  <c r="E14" i="28"/>
  <c r="E53" i="28"/>
  <c r="E13" i="28"/>
  <c r="E88" i="28"/>
  <c r="E52" i="28"/>
  <c r="E56" i="28"/>
  <c r="E65" i="28"/>
  <c r="E67" i="28"/>
  <c r="E54" i="28"/>
  <c r="E57" i="28"/>
  <c r="E58" i="28"/>
  <c r="E62" i="28"/>
  <c r="E64" i="28"/>
  <c r="E84" i="28"/>
  <c r="E85" i="28"/>
  <c r="AQ12" i="22"/>
  <c r="AM13" i="22"/>
  <c r="E60" i="27"/>
  <c r="E75" i="27"/>
  <c r="AA12" i="22"/>
  <c r="AB12" i="22"/>
  <c r="Z12" i="22"/>
  <c r="AH13" i="23"/>
  <c r="AI13" i="23"/>
  <c r="AF13" i="23"/>
  <c r="AJ13" i="23"/>
  <c r="AG13" i="23"/>
  <c r="AE13" i="23"/>
  <c r="AK13" i="23"/>
  <c r="AD14" i="23"/>
  <c r="AQ13" i="23"/>
  <c r="AN13" i="23"/>
  <c r="AO13" i="23"/>
  <c r="AP13" i="23"/>
  <c r="AR13" i="23"/>
  <c r="AS13" i="23"/>
  <c r="AT13" i="23"/>
  <c r="AM14" i="23"/>
  <c r="Q14" i="23"/>
  <c r="L15" i="23"/>
  <c r="M14" i="23"/>
  <c r="S14" i="23"/>
  <c r="R14" i="23"/>
  <c r="P14" i="23"/>
  <c r="N14" i="23"/>
  <c r="O14" i="23"/>
  <c r="Z12" i="23"/>
  <c r="W12" i="23"/>
  <c r="AB12" i="23"/>
  <c r="AA12" i="23"/>
  <c r="X12" i="23"/>
  <c r="U13" i="23"/>
  <c r="V12" i="23"/>
  <c r="Y12" i="23"/>
  <c r="C13" i="23"/>
  <c r="G12" i="23"/>
  <c r="AD13" i="22"/>
  <c r="W13" i="22"/>
  <c r="V13" i="22"/>
  <c r="X13" i="22"/>
  <c r="U14" i="22"/>
  <c r="Y13" i="22"/>
  <c r="L13" i="22"/>
  <c r="M12" i="22"/>
  <c r="O12" i="22"/>
  <c r="N12" i="22"/>
  <c r="P12" i="22"/>
  <c r="C14" i="22"/>
  <c r="G13" i="22"/>
  <c r="G68" i="27" l="1"/>
  <c r="G82" i="27"/>
  <c r="G54" i="27"/>
  <c r="G57" i="27"/>
  <c r="G62" i="27"/>
  <c r="H11" i="27"/>
  <c r="H7" i="27"/>
  <c r="H9" i="27" s="1"/>
  <c r="I6" i="27"/>
  <c r="G51" i="27"/>
  <c r="G52" i="27"/>
  <c r="G58" i="27"/>
  <c r="G63" i="27"/>
  <c r="G65" i="27"/>
  <c r="G86" i="27"/>
  <c r="G94" i="27"/>
  <c r="G66" i="27"/>
  <c r="G53" i="27"/>
  <c r="G55" i="27"/>
  <c r="G56" i="27"/>
  <c r="G59" i="27"/>
  <c r="G64" i="27"/>
  <c r="G70" i="27"/>
  <c r="G81" i="27"/>
  <c r="G67" i="27"/>
  <c r="G69" i="27"/>
  <c r="G83" i="27"/>
  <c r="F60" i="27"/>
  <c r="F12" i="27"/>
  <c r="F75" i="27"/>
  <c r="G84" i="27"/>
  <c r="G85" i="27"/>
  <c r="G87" i="27"/>
  <c r="G13" i="27"/>
  <c r="G14" i="27"/>
  <c r="G15" i="27"/>
  <c r="G88" i="27"/>
  <c r="R12" i="22"/>
  <c r="E12" i="28"/>
  <c r="F14" i="28"/>
  <c r="F84" i="28"/>
  <c r="F94" i="28"/>
  <c r="F52" i="28"/>
  <c r="F54" i="28"/>
  <c r="F56" i="28"/>
  <c r="F57" i="28"/>
  <c r="F58" i="28"/>
  <c r="F63" i="28"/>
  <c r="F85" i="28"/>
  <c r="F86" i="28"/>
  <c r="F51" i="28"/>
  <c r="F53" i="28"/>
  <c r="F59" i="28"/>
  <c r="F66" i="28"/>
  <c r="F67" i="28"/>
  <c r="F87" i="28"/>
  <c r="F81" i="28"/>
  <c r="F82" i="28"/>
  <c r="F83" i="28"/>
  <c r="F13" i="28"/>
  <c r="F15" i="28"/>
  <c r="F55" i="28"/>
  <c r="F62" i="28"/>
  <c r="F64" i="28"/>
  <c r="F65" i="28"/>
  <c r="F68" i="28"/>
  <c r="F69" i="28"/>
  <c r="F70" i="28"/>
  <c r="F88" i="28"/>
  <c r="G11" i="28"/>
  <c r="G7" i="28"/>
  <c r="G9" i="28" s="1"/>
  <c r="H6" i="28"/>
  <c r="E60" i="28"/>
  <c r="E75" i="28"/>
  <c r="AQ13" i="22"/>
  <c r="AN13" i="22"/>
  <c r="AO13" i="22"/>
  <c r="AP13" i="22"/>
  <c r="AR13" i="22"/>
  <c r="AS13" i="22"/>
  <c r="AT13" i="22"/>
  <c r="AM14" i="22"/>
  <c r="AA13" i="22"/>
  <c r="Z13" i="22"/>
  <c r="AB13" i="22"/>
  <c r="AH14" i="23"/>
  <c r="AE14" i="23"/>
  <c r="AG14" i="23"/>
  <c r="AK14" i="23"/>
  <c r="AI14" i="23"/>
  <c r="AF14" i="23"/>
  <c r="AJ14" i="23"/>
  <c r="AD15" i="23"/>
  <c r="AQ14" i="23"/>
  <c r="AM15" i="23"/>
  <c r="AT14" i="23"/>
  <c r="AS14" i="23"/>
  <c r="AR14" i="23"/>
  <c r="AP14" i="23"/>
  <c r="AO14" i="23"/>
  <c r="AN14" i="23"/>
  <c r="S15" i="23"/>
  <c r="R15" i="23"/>
  <c r="Q15" i="23"/>
  <c r="P15" i="23"/>
  <c r="O15" i="23"/>
  <c r="N15" i="23"/>
  <c r="M15" i="23"/>
  <c r="AB13" i="23"/>
  <c r="AA13" i="23"/>
  <c r="Z13" i="23"/>
  <c r="X13" i="23"/>
  <c r="W13" i="23"/>
  <c r="V13" i="23"/>
  <c r="Y13" i="23"/>
  <c r="AK13" i="22"/>
  <c r="AJ13" i="22"/>
  <c r="AI13" i="22"/>
  <c r="AG13" i="22"/>
  <c r="AF13" i="22"/>
  <c r="AE13" i="22"/>
  <c r="AH13" i="22"/>
  <c r="Q12" i="22"/>
  <c r="S12" i="22"/>
  <c r="U14" i="23"/>
  <c r="C14" i="23"/>
  <c r="G13" i="23"/>
  <c r="L16" i="23"/>
  <c r="C15" i="22"/>
  <c r="G14" i="22"/>
  <c r="L14" i="22"/>
  <c r="O13" i="22"/>
  <c r="N13" i="22"/>
  <c r="M13" i="22"/>
  <c r="P13" i="22"/>
  <c r="X14" i="22"/>
  <c r="U15" i="22"/>
  <c r="W14" i="22"/>
  <c r="V14" i="22"/>
  <c r="Y14" i="22"/>
  <c r="AD14" i="22"/>
  <c r="G60" i="27" l="1"/>
  <c r="H94" i="27"/>
  <c r="H66" i="27"/>
  <c r="H83" i="27"/>
  <c r="H14" i="27"/>
  <c r="H68" i="27"/>
  <c r="H87" i="27"/>
  <c r="H88" i="27"/>
  <c r="H51" i="27"/>
  <c r="H53" i="27"/>
  <c r="H57" i="27"/>
  <c r="H65" i="27"/>
  <c r="H69" i="27"/>
  <c r="H84" i="27"/>
  <c r="H86" i="27"/>
  <c r="H13" i="27"/>
  <c r="H15" i="27"/>
  <c r="H52" i="27"/>
  <c r="H54" i="27"/>
  <c r="H55" i="27"/>
  <c r="H56" i="27"/>
  <c r="H58" i="27"/>
  <c r="H59" i="27"/>
  <c r="H62" i="27"/>
  <c r="H63" i="27"/>
  <c r="H64" i="27"/>
  <c r="H67" i="27"/>
  <c r="H70" i="27"/>
  <c r="H85" i="27"/>
  <c r="H81" i="27"/>
  <c r="H82" i="27"/>
  <c r="I11" i="27"/>
  <c r="J6" i="27"/>
  <c r="I7" i="27"/>
  <c r="I9" i="27" s="1"/>
  <c r="G75" i="27"/>
  <c r="G12" i="27"/>
  <c r="F12" i="28"/>
  <c r="F60" i="28"/>
  <c r="G66" i="28"/>
  <c r="G69" i="28"/>
  <c r="G81" i="28"/>
  <c r="G94" i="28"/>
  <c r="G55" i="28"/>
  <c r="G15" i="28"/>
  <c r="G51" i="28"/>
  <c r="G53" i="28"/>
  <c r="G65" i="28"/>
  <c r="G68" i="28"/>
  <c r="G82" i="28"/>
  <c r="G54" i="28"/>
  <c r="G13" i="28"/>
  <c r="G57" i="28"/>
  <c r="G59" i="28"/>
  <c r="G85" i="28"/>
  <c r="G86" i="28"/>
  <c r="G87" i="28"/>
  <c r="G88" i="28"/>
  <c r="G14" i="28"/>
  <c r="G62" i="28"/>
  <c r="G67" i="28"/>
  <c r="G70" i="28"/>
  <c r="G83" i="28"/>
  <c r="G52" i="28"/>
  <c r="G56" i="28"/>
  <c r="G58" i="28"/>
  <c r="G63" i="28"/>
  <c r="G64" i="28"/>
  <c r="G84" i="28"/>
  <c r="I6" i="28"/>
  <c r="H11" i="28"/>
  <c r="H7" i="28"/>
  <c r="H9" i="28" s="1"/>
  <c r="F75" i="28"/>
  <c r="AQ14" i="22"/>
  <c r="AM15" i="22"/>
  <c r="AT14" i="22"/>
  <c r="AS14" i="22"/>
  <c r="AR14" i="22"/>
  <c r="AP14" i="22"/>
  <c r="AO14" i="22"/>
  <c r="AN14" i="22"/>
  <c r="Z14" i="22"/>
  <c r="AB14" i="22"/>
  <c r="AA14" i="22"/>
  <c r="Q13" i="22"/>
  <c r="S13" i="22"/>
  <c r="AH15" i="23"/>
  <c r="AK15" i="23"/>
  <c r="AG15" i="23"/>
  <c r="AE15" i="23"/>
  <c r="AJ15" i="23"/>
  <c r="AD16" i="23"/>
  <c r="AI15" i="23"/>
  <c r="AF15" i="23"/>
  <c r="AQ15" i="23"/>
  <c r="AM16" i="23"/>
  <c r="AT15" i="23"/>
  <c r="AS15" i="23"/>
  <c r="AR15" i="23"/>
  <c r="AP15" i="23"/>
  <c r="AO15" i="23"/>
  <c r="AN15" i="23"/>
  <c r="AK14" i="22"/>
  <c r="AJ14" i="22"/>
  <c r="AI14" i="22"/>
  <c r="AG14" i="22"/>
  <c r="AF14" i="22"/>
  <c r="AE14" i="22"/>
  <c r="AH14" i="22"/>
  <c r="R13" i="22"/>
  <c r="S16" i="23"/>
  <c r="Q16" i="23"/>
  <c r="R16" i="23"/>
  <c r="P16" i="23"/>
  <c r="L17" i="23"/>
  <c r="O16" i="23"/>
  <c r="N16" i="23"/>
  <c r="M16" i="23"/>
  <c r="AA14" i="23"/>
  <c r="W14" i="23"/>
  <c r="Z14" i="23"/>
  <c r="X14" i="23"/>
  <c r="U15" i="23"/>
  <c r="V14" i="23"/>
  <c r="AB14" i="23"/>
  <c r="Y14" i="23"/>
  <c r="C15" i="23"/>
  <c r="G14" i="23"/>
  <c r="W15" i="22"/>
  <c r="X15" i="22"/>
  <c r="V15" i="22"/>
  <c r="U16" i="22"/>
  <c r="Y15" i="22"/>
  <c r="C16" i="22"/>
  <c r="G15" i="22"/>
  <c r="AD15" i="22"/>
  <c r="N14" i="22"/>
  <c r="L15" i="22"/>
  <c r="O14" i="22"/>
  <c r="M14" i="22"/>
  <c r="P14" i="22"/>
  <c r="AR11" i="7"/>
  <c r="AI11" i="7"/>
  <c r="AD11" i="7"/>
  <c r="AD12" i="7" s="1"/>
  <c r="F27" i="17"/>
  <c r="E27" i="17"/>
  <c r="H12" i="27" l="1"/>
  <c r="H60" i="27"/>
  <c r="H75" i="27"/>
  <c r="J7" i="27"/>
  <c r="J9" i="27" s="1"/>
  <c r="J11" i="27"/>
  <c r="K6" i="27"/>
  <c r="I66" i="27"/>
  <c r="I81" i="27"/>
  <c r="I83" i="27"/>
  <c r="I64" i="27"/>
  <c r="I68" i="27"/>
  <c r="I82" i="27"/>
  <c r="I94" i="27"/>
  <c r="I65" i="27"/>
  <c r="I67" i="27"/>
  <c r="I69" i="27"/>
  <c r="I84" i="27"/>
  <c r="I85" i="27"/>
  <c r="I86" i="27"/>
  <c r="I13" i="27"/>
  <c r="I14" i="27"/>
  <c r="I15" i="27"/>
  <c r="I88" i="27"/>
  <c r="I51" i="27"/>
  <c r="I52" i="27"/>
  <c r="I53" i="27"/>
  <c r="I54" i="27"/>
  <c r="I55" i="27"/>
  <c r="I56" i="27"/>
  <c r="I57" i="27"/>
  <c r="I58" i="27"/>
  <c r="I59" i="27"/>
  <c r="I62" i="27"/>
  <c r="I63" i="27"/>
  <c r="I70" i="27"/>
  <c r="I87" i="27"/>
  <c r="G12" i="28"/>
  <c r="G60" i="28"/>
  <c r="I11" i="28"/>
  <c r="J6" i="28"/>
  <c r="I7" i="28"/>
  <c r="I9" i="28" s="1"/>
  <c r="H69" i="28"/>
  <c r="H88" i="28"/>
  <c r="H64" i="28"/>
  <c r="H65" i="28"/>
  <c r="H70" i="28"/>
  <c r="H94" i="28"/>
  <c r="H15" i="28"/>
  <c r="H55" i="28"/>
  <c r="H54" i="28"/>
  <c r="H52" i="28"/>
  <c r="H58" i="28"/>
  <c r="H84" i="28"/>
  <c r="H85" i="28"/>
  <c r="H86" i="28"/>
  <c r="H56" i="28"/>
  <c r="H62" i="28"/>
  <c r="H63" i="28"/>
  <c r="H66" i="28"/>
  <c r="H67" i="28"/>
  <c r="H87" i="28"/>
  <c r="H81" i="28"/>
  <c r="H82" i="28"/>
  <c r="H83" i="28"/>
  <c r="H13" i="28"/>
  <c r="H14" i="28"/>
  <c r="H51" i="28"/>
  <c r="H53" i="28"/>
  <c r="H57" i="28"/>
  <c r="H59" i="28"/>
  <c r="H68" i="28"/>
  <c r="G75" i="28"/>
  <c r="AQ15" i="22"/>
  <c r="AM16" i="22"/>
  <c r="AT15" i="22"/>
  <c r="AS15" i="22"/>
  <c r="AR15" i="22"/>
  <c r="AP15" i="22"/>
  <c r="AO15" i="22"/>
  <c r="AN15" i="22"/>
  <c r="AB15" i="22"/>
  <c r="Z15" i="22"/>
  <c r="AA15" i="22"/>
  <c r="Q14" i="22"/>
  <c r="AH16" i="23"/>
  <c r="AD17" i="23"/>
  <c r="AI16" i="23"/>
  <c r="AF16" i="23"/>
  <c r="AK16" i="23"/>
  <c r="AG16" i="23"/>
  <c r="AE16" i="23"/>
  <c r="AJ16" i="23"/>
  <c r="AQ16" i="23"/>
  <c r="AM17" i="23"/>
  <c r="AT16" i="23"/>
  <c r="AS16" i="23"/>
  <c r="AR16" i="23"/>
  <c r="AP16" i="23"/>
  <c r="AO16" i="23"/>
  <c r="AN16" i="23"/>
  <c r="AK15" i="22"/>
  <c r="AJ15" i="22"/>
  <c r="AI15" i="22"/>
  <c r="AG15" i="22"/>
  <c r="AF15" i="22"/>
  <c r="AE15" i="22"/>
  <c r="AH15" i="22"/>
  <c r="AD13" i="7"/>
  <c r="AH12" i="7"/>
  <c r="AG12" i="7"/>
  <c r="AI12" i="7" s="1"/>
  <c r="AF12" i="7"/>
  <c r="AE12" i="7"/>
  <c r="AJ12" i="7" s="1"/>
  <c r="R14" i="22"/>
  <c r="S14" i="22"/>
  <c r="AH11" i="7"/>
  <c r="Z15" i="23"/>
  <c r="AA15" i="23"/>
  <c r="V15" i="23"/>
  <c r="X15" i="23"/>
  <c r="W15" i="23"/>
  <c r="U16" i="23"/>
  <c r="AB15" i="23"/>
  <c r="Y15" i="23"/>
  <c r="C16" i="23"/>
  <c r="G15" i="23"/>
  <c r="Q17" i="23"/>
  <c r="P17" i="23"/>
  <c r="S17" i="23"/>
  <c r="R17" i="23"/>
  <c r="O17" i="23"/>
  <c r="N17" i="23"/>
  <c r="L18" i="23"/>
  <c r="M17" i="23"/>
  <c r="G16" i="22"/>
  <c r="C17" i="22"/>
  <c r="O15" i="22"/>
  <c r="M15" i="22"/>
  <c r="N15" i="22"/>
  <c r="L16" i="22"/>
  <c r="P15" i="22"/>
  <c r="X16" i="22"/>
  <c r="W16" i="22"/>
  <c r="V16" i="22"/>
  <c r="U17" i="22"/>
  <c r="Y16" i="22"/>
  <c r="AD16" i="22"/>
  <c r="AM11" i="7"/>
  <c r="AM12" i="7" s="1"/>
  <c r="I60" i="27" l="1"/>
  <c r="I12" i="27"/>
  <c r="I75" i="27"/>
  <c r="J52" i="27"/>
  <c r="J57" i="27"/>
  <c r="J62" i="27"/>
  <c r="J65" i="27"/>
  <c r="J81" i="27"/>
  <c r="J86" i="27"/>
  <c r="J53" i="27"/>
  <c r="J58" i="27"/>
  <c r="J64" i="27"/>
  <c r="J82" i="27"/>
  <c r="J66" i="27"/>
  <c r="J67" i="27"/>
  <c r="J69" i="27"/>
  <c r="J84" i="27"/>
  <c r="J85" i="27"/>
  <c r="J14" i="27"/>
  <c r="J94" i="27"/>
  <c r="J68" i="27"/>
  <c r="J83" i="27"/>
  <c r="J87" i="27"/>
  <c r="J13" i="27"/>
  <c r="J15" i="27"/>
  <c r="J88" i="27"/>
  <c r="J51" i="27"/>
  <c r="J54" i="27"/>
  <c r="J55" i="27"/>
  <c r="J56" i="27"/>
  <c r="J59" i="27"/>
  <c r="J63" i="27"/>
  <c r="J70" i="27"/>
  <c r="K11" i="27"/>
  <c r="L6" i="27"/>
  <c r="K7" i="27"/>
  <c r="K9" i="27" s="1"/>
  <c r="J7" i="28"/>
  <c r="J9" i="28" s="1"/>
  <c r="K6" i="28"/>
  <c r="J11" i="28"/>
  <c r="I54" i="28"/>
  <c r="I58" i="28"/>
  <c r="I62" i="28"/>
  <c r="I63" i="28"/>
  <c r="I64" i="28"/>
  <c r="I94" i="28"/>
  <c r="I57" i="28"/>
  <c r="I51" i="28"/>
  <c r="I55" i="28"/>
  <c r="I56" i="28"/>
  <c r="I13" i="28"/>
  <c r="I59" i="28"/>
  <c r="I65" i="28"/>
  <c r="I84" i="28"/>
  <c r="I85" i="28"/>
  <c r="I86" i="28"/>
  <c r="I14" i="28"/>
  <c r="I15" i="28"/>
  <c r="I52" i="28"/>
  <c r="I53" i="28"/>
  <c r="I66" i="28"/>
  <c r="I67" i="28"/>
  <c r="I68" i="28"/>
  <c r="I69" i="28"/>
  <c r="I70" i="28"/>
  <c r="I88" i="28"/>
  <c r="I87" i="28"/>
  <c r="I81" i="28"/>
  <c r="I82" i="28"/>
  <c r="I83" i="28"/>
  <c r="H60" i="28"/>
  <c r="H12" i="28"/>
  <c r="H75" i="28"/>
  <c r="AQ16" i="22"/>
  <c r="AM17" i="22"/>
  <c r="AT16" i="22"/>
  <c r="AS16" i="22"/>
  <c r="AR16" i="22"/>
  <c r="AP16" i="22"/>
  <c r="AO16" i="22"/>
  <c r="AN16" i="22"/>
  <c r="R15" i="22"/>
  <c r="AA16" i="22"/>
  <c r="Z16" i="22"/>
  <c r="AB16" i="22"/>
  <c r="S15" i="22"/>
  <c r="Q15" i="22"/>
  <c r="AH17" i="23"/>
  <c r="AD18" i="23"/>
  <c r="AI17" i="23"/>
  <c r="AG17" i="23"/>
  <c r="AJ17" i="23"/>
  <c r="AF17" i="23"/>
  <c r="AK17" i="23"/>
  <c r="AE17" i="23"/>
  <c r="AQ17" i="23"/>
  <c r="AM18" i="23"/>
  <c r="AT17" i="23"/>
  <c r="AS17" i="23"/>
  <c r="AR17" i="23"/>
  <c r="AP17" i="23"/>
  <c r="AO17" i="23"/>
  <c r="AN17" i="23"/>
  <c r="AE13" i="7"/>
  <c r="AF13" i="7"/>
  <c r="AG13" i="7"/>
  <c r="AH13" i="7"/>
  <c r="AD14" i="7"/>
  <c r="AK12" i="7"/>
  <c r="AG16" i="22"/>
  <c r="AK16" i="22"/>
  <c r="AJ16" i="22"/>
  <c r="AI16" i="22"/>
  <c r="AF16" i="22"/>
  <c r="AE16" i="22"/>
  <c r="AH16" i="22"/>
  <c r="AO12" i="7"/>
  <c r="AS12" i="7" s="1"/>
  <c r="AP12" i="7"/>
  <c r="AN12" i="7"/>
  <c r="AM13" i="7"/>
  <c r="E7" i="23"/>
  <c r="E14" i="23" s="1"/>
  <c r="E7" i="22"/>
  <c r="C17" i="23"/>
  <c r="G16" i="23"/>
  <c r="M18" i="23"/>
  <c r="S18" i="23"/>
  <c r="P18" i="23"/>
  <c r="R18" i="23"/>
  <c r="Q18" i="23"/>
  <c r="N18" i="23"/>
  <c r="O18" i="23"/>
  <c r="L19" i="23"/>
  <c r="V16" i="23"/>
  <c r="Z16" i="23"/>
  <c r="X16" i="23"/>
  <c r="U17" i="23"/>
  <c r="W16" i="23"/>
  <c r="AB16" i="23"/>
  <c r="AA16" i="23"/>
  <c r="Y16" i="23"/>
  <c r="C18" i="22"/>
  <c r="G17" i="22"/>
  <c r="AD17" i="22"/>
  <c r="W17" i="22"/>
  <c r="U18" i="22"/>
  <c r="V17" i="22"/>
  <c r="X17" i="22"/>
  <c r="Y17" i="22"/>
  <c r="N16" i="22"/>
  <c r="L17" i="22"/>
  <c r="O16" i="22"/>
  <c r="M16" i="22"/>
  <c r="P16" i="22"/>
  <c r="AQ12" i="7"/>
  <c r="AQ11" i="7"/>
  <c r="J75" i="27" l="1"/>
  <c r="J12" i="27"/>
  <c r="J60" i="27"/>
  <c r="K94" i="27"/>
  <c r="K65" i="27"/>
  <c r="K66" i="27"/>
  <c r="K68" i="27"/>
  <c r="K69" i="27"/>
  <c r="K83" i="27"/>
  <c r="K84" i="27"/>
  <c r="K85" i="27"/>
  <c r="K87" i="27"/>
  <c r="K13" i="27"/>
  <c r="K14" i="27"/>
  <c r="K15" i="27"/>
  <c r="K88" i="27"/>
  <c r="K51" i="27"/>
  <c r="K52" i="27"/>
  <c r="K53" i="27"/>
  <c r="K54" i="27"/>
  <c r="K55" i="27"/>
  <c r="K56" i="27"/>
  <c r="K57" i="27"/>
  <c r="K58" i="27"/>
  <c r="K59" i="27"/>
  <c r="K62" i="27"/>
  <c r="K63" i="27"/>
  <c r="K64" i="27"/>
  <c r="K67" i="27"/>
  <c r="K70" i="27"/>
  <c r="K86" i="27"/>
  <c r="K81" i="27"/>
  <c r="K82" i="27"/>
  <c r="L7" i="27"/>
  <c r="L9" i="27" s="1"/>
  <c r="M6" i="27"/>
  <c r="L11" i="27"/>
  <c r="I75" i="28"/>
  <c r="J70" i="28"/>
  <c r="J94" i="28"/>
  <c r="J54" i="28"/>
  <c r="J53" i="28"/>
  <c r="J13" i="28"/>
  <c r="J57" i="28"/>
  <c r="J58" i="28"/>
  <c r="J59" i="28"/>
  <c r="J84" i="28"/>
  <c r="J51" i="28"/>
  <c r="J85" i="28"/>
  <c r="J86" i="28"/>
  <c r="J62" i="28"/>
  <c r="J63" i="28"/>
  <c r="J65" i="28"/>
  <c r="J66" i="28"/>
  <c r="J67" i="28"/>
  <c r="J87" i="28"/>
  <c r="J88" i="28"/>
  <c r="J81" i="28"/>
  <c r="J82" i="28"/>
  <c r="J83" i="28"/>
  <c r="J14" i="28"/>
  <c r="J15" i="28"/>
  <c r="J52" i="28"/>
  <c r="J55" i="28"/>
  <c r="J56" i="28"/>
  <c r="J64" i="28"/>
  <c r="J68" i="28"/>
  <c r="J69" i="28"/>
  <c r="K11" i="28"/>
  <c r="K7" i="28"/>
  <c r="K9" i="28" s="1"/>
  <c r="L6" i="28"/>
  <c r="I60" i="28"/>
  <c r="I12" i="28"/>
  <c r="AQ17" i="22"/>
  <c r="AT17" i="22"/>
  <c r="AS17" i="22"/>
  <c r="AR17" i="22"/>
  <c r="AP17" i="22"/>
  <c r="AO17" i="22"/>
  <c r="AN17" i="22"/>
  <c r="AM18" i="22"/>
  <c r="AJ13" i="7"/>
  <c r="AB17" i="22"/>
  <c r="Z17" i="22"/>
  <c r="AA17" i="22"/>
  <c r="AH18" i="23"/>
  <c r="AD19" i="23"/>
  <c r="AJ18" i="23"/>
  <c r="AE18" i="23"/>
  <c r="AI18" i="23"/>
  <c r="AK18" i="23"/>
  <c r="AG18" i="23"/>
  <c r="AF18" i="23"/>
  <c r="AQ18" i="23"/>
  <c r="AM19" i="23"/>
  <c r="AT18" i="23"/>
  <c r="AS18" i="23"/>
  <c r="AR18" i="23"/>
  <c r="AP18" i="23"/>
  <c r="AO18" i="23"/>
  <c r="AN18" i="23"/>
  <c r="AI13" i="7"/>
  <c r="AK13" i="7"/>
  <c r="AE14" i="7"/>
  <c r="AF14" i="7"/>
  <c r="AJ14" i="7" s="1"/>
  <c r="AG14" i="7"/>
  <c r="AK14" i="7" s="1"/>
  <c r="AH14" i="7"/>
  <c r="AD15" i="7"/>
  <c r="F17" i="22"/>
  <c r="F14" i="22"/>
  <c r="AK17" i="22"/>
  <c r="AJ17" i="22"/>
  <c r="AI17" i="22"/>
  <c r="AG17" i="22"/>
  <c r="AF17" i="22"/>
  <c r="AE17" i="22"/>
  <c r="AH17" i="22"/>
  <c r="R16" i="22"/>
  <c r="S16" i="22"/>
  <c r="Q16" i="22"/>
  <c r="AN13" i="7"/>
  <c r="AO13" i="7"/>
  <c r="AS13" i="7" s="1"/>
  <c r="AP13" i="7"/>
  <c r="AQ13" i="7"/>
  <c r="AT13" i="7"/>
  <c r="AM14" i="7"/>
  <c r="AT12" i="7"/>
  <c r="AR12" i="7"/>
  <c r="AR13" i="7" s="1"/>
  <c r="H11" i="22"/>
  <c r="G11" i="22"/>
  <c r="D20" i="27" s="1"/>
  <c r="D12" i="22"/>
  <c r="E12" i="22"/>
  <c r="F12" i="22"/>
  <c r="E13" i="22"/>
  <c r="D13" i="22"/>
  <c r="F13" i="22"/>
  <c r="D14" i="22"/>
  <c r="E14" i="22"/>
  <c r="E15" i="22"/>
  <c r="D15" i="22"/>
  <c r="F15" i="22"/>
  <c r="D16" i="22"/>
  <c r="E16" i="22"/>
  <c r="F16" i="22"/>
  <c r="D17" i="22"/>
  <c r="E17" i="22"/>
  <c r="H11" i="23"/>
  <c r="G11" i="23"/>
  <c r="D20" i="28" s="1"/>
  <c r="E12" i="23"/>
  <c r="D12" i="23"/>
  <c r="F12" i="23"/>
  <c r="E13" i="23"/>
  <c r="D13" i="23"/>
  <c r="F13" i="23"/>
  <c r="D14" i="23"/>
  <c r="I14" i="23" s="1"/>
  <c r="F14" i="23"/>
  <c r="E15" i="23"/>
  <c r="F15" i="23"/>
  <c r="D15" i="23"/>
  <c r="D16" i="23"/>
  <c r="E16" i="23"/>
  <c r="F16" i="23"/>
  <c r="R19" i="23"/>
  <c r="S19" i="23"/>
  <c r="Q19" i="23"/>
  <c r="O19" i="23"/>
  <c r="N19" i="23"/>
  <c r="L20" i="23"/>
  <c r="M19" i="23"/>
  <c r="P19" i="23"/>
  <c r="X17" i="23"/>
  <c r="W17" i="23"/>
  <c r="U18" i="23"/>
  <c r="V17" i="23"/>
  <c r="AB17" i="23"/>
  <c r="AA17" i="23"/>
  <c r="Z17" i="23"/>
  <c r="Y17" i="23"/>
  <c r="D17" i="23"/>
  <c r="F17" i="23"/>
  <c r="E17" i="23"/>
  <c r="C18" i="23"/>
  <c r="G17" i="23"/>
  <c r="F18" i="22"/>
  <c r="E18" i="22"/>
  <c r="D18" i="22"/>
  <c r="C19" i="22"/>
  <c r="G18" i="22"/>
  <c r="AD18" i="22"/>
  <c r="W18" i="22"/>
  <c r="V18" i="22"/>
  <c r="U19" i="22"/>
  <c r="X18" i="22"/>
  <c r="Y18" i="22"/>
  <c r="N17" i="22"/>
  <c r="M17" i="22"/>
  <c r="L18" i="22"/>
  <c r="O17" i="22"/>
  <c r="P17" i="22"/>
  <c r="K75" i="27" l="1"/>
  <c r="K60" i="27"/>
  <c r="K12" i="27"/>
  <c r="L94" i="27"/>
  <c r="L86" i="27"/>
  <c r="L13" i="27"/>
  <c r="L15" i="27"/>
  <c r="L88" i="27"/>
  <c r="L51" i="27"/>
  <c r="L52" i="27"/>
  <c r="L54" i="27"/>
  <c r="L55" i="27"/>
  <c r="L56" i="27"/>
  <c r="L68" i="27"/>
  <c r="L85" i="27"/>
  <c r="L87" i="27"/>
  <c r="L14" i="27"/>
  <c r="L53" i="27"/>
  <c r="L62" i="27"/>
  <c r="L65" i="27"/>
  <c r="L67" i="27"/>
  <c r="L69" i="27"/>
  <c r="L83" i="27"/>
  <c r="L57" i="27"/>
  <c r="L58" i="27"/>
  <c r="L59" i="27"/>
  <c r="L63" i="27"/>
  <c r="L64" i="27"/>
  <c r="L66" i="27"/>
  <c r="L70" i="27"/>
  <c r="L84" i="27"/>
  <c r="L81" i="27"/>
  <c r="L82" i="27"/>
  <c r="M7" i="27"/>
  <c r="M9" i="27" s="1"/>
  <c r="M14" i="27" s="1"/>
  <c r="M11" i="27"/>
  <c r="N6" i="27"/>
  <c r="J60" i="28"/>
  <c r="K94" i="28"/>
  <c r="K51" i="28"/>
  <c r="K15" i="28"/>
  <c r="K13" i="28"/>
  <c r="K52" i="28"/>
  <c r="K55" i="28"/>
  <c r="K58" i="28"/>
  <c r="K85" i="28"/>
  <c r="K87" i="28"/>
  <c r="K56" i="28"/>
  <c r="K86" i="28"/>
  <c r="K14" i="28"/>
  <c r="K54" i="28"/>
  <c r="K59" i="28"/>
  <c r="K66" i="28"/>
  <c r="K67" i="28"/>
  <c r="K68" i="28"/>
  <c r="K69" i="28"/>
  <c r="K70" i="28"/>
  <c r="K88" i="28"/>
  <c r="K81" i="28"/>
  <c r="K82" i="28"/>
  <c r="K83" i="28"/>
  <c r="K53" i="28"/>
  <c r="K57" i="28"/>
  <c r="K62" i="28"/>
  <c r="K63" i="28"/>
  <c r="K64" i="28"/>
  <c r="K65" i="28"/>
  <c r="K84" i="28"/>
  <c r="L7" i="28"/>
  <c r="L9" i="28" s="1"/>
  <c r="M6" i="28"/>
  <c r="L11" i="28"/>
  <c r="J12" i="28"/>
  <c r="J75" i="28"/>
  <c r="AQ18" i="22"/>
  <c r="AM19" i="22"/>
  <c r="AT18" i="22"/>
  <c r="AS18" i="22"/>
  <c r="AR18" i="22"/>
  <c r="AP18" i="22"/>
  <c r="AO18" i="22"/>
  <c r="AN18" i="22"/>
  <c r="J17" i="22"/>
  <c r="AA18" i="22"/>
  <c r="AB18" i="22"/>
  <c r="Z18" i="22"/>
  <c r="R17" i="22"/>
  <c r="AH19" i="23"/>
  <c r="AG19" i="23"/>
  <c r="AI19" i="23"/>
  <c r="AD20" i="23"/>
  <c r="AE19" i="23"/>
  <c r="AK19" i="23"/>
  <c r="AF19" i="23"/>
  <c r="AJ19" i="23"/>
  <c r="AQ19" i="23"/>
  <c r="AM20" i="23"/>
  <c r="AT19" i="23"/>
  <c r="AS19" i="23"/>
  <c r="AR19" i="23"/>
  <c r="AP19" i="23"/>
  <c r="AO19" i="23"/>
  <c r="AN19" i="23"/>
  <c r="AH15" i="7"/>
  <c r="AE15" i="7"/>
  <c r="AF15" i="7"/>
  <c r="AJ15" i="7" s="1"/>
  <c r="AG15" i="7"/>
  <c r="AK15" i="7" s="1"/>
  <c r="AD16" i="7"/>
  <c r="Q17" i="22"/>
  <c r="AI14" i="7"/>
  <c r="AI15" i="7" s="1"/>
  <c r="AK18" i="22"/>
  <c r="AJ18" i="22"/>
  <c r="AI18" i="22"/>
  <c r="AG18" i="22"/>
  <c r="AF18" i="22"/>
  <c r="AE18" i="22"/>
  <c r="AH18" i="22"/>
  <c r="S17" i="22"/>
  <c r="AQ14" i="7"/>
  <c r="AP14" i="7"/>
  <c r="AO14" i="7"/>
  <c r="AN14" i="7"/>
  <c r="AM15" i="7"/>
  <c r="AR14" i="7"/>
  <c r="I17" i="22"/>
  <c r="J13" i="23"/>
  <c r="I16" i="23"/>
  <c r="I15" i="22"/>
  <c r="J12" i="23"/>
  <c r="J18" i="22"/>
  <c r="J15" i="22"/>
  <c r="J17" i="23"/>
  <c r="J15" i="23"/>
  <c r="I16" i="22"/>
  <c r="I12" i="22"/>
  <c r="J14" i="23"/>
  <c r="J13" i="22"/>
  <c r="I13" i="22"/>
  <c r="H12" i="22"/>
  <c r="H13" i="22" s="1"/>
  <c r="H14" i="22" s="1"/>
  <c r="H15" i="22" s="1"/>
  <c r="H16" i="22" s="1"/>
  <c r="H17" i="22" s="1"/>
  <c r="H18" i="22" s="1"/>
  <c r="J12" i="22"/>
  <c r="I13" i="23"/>
  <c r="I12" i="23"/>
  <c r="I18" i="22"/>
  <c r="H12" i="23"/>
  <c r="H13" i="23" s="1"/>
  <c r="H14" i="23" s="1"/>
  <c r="H15" i="23" s="1"/>
  <c r="H16" i="23" s="1"/>
  <c r="H17" i="23" s="1"/>
  <c r="I14" i="22"/>
  <c r="J16" i="22"/>
  <c r="I17" i="23"/>
  <c r="J16" i="23"/>
  <c r="I15" i="23"/>
  <c r="J14" i="22"/>
  <c r="F18" i="23"/>
  <c r="E18" i="23"/>
  <c r="C19" i="23"/>
  <c r="D18" i="23"/>
  <c r="G18" i="23"/>
  <c r="Z18" i="23"/>
  <c r="X18" i="23"/>
  <c r="W18" i="23"/>
  <c r="U19" i="23"/>
  <c r="V18" i="23"/>
  <c r="AB18" i="23"/>
  <c r="AA18" i="23"/>
  <c r="Y18" i="23"/>
  <c r="Q20" i="23"/>
  <c r="R20" i="23"/>
  <c r="S20" i="23"/>
  <c r="P20" i="23"/>
  <c r="O20" i="23"/>
  <c r="N20" i="23"/>
  <c r="L21" i="23"/>
  <c r="M20" i="23"/>
  <c r="E19" i="22"/>
  <c r="F19" i="22"/>
  <c r="C20" i="22"/>
  <c r="D19" i="22"/>
  <c r="G19" i="22"/>
  <c r="U20" i="22"/>
  <c r="V19" i="22"/>
  <c r="W19" i="22"/>
  <c r="X19" i="22"/>
  <c r="Y19" i="22"/>
  <c r="L19" i="22"/>
  <c r="M18" i="22"/>
  <c r="O18" i="22"/>
  <c r="N18" i="22"/>
  <c r="P18" i="22"/>
  <c r="AD19" i="22"/>
  <c r="L12" i="27" l="1"/>
  <c r="L60" i="27"/>
  <c r="M13" i="27"/>
  <c r="M87" i="27"/>
  <c r="M55" i="27"/>
  <c r="M84" i="27"/>
  <c r="M54" i="27"/>
  <c r="M69" i="27"/>
  <c r="M85" i="27"/>
  <c r="M67" i="27"/>
  <c r="M86" i="27"/>
  <c r="M53" i="27"/>
  <c r="M52" i="27"/>
  <c r="M66" i="27"/>
  <c r="M51" i="27"/>
  <c r="M94" i="27"/>
  <c r="M88" i="27"/>
  <c r="M15" i="27"/>
  <c r="L75" i="27"/>
  <c r="M56" i="27"/>
  <c r="M57" i="27"/>
  <c r="M58" i="27"/>
  <c r="M59" i="27"/>
  <c r="M62" i="27"/>
  <c r="M63" i="27"/>
  <c r="M64" i="27"/>
  <c r="M65" i="27"/>
  <c r="M68" i="27"/>
  <c r="M70" i="27"/>
  <c r="M81" i="27"/>
  <c r="M82" i="27"/>
  <c r="M83" i="27"/>
  <c r="O6" i="27"/>
  <c r="N11" i="27"/>
  <c r="N7" i="27"/>
  <c r="N9" i="27" s="1"/>
  <c r="K60" i="28"/>
  <c r="L69" i="28"/>
  <c r="L94" i="28"/>
  <c r="L82" i="28"/>
  <c r="L83" i="28"/>
  <c r="L14" i="28"/>
  <c r="L51" i="28"/>
  <c r="L58" i="28"/>
  <c r="L59" i="28"/>
  <c r="L64" i="28"/>
  <c r="L68" i="28"/>
  <c r="L70" i="28"/>
  <c r="L57" i="28"/>
  <c r="L53" i="28"/>
  <c r="L54" i="28"/>
  <c r="L56" i="28"/>
  <c r="L84" i="28"/>
  <c r="L85" i="28"/>
  <c r="L86" i="28"/>
  <c r="L13" i="28"/>
  <c r="L15" i="28"/>
  <c r="L87" i="28"/>
  <c r="L52" i="28"/>
  <c r="L55" i="28"/>
  <c r="L62" i="28"/>
  <c r="L63" i="28"/>
  <c r="L65" i="28"/>
  <c r="L66" i="28"/>
  <c r="L67" i="28"/>
  <c r="L88" i="28"/>
  <c r="L81" i="28"/>
  <c r="M11" i="28"/>
  <c r="M7" i="28"/>
  <c r="M9" i="28" s="1"/>
  <c r="N6" i="28"/>
  <c r="K75" i="28"/>
  <c r="K12" i="28"/>
  <c r="AQ19" i="22"/>
  <c r="AM20" i="22"/>
  <c r="AT19" i="22"/>
  <c r="AS19" i="22"/>
  <c r="AR19" i="22"/>
  <c r="AP19" i="22"/>
  <c r="AO19" i="22"/>
  <c r="AN19" i="22"/>
  <c r="AB19" i="22"/>
  <c r="AA19" i="22"/>
  <c r="Z19" i="22"/>
  <c r="AH20" i="23"/>
  <c r="AG20" i="23"/>
  <c r="AE20" i="23"/>
  <c r="AK20" i="23"/>
  <c r="AD21" i="23"/>
  <c r="AI20" i="23"/>
  <c r="AF20" i="23"/>
  <c r="AJ20" i="23"/>
  <c r="AQ20" i="23"/>
  <c r="AM21" i="23"/>
  <c r="AT20" i="23"/>
  <c r="AS20" i="23"/>
  <c r="AR20" i="23"/>
  <c r="AP20" i="23"/>
  <c r="AO20" i="23"/>
  <c r="AN20" i="23"/>
  <c r="AE16" i="7"/>
  <c r="AF16" i="7"/>
  <c r="AG16" i="7"/>
  <c r="AH16" i="7"/>
  <c r="AD17" i="7"/>
  <c r="AK19" i="22"/>
  <c r="AJ19" i="22"/>
  <c r="AI19" i="22"/>
  <c r="AG19" i="22"/>
  <c r="AF19" i="22"/>
  <c r="AE19" i="22"/>
  <c r="AH19" i="22"/>
  <c r="Q18" i="22"/>
  <c r="S18" i="22"/>
  <c r="R18" i="22"/>
  <c r="AM16" i="7"/>
  <c r="AQ15" i="7"/>
  <c r="AP15" i="7"/>
  <c r="AO15" i="7"/>
  <c r="AS15" i="7" s="1"/>
  <c r="AN15" i="7"/>
  <c r="AT14" i="7"/>
  <c r="AS14" i="7"/>
  <c r="J18" i="23"/>
  <c r="H18" i="23"/>
  <c r="H19" i="22"/>
  <c r="I19" i="22"/>
  <c r="I18" i="23"/>
  <c r="V19" i="23"/>
  <c r="X19" i="23"/>
  <c r="W19" i="23"/>
  <c r="U20" i="23"/>
  <c r="AB19" i="23"/>
  <c r="AA19" i="23"/>
  <c r="Z19" i="23"/>
  <c r="Y19" i="23"/>
  <c r="M21" i="23"/>
  <c r="S21" i="23"/>
  <c r="Q21" i="23"/>
  <c r="R21" i="23"/>
  <c r="P21" i="23"/>
  <c r="O21" i="23"/>
  <c r="N21" i="23"/>
  <c r="L22" i="23"/>
  <c r="F19" i="23"/>
  <c r="C20" i="23"/>
  <c r="D19" i="23"/>
  <c r="E19" i="23"/>
  <c r="G19" i="23"/>
  <c r="F20" i="22"/>
  <c r="E20" i="22"/>
  <c r="C21" i="22"/>
  <c r="G20" i="22"/>
  <c r="D20" i="22"/>
  <c r="W20" i="22"/>
  <c r="V20" i="22"/>
  <c r="U21" i="22"/>
  <c r="X20" i="22"/>
  <c r="Y20" i="22"/>
  <c r="AD20" i="22"/>
  <c r="J19" i="22"/>
  <c r="L20" i="22"/>
  <c r="M19" i="22"/>
  <c r="O19" i="22"/>
  <c r="N19" i="22"/>
  <c r="P19" i="22"/>
  <c r="M12" i="27" l="1"/>
  <c r="M60" i="27"/>
  <c r="M75" i="27"/>
  <c r="O7" i="27"/>
  <c r="O9" i="27" s="1"/>
  <c r="P6" i="27"/>
  <c r="O11" i="27"/>
  <c r="N52" i="27"/>
  <c r="N53" i="27"/>
  <c r="N55" i="27"/>
  <c r="N51" i="27"/>
  <c r="N54" i="27"/>
  <c r="N56" i="27"/>
  <c r="N57" i="27"/>
  <c r="N58" i="27"/>
  <c r="N59" i="27"/>
  <c r="N62" i="27"/>
  <c r="N63" i="27"/>
  <c r="N64" i="27"/>
  <c r="N67" i="27"/>
  <c r="N70" i="27"/>
  <c r="N86" i="27"/>
  <c r="N81" i="27"/>
  <c r="N82" i="27"/>
  <c r="N94" i="27"/>
  <c r="N65" i="27"/>
  <c r="N66" i="27"/>
  <c r="N68" i="27"/>
  <c r="N69" i="27"/>
  <c r="N83" i="27"/>
  <c r="N84" i="27"/>
  <c r="N85" i="27"/>
  <c r="N87" i="27"/>
  <c r="N13" i="27"/>
  <c r="N14" i="27"/>
  <c r="N15" i="27"/>
  <c r="N88" i="27"/>
  <c r="L75" i="28"/>
  <c r="L60" i="28"/>
  <c r="M94" i="28"/>
  <c r="M13" i="28"/>
  <c r="M14" i="28"/>
  <c r="M15" i="28"/>
  <c r="M54" i="28"/>
  <c r="M62" i="28"/>
  <c r="M63" i="28"/>
  <c r="M64" i="28"/>
  <c r="M65" i="28"/>
  <c r="M55" i="28"/>
  <c r="M51" i="28"/>
  <c r="M52" i="28"/>
  <c r="M81" i="28"/>
  <c r="M57" i="28"/>
  <c r="M58" i="28"/>
  <c r="M59" i="28"/>
  <c r="M69" i="28"/>
  <c r="M84" i="28"/>
  <c r="M86" i="28"/>
  <c r="M53" i="28"/>
  <c r="M66" i="28"/>
  <c r="M67" i="28"/>
  <c r="M68" i="28"/>
  <c r="M70" i="28"/>
  <c r="M87" i="28"/>
  <c r="M88" i="28"/>
  <c r="M85" i="28"/>
  <c r="M82" i="28"/>
  <c r="M83" i="28"/>
  <c r="M56" i="28"/>
  <c r="N7" i="28"/>
  <c r="N9" i="28" s="1"/>
  <c r="O6" i="28"/>
  <c r="N11" i="28"/>
  <c r="L12" i="28"/>
  <c r="AQ20" i="22"/>
  <c r="AT20" i="22"/>
  <c r="AO20" i="22"/>
  <c r="AM21" i="22"/>
  <c r="AS20" i="22"/>
  <c r="AR20" i="22"/>
  <c r="AP20" i="22"/>
  <c r="AN20" i="22"/>
  <c r="AA20" i="22"/>
  <c r="Z20" i="22"/>
  <c r="AB20" i="22"/>
  <c r="AJ16" i="7"/>
  <c r="Q19" i="22"/>
  <c r="AH21" i="23"/>
  <c r="AJ21" i="23"/>
  <c r="AE21" i="23"/>
  <c r="AG21" i="23"/>
  <c r="AD22" i="23"/>
  <c r="AI21" i="23"/>
  <c r="AK21" i="23"/>
  <c r="AF21" i="23"/>
  <c r="AQ21" i="23"/>
  <c r="AM22" i="23"/>
  <c r="AT21" i="23"/>
  <c r="AS21" i="23"/>
  <c r="AR21" i="23"/>
  <c r="AP21" i="23"/>
  <c r="AO21" i="23"/>
  <c r="AN21" i="23"/>
  <c r="AH17" i="7"/>
  <c r="AE17" i="7"/>
  <c r="AF17" i="7"/>
  <c r="AG17" i="7"/>
  <c r="AK17" i="7" s="1"/>
  <c r="AD18" i="7"/>
  <c r="AI16" i="7"/>
  <c r="AI17" i="7" s="1"/>
  <c r="AK16" i="7"/>
  <c r="AK20" i="22"/>
  <c r="AJ20" i="22"/>
  <c r="AI20" i="22"/>
  <c r="AG20" i="22"/>
  <c r="AF20" i="22"/>
  <c r="AE20" i="22"/>
  <c r="AH20" i="22"/>
  <c r="S19" i="22"/>
  <c r="R19" i="22"/>
  <c r="AQ16" i="7"/>
  <c r="AP16" i="7"/>
  <c r="AT16" i="7" s="1"/>
  <c r="AO16" i="7"/>
  <c r="AN16" i="7"/>
  <c r="AS16" i="7"/>
  <c r="AM17" i="7"/>
  <c r="AT15" i="7"/>
  <c r="AR15" i="7"/>
  <c r="AR16" i="7" s="1"/>
  <c r="H20" i="22"/>
  <c r="I19" i="23"/>
  <c r="I20" i="22"/>
  <c r="J19" i="23"/>
  <c r="H19" i="23"/>
  <c r="J20" i="22"/>
  <c r="D20" i="23"/>
  <c r="F20" i="23"/>
  <c r="E20" i="23"/>
  <c r="C21" i="23"/>
  <c r="G20" i="23"/>
  <c r="W20" i="23"/>
  <c r="U21" i="23"/>
  <c r="V20" i="23"/>
  <c r="AB20" i="23"/>
  <c r="AA20" i="23"/>
  <c r="Y20" i="23"/>
  <c r="Z20" i="23"/>
  <c r="X20" i="23"/>
  <c r="P22" i="23"/>
  <c r="S22" i="23"/>
  <c r="R22" i="23"/>
  <c r="Q22" i="23"/>
  <c r="O22" i="23"/>
  <c r="N22" i="23"/>
  <c r="L23" i="23"/>
  <c r="M22" i="23"/>
  <c r="E21" i="22"/>
  <c r="C22" i="22"/>
  <c r="D21" i="22"/>
  <c r="G21" i="22"/>
  <c r="F21" i="22"/>
  <c r="W21" i="22"/>
  <c r="U22" i="22"/>
  <c r="V21" i="22"/>
  <c r="X21" i="22"/>
  <c r="Y21" i="22"/>
  <c r="AD21" i="22"/>
  <c r="N20" i="22"/>
  <c r="L21" i="22"/>
  <c r="O20" i="22"/>
  <c r="M20" i="22"/>
  <c r="P20" i="22"/>
  <c r="N75" i="27" l="1"/>
  <c r="N12" i="27"/>
  <c r="N60" i="27"/>
  <c r="O88" i="27"/>
  <c r="O51" i="27"/>
  <c r="O52" i="27"/>
  <c r="O53" i="27"/>
  <c r="O55" i="27"/>
  <c r="O56" i="27"/>
  <c r="O57" i="27"/>
  <c r="O59" i="27"/>
  <c r="O62" i="27"/>
  <c r="O63" i="27"/>
  <c r="O65" i="27"/>
  <c r="O66" i="27"/>
  <c r="O68" i="27"/>
  <c r="O70" i="27"/>
  <c r="O82" i="27"/>
  <c r="O83" i="27"/>
  <c r="O67" i="27"/>
  <c r="O87" i="27"/>
  <c r="O15" i="27"/>
  <c r="O54" i="27"/>
  <c r="O64" i="27"/>
  <c r="O81" i="27"/>
  <c r="O94" i="27"/>
  <c r="O69" i="27"/>
  <c r="O14" i="27"/>
  <c r="O84" i="27"/>
  <c r="O85" i="27"/>
  <c r="O86" i="27"/>
  <c r="O13" i="27"/>
  <c r="O58" i="27"/>
  <c r="Q6" i="27"/>
  <c r="Q11" i="27" s="1"/>
  <c r="P7" i="27"/>
  <c r="P9" i="27" s="1"/>
  <c r="P54" i="27" s="1"/>
  <c r="P11" i="27"/>
  <c r="M60" i="28"/>
  <c r="N15" i="28"/>
  <c r="N54" i="28"/>
  <c r="N59" i="28"/>
  <c r="N83" i="28"/>
  <c r="N13" i="28"/>
  <c r="N14" i="28"/>
  <c r="N51" i="28"/>
  <c r="N63" i="28"/>
  <c r="N65" i="28"/>
  <c r="N66" i="28"/>
  <c r="N67" i="28"/>
  <c r="N69" i="28"/>
  <c r="N81" i="28"/>
  <c r="N56" i="28"/>
  <c r="N57" i="28"/>
  <c r="N82" i="28"/>
  <c r="N52" i="28"/>
  <c r="N64" i="28"/>
  <c r="N68" i="28"/>
  <c r="N94" i="28"/>
  <c r="N53" i="28"/>
  <c r="N58" i="28"/>
  <c r="N55" i="28"/>
  <c r="N62" i="28"/>
  <c r="N70" i="28"/>
  <c r="N85" i="28"/>
  <c r="N84" i="28"/>
  <c r="N86" i="28"/>
  <c r="N87" i="28"/>
  <c r="N88" i="28"/>
  <c r="P6" i="28"/>
  <c r="O7" i="28"/>
  <c r="O9" i="28" s="1"/>
  <c r="O11" i="28"/>
  <c r="M75" i="28"/>
  <c r="M12" i="28"/>
  <c r="AQ21" i="22"/>
  <c r="AM22" i="22"/>
  <c r="AT21" i="22"/>
  <c r="AS21" i="22"/>
  <c r="AR21" i="22"/>
  <c r="AP21" i="22"/>
  <c r="AO21" i="22"/>
  <c r="AN21" i="22"/>
  <c r="R20" i="22"/>
  <c r="AA21" i="22"/>
  <c r="Z21" i="22"/>
  <c r="AB21" i="22"/>
  <c r="Q20" i="22"/>
  <c r="AH22" i="23"/>
  <c r="AJ22" i="23"/>
  <c r="AF22" i="23"/>
  <c r="AE22" i="23"/>
  <c r="AD23" i="23"/>
  <c r="AK22" i="23"/>
  <c r="AG22" i="23"/>
  <c r="AI22" i="23"/>
  <c r="AQ22" i="23"/>
  <c r="AM23" i="23"/>
  <c r="AT22" i="23"/>
  <c r="AS22" i="23"/>
  <c r="AR22" i="23"/>
  <c r="AP22" i="23"/>
  <c r="AO22" i="23"/>
  <c r="AN22" i="23"/>
  <c r="AE18" i="7"/>
  <c r="AF18" i="7"/>
  <c r="AJ18" i="7" s="1"/>
  <c r="AG18" i="7"/>
  <c r="AH18" i="7"/>
  <c r="AD19" i="7"/>
  <c r="AJ17" i="7"/>
  <c r="AK21" i="22"/>
  <c r="AJ21" i="22"/>
  <c r="AI21" i="22"/>
  <c r="AG21" i="22"/>
  <c r="AF21" i="22"/>
  <c r="AE21" i="22"/>
  <c r="AH21" i="22"/>
  <c r="S20" i="22"/>
  <c r="AM18" i="7"/>
  <c r="AQ17" i="7"/>
  <c r="AP17" i="7"/>
  <c r="AO17" i="7"/>
  <c r="AS17" i="7" s="1"/>
  <c r="AN17" i="7"/>
  <c r="H21" i="22"/>
  <c r="I20" i="23"/>
  <c r="H20" i="23"/>
  <c r="J20" i="23"/>
  <c r="I21" i="22"/>
  <c r="J21" i="22"/>
  <c r="Q23" i="23"/>
  <c r="O23" i="23"/>
  <c r="S23" i="23"/>
  <c r="R23" i="23"/>
  <c r="N23" i="23"/>
  <c r="L24" i="23"/>
  <c r="M23" i="23"/>
  <c r="P23" i="23"/>
  <c r="Z21" i="23"/>
  <c r="U22" i="23"/>
  <c r="V21" i="23"/>
  <c r="AB21" i="23"/>
  <c r="AA21" i="23"/>
  <c r="Y21" i="23"/>
  <c r="X21" i="23"/>
  <c r="W21" i="23"/>
  <c r="F21" i="23"/>
  <c r="E21" i="23"/>
  <c r="C22" i="23"/>
  <c r="D21" i="23"/>
  <c r="G21" i="23"/>
  <c r="L22" i="22"/>
  <c r="O21" i="22"/>
  <c r="N21" i="22"/>
  <c r="M21" i="22"/>
  <c r="P21" i="22"/>
  <c r="E22" i="22"/>
  <c r="D22" i="22"/>
  <c r="C23" i="22"/>
  <c r="F22" i="22"/>
  <c r="G22" i="22"/>
  <c r="X22" i="22"/>
  <c r="W22" i="22"/>
  <c r="V22" i="22"/>
  <c r="U23" i="22"/>
  <c r="Y22" i="22"/>
  <c r="AD22" i="22"/>
  <c r="P53" i="27" l="1"/>
  <c r="P81" i="27"/>
  <c r="P86" i="27"/>
  <c r="P70" i="27"/>
  <c r="P64" i="27"/>
  <c r="P62" i="27"/>
  <c r="P59" i="27"/>
  <c r="P63" i="27"/>
  <c r="O12" i="27"/>
  <c r="P58" i="27"/>
  <c r="P57" i="27"/>
  <c r="P56" i="27"/>
  <c r="P55" i="27"/>
  <c r="P82" i="27"/>
  <c r="O60" i="27"/>
  <c r="O75" i="27"/>
  <c r="Q7" i="27"/>
  <c r="Q9" i="27" s="1"/>
  <c r="Q58" i="27" s="1"/>
  <c r="R6" i="27"/>
  <c r="S6" i="27" s="1"/>
  <c r="P65" i="27"/>
  <c r="P51" i="27"/>
  <c r="P94" i="27"/>
  <c r="P66" i="27"/>
  <c r="P67" i="27"/>
  <c r="P68" i="27"/>
  <c r="P69" i="27"/>
  <c r="P83" i="27"/>
  <c r="P15" i="27"/>
  <c r="P84" i="27"/>
  <c r="P85" i="27"/>
  <c r="P87" i="27"/>
  <c r="P13" i="27"/>
  <c r="P14" i="27"/>
  <c r="P88" i="27"/>
  <c r="P52" i="27"/>
  <c r="N60" i="28"/>
  <c r="P7" i="28"/>
  <c r="P9" i="28" s="1"/>
  <c r="Q6" i="28"/>
  <c r="P11" i="28"/>
  <c r="O57" i="28"/>
  <c r="O59" i="28"/>
  <c r="O63" i="28"/>
  <c r="O58" i="28"/>
  <c r="O65" i="28"/>
  <c r="O94" i="28"/>
  <c r="O52" i="28"/>
  <c r="O51" i="28"/>
  <c r="O15" i="28"/>
  <c r="O55" i="28"/>
  <c r="O69" i="28"/>
  <c r="O87" i="28"/>
  <c r="O84" i="28"/>
  <c r="O13" i="28"/>
  <c r="O85" i="28"/>
  <c r="O54" i="28"/>
  <c r="O56" i="28"/>
  <c r="O62" i="28"/>
  <c r="O64" i="28"/>
  <c r="O66" i="28"/>
  <c r="O67" i="28"/>
  <c r="O68" i="28"/>
  <c r="O70" i="28"/>
  <c r="O86" i="28"/>
  <c r="O88" i="28"/>
  <c r="O81" i="28"/>
  <c r="O82" i="28"/>
  <c r="O83" i="28"/>
  <c r="O14" i="28"/>
  <c r="O53" i="28"/>
  <c r="N12" i="28"/>
  <c r="N75" i="28"/>
  <c r="AQ22" i="22"/>
  <c r="AT22" i="22"/>
  <c r="AS22" i="22"/>
  <c r="AP22" i="22"/>
  <c r="AO22" i="22"/>
  <c r="AM23" i="22"/>
  <c r="AR22" i="22"/>
  <c r="AN22" i="22"/>
  <c r="Z22" i="22"/>
  <c r="AB22" i="22"/>
  <c r="AA22" i="22"/>
  <c r="Q67" i="27"/>
  <c r="Q52" i="27"/>
  <c r="Q21" i="22"/>
  <c r="AH23" i="23"/>
  <c r="AK23" i="23"/>
  <c r="AE23" i="23"/>
  <c r="AD24" i="23"/>
  <c r="AJ23" i="23"/>
  <c r="AI23" i="23"/>
  <c r="AG23" i="23"/>
  <c r="AF23" i="23"/>
  <c r="AQ23" i="23"/>
  <c r="AM24" i="23"/>
  <c r="AT23" i="23"/>
  <c r="AS23" i="23"/>
  <c r="AR23" i="23"/>
  <c r="AP23" i="23"/>
  <c r="AO23" i="23"/>
  <c r="AN23" i="23"/>
  <c r="AI18" i="7"/>
  <c r="AK18" i="7"/>
  <c r="AH19" i="7"/>
  <c r="AE19" i="7"/>
  <c r="AF19" i="7"/>
  <c r="AG19" i="7"/>
  <c r="AK19" i="7" s="1"/>
  <c r="AD20" i="7"/>
  <c r="AK22" i="22"/>
  <c r="AJ22" i="22"/>
  <c r="AI22" i="22"/>
  <c r="AG22" i="22"/>
  <c r="AF22" i="22"/>
  <c r="AE22" i="22"/>
  <c r="AH22" i="22"/>
  <c r="S21" i="22"/>
  <c r="R21" i="22"/>
  <c r="AM19" i="7"/>
  <c r="AQ18" i="7"/>
  <c r="AP18" i="7"/>
  <c r="AT18" i="7" s="1"/>
  <c r="AO18" i="7"/>
  <c r="AS18" i="7" s="1"/>
  <c r="AN18" i="7"/>
  <c r="AT17" i="7"/>
  <c r="AR17" i="7"/>
  <c r="AR18" i="7" s="1"/>
  <c r="J22" i="22"/>
  <c r="I21" i="23"/>
  <c r="J21" i="23"/>
  <c r="I22" i="22"/>
  <c r="H21" i="23"/>
  <c r="V22" i="23"/>
  <c r="U23" i="23"/>
  <c r="AA22" i="23"/>
  <c r="AB22" i="23"/>
  <c r="Z22" i="23"/>
  <c r="Y22" i="23"/>
  <c r="X22" i="23"/>
  <c r="W22" i="23"/>
  <c r="F22" i="23"/>
  <c r="E22" i="23"/>
  <c r="C23" i="23"/>
  <c r="D22" i="23"/>
  <c r="G22" i="23"/>
  <c r="M24" i="23"/>
  <c r="L25" i="23"/>
  <c r="S24" i="23"/>
  <c r="R24" i="23"/>
  <c r="O24" i="23"/>
  <c r="Q24" i="23"/>
  <c r="N24" i="23"/>
  <c r="P24" i="23"/>
  <c r="O22" i="22"/>
  <c r="M22" i="22"/>
  <c r="L23" i="22"/>
  <c r="N22" i="22"/>
  <c r="P22" i="22"/>
  <c r="H22" i="22"/>
  <c r="C24" i="22"/>
  <c r="D23" i="22"/>
  <c r="F23" i="22"/>
  <c r="E23" i="22"/>
  <c r="G23" i="22"/>
  <c r="W23" i="22"/>
  <c r="X23" i="22"/>
  <c r="V23" i="22"/>
  <c r="AB23" i="22" s="1"/>
  <c r="U24" i="22"/>
  <c r="Y23" i="22"/>
  <c r="AD23" i="22"/>
  <c r="Q55" i="27" l="1"/>
  <c r="Q57" i="27"/>
  <c r="Q54" i="27"/>
  <c r="P75" i="27"/>
  <c r="Q51" i="27"/>
  <c r="P12" i="27"/>
  <c r="R7" i="27"/>
  <c r="R9" i="27" s="1"/>
  <c r="R88" i="27" s="1"/>
  <c r="R11" i="27"/>
  <c r="Q65" i="27"/>
  <c r="Q81" i="27"/>
  <c r="Q64" i="27"/>
  <c r="Q14" i="27"/>
  <c r="Q15" i="27"/>
  <c r="Q87" i="27"/>
  <c r="Q68" i="27"/>
  <c r="Q56" i="27"/>
  <c r="Q69" i="27"/>
  <c r="Q85" i="27"/>
  <c r="Q94" i="27"/>
  <c r="Q53" i="27"/>
  <c r="Q82" i="27"/>
  <c r="Q88" i="27"/>
  <c r="Q84" i="27"/>
  <c r="Q13" i="27"/>
  <c r="Q59" i="27"/>
  <c r="Q86" i="27"/>
  <c r="Q66" i="27"/>
  <c r="Q83" i="27"/>
  <c r="Q70" i="27"/>
  <c r="Q62" i="27"/>
  <c r="Q63" i="27"/>
  <c r="P60" i="27"/>
  <c r="P94" i="28"/>
  <c r="P54" i="28"/>
  <c r="P53" i="28"/>
  <c r="P81" i="28"/>
  <c r="P56" i="28"/>
  <c r="P57" i="28"/>
  <c r="P58" i="28"/>
  <c r="P59" i="28"/>
  <c r="P66" i="28"/>
  <c r="P67" i="28"/>
  <c r="P69" i="28"/>
  <c r="P14" i="28"/>
  <c r="P52" i="28"/>
  <c r="P55" i="28"/>
  <c r="P63" i="28"/>
  <c r="P65" i="28"/>
  <c r="P82" i="28"/>
  <c r="P83" i="28"/>
  <c r="P13" i="28"/>
  <c r="P62" i="28"/>
  <c r="P64" i="28"/>
  <c r="P68" i="28"/>
  <c r="P70" i="28"/>
  <c r="P51" i="28"/>
  <c r="P15" i="28"/>
  <c r="P88" i="28"/>
  <c r="P84" i="28"/>
  <c r="P85" i="28"/>
  <c r="P86" i="28"/>
  <c r="P87" i="28"/>
  <c r="R6" i="28"/>
  <c r="Q11" i="28"/>
  <c r="Q7" i="28"/>
  <c r="Q9" i="28" s="1"/>
  <c r="O60" i="28"/>
  <c r="O12" i="28"/>
  <c r="O75" i="28"/>
  <c r="AQ23" i="22"/>
  <c r="AM24" i="22"/>
  <c r="AT23" i="22"/>
  <c r="AS23" i="22"/>
  <c r="AR23" i="22"/>
  <c r="AP23" i="22"/>
  <c r="AO23" i="22"/>
  <c r="AN23" i="22"/>
  <c r="AJ19" i="7"/>
  <c r="Z23" i="22"/>
  <c r="AA23" i="22"/>
  <c r="S11" i="27"/>
  <c r="S7" i="27"/>
  <c r="S9" i="27" s="1"/>
  <c r="T6" i="27"/>
  <c r="R94" i="27"/>
  <c r="AH24" i="23"/>
  <c r="AG24" i="23"/>
  <c r="AE24" i="23"/>
  <c r="AI24" i="23"/>
  <c r="AD25" i="23"/>
  <c r="AF24" i="23"/>
  <c r="AK24" i="23"/>
  <c r="AJ24" i="23"/>
  <c r="AQ24" i="23"/>
  <c r="AM25" i="23"/>
  <c r="AT24" i="23"/>
  <c r="AS24" i="23"/>
  <c r="AR24" i="23"/>
  <c r="AP24" i="23"/>
  <c r="AO24" i="23"/>
  <c r="AN24" i="23"/>
  <c r="AE20" i="7"/>
  <c r="AF20" i="7"/>
  <c r="AG20" i="7"/>
  <c r="AH20" i="7"/>
  <c r="AD21" i="7"/>
  <c r="AI19" i="7"/>
  <c r="AI20" i="7" s="1"/>
  <c r="AK23" i="22"/>
  <c r="AJ23" i="22"/>
  <c r="AI23" i="22"/>
  <c r="AG23" i="22"/>
  <c r="AF23" i="22"/>
  <c r="AE23" i="22"/>
  <c r="AH23" i="22"/>
  <c r="S22" i="22"/>
  <c r="Q22" i="22"/>
  <c r="R22" i="22"/>
  <c r="AM20" i="7"/>
  <c r="AN19" i="7"/>
  <c r="AQ19" i="7"/>
  <c r="AP19" i="7"/>
  <c r="AO19" i="7"/>
  <c r="AS19" i="7" s="1"/>
  <c r="J23" i="22"/>
  <c r="J22" i="23"/>
  <c r="I23" i="22"/>
  <c r="H22" i="23"/>
  <c r="I22" i="23"/>
  <c r="N25" i="23"/>
  <c r="L26" i="23"/>
  <c r="M25" i="23"/>
  <c r="S25" i="23"/>
  <c r="R25" i="23"/>
  <c r="Q25" i="23"/>
  <c r="P25" i="23"/>
  <c r="O25" i="23"/>
  <c r="Z23" i="23"/>
  <c r="AB23" i="23"/>
  <c r="AA23" i="23"/>
  <c r="Y23" i="23"/>
  <c r="X23" i="23"/>
  <c r="W23" i="23"/>
  <c r="U24" i="23"/>
  <c r="Y24" i="23" s="1"/>
  <c r="V23" i="23"/>
  <c r="D23" i="23"/>
  <c r="F23" i="23"/>
  <c r="E23" i="23"/>
  <c r="C24" i="23"/>
  <c r="G23" i="23"/>
  <c r="C25" i="22"/>
  <c r="E24" i="22"/>
  <c r="F24" i="22"/>
  <c r="D24" i="22"/>
  <c r="G24" i="22"/>
  <c r="W24" i="22"/>
  <c r="V24" i="22"/>
  <c r="U25" i="22"/>
  <c r="X24" i="22"/>
  <c r="Y24" i="22"/>
  <c r="H23" i="22"/>
  <c r="AD24" i="22"/>
  <c r="N23" i="22"/>
  <c r="L24" i="22"/>
  <c r="O23" i="22"/>
  <c r="M23" i="22"/>
  <c r="P23" i="22"/>
  <c r="R69" i="27" l="1"/>
  <c r="R83" i="27"/>
  <c r="R70" i="27"/>
  <c r="R68" i="27"/>
  <c r="R81" i="27"/>
  <c r="R57" i="27"/>
  <c r="R56" i="27"/>
  <c r="R55" i="27"/>
  <c r="R53" i="27"/>
  <c r="R52" i="27"/>
  <c r="R51" i="27"/>
  <c r="R82" i="27"/>
  <c r="R54" i="27"/>
  <c r="R67" i="27"/>
  <c r="R15" i="27"/>
  <c r="R66" i="27"/>
  <c r="R14" i="27"/>
  <c r="R65" i="27"/>
  <c r="R13" i="27"/>
  <c r="R64" i="27"/>
  <c r="R85" i="27"/>
  <c r="R63" i="27"/>
  <c r="R84" i="27"/>
  <c r="Q75" i="27"/>
  <c r="R62" i="27"/>
  <c r="R87" i="27"/>
  <c r="R58" i="27"/>
  <c r="R86" i="27"/>
  <c r="Q60" i="27"/>
  <c r="R59" i="27"/>
  <c r="Q12" i="27"/>
  <c r="P75" i="28"/>
  <c r="P60" i="28"/>
  <c r="R7" i="28"/>
  <c r="R9" i="28" s="1"/>
  <c r="S6" i="28"/>
  <c r="R11" i="28"/>
  <c r="Q63" i="28"/>
  <c r="Q51" i="28"/>
  <c r="Q64" i="28"/>
  <c r="Q54" i="28"/>
  <c r="Q57" i="28"/>
  <c r="Q65" i="28"/>
  <c r="Q69" i="28"/>
  <c r="Q94" i="28"/>
  <c r="Q55" i="28"/>
  <c r="Q56" i="28"/>
  <c r="Q53" i="28"/>
  <c r="Q59" i="28"/>
  <c r="Q62" i="28"/>
  <c r="Q44" i="28"/>
  <c r="Q45" i="28" s="1"/>
  <c r="Q52" i="28"/>
  <c r="Q58" i="28"/>
  <c r="Q84" i="28"/>
  <c r="Q13" i="28"/>
  <c r="Q14" i="28"/>
  <c r="Q85" i="28"/>
  <c r="Q66" i="28"/>
  <c r="Q67" i="28"/>
  <c r="Q68" i="28"/>
  <c r="Q70" i="28"/>
  <c r="Q86" i="28"/>
  <c r="Q87" i="28"/>
  <c r="Q88" i="28"/>
  <c r="Q81" i="28"/>
  <c r="Q82" i="28"/>
  <c r="Q83" i="28"/>
  <c r="Q15" i="28"/>
  <c r="P12" i="28"/>
  <c r="AQ24" i="22"/>
  <c r="AS24" i="22"/>
  <c r="AO24" i="22"/>
  <c r="AP24" i="22"/>
  <c r="AM25" i="22"/>
  <c r="AT24" i="22"/>
  <c r="AR24" i="22"/>
  <c r="AN24" i="22"/>
  <c r="R23" i="22"/>
  <c r="AA24" i="22"/>
  <c r="AB24" i="22"/>
  <c r="Z24" i="22"/>
  <c r="S52" i="27"/>
  <c r="S54" i="27"/>
  <c r="S57" i="27"/>
  <c r="S59" i="27"/>
  <c r="S62" i="27"/>
  <c r="S63" i="27"/>
  <c r="S64" i="27"/>
  <c r="S69" i="27"/>
  <c r="S70" i="27"/>
  <c r="S81" i="27"/>
  <c r="S82" i="27"/>
  <c r="S83" i="27"/>
  <c r="S94" i="27"/>
  <c r="S65" i="27"/>
  <c r="S66" i="27"/>
  <c r="S67" i="27"/>
  <c r="S68" i="27"/>
  <c r="S84" i="27"/>
  <c r="S85" i="27"/>
  <c r="S86" i="27"/>
  <c r="S51" i="27"/>
  <c r="S53" i="27"/>
  <c r="S55" i="27"/>
  <c r="S56" i="27"/>
  <c r="S58" i="27"/>
  <c r="S87" i="27"/>
  <c r="S13" i="27"/>
  <c r="S14" i="27"/>
  <c r="S15" i="27"/>
  <c r="S88" i="27"/>
  <c r="T11" i="27"/>
  <c r="T7" i="27"/>
  <c r="T9" i="27" s="1"/>
  <c r="U6" i="27"/>
  <c r="AJ20" i="7"/>
  <c r="AK20" i="7"/>
  <c r="AH25" i="23"/>
  <c r="AK25" i="23"/>
  <c r="AG25" i="23"/>
  <c r="AE25" i="23"/>
  <c r="AD26" i="23"/>
  <c r="AJ25" i="23"/>
  <c r="AF25" i="23"/>
  <c r="AI25" i="23"/>
  <c r="AQ25" i="23"/>
  <c r="AM26" i="23"/>
  <c r="AT25" i="23"/>
  <c r="AS25" i="23"/>
  <c r="AR25" i="23"/>
  <c r="AP25" i="23"/>
  <c r="AO25" i="23"/>
  <c r="AN25" i="23"/>
  <c r="AH21" i="7"/>
  <c r="AE21" i="7"/>
  <c r="AF21" i="7"/>
  <c r="AJ21" i="7" s="1"/>
  <c r="AG21" i="7"/>
  <c r="AD22" i="7"/>
  <c r="AK24" i="22"/>
  <c r="AJ24" i="22"/>
  <c r="AI24" i="22"/>
  <c r="AG24" i="22"/>
  <c r="AF24" i="22"/>
  <c r="AE24" i="22"/>
  <c r="AH24" i="22"/>
  <c r="Q23" i="22"/>
  <c r="S23" i="22"/>
  <c r="AQ20" i="7"/>
  <c r="AP20" i="7"/>
  <c r="AO20" i="7"/>
  <c r="AS20" i="7" s="1"/>
  <c r="AN20" i="7"/>
  <c r="AM21" i="7"/>
  <c r="AT20" i="7"/>
  <c r="AT19" i="7"/>
  <c r="AR19" i="7"/>
  <c r="AR20" i="7" s="1"/>
  <c r="J23" i="23"/>
  <c r="I23" i="23"/>
  <c r="H24" i="22"/>
  <c r="I24" i="22"/>
  <c r="J24" i="22"/>
  <c r="Z24" i="23"/>
  <c r="U25" i="23"/>
  <c r="AB24" i="23"/>
  <c r="AA24" i="23"/>
  <c r="X24" i="23"/>
  <c r="W24" i="23"/>
  <c r="V24" i="23"/>
  <c r="E24" i="23"/>
  <c r="D24" i="23"/>
  <c r="C25" i="23"/>
  <c r="F24" i="23"/>
  <c r="G24" i="23"/>
  <c r="H23" i="23"/>
  <c r="Q26" i="23"/>
  <c r="L27" i="23"/>
  <c r="M26" i="23"/>
  <c r="P26" i="23"/>
  <c r="S26" i="23"/>
  <c r="R26" i="23"/>
  <c r="O26" i="23"/>
  <c r="N26" i="23"/>
  <c r="AD25" i="22"/>
  <c r="E25" i="22"/>
  <c r="C26" i="22"/>
  <c r="F25" i="22"/>
  <c r="D25" i="22"/>
  <c r="G25" i="22"/>
  <c r="L25" i="22"/>
  <c r="O24" i="22"/>
  <c r="M24" i="22"/>
  <c r="N24" i="22"/>
  <c r="P24" i="22"/>
  <c r="U26" i="22"/>
  <c r="V25" i="22"/>
  <c r="X25" i="22"/>
  <c r="W25" i="22"/>
  <c r="AA25" i="22" s="1"/>
  <c r="Y25" i="22"/>
  <c r="R12" i="27" l="1"/>
  <c r="R60" i="27"/>
  <c r="R75" i="27"/>
  <c r="R56" i="28"/>
  <c r="R54" i="28"/>
  <c r="R88" i="28"/>
  <c r="R58" i="28"/>
  <c r="R84" i="28"/>
  <c r="R15" i="28"/>
  <c r="R13" i="28"/>
  <c r="R81" i="28"/>
  <c r="R53" i="28"/>
  <c r="R59" i="28"/>
  <c r="R87" i="28"/>
  <c r="R44" i="28"/>
  <c r="R45" i="28" s="1"/>
  <c r="R51" i="28"/>
  <c r="R82" i="28"/>
  <c r="R83" i="28"/>
  <c r="R14" i="28"/>
  <c r="R55" i="28"/>
  <c r="R62" i="28"/>
  <c r="R68" i="28"/>
  <c r="R70" i="28"/>
  <c r="R94" i="28"/>
  <c r="R57" i="28"/>
  <c r="R85" i="28"/>
  <c r="R52" i="28"/>
  <c r="R63" i="28"/>
  <c r="R64" i="28"/>
  <c r="R65" i="28"/>
  <c r="R66" i="28"/>
  <c r="R67" i="28"/>
  <c r="R69" i="28"/>
  <c r="R86" i="28"/>
  <c r="T6" i="28"/>
  <c r="S11" i="28"/>
  <c r="S7" i="28"/>
  <c r="S9" i="28" s="1"/>
  <c r="Q60" i="28"/>
  <c r="Q12" i="28"/>
  <c r="Q75" i="28"/>
  <c r="AQ25" i="22"/>
  <c r="AM26" i="22"/>
  <c r="AT25" i="22"/>
  <c r="AS25" i="22"/>
  <c r="AR25" i="22"/>
  <c r="AP25" i="22"/>
  <c r="AO25" i="22"/>
  <c r="AN25" i="22"/>
  <c r="Z25" i="22"/>
  <c r="AB25" i="22"/>
  <c r="S60" i="27"/>
  <c r="T51" i="27"/>
  <c r="T54" i="27"/>
  <c r="T53" i="27"/>
  <c r="T56" i="27"/>
  <c r="T59" i="27"/>
  <c r="T62" i="27"/>
  <c r="T67" i="27"/>
  <c r="T81" i="27"/>
  <c r="T83" i="27"/>
  <c r="T65" i="27"/>
  <c r="T66" i="27"/>
  <c r="T69" i="27"/>
  <c r="T84" i="27"/>
  <c r="T85" i="27"/>
  <c r="T86" i="27"/>
  <c r="T52" i="27"/>
  <c r="T55" i="27"/>
  <c r="T57" i="27"/>
  <c r="T58" i="27"/>
  <c r="T63" i="27"/>
  <c r="T64" i="27"/>
  <c r="T70" i="27"/>
  <c r="T82" i="27"/>
  <c r="T94" i="27"/>
  <c r="T68" i="27"/>
  <c r="T87" i="27"/>
  <c r="T13" i="27"/>
  <c r="T14" i="27"/>
  <c r="T15" i="27"/>
  <c r="T88" i="27"/>
  <c r="V6" i="27"/>
  <c r="U11" i="27"/>
  <c r="U7" i="27"/>
  <c r="U9" i="27" s="1"/>
  <c r="S12" i="27"/>
  <c r="S75" i="27"/>
  <c r="AH26" i="23"/>
  <c r="AJ26" i="23"/>
  <c r="AI26" i="23"/>
  <c r="AG26" i="23"/>
  <c r="AF26" i="23"/>
  <c r="AK26" i="23"/>
  <c r="AD27" i="23"/>
  <c r="AE26" i="23"/>
  <c r="AQ26" i="23"/>
  <c r="AT26" i="23"/>
  <c r="AS26" i="23"/>
  <c r="AR26" i="23"/>
  <c r="AP26" i="23"/>
  <c r="AO26" i="23"/>
  <c r="AN26" i="23"/>
  <c r="AM27" i="23"/>
  <c r="AI21" i="7"/>
  <c r="AK21" i="7"/>
  <c r="AE22" i="7"/>
  <c r="AF22" i="7"/>
  <c r="AJ22" i="7" s="1"/>
  <c r="AG22" i="7"/>
  <c r="AK22" i="7" s="1"/>
  <c r="AH22" i="7"/>
  <c r="AD23" i="7"/>
  <c r="AK25" i="22"/>
  <c r="AJ25" i="22"/>
  <c r="AI25" i="22"/>
  <c r="AG25" i="22"/>
  <c r="AF25" i="22"/>
  <c r="AE25" i="22"/>
  <c r="AH25" i="22"/>
  <c r="Q24" i="22"/>
  <c r="S24" i="22"/>
  <c r="R24" i="22"/>
  <c r="AM22" i="7"/>
  <c r="AQ21" i="7"/>
  <c r="AP21" i="7"/>
  <c r="AO21" i="7"/>
  <c r="AS21" i="7" s="1"/>
  <c r="AN21" i="7"/>
  <c r="H25" i="22"/>
  <c r="I24" i="23"/>
  <c r="J24" i="23"/>
  <c r="J25" i="22"/>
  <c r="I25" i="22"/>
  <c r="H24" i="23"/>
  <c r="F25" i="23"/>
  <c r="E25" i="23"/>
  <c r="C26" i="23"/>
  <c r="D25" i="23"/>
  <c r="G25" i="23"/>
  <c r="V25" i="23"/>
  <c r="AB25" i="23"/>
  <c r="AA25" i="23"/>
  <c r="Z25" i="23"/>
  <c r="U26" i="23"/>
  <c r="X25" i="23"/>
  <c r="W25" i="23"/>
  <c r="Y25" i="23"/>
  <c r="M27" i="23"/>
  <c r="L28" i="23"/>
  <c r="S27" i="23"/>
  <c r="R27" i="23"/>
  <c r="Q27" i="23"/>
  <c r="P27" i="23"/>
  <c r="O27" i="23"/>
  <c r="N27" i="23"/>
  <c r="F26" i="22"/>
  <c r="C27" i="22"/>
  <c r="G26" i="22"/>
  <c r="E26" i="22"/>
  <c r="D26" i="22"/>
  <c r="U27" i="22"/>
  <c r="X26" i="22"/>
  <c r="V26" i="22"/>
  <c r="W26" i="22"/>
  <c r="Y26" i="22"/>
  <c r="AD26" i="22"/>
  <c r="O25" i="22"/>
  <c r="M25" i="22"/>
  <c r="N25" i="22"/>
  <c r="L26" i="22"/>
  <c r="P25" i="22"/>
  <c r="R60" i="28" l="1"/>
  <c r="T11" i="28"/>
  <c r="U6" i="28"/>
  <c r="T7" i="28"/>
  <c r="T9" i="28" s="1"/>
  <c r="S58" i="28"/>
  <c r="S81" i="28"/>
  <c r="S56" i="28"/>
  <c r="S59" i="28"/>
  <c r="S87" i="28"/>
  <c r="S70" i="28"/>
  <c r="S83" i="28"/>
  <c r="S86" i="28"/>
  <c r="S84" i="28"/>
  <c r="S85" i="28"/>
  <c r="S88" i="28"/>
  <c r="S67" i="28"/>
  <c r="S65" i="28"/>
  <c r="S94" i="28"/>
  <c r="S55" i="28"/>
  <c r="S44" i="28"/>
  <c r="S45" i="28" s="1"/>
  <c r="S51" i="28"/>
  <c r="S52" i="28"/>
  <c r="S13" i="28"/>
  <c r="S57" i="28"/>
  <c r="S68" i="28"/>
  <c r="S15" i="28"/>
  <c r="S54" i="28"/>
  <c r="S62" i="28"/>
  <c r="S66" i="28"/>
  <c r="S82" i="28"/>
  <c r="S14" i="28"/>
  <c r="S53" i="28"/>
  <c r="S63" i="28"/>
  <c r="S69" i="28"/>
  <c r="S64" i="28"/>
  <c r="R12" i="28"/>
  <c r="R75" i="28"/>
  <c r="AQ26" i="22"/>
  <c r="AM27" i="22"/>
  <c r="AT26" i="22"/>
  <c r="AR26" i="22"/>
  <c r="AP26" i="22"/>
  <c r="AN26" i="22"/>
  <c r="AS26" i="22"/>
  <c r="AO26" i="22"/>
  <c r="S25" i="22"/>
  <c r="AB26" i="22"/>
  <c r="Z26" i="22"/>
  <c r="AA26" i="22"/>
  <c r="AI22" i="7"/>
  <c r="T60" i="27"/>
  <c r="V11" i="27"/>
  <c r="V7" i="27"/>
  <c r="V9" i="27" s="1"/>
  <c r="W6" i="27"/>
  <c r="U88" i="27"/>
  <c r="U52" i="27"/>
  <c r="U55" i="27"/>
  <c r="U58" i="27"/>
  <c r="U62" i="27"/>
  <c r="U51" i="27"/>
  <c r="U53" i="27"/>
  <c r="U54" i="27"/>
  <c r="U56" i="27"/>
  <c r="U57" i="27"/>
  <c r="U59" i="27"/>
  <c r="U63" i="27"/>
  <c r="U64" i="27"/>
  <c r="U65" i="27"/>
  <c r="U70" i="27"/>
  <c r="U81" i="27"/>
  <c r="U82" i="27"/>
  <c r="U83" i="27"/>
  <c r="U94" i="27"/>
  <c r="U66" i="27"/>
  <c r="U67" i="27"/>
  <c r="U68" i="27"/>
  <c r="U69" i="27"/>
  <c r="U84" i="27"/>
  <c r="U85" i="27"/>
  <c r="U86" i="27"/>
  <c r="U87" i="27"/>
  <c r="U13" i="27"/>
  <c r="U14" i="27"/>
  <c r="U15" i="27"/>
  <c r="T12" i="27"/>
  <c r="T75" i="27"/>
  <c r="AH27" i="23"/>
  <c r="AJ27" i="23"/>
  <c r="AD28" i="23"/>
  <c r="AI27" i="23"/>
  <c r="AF27" i="23"/>
  <c r="AE27" i="23"/>
  <c r="AG27" i="23"/>
  <c r="AK27" i="23"/>
  <c r="AQ27" i="23"/>
  <c r="AM28" i="23"/>
  <c r="AT27" i="23"/>
  <c r="AS27" i="23"/>
  <c r="AR27" i="23"/>
  <c r="AP27" i="23"/>
  <c r="AO27" i="23"/>
  <c r="AN27" i="23"/>
  <c r="AH23" i="7"/>
  <c r="AE23" i="7"/>
  <c r="AF23" i="7"/>
  <c r="AJ23" i="7" s="1"/>
  <c r="AG23" i="7"/>
  <c r="AD24" i="7"/>
  <c r="Q25" i="22"/>
  <c r="AK26" i="22"/>
  <c r="AJ26" i="22"/>
  <c r="AI26" i="22"/>
  <c r="AG26" i="22"/>
  <c r="AF26" i="22"/>
  <c r="AE26" i="22"/>
  <c r="AH26" i="22"/>
  <c r="R25" i="22"/>
  <c r="AN22" i="7"/>
  <c r="AM23" i="7"/>
  <c r="AQ22" i="7"/>
  <c r="AP22" i="7"/>
  <c r="AT22" i="7" s="1"/>
  <c r="AO22" i="7"/>
  <c r="AS22" i="7" s="1"/>
  <c r="AT21" i="7"/>
  <c r="AR21" i="7"/>
  <c r="AR22" i="7" s="1"/>
  <c r="H26" i="22"/>
  <c r="H25" i="23"/>
  <c r="J26" i="22"/>
  <c r="I25" i="23"/>
  <c r="R28" i="23"/>
  <c r="L29" i="23"/>
  <c r="S28" i="23"/>
  <c r="Q28" i="23"/>
  <c r="O28" i="23"/>
  <c r="N28" i="23"/>
  <c r="M28" i="23"/>
  <c r="P28" i="23"/>
  <c r="J25" i="23"/>
  <c r="AA26" i="23"/>
  <c r="Z26" i="23"/>
  <c r="AB26" i="23"/>
  <c r="X26" i="23"/>
  <c r="V26" i="23"/>
  <c r="W26" i="23"/>
  <c r="U27" i="23"/>
  <c r="Y26" i="23"/>
  <c r="D26" i="23"/>
  <c r="F26" i="23"/>
  <c r="E26" i="23"/>
  <c r="C27" i="23"/>
  <c r="G26" i="23"/>
  <c r="I26" i="22"/>
  <c r="W27" i="22"/>
  <c r="V27" i="22"/>
  <c r="AA27" i="22" s="1"/>
  <c r="X27" i="22"/>
  <c r="U28" i="22"/>
  <c r="Y27" i="22"/>
  <c r="E27" i="22"/>
  <c r="G27" i="22"/>
  <c r="F27" i="22"/>
  <c r="C28" i="22"/>
  <c r="D27" i="22"/>
  <c r="AD27" i="22"/>
  <c r="N26" i="22"/>
  <c r="O26" i="22"/>
  <c r="L27" i="22"/>
  <c r="M26" i="22"/>
  <c r="P26" i="22"/>
  <c r="S12" i="28" l="1"/>
  <c r="V6" i="28"/>
  <c r="U7" i="28"/>
  <c r="U9" i="28" s="1"/>
  <c r="U11" i="28"/>
  <c r="T88" i="28"/>
  <c r="T94" i="28"/>
  <c r="T81" i="28"/>
  <c r="T54" i="28"/>
  <c r="T67" i="28"/>
  <c r="T14" i="28"/>
  <c r="T56" i="28"/>
  <c r="T65" i="28"/>
  <c r="T82" i="28"/>
  <c r="T83" i="28"/>
  <c r="T13" i="28"/>
  <c r="T44" i="28"/>
  <c r="T45" i="28" s="1"/>
  <c r="T52" i="28"/>
  <c r="T57" i="28"/>
  <c r="T59" i="28"/>
  <c r="T62" i="28"/>
  <c r="T53" i="28"/>
  <c r="T15" i="28"/>
  <c r="T51" i="28"/>
  <c r="T58" i="28"/>
  <c r="T66" i="28"/>
  <c r="T69" i="28"/>
  <c r="T55" i="28"/>
  <c r="T63" i="28"/>
  <c r="T64" i="28"/>
  <c r="T68" i="28"/>
  <c r="T70" i="28"/>
  <c r="T86" i="28"/>
  <c r="T84" i="28"/>
  <c r="T85" i="28"/>
  <c r="T87" i="28"/>
  <c r="S60" i="28"/>
  <c r="S75" i="28"/>
  <c r="AQ27" i="22"/>
  <c r="AM28" i="22"/>
  <c r="AT27" i="22"/>
  <c r="AP27" i="22"/>
  <c r="AN27" i="22"/>
  <c r="AR27" i="22"/>
  <c r="AO27" i="22"/>
  <c r="AS27" i="22"/>
  <c r="Q26" i="22"/>
  <c r="AB27" i="22"/>
  <c r="Z27" i="22"/>
  <c r="V51" i="27"/>
  <c r="V53" i="27"/>
  <c r="V55" i="27"/>
  <c r="V58" i="27"/>
  <c r="V63" i="27"/>
  <c r="V70" i="27"/>
  <c r="V82" i="27"/>
  <c r="V52" i="27"/>
  <c r="V54" i="27"/>
  <c r="V56" i="27"/>
  <c r="V57" i="27"/>
  <c r="V59" i="27"/>
  <c r="V62" i="27"/>
  <c r="V64" i="27"/>
  <c r="V66" i="27"/>
  <c r="V69" i="27"/>
  <c r="V81" i="27"/>
  <c r="V83" i="27"/>
  <c r="V94" i="27"/>
  <c r="V65" i="27"/>
  <c r="V67" i="27"/>
  <c r="V68" i="27"/>
  <c r="V84" i="27"/>
  <c r="V85" i="27"/>
  <c r="V86" i="27"/>
  <c r="V87" i="27"/>
  <c r="V13" i="27"/>
  <c r="V14" i="27"/>
  <c r="V15" i="27"/>
  <c r="V88" i="27"/>
  <c r="W11" i="27"/>
  <c r="W7" i="27"/>
  <c r="W9" i="27" s="1"/>
  <c r="X6" i="27"/>
  <c r="U60" i="27"/>
  <c r="U12" i="27"/>
  <c r="U75" i="27"/>
  <c r="AH28" i="23"/>
  <c r="AE28" i="23"/>
  <c r="AD29" i="23"/>
  <c r="AJ28" i="23"/>
  <c r="AG28" i="23"/>
  <c r="AK28" i="23"/>
  <c r="AI28" i="23"/>
  <c r="AF28" i="23"/>
  <c r="AQ28" i="23"/>
  <c r="AM29" i="23"/>
  <c r="AT28" i="23"/>
  <c r="AS28" i="23"/>
  <c r="AR28" i="23"/>
  <c r="AP28" i="23"/>
  <c r="AO28" i="23"/>
  <c r="AN28" i="23"/>
  <c r="AE24" i="7"/>
  <c r="AF24" i="7"/>
  <c r="AG24" i="7"/>
  <c r="AH24" i="7"/>
  <c r="AD25" i="7"/>
  <c r="AI23" i="7"/>
  <c r="AK23" i="7"/>
  <c r="AK27" i="22"/>
  <c r="AJ27" i="22"/>
  <c r="AI27" i="22"/>
  <c r="AG27" i="22"/>
  <c r="AF27" i="22"/>
  <c r="AE27" i="22"/>
  <c r="AH27" i="22"/>
  <c r="S26" i="22"/>
  <c r="R26" i="22"/>
  <c r="AO23" i="7"/>
  <c r="AN23" i="7"/>
  <c r="AS23" i="7" s="1"/>
  <c r="AM24" i="7"/>
  <c r="AQ23" i="7"/>
  <c r="AP23" i="7"/>
  <c r="H27" i="22"/>
  <c r="H26" i="23"/>
  <c r="I26" i="23"/>
  <c r="J27" i="22"/>
  <c r="I27" i="22"/>
  <c r="Z27" i="23"/>
  <c r="AA27" i="23"/>
  <c r="X27" i="23"/>
  <c r="U28" i="23"/>
  <c r="AB27" i="23"/>
  <c r="W27" i="23"/>
  <c r="V27" i="23"/>
  <c r="Y27" i="23"/>
  <c r="J26" i="23"/>
  <c r="E27" i="23"/>
  <c r="F27" i="23"/>
  <c r="C28" i="23"/>
  <c r="D27" i="23"/>
  <c r="G27" i="23"/>
  <c r="Q29" i="23"/>
  <c r="R29" i="23"/>
  <c r="O29" i="23"/>
  <c r="S29" i="23"/>
  <c r="N29" i="23"/>
  <c r="M29" i="23"/>
  <c r="L30" i="23"/>
  <c r="P29" i="23"/>
  <c r="AD28" i="22"/>
  <c r="U29" i="22"/>
  <c r="X28" i="22"/>
  <c r="V28" i="22"/>
  <c r="W28" i="22"/>
  <c r="Y28" i="22"/>
  <c r="O27" i="22"/>
  <c r="N27" i="22"/>
  <c r="L28" i="22"/>
  <c r="M27" i="22"/>
  <c r="P27" i="22"/>
  <c r="E28" i="22"/>
  <c r="D28" i="22"/>
  <c r="C29" i="22"/>
  <c r="G28" i="22"/>
  <c r="F28" i="22"/>
  <c r="T12" i="28" l="1"/>
  <c r="V11" i="28"/>
  <c r="W6" i="28"/>
  <c r="V7" i="28"/>
  <c r="V9" i="28" s="1"/>
  <c r="U94" i="28"/>
  <c r="U59" i="28"/>
  <c r="U44" i="28"/>
  <c r="U45" i="28" s="1"/>
  <c r="U55" i="28"/>
  <c r="U57" i="28"/>
  <c r="U53" i="28"/>
  <c r="U64" i="28"/>
  <c r="U65" i="28"/>
  <c r="U13" i="28"/>
  <c r="U51" i="28"/>
  <c r="U52" i="28"/>
  <c r="U69" i="28"/>
  <c r="U66" i="28"/>
  <c r="U67" i="28"/>
  <c r="U68" i="28"/>
  <c r="U70" i="28"/>
  <c r="U84" i="28"/>
  <c r="U85" i="28"/>
  <c r="U81" i="28"/>
  <c r="U82" i="28"/>
  <c r="U83" i="28"/>
  <c r="U87" i="28"/>
  <c r="U88" i="28"/>
  <c r="U86" i="28"/>
  <c r="U14" i="28"/>
  <c r="U15" i="28"/>
  <c r="U54" i="28"/>
  <c r="U56" i="28"/>
  <c r="U58" i="28"/>
  <c r="U62" i="28"/>
  <c r="U63" i="28"/>
  <c r="T60" i="28"/>
  <c r="T75" i="28"/>
  <c r="AJ24" i="7"/>
  <c r="AQ28" i="22"/>
  <c r="AM29" i="22"/>
  <c r="AT28" i="22"/>
  <c r="AS28" i="22"/>
  <c r="AR28" i="22"/>
  <c r="AP28" i="22"/>
  <c r="AO28" i="22"/>
  <c r="AN28" i="22"/>
  <c r="Q27" i="22"/>
  <c r="Z28" i="22"/>
  <c r="AA28" i="22"/>
  <c r="AB28" i="22"/>
  <c r="R27" i="22"/>
  <c r="V60" i="27"/>
  <c r="W53" i="27"/>
  <c r="W57" i="27"/>
  <c r="W59" i="27"/>
  <c r="W62" i="27"/>
  <c r="W63" i="27"/>
  <c r="W64" i="27"/>
  <c r="W67" i="27"/>
  <c r="W68" i="27"/>
  <c r="W70" i="27"/>
  <c r="W85" i="27"/>
  <c r="W81" i="27"/>
  <c r="W82" i="27"/>
  <c r="W94" i="27"/>
  <c r="W52" i="27"/>
  <c r="W54" i="27"/>
  <c r="W55" i="27"/>
  <c r="W56" i="27"/>
  <c r="W58" i="27"/>
  <c r="W65" i="27"/>
  <c r="W66" i="27"/>
  <c r="W69" i="27"/>
  <c r="W83" i="27"/>
  <c r="W84" i="27"/>
  <c r="W86" i="27"/>
  <c r="W87" i="27"/>
  <c r="W13" i="27"/>
  <c r="W14" i="27"/>
  <c r="W15" i="27"/>
  <c r="W88" i="27"/>
  <c r="W51" i="27"/>
  <c r="X11" i="27"/>
  <c r="X7" i="27"/>
  <c r="X9" i="27" s="1"/>
  <c r="Y6" i="27"/>
  <c r="V75" i="27"/>
  <c r="V12" i="27"/>
  <c r="AH29" i="23"/>
  <c r="AJ29" i="23"/>
  <c r="AE29" i="23"/>
  <c r="AI29" i="23"/>
  <c r="AF29" i="23"/>
  <c r="AD30" i="23"/>
  <c r="AG29" i="23"/>
  <c r="AK29" i="23"/>
  <c r="AQ29" i="23"/>
  <c r="AT29" i="23"/>
  <c r="AR29" i="23"/>
  <c r="AO29" i="23"/>
  <c r="AM30" i="23"/>
  <c r="AS29" i="23"/>
  <c r="AP29" i="23"/>
  <c r="AN29" i="23"/>
  <c r="AH25" i="7"/>
  <c r="AE25" i="7"/>
  <c r="AF25" i="7"/>
  <c r="AJ25" i="7" s="1"/>
  <c r="AG25" i="7"/>
  <c r="AD26" i="7"/>
  <c r="AI24" i="7"/>
  <c r="AK24" i="7"/>
  <c r="AK28" i="22"/>
  <c r="AJ28" i="22"/>
  <c r="AI28" i="22"/>
  <c r="AG28" i="22"/>
  <c r="AF28" i="22"/>
  <c r="AE28" i="22"/>
  <c r="AH28" i="22"/>
  <c r="S27" i="22"/>
  <c r="AO24" i="7"/>
  <c r="AM25" i="7"/>
  <c r="AN24" i="7"/>
  <c r="AS24" i="7" s="1"/>
  <c r="AQ24" i="7"/>
  <c r="AP24" i="7"/>
  <c r="AT24" i="7" s="1"/>
  <c r="AR23" i="7"/>
  <c r="AR24" i="7" s="1"/>
  <c r="AT23" i="7"/>
  <c r="H28" i="22"/>
  <c r="I28" i="22"/>
  <c r="J27" i="23"/>
  <c r="H27" i="23"/>
  <c r="I27" i="23"/>
  <c r="J28" i="22"/>
  <c r="F28" i="23"/>
  <c r="C29" i="23"/>
  <c r="D28" i="23"/>
  <c r="E28" i="23"/>
  <c r="G28" i="23"/>
  <c r="M30" i="23"/>
  <c r="S30" i="23"/>
  <c r="Q30" i="23"/>
  <c r="O30" i="23"/>
  <c r="L31" i="23"/>
  <c r="R30" i="23"/>
  <c r="P30" i="23"/>
  <c r="N30" i="23"/>
  <c r="V28" i="23"/>
  <c r="Z28" i="23"/>
  <c r="X28" i="23"/>
  <c r="U29" i="23"/>
  <c r="AB28" i="23"/>
  <c r="AA28" i="23"/>
  <c r="W28" i="23"/>
  <c r="Y28" i="23"/>
  <c r="N28" i="22"/>
  <c r="L29" i="22"/>
  <c r="M28" i="22"/>
  <c r="O28" i="22"/>
  <c r="P28" i="22"/>
  <c r="C30" i="22"/>
  <c r="D29" i="22"/>
  <c r="G29" i="22"/>
  <c r="E29" i="22"/>
  <c r="F29" i="22"/>
  <c r="AD29" i="22"/>
  <c r="U30" i="22"/>
  <c r="W29" i="22"/>
  <c r="V29" i="22"/>
  <c r="X29" i="22"/>
  <c r="Y29" i="22"/>
  <c r="U12" i="28" l="1"/>
  <c r="AP29" i="22"/>
  <c r="AM30" i="22"/>
  <c r="AQ29" i="22"/>
  <c r="AS29" i="22"/>
  <c r="AR29" i="22"/>
  <c r="X6" i="28"/>
  <c r="W11" i="28"/>
  <c r="W7" i="28"/>
  <c r="W9" i="28" s="1"/>
  <c r="V94" i="28"/>
  <c r="V52" i="28"/>
  <c r="V15" i="28"/>
  <c r="V53" i="28"/>
  <c r="V58" i="28"/>
  <c r="V63" i="28"/>
  <c r="V81" i="28"/>
  <c r="V54" i="28"/>
  <c r="V56" i="28"/>
  <c r="V59" i="28"/>
  <c r="V66" i="28"/>
  <c r="V67" i="28"/>
  <c r="V69" i="28"/>
  <c r="V13" i="28"/>
  <c r="V14" i="28"/>
  <c r="V62" i="28"/>
  <c r="V64" i="28"/>
  <c r="V65" i="28"/>
  <c r="V82" i="28"/>
  <c r="V83" i="28"/>
  <c r="V44" i="28"/>
  <c r="V45" i="28" s="1"/>
  <c r="V51" i="28"/>
  <c r="V55" i="28"/>
  <c r="V57" i="28"/>
  <c r="V68" i="28"/>
  <c r="V70" i="28"/>
  <c r="V86" i="28"/>
  <c r="V84" i="28"/>
  <c r="V85" i="28"/>
  <c r="V87" i="28"/>
  <c r="V88" i="28"/>
  <c r="U60" i="28"/>
  <c r="U75" i="28"/>
  <c r="AN29" i="22"/>
  <c r="AT29" i="22"/>
  <c r="AO29" i="22"/>
  <c r="Q28" i="22"/>
  <c r="AA29" i="22"/>
  <c r="Z29" i="22"/>
  <c r="AB29" i="22"/>
  <c r="W75" i="27"/>
  <c r="W60" i="27"/>
  <c r="X53" i="27"/>
  <c r="X55" i="27"/>
  <c r="X58" i="27"/>
  <c r="X64" i="27"/>
  <c r="X70" i="27"/>
  <c r="X83" i="27"/>
  <c r="X54" i="27"/>
  <c r="X56" i="27"/>
  <c r="X57" i="27"/>
  <c r="X59" i="27"/>
  <c r="X62" i="27"/>
  <c r="X63" i="27"/>
  <c r="X66" i="27"/>
  <c r="X69" i="27"/>
  <c r="X81" i="27"/>
  <c r="X82" i="27"/>
  <c r="X94" i="27"/>
  <c r="X65" i="27"/>
  <c r="X67" i="27"/>
  <c r="X68" i="27"/>
  <c r="X84" i="27"/>
  <c r="X85" i="27"/>
  <c r="X86" i="27"/>
  <c r="X87" i="27"/>
  <c r="X13" i="27"/>
  <c r="X14" i="27"/>
  <c r="X15" i="27"/>
  <c r="X88" i="27"/>
  <c r="X51" i="27"/>
  <c r="X52" i="27"/>
  <c r="Y11" i="27"/>
  <c r="Y7" i="27"/>
  <c r="Y9" i="27" s="1"/>
  <c r="Z6" i="27"/>
  <c r="W12" i="27"/>
  <c r="AH30" i="23"/>
  <c r="AK30" i="23"/>
  <c r="AE30" i="23"/>
  <c r="AF30" i="23"/>
  <c r="AJ30" i="23"/>
  <c r="AI30" i="23"/>
  <c r="AD31" i="23"/>
  <c r="AG30" i="23"/>
  <c r="AQ30" i="23"/>
  <c r="AM31" i="23"/>
  <c r="AT30" i="23"/>
  <c r="AS30" i="23"/>
  <c r="AR30" i="23"/>
  <c r="AP30" i="23"/>
  <c r="AO30" i="23"/>
  <c r="AN30" i="23"/>
  <c r="AE26" i="7"/>
  <c r="AF26" i="7"/>
  <c r="AJ26" i="7" s="1"/>
  <c r="AG26" i="7"/>
  <c r="AK26" i="7" s="1"/>
  <c r="AH26" i="7"/>
  <c r="AD27" i="7"/>
  <c r="AK25" i="7"/>
  <c r="AI25" i="7"/>
  <c r="AK29" i="22"/>
  <c r="AJ29" i="22"/>
  <c r="AI29" i="22"/>
  <c r="AG29" i="22"/>
  <c r="AF29" i="22"/>
  <c r="AE29" i="22"/>
  <c r="AH29" i="22"/>
  <c r="R28" i="22"/>
  <c r="S28" i="22"/>
  <c r="AM26" i="7"/>
  <c r="AQ25" i="7"/>
  <c r="AP25" i="7"/>
  <c r="AO25" i="7"/>
  <c r="AS25" i="7" s="1"/>
  <c r="AN25" i="7"/>
  <c r="I28" i="23"/>
  <c r="J28" i="23"/>
  <c r="I29" i="22"/>
  <c r="J29" i="22"/>
  <c r="H29" i="22"/>
  <c r="X29" i="23"/>
  <c r="W29" i="23"/>
  <c r="U30" i="23"/>
  <c r="V29" i="23"/>
  <c r="Z29" i="23"/>
  <c r="AA29" i="23"/>
  <c r="AB29" i="23"/>
  <c r="Y29" i="23"/>
  <c r="D29" i="23"/>
  <c r="F29" i="23"/>
  <c r="C30" i="23"/>
  <c r="E29" i="23"/>
  <c r="G29" i="23"/>
  <c r="H28" i="23"/>
  <c r="R31" i="23"/>
  <c r="N31" i="23"/>
  <c r="Q31" i="23"/>
  <c r="O31" i="23"/>
  <c r="M31" i="23"/>
  <c r="S31" i="23"/>
  <c r="L32" i="23"/>
  <c r="P31" i="23"/>
  <c r="E30" i="22"/>
  <c r="D30" i="22"/>
  <c r="G30" i="22"/>
  <c r="F30" i="22"/>
  <c r="C31" i="22"/>
  <c r="AD30" i="22"/>
  <c r="W30" i="22"/>
  <c r="X30" i="22"/>
  <c r="V30" i="22"/>
  <c r="U31" i="22"/>
  <c r="Y30" i="22"/>
  <c r="N29" i="22"/>
  <c r="M29" i="22"/>
  <c r="L30" i="22"/>
  <c r="O29" i="22"/>
  <c r="P29" i="22"/>
  <c r="Q29" i="22" l="1"/>
  <c r="AQ30" i="22"/>
  <c r="AM31" i="22"/>
  <c r="AQ31" i="22" s="1"/>
  <c r="AT30" i="22"/>
  <c r="AS30" i="22"/>
  <c r="AP30" i="22"/>
  <c r="AO30" i="22"/>
  <c r="AN30" i="22"/>
  <c r="AR30" i="22"/>
  <c r="Y6" i="28"/>
  <c r="X7" i="28"/>
  <c r="X9" i="28" s="1"/>
  <c r="X11" i="28"/>
  <c r="W81" i="28"/>
  <c r="W83" i="28"/>
  <c r="W13" i="28"/>
  <c r="W52" i="28"/>
  <c r="W62" i="28"/>
  <c r="W64" i="28"/>
  <c r="W69" i="28"/>
  <c r="W84" i="28"/>
  <c r="W94" i="28"/>
  <c r="W55" i="28"/>
  <c r="W44" i="28"/>
  <c r="W45" i="28" s="1"/>
  <c r="W51" i="28"/>
  <c r="W53" i="28"/>
  <c r="W14" i="28"/>
  <c r="W57" i="28"/>
  <c r="W82" i="28"/>
  <c r="W63" i="28"/>
  <c r="W85" i="28"/>
  <c r="W86" i="28"/>
  <c r="W87" i="28"/>
  <c r="W88" i="28"/>
  <c r="W15" i="28"/>
  <c r="W54" i="28"/>
  <c r="W56" i="28"/>
  <c r="W58" i="28"/>
  <c r="W59" i="28"/>
  <c r="W65" i="28"/>
  <c r="W66" i="28"/>
  <c r="W67" i="28"/>
  <c r="W68" i="28"/>
  <c r="W70" i="28"/>
  <c r="V60" i="28"/>
  <c r="V12" i="28"/>
  <c r="V75" i="28"/>
  <c r="R29" i="22"/>
  <c r="AI26" i="7"/>
  <c r="Z30" i="22"/>
  <c r="AB30" i="22"/>
  <c r="AA30" i="22"/>
  <c r="X60" i="27"/>
  <c r="Y53" i="27"/>
  <c r="Y57" i="27"/>
  <c r="Y59" i="27"/>
  <c r="Y62" i="27"/>
  <c r="Y65" i="27"/>
  <c r="Y67" i="27"/>
  <c r="Y81" i="27"/>
  <c r="Y82" i="27"/>
  <c r="Y52" i="27"/>
  <c r="Y54" i="27"/>
  <c r="Y55" i="27"/>
  <c r="Y56" i="27"/>
  <c r="Y58" i="27"/>
  <c r="Y63" i="27"/>
  <c r="Y64" i="27"/>
  <c r="Y66" i="27"/>
  <c r="Y70" i="27"/>
  <c r="Y86" i="27"/>
  <c r="Y94" i="27"/>
  <c r="Y68" i="27"/>
  <c r="Y69" i="27"/>
  <c r="Y83" i="27"/>
  <c r="Y84" i="27"/>
  <c r="Y85" i="27"/>
  <c r="Y87" i="27"/>
  <c r="Y13" i="27"/>
  <c r="Y14" i="27"/>
  <c r="Y15" i="27"/>
  <c r="Y88" i="27"/>
  <c r="Y51" i="27"/>
  <c r="Z11" i="27"/>
  <c r="Z7" i="27"/>
  <c r="Z9" i="27" s="1"/>
  <c r="AA6" i="27"/>
  <c r="X75" i="27"/>
  <c r="X12" i="27"/>
  <c r="AH31" i="23"/>
  <c r="AE31" i="23"/>
  <c r="AJ31" i="23"/>
  <c r="AD32" i="23"/>
  <c r="AI31" i="23"/>
  <c r="AF31" i="23"/>
  <c r="AK31" i="23"/>
  <c r="AG31" i="23"/>
  <c r="AQ31" i="23"/>
  <c r="AM32" i="23"/>
  <c r="AT31" i="23"/>
  <c r="AS31" i="23"/>
  <c r="AR31" i="23"/>
  <c r="AP31" i="23"/>
  <c r="AO31" i="23"/>
  <c r="AN31" i="23"/>
  <c r="AH27" i="7"/>
  <c r="AE27" i="7"/>
  <c r="AF27" i="7"/>
  <c r="AJ27" i="7" s="1"/>
  <c r="AG27" i="7"/>
  <c r="AD28" i="7"/>
  <c r="AK30" i="22"/>
  <c r="AJ30" i="22"/>
  <c r="AI30" i="22"/>
  <c r="AG30" i="22"/>
  <c r="AF30" i="22"/>
  <c r="AE30" i="22"/>
  <c r="AH30" i="22"/>
  <c r="S29" i="22"/>
  <c r="AM27" i="7"/>
  <c r="AQ26" i="7"/>
  <c r="AP26" i="7"/>
  <c r="AT26" i="7" s="1"/>
  <c r="AO26" i="7"/>
  <c r="AN26" i="7"/>
  <c r="AS26" i="7" s="1"/>
  <c r="AR25" i="7"/>
  <c r="AR26" i="7" s="1"/>
  <c r="AT25" i="7"/>
  <c r="J29" i="23"/>
  <c r="I29" i="23"/>
  <c r="J30" i="22"/>
  <c r="I30" i="22"/>
  <c r="Q32" i="23"/>
  <c r="R32" i="23"/>
  <c r="O32" i="23"/>
  <c r="L33" i="23"/>
  <c r="M32" i="23"/>
  <c r="S32" i="23"/>
  <c r="N32" i="23"/>
  <c r="P32" i="23"/>
  <c r="H29" i="23"/>
  <c r="Z30" i="23"/>
  <c r="X30" i="23"/>
  <c r="W30" i="23"/>
  <c r="U31" i="23"/>
  <c r="V30" i="23"/>
  <c r="AB30" i="23"/>
  <c r="AA30" i="23"/>
  <c r="Y30" i="23"/>
  <c r="E30" i="23"/>
  <c r="D30" i="23"/>
  <c r="C31" i="23"/>
  <c r="F30" i="23"/>
  <c r="G30" i="23"/>
  <c r="L31" i="22"/>
  <c r="M30" i="22"/>
  <c r="O30" i="22"/>
  <c r="N30" i="22"/>
  <c r="P30" i="22"/>
  <c r="E31" i="22"/>
  <c r="C32" i="22"/>
  <c r="G31" i="22"/>
  <c r="F31" i="22"/>
  <c r="D31" i="22"/>
  <c r="H30" i="22"/>
  <c r="U32" i="22"/>
  <c r="X31" i="22"/>
  <c r="V31" i="22"/>
  <c r="W31" i="22"/>
  <c r="Y31" i="22"/>
  <c r="AD31" i="22"/>
  <c r="AM32" i="22" l="1"/>
  <c r="AS31" i="22"/>
  <c r="AN31" i="22"/>
  <c r="AR31" i="22"/>
  <c r="AP31" i="22"/>
  <c r="AT31" i="22"/>
  <c r="AO31" i="22"/>
  <c r="Z6" i="28"/>
  <c r="Y11" i="28"/>
  <c r="Y7" i="28"/>
  <c r="Y9" i="28" s="1"/>
  <c r="X70" i="28"/>
  <c r="X88" i="28"/>
  <c r="X94" i="28"/>
  <c r="X58" i="28"/>
  <c r="X15" i="28"/>
  <c r="X54" i="28"/>
  <c r="X56" i="28"/>
  <c r="X57" i="28"/>
  <c r="X59" i="28"/>
  <c r="X84" i="28"/>
  <c r="X85" i="28"/>
  <c r="X86" i="28"/>
  <c r="X87" i="28"/>
  <c r="X44" i="28"/>
  <c r="X45" i="28" s="1"/>
  <c r="X51" i="28"/>
  <c r="X52" i="28"/>
  <c r="X55" i="28"/>
  <c r="X62" i="28"/>
  <c r="X63" i="28"/>
  <c r="X64" i="28"/>
  <c r="X65" i="28"/>
  <c r="X66" i="28"/>
  <c r="X67" i="28"/>
  <c r="X13" i="28"/>
  <c r="X81" i="28"/>
  <c r="X82" i="28"/>
  <c r="X83" i="28"/>
  <c r="X14" i="28"/>
  <c r="X53" i="28"/>
  <c r="X68" i="28"/>
  <c r="X69" i="28"/>
  <c r="W60" i="28"/>
  <c r="W75" i="28"/>
  <c r="W12" i="28"/>
  <c r="AA31" i="22"/>
  <c r="AB31" i="22"/>
  <c r="Z31" i="22"/>
  <c r="Y60" i="27"/>
  <c r="Z52" i="27"/>
  <c r="Z54" i="27"/>
  <c r="Z57" i="27"/>
  <c r="Z59" i="27"/>
  <c r="Z63" i="27"/>
  <c r="Z70" i="27"/>
  <c r="Z51" i="27"/>
  <c r="Z53" i="27"/>
  <c r="Z55" i="27"/>
  <c r="Z56" i="27"/>
  <c r="Z58" i="27"/>
  <c r="Z62" i="27"/>
  <c r="Z64" i="27"/>
  <c r="Z68" i="27"/>
  <c r="Z81" i="27"/>
  <c r="Z82" i="27"/>
  <c r="Z83" i="27"/>
  <c r="Z94" i="27"/>
  <c r="Z65" i="27"/>
  <c r="Z66" i="27"/>
  <c r="Z67" i="27"/>
  <c r="Z69" i="27"/>
  <c r="Z84" i="27"/>
  <c r="Z85" i="27"/>
  <c r="Z86" i="27"/>
  <c r="Z87" i="27"/>
  <c r="Z13" i="27"/>
  <c r="Z14" i="27"/>
  <c r="Z15" i="27"/>
  <c r="Z88" i="27"/>
  <c r="AA11" i="27"/>
  <c r="AA7" i="27"/>
  <c r="AA9" i="27" s="1"/>
  <c r="AB6" i="27"/>
  <c r="Y75" i="27"/>
  <c r="Y12" i="27"/>
  <c r="AH32" i="23"/>
  <c r="AK32" i="23"/>
  <c r="AE32" i="23"/>
  <c r="AI32" i="23"/>
  <c r="AG32" i="23"/>
  <c r="AJ32" i="23"/>
  <c r="AD33" i="23"/>
  <c r="AF32" i="23"/>
  <c r="AQ32" i="23"/>
  <c r="AM33" i="23"/>
  <c r="AT32" i="23"/>
  <c r="AS32" i="23"/>
  <c r="AR32" i="23"/>
  <c r="AP32" i="23"/>
  <c r="AO32" i="23"/>
  <c r="AN32" i="23"/>
  <c r="AI27" i="7"/>
  <c r="AK27" i="7"/>
  <c r="AE28" i="7"/>
  <c r="AF28" i="7"/>
  <c r="AJ28" i="7" s="1"/>
  <c r="AG28" i="7"/>
  <c r="AK28" i="7" s="1"/>
  <c r="AH28" i="7"/>
  <c r="AD29" i="7"/>
  <c r="AK31" i="22"/>
  <c r="AJ31" i="22"/>
  <c r="AI31" i="22"/>
  <c r="AG31" i="22"/>
  <c r="AF31" i="22"/>
  <c r="AE31" i="22"/>
  <c r="AH31" i="22"/>
  <c r="R30" i="22"/>
  <c r="Q30" i="22"/>
  <c r="S30" i="22"/>
  <c r="AM28" i="7"/>
  <c r="AQ27" i="7"/>
  <c r="AP27" i="7"/>
  <c r="AO27" i="7"/>
  <c r="AS27" i="7" s="1"/>
  <c r="AN27" i="7"/>
  <c r="J31" i="22"/>
  <c r="J30" i="23"/>
  <c r="H31" i="22"/>
  <c r="I31" i="22"/>
  <c r="H30" i="23"/>
  <c r="I30" i="23"/>
  <c r="V31" i="23"/>
  <c r="X31" i="23"/>
  <c r="W31" i="23"/>
  <c r="U32" i="23"/>
  <c r="AB31" i="23"/>
  <c r="AA31" i="23"/>
  <c r="Z31" i="23"/>
  <c r="Y31" i="23"/>
  <c r="F31" i="23"/>
  <c r="C32" i="23"/>
  <c r="D31" i="23"/>
  <c r="E31" i="23"/>
  <c r="G31" i="23"/>
  <c r="M33" i="23"/>
  <c r="S33" i="23"/>
  <c r="Q33" i="23"/>
  <c r="O33" i="23"/>
  <c r="L34" i="23"/>
  <c r="N33" i="23"/>
  <c r="R33" i="23"/>
  <c r="P33" i="23"/>
  <c r="X32" i="22"/>
  <c r="W32" i="22"/>
  <c r="V32" i="22"/>
  <c r="U33" i="22"/>
  <c r="Y32" i="22"/>
  <c r="L32" i="22"/>
  <c r="O31" i="22"/>
  <c r="M31" i="22"/>
  <c r="N31" i="22"/>
  <c r="P31" i="22"/>
  <c r="AD32" i="22"/>
  <c r="F32" i="22"/>
  <c r="E32" i="22"/>
  <c r="D32" i="22"/>
  <c r="G32" i="22"/>
  <c r="C33" i="22"/>
  <c r="AQ32" i="22" l="1"/>
  <c r="AM33" i="22"/>
  <c r="AT32" i="22"/>
  <c r="AS32" i="22"/>
  <c r="AR32" i="22"/>
  <c r="AO32" i="22"/>
  <c r="AN32" i="22"/>
  <c r="AP32" i="22"/>
  <c r="X12" i="28"/>
  <c r="Z11" i="28"/>
  <c r="AA6" i="28"/>
  <c r="Z7" i="28"/>
  <c r="Z9" i="28" s="1"/>
  <c r="Y94" i="28"/>
  <c r="Y67" i="28"/>
  <c r="Y58" i="28"/>
  <c r="Y88" i="28"/>
  <c r="Y13" i="28"/>
  <c r="Y65" i="28"/>
  <c r="Y69" i="28"/>
  <c r="Y82" i="28"/>
  <c r="Y14" i="28"/>
  <c r="Y44" i="28"/>
  <c r="Y45" i="28" s="1"/>
  <c r="Y53" i="28"/>
  <c r="Y51" i="28"/>
  <c r="Y66" i="28"/>
  <c r="Y81" i="28"/>
  <c r="Y70" i="28"/>
  <c r="Y83" i="28"/>
  <c r="Y15" i="28"/>
  <c r="Y52" i="28"/>
  <c r="Y54" i="28"/>
  <c r="Y55" i="28"/>
  <c r="Y56" i="28"/>
  <c r="Y57" i="28"/>
  <c r="Y59" i="28"/>
  <c r="Y62" i="28"/>
  <c r="Y63" i="28"/>
  <c r="Y64" i="28"/>
  <c r="Y68" i="28"/>
  <c r="Y84" i="28"/>
  <c r="Y85" i="28"/>
  <c r="Y86" i="28"/>
  <c r="Y87" i="28"/>
  <c r="X60" i="28"/>
  <c r="X75" i="28"/>
  <c r="AB32" i="22"/>
  <c r="Z32" i="22"/>
  <c r="AA32" i="22"/>
  <c r="Z12" i="27"/>
  <c r="Z60" i="27"/>
  <c r="AA53" i="27"/>
  <c r="AA69" i="27"/>
  <c r="AA52" i="27"/>
  <c r="AA54" i="27"/>
  <c r="AA55" i="27"/>
  <c r="AA56" i="27"/>
  <c r="AA57" i="27"/>
  <c r="AA58" i="27"/>
  <c r="AA59" i="27"/>
  <c r="AA62" i="27"/>
  <c r="AA63" i="27"/>
  <c r="AA64" i="27"/>
  <c r="AA70" i="27"/>
  <c r="AA81" i="27"/>
  <c r="AA82" i="27"/>
  <c r="AA83" i="27"/>
  <c r="AA94" i="27"/>
  <c r="AA65" i="27"/>
  <c r="AA66" i="27"/>
  <c r="AA67" i="27"/>
  <c r="AA68" i="27"/>
  <c r="AA84" i="27"/>
  <c r="AA85" i="27"/>
  <c r="AA86" i="27"/>
  <c r="AA87" i="27"/>
  <c r="AA13" i="27"/>
  <c r="AA14" i="27"/>
  <c r="AA15" i="27"/>
  <c r="AA88" i="27"/>
  <c r="AA51" i="27"/>
  <c r="AB11" i="27"/>
  <c r="AB7" i="27"/>
  <c r="AB9" i="27" s="1"/>
  <c r="AC6" i="27"/>
  <c r="Z75" i="27"/>
  <c r="AH33" i="23"/>
  <c r="AK33" i="23"/>
  <c r="AG33" i="23"/>
  <c r="AJ33" i="23"/>
  <c r="AE33" i="23"/>
  <c r="AD34" i="23"/>
  <c r="AI33" i="23"/>
  <c r="AF33" i="23"/>
  <c r="AQ33" i="23"/>
  <c r="AM34" i="23"/>
  <c r="AT33" i="23"/>
  <c r="AS33" i="23"/>
  <c r="AR33" i="23"/>
  <c r="AP33" i="23"/>
  <c r="AO33" i="23"/>
  <c r="AN33" i="23"/>
  <c r="AH29" i="7"/>
  <c r="AE29" i="7"/>
  <c r="AF29" i="7"/>
  <c r="AG29" i="7"/>
  <c r="AD30" i="7"/>
  <c r="Q31" i="22"/>
  <c r="S31" i="22"/>
  <c r="AI28" i="7"/>
  <c r="AI29" i="7" s="1"/>
  <c r="AK32" i="22"/>
  <c r="AJ32" i="22"/>
  <c r="AI32" i="22"/>
  <c r="AG32" i="22"/>
  <c r="AF32" i="22"/>
  <c r="AE32" i="22"/>
  <c r="AH32" i="22"/>
  <c r="R31" i="22"/>
  <c r="AM29" i="7"/>
  <c r="AQ28" i="7"/>
  <c r="AP28" i="7"/>
  <c r="AT28" i="7" s="1"/>
  <c r="AO28" i="7"/>
  <c r="AS28" i="7" s="1"/>
  <c r="AN28" i="7"/>
  <c r="AT27" i="7"/>
  <c r="AR27" i="7"/>
  <c r="AR28" i="7" s="1"/>
  <c r="I31" i="23"/>
  <c r="H32" i="22"/>
  <c r="I32" i="22"/>
  <c r="J31" i="23"/>
  <c r="H31" i="23"/>
  <c r="D32" i="23"/>
  <c r="F32" i="23"/>
  <c r="C33" i="23"/>
  <c r="E32" i="23"/>
  <c r="G32" i="23"/>
  <c r="S34" i="23"/>
  <c r="R34" i="23"/>
  <c r="N34" i="23"/>
  <c r="L35" i="23"/>
  <c r="Q34" i="23"/>
  <c r="O34" i="23"/>
  <c r="M34" i="23"/>
  <c r="P34" i="23"/>
  <c r="W32" i="23"/>
  <c r="U33" i="23"/>
  <c r="V32" i="23"/>
  <c r="AA32" i="23"/>
  <c r="AB32" i="23"/>
  <c r="Z32" i="23"/>
  <c r="X32" i="23"/>
  <c r="Y32" i="23"/>
  <c r="N32" i="22"/>
  <c r="M32" i="22"/>
  <c r="O32" i="22"/>
  <c r="L33" i="22"/>
  <c r="P32" i="22"/>
  <c r="W33" i="22"/>
  <c r="X33" i="22"/>
  <c r="U34" i="22"/>
  <c r="V33" i="22"/>
  <c r="Y33" i="22"/>
  <c r="AD33" i="22"/>
  <c r="J32" i="22"/>
  <c r="F33" i="22"/>
  <c r="E33" i="22"/>
  <c r="D33" i="22"/>
  <c r="C34" i="22"/>
  <c r="G33" i="22"/>
  <c r="AQ33" i="22" l="1"/>
  <c r="AM34" i="22"/>
  <c r="AM35" i="22" s="1"/>
  <c r="AT33" i="22"/>
  <c r="AS33" i="22"/>
  <c r="AR33" i="22"/>
  <c r="AP33" i="22"/>
  <c r="AO33" i="22"/>
  <c r="AN33" i="22"/>
  <c r="AA7" i="28"/>
  <c r="AA9" i="28" s="1"/>
  <c r="AB6" i="28"/>
  <c r="AA11" i="28"/>
  <c r="Z55" i="28"/>
  <c r="Z44" i="28"/>
  <c r="Z45" i="28" s="1"/>
  <c r="Z68" i="28"/>
  <c r="Z56" i="28"/>
  <c r="Z59" i="28"/>
  <c r="Z85" i="28"/>
  <c r="Z13" i="28"/>
  <c r="Z51" i="28"/>
  <c r="Z53" i="28"/>
  <c r="Z62" i="28"/>
  <c r="Z52" i="28"/>
  <c r="Z57" i="28"/>
  <c r="Z84" i="28"/>
  <c r="Z87" i="28"/>
  <c r="Z88" i="28"/>
  <c r="Z14" i="28"/>
  <c r="Z54" i="28"/>
  <c r="Z64" i="28"/>
  <c r="Z65" i="28"/>
  <c r="Z66" i="28"/>
  <c r="Z67" i="28"/>
  <c r="Z86" i="28"/>
  <c r="Z81" i="28"/>
  <c r="Z82" i="28"/>
  <c r="Z83" i="28"/>
  <c r="Z70" i="28"/>
  <c r="Z94" i="28"/>
  <c r="Z15" i="28"/>
  <c r="Z58" i="28"/>
  <c r="Z63" i="28"/>
  <c r="Z69" i="28"/>
  <c r="Y60" i="28"/>
  <c r="Y75" i="28"/>
  <c r="Y12" i="28"/>
  <c r="Z33" i="22"/>
  <c r="AA33" i="22"/>
  <c r="AB33" i="22"/>
  <c r="AJ29" i="7"/>
  <c r="AK29" i="7"/>
  <c r="AA60" i="27"/>
  <c r="AB53" i="27"/>
  <c r="AB56" i="27"/>
  <c r="AB59" i="27"/>
  <c r="AB64" i="27"/>
  <c r="AB51" i="27"/>
  <c r="AB52" i="27"/>
  <c r="AB54" i="27"/>
  <c r="AB55" i="27"/>
  <c r="AB57" i="27"/>
  <c r="AB58" i="27"/>
  <c r="AB62" i="27"/>
  <c r="AB63" i="27"/>
  <c r="AB66" i="27"/>
  <c r="AB67" i="27"/>
  <c r="AB68" i="27"/>
  <c r="AB70" i="27"/>
  <c r="AB81" i="27"/>
  <c r="AB82" i="27"/>
  <c r="AB83" i="27"/>
  <c r="AB94" i="27"/>
  <c r="AB65" i="27"/>
  <c r="AB69" i="27"/>
  <c r="AB84" i="27"/>
  <c r="AB85" i="27"/>
  <c r="AB86" i="27"/>
  <c r="AB87" i="27"/>
  <c r="AB13" i="27"/>
  <c r="AB14" i="27"/>
  <c r="AB15" i="27"/>
  <c r="AB88" i="27"/>
  <c r="AC11" i="27"/>
  <c r="AC7" i="27"/>
  <c r="AC9" i="27" s="1"/>
  <c r="AD6" i="27"/>
  <c r="AA75" i="27"/>
  <c r="AA12" i="27"/>
  <c r="AQ34" i="22"/>
  <c r="AH34" i="23"/>
  <c r="AD35" i="23"/>
  <c r="AI34" i="23"/>
  <c r="AG34" i="23"/>
  <c r="AE34" i="23"/>
  <c r="AJ34" i="23"/>
  <c r="AK34" i="23"/>
  <c r="AF34" i="23"/>
  <c r="AQ34" i="23"/>
  <c r="AM35" i="23"/>
  <c r="AT34" i="23"/>
  <c r="AS34" i="23"/>
  <c r="AR34" i="23"/>
  <c r="AP34" i="23"/>
  <c r="AO34" i="23"/>
  <c r="AN34" i="23"/>
  <c r="AE30" i="7"/>
  <c r="AF30" i="7"/>
  <c r="AG30" i="7"/>
  <c r="AH30" i="7"/>
  <c r="AD31" i="7"/>
  <c r="AK33" i="22"/>
  <c r="AJ33" i="22"/>
  <c r="AI33" i="22"/>
  <c r="AG33" i="22"/>
  <c r="AF33" i="22"/>
  <c r="AE33" i="22"/>
  <c r="AH33" i="22"/>
  <c r="R32" i="22"/>
  <c r="S32" i="22"/>
  <c r="Q32" i="22"/>
  <c r="AQ29" i="7"/>
  <c r="AP29" i="7"/>
  <c r="AO29" i="7"/>
  <c r="AN29" i="7"/>
  <c r="AM30" i="7"/>
  <c r="AS29" i="7"/>
  <c r="I32" i="23"/>
  <c r="J32" i="23"/>
  <c r="I33" i="22"/>
  <c r="J33" i="22"/>
  <c r="H33" i="22"/>
  <c r="H32" i="23"/>
  <c r="Q35" i="23"/>
  <c r="S35" i="23"/>
  <c r="R35" i="23"/>
  <c r="O35" i="23"/>
  <c r="L36" i="23"/>
  <c r="M35" i="23"/>
  <c r="N35" i="23"/>
  <c r="P35" i="23"/>
  <c r="Z33" i="23"/>
  <c r="U34" i="23"/>
  <c r="V33" i="23"/>
  <c r="AA33" i="23"/>
  <c r="AB33" i="23"/>
  <c r="X33" i="23"/>
  <c r="Y33" i="23"/>
  <c r="W33" i="23"/>
  <c r="F33" i="23"/>
  <c r="E33" i="23"/>
  <c r="D33" i="23"/>
  <c r="C34" i="23"/>
  <c r="G33" i="23"/>
  <c r="E34" i="22"/>
  <c r="G34" i="22"/>
  <c r="D34" i="22"/>
  <c r="C35" i="22"/>
  <c r="F34" i="22"/>
  <c r="O33" i="22"/>
  <c r="L34" i="22"/>
  <c r="N33" i="22"/>
  <c r="M33" i="22"/>
  <c r="P33" i="22"/>
  <c r="X34" i="22"/>
  <c r="W34" i="22"/>
  <c r="U35" i="22"/>
  <c r="V34" i="22"/>
  <c r="Y34" i="22"/>
  <c r="AD34" i="22"/>
  <c r="AN34" i="22" l="1"/>
  <c r="AO34" i="22"/>
  <c r="AP34" i="22"/>
  <c r="AR34" i="22"/>
  <c r="AS34" i="22"/>
  <c r="AT34" i="22"/>
  <c r="AA57" i="28"/>
  <c r="AA61" i="28"/>
  <c r="AA94" i="28"/>
  <c r="AA56" i="28"/>
  <c r="AA54" i="28"/>
  <c r="AA58" i="28"/>
  <c r="AA86" i="28"/>
  <c r="AA87" i="28"/>
  <c r="AA15" i="28"/>
  <c r="AA88" i="28"/>
  <c r="AA44" i="28"/>
  <c r="AA45" i="28" s="1"/>
  <c r="AA52" i="28"/>
  <c r="AA55" i="28"/>
  <c r="AA59" i="28"/>
  <c r="AA63" i="28"/>
  <c r="AA64" i="28"/>
  <c r="AA65" i="28"/>
  <c r="AA66" i="28"/>
  <c r="AA67" i="28"/>
  <c r="AA69" i="28"/>
  <c r="AA70" i="28"/>
  <c r="AA81" i="28"/>
  <c r="AA82" i="28"/>
  <c r="AA83" i="28"/>
  <c r="AA13" i="28"/>
  <c r="AA14" i="28"/>
  <c r="AA53" i="28"/>
  <c r="AA51" i="28"/>
  <c r="AA62" i="28"/>
  <c r="AA68" i="28"/>
  <c r="AA84" i="28"/>
  <c r="AA85" i="28"/>
  <c r="AB11" i="28"/>
  <c r="AC6" i="28"/>
  <c r="AB7" i="28"/>
  <c r="AB9" i="28" s="1"/>
  <c r="Z60" i="28"/>
  <c r="Z75" i="28"/>
  <c r="Z12" i="28"/>
  <c r="AJ30" i="7"/>
  <c r="S33" i="22"/>
  <c r="Z34" i="22"/>
  <c r="AB34" i="22"/>
  <c r="AA34" i="22"/>
  <c r="AB60" i="27"/>
  <c r="AC15" i="27"/>
  <c r="AC51" i="27"/>
  <c r="AC53" i="27"/>
  <c r="AC56" i="27"/>
  <c r="AC58" i="27"/>
  <c r="AC63" i="27"/>
  <c r="AC65" i="27"/>
  <c r="AC81" i="27"/>
  <c r="AC88" i="27"/>
  <c r="AC52" i="27"/>
  <c r="AC54" i="27"/>
  <c r="AC55" i="27"/>
  <c r="AC57" i="27"/>
  <c r="AC59" i="27"/>
  <c r="AC62" i="27"/>
  <c r="AC64" i="27"/>
  <c r="AC70" i="27"/>
  <c r="AC86" i="27"/>
  <c r="AC82" i="27"/>
  <c r="AC94" i="27"/>
  <c r="AC66" i="27"/>
  <c r="AC67" i="27"/>
  <c r="AC68" i="27"/>
  <c r="AC69" i="27"/>
  <c r="AC83" i="27"/>
  <c r="AC84" i="27"/>
  <c r="AC85" i="27"/>
  <c r="AC87" i="27"/>
  <c r="AC13" i="27"/>
  <c r="AC14" i="27"/>
  <c r="AD11" i="27"/>
  <c r="AD7" i="27"/>
  <c r="AD9" i="27" s="1"/>
  <c r="AE6" i="27"/>
  <c r="AB12" i="27"/>
  <c r="AB75" i="27"/>
  <c r="AQ35" i="22"/>
  <c r="AM36" i="22"/>
  <c r="AT35" i="22"/>
  <c r="AS35" i="22"/>
  <c r="AR35" i="22"/>
  <c r="AP35" i="22"/>
  <c r="AO35" i="22"/>
  <c r="AN35" i="22"/>
  <c r="AH35" i="23"/>
  <c r="AD36" i="23"/>
  <c r="AE35" i="23"/>
  <c r="AI35" i="23"/>
  <c r="AJ35" i="23"/>
  <c r="AF35" i="23"/>
  <c r="AK35" i="23"/>
  <c r="AG35" i="23"/>
  <c r="AQ35" i="23"/>
  <c r="AM36" i="23"/>
  <c r="AT35" i="23"/>
  <c r="AS35" i="23"/>
  <c r="AR35" i="23"/>
  <c r="AP35" i="23"/>
  <c r="AO35" i="23"/>
  <c r="AN35" i="23"/>
  <c r="AH31" i="7"/>
  <c r="AE31" i="7"/>
  <c r="AF31" i="7"/>
  <c r="AJ31" i="7" s="1"/>
  <c r="AG31" i="7"/>
  <c r="AD32" i="7"/>
  <c r="Q33" i="22"/>
  <c r="AI30" i="7"/>
  <c r="AK30" i="7"/>
  <c r="AK34" i="22"/>
  <c r="AJ34" i="22"/>
  <c r="AI34" i="22"/>
  <c r="AG34" i="22"/>
  <c r="AF34" i="22"/>
  <c r="AE34" i="22"/>
  <c r="AH34" i="22"/>
  <c r="R33" i="22"/>
  <c r="AQ30" i="7"/>
  <c r="AP30" i="7"/>
  <c r="AT30" i="7" s="1"/>
  <c r="AO30" i="7"/>
  <c r="AN30" i="7"/>
  <c r="AS30" i="7" s="1"/>
  <c r="AM31" i="7"/>
  <c r="AR29" i="7"/>
  <c r="AR30" i="7" s="1"/>
  <c r="AT29" i="7"/>
  <c r="J34" i="22"/>
  <c r="I33" i="23"/>
  <c r="J33" i="23"/>
  <c r="H33" i="23"/>
  <c r="H34" i="22"/>
  <c r="I34" i="22"/>
  <c r="V34" i="23"/>
  <c r="U35" i="23"/>
  <c r="AB34" i="23"/>
  <c r="Z34" i="23"/>
  <c r="AA34" i="23"/>
  <c r="X34" i="23"/>
  <c r="W34" i="23"/>
  <c r="Y34" i="23"/>
  <c r="M36" i="23"/>
  <c r="S36" i="23"/>
  <c r="R36" i="23"/>
  <c r="Q36" i="23"/>
  <c r="O36" i="23"/>
  <c r="L37" i="23"/>
  <c r="P36" i="23"/>
  <c r="N36" i="23"/>
  <c r="F34" i="23"/>
  <c r="E34" i="23"/>
  <c r="C35" i="23"/>
  <c r="D34" i="23"/>
  <c r="G34" i="23"/>
  <c r="W35" i="22"/>
  <c r="U36" i="22"/>
  <c r="V35" i="22"/>
  <c r="X35" i="22"/>
  <c r="Y35" i="22"/>
  <c r="AD35" i="22"/>
  <c r="N34" i="22"/>
  <c r="L35" i="22"/>
  <c r="O34" i="22"/>
  <c r="M34" i="22"/>
  <c r="P34" i="22"/>
  <c r="C36" i="22"/>
  <c r="F35" i="22"/>
  <c r="E35" i="22"/>
  <c r="D35" i="22"/>
  <c r="G35" i="22"/>
  <c r="AA60" i="28" l="1"/>
  <c r="AA50" i="28" s="1"/>
  <c r="AC7" i="28"/>
  <c r="AC9" i="28" s="1"/>
  <c r="AD6" i="28"/>
  <c r="AC11" i="28"/>
  <c r="AB84" i="28"/>
  <c r="AB85" i="28"/>
  <c r="AB86" i="28"/>
  <c r="AB87" i="28"/>
  <c r="AB88" i="28"/>
  <c r="AB94" i="28"/>
  <c r="AB70" i="28"/>
  <c r="AB55" i="28"/>
  <c r="AB59" i="28"/>
  <c r="AB15" i="28"/>
  <c r="AB68" i="28"/>
  <c r="AB83" i="28"/>
  <c r="AB81" i="28"/>
  <c r="AB13" i="28"/>
  <c r="AB14" i="28"/>
  <c r="AB82" i="28"/>
  <c r="AB58" i="28"/>
  <c r="AB61" i="28"/>
  <c r="AB62" i="28"/>
  <c r="AB63" i="28"/>
  <c r="AB65" i="28"/>
  <c r="AB66" i="28"/>
  <c r="AB67" i="28"/>
  <c r="AB44" i="28"/>
  <c r="AB45" i="28" s="1"/>
  <c r="AB51" i="28"/>
  <c r="AB52" i="28"/>
  <c r="AB53" i="28"/>
  <c r="AB54" i="28"/>
  <c r="AB56" i="28"/>
  <c r="AB57" i="28"/>
  <c r="AB64" i="28"/>
  <c r="AB69" i="28"/>
  <c r="AA75" i="28"/>
  <c r="AA12" i="28"/>
  <c r="AA35" i="22"/>
  <c r="Z35" i="22"/>
  <c r="AB35" i="22"/>
  <c r="AC75" i="27"/>
  <c r="AC60" i="27"/>
  <c r="AD51" i="27"/>
  <c r="AD53" i="27"/>
  <c r="AD55" i="27"/>
  <c r="AD57" i="27"/>
  <c r="AD59" i="27"/>
  <c r="AD63" i="27"/>
  <c r="AD67" i="27"/>
  <c r="AD69" i="27"/>
  <c r="AD94" i="27"/>
  <c r="AD52" i="27"/>
  <c r="AD54" i="27"/>
  <c r="AD56" i="27"/>
  <c r="AD58" i="27"/>
  <c r="AD62" i="27"/>
  <c r="AD64" i="27"/>
  <c r="AD66" i="27"/>
  <c r="AD70" i="27"/>
  <c r="AD81" i="27"/>
  <c r="AD82" i="27"/>
  <c r="AD83" i="27"/>
  <c r="AD65" i="27"/>
  <c r="AD68" i="27"/>
  <c r="AD84" i="27"/>
  <c r="AD85" i="27"/>
  <c r="AD86" i="27"/>
  <c r="AD87" i="27"/>
  <c r="AD13" i="27"/>
  <c r="AD14" i="27"/>
  <c r="AD15" i="27"/>
  <c r="AD88" i="27"/>
  <c r="AE11" i="27"/>
  <c r="AE7" i="27"/>
  <c r="AE9" i="27" s="1"/>
  <c r="AF6" i="27"/>
  <c r="AC12" i="27"/>
  <c r="AQ36" i="22"/>
  <c r="AM37" i="22"/>
  <c r="AT36" i="22"/>
  <c r="AS36" i="22"/>
  <c r="AR36" i="22"/>
  <c r="AP36" i="22"/>
  <c r="AO36" i="22"/>
  <c r="AN36" i="22"/>
  <c r="AH36" i="23"/>
  <c r="AE36" i="23"/>
  <c r="AD37" i="23"/>
  <c r="AJ36" i="23"/>
  <c r="AK36" i="23"/>
  <c r="AI36" i="23"/>
  <c r="AF36" i="23"/>
  <c r="AG36" i="23"/>
  <c r="AQ36" i="23"/>
  <c r="AM37" i="23"/>
  <c r="AT36" i="23"/>
  <c r="AS36" i="23"/>
  <c r="AR36" i="23"/>
  <c r="AP36" i="23"/>
  <c r="AO36" i="23"/>
  <c r="AN36" i="23"/>
  <c r="AH32" i="7"/>
  <c r="AE32" i="7"/>
  <c r="AF32" i="7"/>
  <c r="AJ32" i="7" s="1"/>
  <c r="AG32" i="7"/>
  <c r="AD33" i="7"/>
  <c r="AI31" i="7"/>
  <c r="AK31" i="7"/>
  <c r="AK35" i="22"/>
  <c r="AJ35" i="22"/>
  <c r="AI35" i="22"/>
  <c r="AG35" i="22"/>
  <c r="AF35" i="22"/>
  <c r="AE35" i="22"/>
  <c r="AH35" i="22"/>
  <c r="R34" i="22"/>
  <c r="S34" i="22"/>
  <c r="Q34" i="22"/>
  <c r="AQ31" i="7"/>
  <c r="AP31" i="7"/>
  <c r="AO31" i="7"/>
  <c r="AS31" i="7" s="1"/>
  <c r="AN31" i="7"/>
  <c r="AM32" i="7"/>
  <c r="I35" i="22"/>
  <c r="J34" i="23"/>
  <c r="I34" i="23"/>
  <c r="J35" i="22"/>
  <c r="H34" i="23"/>
  <c r="D35" i="23"/>
  <c r="F35" i="23"/>
  <c r="E35" i="23"/>
  <c r="C36" i="23"/>
  <c r="G35" i="23"/>
  <c r="R37" i="23"/>
  <c r="Q37" i="23"/>
  <c r="N37" i="23"/>
  <c r="M37" i="23"/>
  <c r="L38" i="23"/>
  <c r="O37" i="23"/>
  <c r="S37" i="23"/>
  <c r="P37" i="23"/>
  <c r="AA35" i="23"/>
  <c r="U36" i="23"/>
  <c r="AB35" i="23"/>
  <c r="Z35" i="23"/>
  <c r="V35" i="23"/>
  <c r="W35" i="23"/>
  <c r="X35" i="23"/>
  <c r="Y35" i="23"/>
  <c r="F36" i="22"/>
  <c r="C37" i="22"/>
  <c r="E36" i="22"/>
  <c r="D36" i="22"/>
  <c r="G36" i="22"/>
  <c r="H35" i="22"/>
  <c r="W36" i="22"/>
  <c r="V36" i="22"/>
  <c r="U37" i="22"/>
  <c r="X36" i="22"/>
  <c r="Y36" i="22"/>
  <c r="AD36" i="22"/>
  <c r="N35" i="22"/>
  <c r="M35" i="22"/>
  <c r="O35" i="22"/>
  <c r="L36" i="22"/>
  <c r="P35" i="22"/>
  <c r="AC94" i="28" l="1"/>
  <c r="AC15" i="28"/>
  <c r="AC54" i="28"/>
  <c r="AC53" i="28"/>
  <c r="AC44" i="28"/>
  <c r="AC45" i="28" s="1"/>
  <c r="AC52" i="28"/>
  <c r="AC61" i="28"/>
  <c r="AC56" i="28"/>
  <c r="AC57" i="28"/>
  <c r="AC58" i="28"/>
  <c r="AC59" i="28"/>
  <c r="AC84" i="28"/>
  <c r="AC85" i="28"/>
  <c r="AC86" i="28"/>
  <c r="AC13" i="28"/>
  <c r="AC51" i="28"/>
  <c r="AC64" i="28"/>
  <c r="AC65" i="28"/>
  <c r="AC66" i="28"/>
  <c r="AC67" i="28"/>
  <c r="AC69" i="28"/>
  <c r="AC88" i="28"/>
  <c r="AC87" i="28"/>
  <c r="AC81" i="28"/>
  <c r="AC82" i="28"/>
  <c r="AC83" i="28"/>
  <c r="AC14" i="28"/>
  <c r="AC55" i="28"/>
  <c r="AC62" i="28"/>
  <c r="AC63" i="28"/>
  <c r="AC68" i="28"/>
  <c r="AC70" i="28"/>
  <c r="AD11" i="28"/>
  <c r="AD7" i="28"/>
  <c r="AD9" i="28" s="1"/>
  <c r="AE6" i="28"/>
  <c r="AB60" i="28"/>
  <c r="AB50" i="28" s="1"/>
  <c r="AB75" i="28"/>
  <c r="AB12" i="28"/>
  <c r="AB36" i="22"/>
  <c r="AA36" i="22"/>
  <c r="Z36" i="22"/>
  <c r="AD60" i="27"/>
  <c r="AE52" i="27"/>
  <c r="AE54" i="27"/>
  <c r="AE56" i="27"/>
  <c r="AE59" i="27"/>
  <c r="AE62" i="27"/>
  <c r="AE68" i="27"/>
  <c r="AE82" i="27"/>
  <c r="AE94" i="27"/>
  <c r="AE51" i="27"/>
  <c r="AE53" i="27"/>
  <c r="AE55" i="27"/>
  <c r="AE57" i="27"/>
  <c r="AE58" i="27"/>
  <c r="AE63" i="27"/>
  <c r="AE64" i="27"/>
  <c r="AE70" i="27"/>
  <c r="AE81" i="27"/>
  <c r="AE83" i="27"/>
  <c r="AE65" i="27"/>
  <c r="AE66" i="27"/>
  <c r="AE67" i="27"/>
  <c r="AE69" i="27"/>
  <c r="AE84" i="27"/>
  <c r="AE85" i="27"/>
  <c r="AE86" i="27"/>
  <c r="AE87" i="27"/>
  <c r="AE13" i="27"/>
  <c r="AE14" i="27"/>
  <c r="AE15" i="27"/>
  <c r="AE88" i="27"/>
  <c r="AF11" i="27"/>
  <c r="AF7" i="27"/>
  <c r="AF9" i="27" s="1"/>
  <c r="AG6" i="27"/>
  <c r="AD75" i="27"/>
  <c r="AD12" i="27"/>
  <c r="AQ37" i="22"/>
  <c r="AM38" i="22"/>
  <c r="AT37" i="22"/>
  <c r="AS37" i="22"/>
  <c r="AR37" i="22"/>
  <c r="AP37" i="22"/>
  <c r="AO37" i="22"/>
  <c r="AN37" i="22"/>
  <c r="AH37" i="23"/>
  <c r="AK37" i="23"/>
  <c r="AI37" i="23"/>
  <c r="AG37" i="23"/>
  <c r="AE37" i="23"/>
  <c r="AJ37" i="23"/>
  <c r="AD38" i="23"/>
  <c r="AF37" i="23"/>
  <c r="AQ37" i="23"/>
  <c r="AM38" i="23"/>
  <c r="AT37" i="23"/>
  <c r="AS37" i="23"/>
  <c r="AR37" i="23"/>
  <c r="AP37" i="23"/>
  <c r="AO37" i="23"/>
  <c r="AN37" i="23"/>
  <c r="AI32" i="7"/>
  <c r="AK32" i="7"/>
  <c r="AE33" i="7"/>
  <c r="AF33" i="7"/>
  <c r="AJ33" i="7" s="1"/>
  <c r="AG33" i="7"/>
  <c r="AK33" i="7" s="1"/>
  <c r="AH33" i="7"/>
  <c r="AD34" i="7"/>
  <c r="AK36" i="22"/>
  <c r="AJ36" i="22"/>
  <c r="AI36" i="22"/>
  <c r="AG36" i="22"/>
  <c r="AF36" i="22"/>
  <c r="AE36" i="22"/>
  <c r="AH36" i="22"/>
  <c r="S35" i="22"/>
  <c r="Q35" i="22"/>
  <c r="R35" i="22"/>
  <c r="AM33" i="7"/>
  <c r="AQ32" i="7"/>
  <c r="AP32" i="7"/>
  <c r="AT32" i="7" s="1"/>
  <c r="AO32" i="7"/>
  <c r="AS32" i="7" s="1"/>
  <c r="AN32" i="7"/>
  <c r="AR31" i="7"/>
  <c r="AR32" i="7" s="1"/>
  <c r="AT31" i="7"/>
  <c r="I35" i="23"/>
  <c r="J35" i="23"/>
  <c r="H36" i="22"/>
  <c r="I36" i="22"/>
  <c r="J36" i="22"/>
  <c r="Z36" i="23"/>
  <c r="AA36" i="23"/>
  <c r="X36" i="23"/>
  <c r="AB36" i="23"/>
  <c r="W36" i="23"/>
  <c r="V36" i="23"/>
  <c r="U37" i="23"/>
  <c r="Y36" i="23"/>
  <c r="Q38" i="23"/>
  <c r="R38" i="23"/>
  <c r="O38" i="23"/>
  <c r="L39" i="23"/>
  <c r="M38" i="23"/>
  <c r="S38" i="23"/>
  <c r="N38" i="23"/>
  <c r="P38" i="23"/>
  <c r="H35" i="23"/>
  <c r="E36" i="23"/>
  <c r="C37" i="23"/>
  <c r="D36" i="23"/>
  <c r="G36" i="23"/>
  <c r="F36" i="23"/>
  <c r="U38" i="22"/>
  <c r="V37" i="22"/>
  <c r="X37" i="22"/>
  <c r="W37" i="22"/>
  <c r="AA37" i="22" s="1"/>
  <c r="Y37" i="22"/>
  <c r="E37" i="22"/>
  <c r="F37" i="22"/>
  <c r="C38" i="22"/>
  <c r="D37" i="22"/>
  <c r="G37" i="22"/>
  <c r="L37" i="22"/>
  <c r="M36" i="22"/>
  <c r="O36" i="22"/>
  <c r="N36" i="22"/>
  <c r="P36" i="22"/>
  <c r="AD37" i="22"/>
  <c r="AC60" i="28" l="1"/>
  <c r="AC50" i="28" s="1"/>
  <c r="AD94" i="28"/>
  <c r="AD52" i="28"/>
  <c r="AD44" i="28"/>
  <c r="AD45" i="28" s="1"/>
  <c r="AD55" i="28"/>
  <c r="AD56" i="28"/>
  <c r="AD81" i="28"/>
  <c r="AD66" i="28"/>
  <c r="AD67" i="28"/>
  <c r="AD68" i="28"/>
  <c r="AD14" i="28"/>
  <c r="AD15" i="28"/>
  <c r="AD70" i="28"/>
  <c r="AD53" i="28"/>
  <c r="AD54" i="28"/>
  <c r="AD59" i="28"/>
  <c r="AD61" i="28"/>
  <c r="AD63" i="28"/>
  <c r="AD65" i="28"/>
  <c r="AD82" i="28"/>
  <c r="AD83" i="28"/>
  <c r="AD13" i="28"/>
  <c r="AD51" i="28"/>
  <c r="AD57" i="28"/>
  <c r="AD58" i="28"/>
  <c r="AD62" i="28"/>
  <c r="AD64" i="28"/>
  <c r="AD69" i="28"/>
  <c r="AD84" i="28"/>
  <c r="AD85" i="28"/>
  <c r="AD86" i="28"/>
  <c r="AD87" i="28"/>
  <c r="AD88" i="28"/>
  <c r="AE11" i="28"/>
  <c r="AF6" i="28"/>
  <c r="AE7" i="28"/>
  <c r="AE9" i="28" s="1"/>
  <c r="AC75" i="28"/>
  <c r="AC12" i="28"/>
  <c r="AB37" i="22"/>
  <c r="Z37" i="22"/>
  <c r="AE60" i="27"/>
  <c r="AF51" i="27"/>
  <c r="AF53" i="27"/>
  <c r="AF55" i="27"/>
  <c r="AF56" i="27"/>
  <c r="AF58" i="27"/>
  <c r="AF62" i="27"/>
  <c r="AF64" i="27"/>
  <c r="AF70" i="27"/>
  <c r="AF82" i="27"/>
  <c r="AF52" i="27"/>
  <c r="AF54" i="27"/>
  <c r="AF57" i="27"/>
  <c r="AF59" i="27"/>
  <c r="AF63" i="27"/>
  <c r="AF65" i="27"/>
  <c r="AF69" i="27"/>
  <c r="AF81" i="27"/>
  <c r="AF83" i="27"/>
  <c r="AF94" i="27"/>
  <c r="AF66" i="27"/>
  <c r="AF67" i="27"/>
  <c r="AF68" i="27"/>
  <c r="AF84" i="27"/>
  <c r="AF85" i="27"/>
  <c r="AF86" i="27"/>
  <c r="AF87" i="27"/>
  <c r="AF13" i="27"/>
  <c r="AF14" i="27"/>
  <c r="AF15" i="27"/>
  <c r="AF88" i="27"/>
  <c r="AG11" i="27"/>
  <c r="AG7" i="27"/>
  <c r="AG9" i="27" s="1"/>
  <c r="AH6" i="27"/>
  <c r="AI33" i="7"/>
  <c r="AE75" i="27"/>
  <c r="AE12" i="27"/>
  <c r="AQ38" i="22"/>
  <c r="AM39" i="22"/>
  <c r="AS38" i="22"/>
  <c r="AO38" i="22"/>
  <c r="AT38" i="22"/>
  <c r="AR38" i="22"/>
  <c r="AP38" i="22"/>
  <c r="AN38" i="22"/>
  <c r="AH38" i="23"/>
  <c r="AF38" i="23"/>
  <c r="AD39" i="23"/>
  <c r="AI38" i="23"/>
  <c r="AE38" i="23"/>
  <c r="AK38" i="23"/>
  <c r="AG38" i="23"/>
  <c r="AJ38" i="23"/>
  <c r="AQ38" i="23"/>
  <c r="AM39" i="23"/>
  <c r="AT38" i="23"/>
  <c r="AS38" i="23"/>
  <c r="AR38" i="23"/>
  <c r="AP38" i="23"/>
  <c r="AO38" i="23"/>
  <c r="AN38" i="23"/>
  <c r="AH34" i="7"/>
  <c r="AE34" i="7"/>
  <c r="AF34" i="7"/>
  <c r="AJ34" i="7" s="1"/>
  <c r="AG34" i="7"/>
  <c r="AD35" i="7"/>
  <c r="AK37" i="22"/>
  <c r="AJ37" i="22"/>
  <c r="AI37" i="22"/>
  <c r="AG37" i="22"/>
  <c r="AF37" i="22"/>
  <c r="AE37" i="22"/>
  <c r="AH37" i="22"/>
  <c r="R36" i="22"/>
  <c r="S36" i="22"/>
  <c r="Q36" i="22"/>
  <c r="AQ33" i="7"/>
  <c r="AN33" i="7"/>
  <c r="AT33" i="7" s="1"/>
  <c r="AP33" i="7"/>
  <c r="AM34" i="7"/>
  <c r="AO33" i="7"/>
  <c r="AS33" i="7" s="1"/>
  <c r="AR33" i="7"/>
  <c r="I36" i="23"/>
  <c r="H37" i="22"/>
  <c r="I37" i="22"/>
  <c r="J36" i="23"/>
  <c r="J37" i="22"/>
  <c r="H36" i="23"/>
  <c r="M39" i="23"/>
  <c r="Q39" i="23"/>
  <c r="O39" i="23"/>
  <c r="L40" i="23"/>
  <c r="R39" i="23"/>
  <c r="N39" i="23"/>
  <c r="S39" i="23"/>
  <c r="P39" i="23"/>
  <c r="V37" i="23"/>
  <c r="AB37" i="23"/>
  <c r="Z37" i="23"/>
  <c r="X37" i="23"/>
  <c r="U38" i="23"/>
  <c r="AA37" i="23"/>
  <c r="Y37" i="23"/>
  <c r="W37" i="23"/>
  <c r="C38" i="23"/>
  <c r="D37" i="23"/>
  <c r="E37" i="23"/>
  <c r="F37" i="23"/>
  <c r="G37" i="23"/>
  <c r="AD38" i="22"/>
  <c r="F38" i="22"/>
  <c r="E38" i="22"/>
  <c r="C39" i="22"/>
  <c r="G38" i="22"/>
  <c r="D38" i="22"/>
  <c r="U39" i="22"/>
  <c r="W38" i="22"/>
  <c r="V38" i="22"/>
  <c r="X38" i="22"/>
  <c r="Y38" i="22"/>
  <c r="L38" i="22"/>
  <c r="O37" i="22"/>
  <c r="N37" i="22"/>
  <c r="M37" i="22"/>
  <c r="P37" i="22"/>
  <c r="AD12" i="28" l="1"/>
  <c r="AD75" i="28"/>
  <c r="AD60" i="28"/>
  <c r="AD50" i="28" s="1"/>
  <c r="AF7" i="28"/>
  <c r="AF9" i="28" s="1"/>
  <c r="AG6" i="28"/>
  <c r="AF11" i="28"/>
  <c r="AE94" i="28"/>
  <c r="AE54" i="28"/>
  <c r="AE15" i="28"/>
  <c r="AE51" i="28"/>
  <c r="AE52" i="28"/>
  <c r="AE57" i="28"/>
  <c r="AE58" i="28"/>
  <c r="AE68" i="28"/>
  <c r="AE70" i="28"/>
  <c r="AE13" i="28"/>
  <c r="AE84" i="28"/>
  <c r="AE55" i="28"/>
  <c r="AE62" i="28"/>
  <c r="AE64" i="28"/>
  <c r="AE65" i="28"/>
  <c r="AE66" i="28"/>
  <c r="AE67" i="28"/>
  <c r="AE69" i="28"/>
  <c r="AE85" i="28"/>
  <c r="AE86" i="28"/>
  <c r="AE87" i="28"/>
  <c r="AE88" i="28"/>
  <c r="AE81" i="28"/>
  <c r="AE82" i="28"/>
  <c r="AE83" i="28"/>
  <c r="AE14" i="28"/>
  <c r="AE44" i="28"/>
  <c r="AE45" i="28" s="1"/>
  <c r="AE53" i="28"/>
  <c r="AE56" i="28"/>
  <c r="AE59" i="28"/>
  <c r="AE61" i="28"/>
  <c r="AE63" i="28"/>
  <c r="AB38" i="22"/>
  <c r="Z38" i="22"/>
  <c r="AA38" i="22"/>
  <c r="AF60" i="27"/>
  <c r="AG52" i="27"/>
  <c r="AG54" i="27"/>
  <c r="AG56" i="27"/>
  <c r="AG59" i="27"/>
  <c r="AG63" i="27"/>
  <c r="AG70" i="27"/>
  <c r="AG94" i="27"/>
  <c r="AG51" i="27"/>
  <c r="AG53" i="27"/>
  <c r="AG55" i="27"/>
  <c r="AG57" i="27"/>
  <c r="AG58" i="27"/>
  <c r="AG62" i="27"/>
  <c r="AG66" i="27"/>
  <c r="AG67" i="27"/>
  <c r="AG81" i="27"/>
  <c r="AG82" i="27"/>
  <c r="AG83" i="27"/>
  <c r="AG64" i="27"/>
  <c r="AG65" i="27"/>
  <c r="AG68" i="27"/>
  <c r="AG69" i="27"/>
  <c r="AG84" i="27"/>
  <c r="AG85" i="27"/>
  <c r="AG86" i="27"/>
  <c r="AG87" i="27"/>
  <c r="AG13" i="27"/>
  <c r="AG14" i="27"/>
  <c r="AG15" i="27"/>
  <c r="AG88" i="27"/>
  <c r="AH11" i="27"/>
  <c r="AH7" i="27"/>
  <c r="AH9" i="27" s="1"/>
  <c r="AI6" i="27"/>
  <c r="AF75" i="27"/>
  <c r="AF12" i="27"/>
  <c r="AQ39" i="22"/>
  <c r="AM40" i="22"/>
  <c r="AT39" i="22"/>
  <c r="AS39" i="22"/>
  <c r="AR39" i="22"/>
  <c r="AP39" i="22"/>
  <c r="AO39" i="22"/>
  <c r="AN39" i="22"/>
  <c r="AH39" i="23"/>
  <c r="AK39" i="23"/>
  <c r="AD40" i="23"/>
  <c r="AJ39" i="23"/>
  <c r="AG39" i="23"/>
  <c r="AE39" i="23"/>
  <c r="AI39" i="23"/>
  <c r="AF39" i="23"/>
  <c r="AQ39" i="23"/>
  <c r="AM40" i="23"/>
  <c r="AT39" i="23"/>
  <c r="AS39" i="23"/>
  <c r="AR39" i="23"/>
  <c r="AP39" i="23"/>
  <c r="AO39" i="23"/>
  <c r="AN39" i="23"/>
  <c r="AE35" i="7"/>
  <c r="AF35" i="7"/>
  <c r="AJ35" i="7" s="1"/>
  <c r="AG35" i="7"/>
  <c r="AH35" i="7"/>
  <c r="AD36" i="7"/>
  <c r="AI34" i="7"/>
  <c r="AI35" i="7" s="1"/>
  <c r="AK34" i="7"/>
  <c r="AK38" i="22"/>
  <c r="AJ38" i="22"/>
  <c r="AI38" i="22"/>
  <c r="AG38" i="22"/>
  <c r="AF38" i="22"/>
  <c r="AE38" i="22"/>
  <c r="AH38" i="22"/>
  <c r="Q37" i="22"/>
  <c r="S37" i="22"/>
  <c r="R37" i="22"/>
  <c r="AQ34" i="7"/>
  <c r="AP34" i="7"/>
  <c r="AT34" i="7" s="1"/>
  <c r="AO34" i="7"/>
  <c r="AN34" i="7"/>
  <c r="AM35" i="7"/>
  <c r="AS34" i="7"/>
  <c r="AR34" i="7"/>
  <c r="H38" i="22"/>
  <c r="I38" i="22"/>
  <c r="I37" i="23"/>
  <c r="J37" i="23"/>
  <c r="D38" i="23"/>
  <c r="C39" i="23"/>
  <c r="F38" i="23"/>
  <c r="E38" i="23"/>
  <c r="G38" i="23"/>
  <c r="H37" i="23"/>
  <c r="AA38" i="23"/>
  <c r="W38" i="23"/>
  <c r="Z38" i="23"/>
  <c r="X38" i="23"/>
  <c r="V38" i="23"/>
  <c r="AB38" i="23"/>
  <c r="U39" i="23"/>
  <c r="Y38" i="23"/>
  <c r="O40" i="23"/>
  <c r="N40" i="23"/>
  <c r="S40" i="23"/>
  <c r="R40" i="23"/>
  <c r="Q40" i="23"/>
  <c r="M40" i="23"/>
  <c r="L41" i="23"/>
  <c r="P40" i="23"/>
  <c r="AD39" i="22"/>
  <c r="J38" i="22"/>
  <c r="E39" i="22"/>
  <c r="C40" i="22"/>
  <c r="D39" i="22"/>
  <c r="F39" i="22"/>
  <c r="G39" i="22"/>
  <c r="W39" i="22"/>
  <c r="U40" i="22"/>
  <c r="X39" i="22"/>
  <c r="V39" i="22"/>
  <c r="Y39" i="22"/>
  <c r="N38" i="22"/>
  <c r="L39" i="22"/>
  <c r="O38" i="22"/>
  <c r="M38" i="22"/>
  <c r="P38" i="22"/>
  <c r="R38" i="22" l="1"/>
  <c r="AF13" i="28"/>
  <c r="AF64" i="28"/>
  <c r="AF84" i="28"/>
  <c r="AF85" i="28"/>
  <c r="AF87" i="28"/>
  <c r="AF94" i="28"/>
  <c r="AF82" i="28"/>
  <c r="AF61" i="28"/>
  <c r="AF69" i="28"/>
  <c r="AF86" i="28"/>
  <c r="AF53" i="28"/>
  <c r="AF14" i="28"/>
  <c r="AF44" i="28"/>
  <c r="AF45" i="28" s="1"/>
  <c r="AF70" i="28"/>
  <c r="AF55" i="28"/>
  <c r="AF56" i="28"/>
  <c r="AF57" i="28"/>
  <c r="AF59" i="28"/>
  <c r="AF65" i="28"/>
  <c r="AF66" i="28"/>
  <c r="AF67" i="28"/>
  <c r="AF68" i="28"/>
  <c r="AF15" i="28"/>
  <c r="AF81" i="28"/>
  <c r="AF83" i="28"/>
  <c r="AF54" i="28"/>
  <c r="AF62" i="28"/>
  <c r="AF88" i="28"/>
  <c r="AF51" i="28"/>
  <c r="AF52" i="28"/>
  <c r="AF58" i="28"/>
  <c r="AF63" i="28"/>
  <c r="AG11" i="28"/>
  <c r="AH6" i="28"/>
  <c r="AG7" i="28"/>
  <c r="AG9" i="28" s="1"/>
  <c r="AE60" i="28"/>
  <c r="AE50" i="28" s="1"/>
  <c r="AE12" i="28"/>
  <c r="AE75" i="28"/>
  <c r="AA39" i="22"/>
  <c r="AB39" i="22"/>
  <c r="Z39" i="22"/>
  <c r="AG60" i="27"/>
  <c r="AH51" i="27"/>
  <c r="AH53" i="27"/>
  <c r="AH55" i="27"/>
  <c r="AH58" i="27"/>
  <c r="AH64" i="27"/>
  <c r="AH69" i="27"/>
  <c r="AH52" i="27"/>
  <c r="AH54" i="27"/>
  <c r="AH56" i="27"/>
  <c r="AH57" i="27"/>
  <c r="AH59" i="27"/>
  <c r="AH62" i="27"/>
  <c r="AH63" i="27"/>
  <c r="AH65" i="27"/>
  <c r="AH70" i="27"/>
  <c r="AH81" i="27"/>
  <c r="AH82" i="27"/>
  <c r="AH83" i="27"/>
  <c r="AH94" i="27"/>
  <c r="AH66" i="27"/>
  <c r="AH67" i="27"/>
  <c r="AH68" i="27"/>
  <c r="AH84" i="27"/>
  <c r="AH85" i="27"/>
  <c r="AH86" i="27"/>
  <c r="AH87" i="27"/>
  <c r="AH13" i="27"/>
  <c r="AH14" i="27"/>
  <c r="AH15" i="27"/>
  <c r="AH88" i="27"/>
  <c r="AI11" i="27"/>
  <c r="AI7" i="27"/>
  <c r="AI9" i="27" s="1"/>
  <c r="AJ6" i="27"/>
  <c r="AG75" i="27"/>
  <c r="AG12" i="27"/>
  <c r="AK35" i="7"/>
  <c r="AQ40" i="22"/>
  <c r="AM41" i="22"/>
  <c r="AT40" i="22"/>
  <c r="AS40" i="22"/>
  <c r="AR40" i="22"/>
  <c r="AP40" i="22"/>
  <c r="AO40" i="22"/>
  <c r="AN40" i="22"/>
  <c r="AH40" i="23"/>
  <c r="AK40" i="23"/>
  <c r="AE40" i="23"/>
  <c r="AI40" i="23"/>
  <c r="AG40" i="23"/>
  <c r="AD41" i="23"/>
  <c r="AJ40" i="23"/>
  <c r="AF40" i="23"/>
  <c r="AQ40" i="23"/>
  <c r="AM41" i="23"/>
  <c r="AT40" i="23"/>
  <c r="AS40" i="23"/>
  <c r="AR40" i="23"/>
  <c r="AP40" i="23"/>
  <c r="AO40" i="23"/>
  <c r="AN40" i="23"/>
  <c r="AH36" i="7"/>
  <c r="AE36" i="7"/>
  <c r="AF36" i="7"/>
  <c r="AJ36" i="7" s="1"/>
  <c r="AG36" i="7"/>
  <c r="AD37" i="7"/>
  <c r="AK39" i="22"/>
  <c r="AJ39" i="22"/>
  <c r="AI39" i="22"/>
  <c r="AG39" i="22"/>
  <c r="AF39" i="22"/>
  <c r="AE39" i="22"/>
  <c r="AH39" i="22"/>
  <c r="Q38" i="22"/>
  <c r="S38" i="22"/>
  <c r="AQ35" i="7"/>
  <c r="AP35" i="7"/>
  <c r="AO35" i="7"/>
  <c r="AS35" i="7" s="1"/>
  <c r="AN35" i="7"/>
  <c r="AM36" i="7"/>
  <c r="AT35" i="7"/>
  <c r="AR35" i="7"/>
  <c r="H39" i="22"/>
  <c r="H38" i="23"/>
  <c r="I38" i="23"/>
  <c r="J38" i="23"/>
  <c r="I39" i="22"/>
  <c r="J39" i="22"/>
  <c r="Q41" i="23"/>
  <c r="O41" i="23"/>
  <c r="N41" i="23"/>
  <c r="L42" i="23"/>
  <c r="M41" i="23"/>
  <c r="S41" i="23"/>
  <c r="R41" i="23"/>
  <c r="P41" i="23"/>
  <c r="Z39" i="23"/>
  <c r="AA39" i="23"/>
  <c r="X39" i="23"/>
  <c r="U40" i="23"/>
  <c r="V39" i="23"/>
  <c r="AB39" i="23"/>
  <c r="W39" i="23"/>
  <c r="Y39" i="23"/>
  <c r="F39" i="23"/>
  <c r="E39" i="23"/>
  <c r="D39" i="23"/>
  <c r="C40" i="23"/>
  <c r="G39" i="23"/>
  <c r="X40" i="22"/>
  <c r="U41" i="22"/>
  <c r="W40" i="22"/>
  <c r="V40" i="22"/>
  <c r="Y40" i="22"/>
  <c r="AD40" i="22"/>
  <c r="M39" i="22"/>
  <c r="O39" i="22"/>
  <c r="N39" i="22"/>
  <c r="L40" i="22"/>
  <c r="P39" i="22"/>
  <c r="E40" i="22"/>
  <c r="D40" i="22"/>
  <c r="C41" i="22"/>
  <c r="F40" i="22"/>
  <c r="G40" i="22"/>
  <c r="AF75" i="28" l="1"/>
  <c r="AF60" i="28"/>
  <c r="AF50" i="28" s="1"/>
  <c r="AI6" i="28"/>
  <c r="AH11" i="28"/>
  <c r="AH7" i="28"/>
  <c r="AH9" i="28" s="1"/>
  <c r="AG87" i="28"/>
  <c r="AG85" i="28"/>
  <c r="AG86" i="28"/>
  <c r="AG94" i="28"/>
  <c r="AG51" i="28"/>
  <c r="AG54" i="28"/>
  <c r="AG58" i="28"/>
  <c r="AG81" i="28"/>
  <c r="AG66" i="28"/>
  <c r="AG67" i="28"/>
  <c r="AG69" i="28"/>
  <c r="AG13" i="28"/>
  <c r="AG14" i="28"/>
  <c r="AG70" i="28"/>
  <c r="AG44" i="28"/>
  <c r="AG45" i="28" s="1"/>
  <c r="AG53" i="28"/>
  <c r="AG59" i="28"/>
  <c r="AG61" i="28"/>
  <c r="AG62" i="28"/>
  <c r="AG64" i="28"/>
  <c r="AG65" i="28"/>
  <c r="AG82" i="28"/>
  <c r="AG83" i="28"/>
  <c r="AG15" i="28"/>
  <c r="AG52" i="28"/>
  <c r="AG55" i="28"/>
  <c r="AG56" i="28"/>
  <c r="AG57" i="28"/>
  <c r="AG63" i="28"/>
  <c r="AG68" i="28"/>
  <c r="AG84" i="28"/>
  <c r="AG88" i="28"/>
  <c r="AF12" i="28"/>
  <c r="AB40" i="22"/>
  <c r="Z40" i="22"/>
  <c r="AA40" i="22"/>
  <c r="AH60" i="27"/>
  <c r="AI52" i="27"/>
  <c r="AI54" i="27"/>
  <c r="AI57" i="27"/>
  <c r="AI59" i="27"/>
  <c r="AI62" i="27"/>
  <c r="AI86" i="27"/>
  <c r="AI82" i="27"/>
  <c r="AI88" i="27"/>
  <c r="AI51" i="27"/>
  <c r="AI53" i="27"/>
  <c r="AI55" i="27"/>
  <c r="AI56" i="27"/>
  <c r="AI58" i="27"/>
  <c r="AI63" i="27"/>
  <c r="AI69" i="27"/>
  <c r="AI70" i="27"/>
  <c r="AI81" i="27"/>
  <c r="AI94" i="27"/>
  <c r="AI64" i="27"/>
  <c r="AI65" i="27"/>
  <c r="AI66" i="27"/>
  <c r="AI67" i="27"/>
  <c r="AI68" i="27"/>
  <c r="AI83" i="27"/>
  <c r="AI15" i="27"/>
  <c r="AI84" i="27"/>
  <c r="AI85" i="27"/>
  <c r="AI87" i="27"/>
  <c r="AI13" i="27"/>
  <c r="AI14" i="27"/>
  <c r="AJ11" i="27"/>
  <c r="AJ7" i="27"/>
  <c r="AJ9" i="27" s="1"/>
  <c r="AK6" i="27"/>
  <c r="AH75" i="27"/>
  <c r="AH12" i="27"/>
  <c r="AQ41" i="22"/>
  <c r="AM42" i="22"/>
  <c r="AS41" i="22"/>
  <c r="AR41" i="22"/>
  <c r="AP41" i="22"/>
  <c r="AN41" i="22"/>
  <c r="AT41" i="22"/>
  <c r="AO41" i="22"/>
  <c r="AH41" i="23"/>
  <c r="AK41" i="23"/>
  <c r="AE41" i="23"/>
  <c r="AF41" i="23"/>
  <c r="AJ41" i="23"/>
  <c r="AG41" i="23"/>
  <c r="AD42" i="23"/>
  <c r="AI41" i="23"/>
  <c r="AQ41" i="23"/>
  <c r="AM42" i="23"/>
  <c r="AT41" i="23"/>
  <c r="AS41" i="23"/>
  <c r="AR41" i="23"/>
  <c r="AP41" i="23"/>
  <c r="AO41" i="23"/>
  <c r="AN41" i="23"/>
  <c r="AE37" i="7"/>
  <c r="AF37" i="7"/>
  <c r="AJ37" i="7" s="1"/>
  <c r="AG37" i="7"/>
  <c r="AH37" i="7"/>
  <c r="AD38" i="7"/>
  <c r="Q39" i="22"/>
  <c r="AI36" i="7"/>
  <c r="AK36" i="7"/>
  <c r="AK40" i="22"/>
  <c r="AJ40" i="22"/>
  <c r="AI40" i="22"/>
  <c r="AG40" i="22"/>
  <c r="AF40" i="22"/>
  <c r="AE40" i="22"/>
  <c r="AH40" i="22"/>
  <c r="S39" i="22"/>
  <c r="R39" i="22"/>
  <c r="AO36" i="7"/>
  <c r="AN36" i="7"/>
  <c r="AM37" i="7"/>
  <c r="AS36" i="7"/>
  <c r="AQ36" i="7"/>
  <c r="AP36" i="7"/>
  <c r="H40" i="22"/>
  <c r="I39" i="23"/>
  <c r="I40" i="22"/>
  <c r="J39" i="23"/>
  <c r="H39" i="23"/>
  <c r="J40" i="22"/>
  <c r="F40" i="23"/>
  <c r="C41" i="23"/>
  <c r="E40" i="23"/>
  <c r="D40" i="23"/>
  <c r="G40" i="23"/>
  <c r="M42" i="23"/>
  <c r="O42" i="23"/>
  <c r="N42" i="23"/>
  <c r="S42" i="23"/>
  <c r="R42" i="23"/>
  <c r="Q42" i="23"/>
  <c r="P42" i="23"/>
  <c r="L43" i="23"/>
  <c r="V40" i="23"/>
  <c r="AB40" i="23"/>
  <c r="Z40" i="23"/>
  <c r="X40" i="23"/>
  <c r="U41" i="23"/>
  <c r="W40" i="23"/>
  <c r="AA40" i="23"/>
  <c r="Y40" i="23"/>
  <c r="W41" i="22"/>
  <c r="X41" i="22"/>
  <c r="U42" i="22"/>
  <c r="V41" i="22"/>
  <c r="Y41" i="22"/>
  <c r="L41" i="22"/>
  <c r="O40" i="22"/>
  <c r="N40" i="22"/>
  <c r="M40" i="22"/>
  <c r="P40" i="22"/>
  <c r="C42" i="22"/>
  <c r="D41" i="22"/>
  <c r="G41" i="22"/>
  <c r="F41" i="22"/>
  <c r="E41" i="22"/>
  <c r="AD41" i="22"/>
  <c r="AI11" i="28" l="1"/>
  <c r="AI7" i="28"/>
  <c r="AI9" i="28" s="1"/>
  <c r="AJ6" i="28"/>
  <c r="AH85" i="28"/>
  <c r="AH66" i="28"/>
  <c r="AH69" i="28"/>
  <c r="AH62" i="28"/>
  <c r="AH86" i="28"/>
  <c r="AH54" i="28"/>
  <c r="AH63" i="28"/>
  <c r="AH68" i="28"/>
  <c r="AH13" i="28"/>
  <c r="AH83" i="28"/>
  <c r="AH58" i="28"/>
  <c r="AH61" i="28"/>
  <c r="AH65" i="28"/>
  <c r="AH67" i="28"/>
  <c r="AH87" i="28"/>
  <c r="AH81" i="28"/>
  <c r="AH82" i="28"/>
  <c r="AH56" i="28"/>
  <c r="AH64" i="28"/>
  <c r="AH70" i="28"/>
  <c r="AH94" i="28"/>
  <c r="AH14" i="28"/>
  <c r="AH15" i="28"/>
  <c r="AH44" i="28"/>
  <c r="AH45" i="28" s="1"/>
  <c r="AH59" i="28"/>
  <c r="AH51" i="28"/>
  <c r="AH52" i="28"/>
  <c r="AH53" i="28"/>
  <c r="AH55" i="28"/>
  <c r="AH57" i="28"/>
  <c r="AH88" i="28"/>
  <c r="AH84" i="28"/>
  <c r="AG60" i="28"/>
  <c r="AG50" i="28" s="1"/>
  <c r="AG75" i="28"/>
  <c r="AG12" i="28"/>
  <c r="AA41" i="22"/>
  <c r="AB41" i="22"/>
  <c r="Z41" i="22"/>
  <c r="AI60" i="27"/>
  <c r="AJ88" i="27"/>
  <c r="AJ53" i="27"/>
  <c r="AJ56" i="27"/>
  <c r="AJ58" i="27"/>
  <c r="AJ63" i="27"/>
  <c r="AJ69" i="27"/>
  <c r="AJ83" i="27"/>
  <c r="AJ64" i="27"/>
  <c r="AJ51" i="27"/>
  <c r="AJ52" i="27"/>
  <c r="AJ54" i="27"/>
  <c r="AJ55" i="27"/>
  <c r="AJ57" i="27"/>
  <c r="AJ59" i="27"/>
  <c r="AJ62" i="27"/>
  <c r="AJ66" i="27"/>
  <c r="AJ67" i="27"/>
  <c r="AJ70" i="27"/>
  <c r="AJ81" i="27"/>
  <c r="AJ82" i="27"/>
  <c r="AJ94" i="27"/>
  <c r="AJ65" i="27"/>
  <c r="AJ68" i="27"/>
  <c r="AJ84" i="27"/>
  <c r="AJ85" i="27"/>
  <c r="AJ86" i="27"/>
  <c r="AJ87" i="27"/>
  <c r="AJ13" i="27"/>
  <c r="AJ14" i="27"/>
  <c r="AJ15" i="27"/>
  <c r="AK11" i="27"/>
  <c r="AK7" i="27"/>
  <c r="AK9" i="27" s="1"/>
  <c r="AL6" i="27"/>
  <c r="AI75" i="27"/>
  <c r="AI12" i="27"/>
  <c r="AQ42" i="22"/>
  <c r="AR42" i="22"/>
  <c r="AO42" i="22"/>
  <c r="AM43" i="22"/>
  <c r="AP42" i="22"/>
  <c r="AT42" i="22"/>
  <c r="AS42" i="22"/>
  <c r="AN42" i="22"/>
  <c r="AH42" i="23"/>
  <c r="AK42" i="23"/>
  <c r="AE42" i="23"/>
  <c r="AG42" i="23"/>
  <c r="AJ42" i="23"/>
  <c r="AI42" i="23"/>
  <c r="AD43" i="23"/>
  <c r="AF42" i="23"/>
  <c r="AQ42" i="23"/>
  <c r="AT42" i="23"/>
  <c r="AM43" i="23"/>
  <c r="AS42" i="23"/>
  <c r="AR42" i="23"/>
  <c r="AP42" i="23"/>
  <c r="AO42" i="23"/>
  <c r="AN42" i="23"/>
  <c r="AI37" i="7"/>
  <c r="AK37" i="7"/>
  <c r="AH38" i="7"/>
  <c r="AE38" i="7"/>
  <c r="AF38" i="7"/>
  <c r="AJ38" i="7" s="1"/>
  <c r="AG38" i="7"/>
  <c r="AK38" i="7" s="1"/>
  <c r="AD39" i="7"/>
  <c r="AK41" i="22"/>
  <c r="AJ41" i="22"/>
  <c r="AI41" i="22"/>
  <c r="AG41" i="22"/>
  <c r="AF41" i="22"/>
  <c r="AE41" i="22"/>
  <c r="AH41" i="22"/>
  <c r="S40" i="22"/>
  <c r="Q40" i="22"/>
  <c r="R40" i="22"/>
  <c r="AM38" i="7"/>
  <c r="AQ37" i="7"/>
  <c r="AP37" i="7"/>
  <c r="AT37" i="7" s="1"/>
  <c r="AO37" i="7"/>
  <c r="AS37" i="7" s="1"/>
  <c r="AN37" i="7"/>
  <c r="AT36" i="7"/>
  <c r="AR36" i="7"/>
  <c r="AR37" i="7" s="1"/>
  <c r="H41" i="22"/>
  <c r="I40" i="23"/>
  <c r="I41" i="22"/>
  <c r="J40" i="23"/>
  <c r="H40" i="23"/>
  <c r="D41" i="23"/>
  <c r="F41" i="23"/>
  <c r="E41" i="23"/>
  <c r="C42" i="23"/>
  <c r="G41" i="23"/>
  <c r="Q43" i="23"/>
  <c r="O43" i="23"/>
  <c r="N43" i="23"/>
  <c r="M43" i="23"/>
  <c r="L44" i="23"/>
  <c r="S43" i="23"/>
  <c r="R43" i="23"/>
  <c r="P43" i="23"/>
  <c r="AB41" i="23"/>
  <c r="AA41" i="23"/>
  <c r="W41" i="23"/>
  <c r="U42" i="23"/>
  <c r="Z41" i="23"/>
  <c r="X41" i="23"/>
  <c r="V41" i="23"/>
  <c r="Y41" i="23"/>
  <c r="W42" i="22"/>
  <c r="V42" i="22"/>
  <c r="U43" i="22"/>
  <c r="X42" i="22"/>
  <c r="Y42" i="22"/>
  <c r="N41" i="22"/>
  <c r="L42" i="22"/>
  <c r="M41" i="22"/>
  <c r="O41" i="22"/>
  <c r="P41" i="22"/>
  <c r="C43" i="22"/>
  <c r="F42" i="22"/>
  <c r="E42" i="22"/>
  <c r="D42" i="22"/>
  <c r="G42" i="22"/>
  <c r="J41" i="22"/>
  <c r="AD42" i="22"/>
  <c r="R41" i="22" l="1"/>
  <c r="AH12" i="28"/>
  <c r="AI94" i="28"/>
  <c r="AI56" i="28"/>
  <c r="AI14" i="28"/>
  <c r="AI54" i="28"/>
  <c r="AI57" i="28"/>
  <c r="AI85" i="28"/>
  <c r="AI70" i="28"/>
  <c r="AI86" i="28"/>
  <c r="AI87" i="28"/>
  <c r="AI15" i="28"/>
  <c r="AI88" i="28"/>
  <c r="AI51" i="28"/>
  <c r="AI52" i="28"/>
  <c r="AI55" i="28"/>
  <c r="AI58" i="28"/>
  <c r="AI62" i="28"/>
  <c r="AI64" i="28"/>
  <c r="AI53" i="28"/>
  <c r="AI59" i="28"/>
  <c r="AI83" i="28"/>
  <c r="AI65" i="28"/>
  <c r="AI67" i="28"/>
  <c r="AI68" i="28"/>
  <c r="AI84" i="28"/>
  <c r="AI61" i="28"/>
  <c r="AI66" i="28"/>
  <c r="AI69" i="28"/>
  <c r="AI81" i="28"/>
  <c r="AI82" i="28"/>
  <c r="AI13" i="28"/>
  <c r="AI44" i="28"/>
  <c r="AI45" i="28" s="1"/>
  <c r="AI63" i="28"/>
  <c r="AJ11" i="28"/>
  <c r="AJ7" i="28"/>
  <c r="AJ9" i="28" s="1"/>
  <c r="AK6" i="28"/>
  <c r="AH60" i="28"/>
  <c r="AH50" i="28" s="1"/>
  <c r="AH75" i="28"/>
  <c r="Z42" i="22"/>
  <c r="AB42" i="22"/>
  <c r="AA42" i="22"/>
  <c r="AJ60" i="27"/>
  <c r="AK64" i="27"/>
  <c r="AK68" i="27"/>
  <c r="AK13" i="27"/>
  <c r="AK88" i="27"/>
  <c r="AK52" i="27"/>
  <c r="AK55" i="27"/>
  <c r="AK57" i="27"/>
  <c r="AK59" i="27"/>
  <c r="AK62" i="27"/>
  <c r="AK63" i="27"/>
  <c r="AK65" i="27"/>
  <c r="AK69" i="27"/>
  <c r="AK70" i="27"/>
  <c r="AK86" i="27"/>
  <c r="AK81" i="27"/>
  <c r="AK82" i="27"/>
  <c r="AK94" i="27"/>
  <c r="AK66" i="27"/>
  <c r="AK67" i="27"/>
  <c r="AK83" i="27"/>
  <c r="AK84" i="27"/>
  <c r="AK85" i="27"/>
  <c r="AK87" i="27"/>
  <c r="AK14" i="27"/>
  <c r="AK15" i="27"/>
  <c r="AK51" i="27"/>
  <c r="AK53" i="27"/>
  <c r="AK54" i="27"/>
  <c r="AK56" i="27"/>
  <c r="AK58" i="27"/>
  <c r="AM6" i="27"/>
  <c r="AL11" i="27"/>
  <c r="AL7" i="27"/>
  <c r="AL9" i="27" s="1"/>
  <c r="AI38" i="7"/>
  <c r="AJ75" i="27"/>
  <c r="AJ12" i="27"/>
  <c r="AQ43" i="22"/>
  <c r="AT43" i="22"/>
  <c r="AR43" i="22"/>
  <c r="AN43" i="22"/>
  <c r="AM44" i="22"/>
  <c r="AS43" i="22"/>
  <c r="AP43" i="22"/>
  <c r="AO43" i="22"/>
  <c r="AH43" i="23"/>
  <c r="AD44" i="23"/>
  <c r="AE43" i="23"/>
  <c r="AG43" i="23"/>
  <c r="AI43" i="23"/>
  <c r="AF43" i="23"/>
  <c r="AJ43" i="23"/>
  <c r="AK43" i="23"/>
  <c r="AQ43" i="23"/>
  <c r="AM44" i="23"/>
  <c r="AT43" i="23"/>
  <c r="AS43" i="23"/>
  <c r="AR43" i="23"/>
  <c r="AP43" i="23"/>
  <c r="AO43" i="23"/>
  <c r="AN43" i="23"/>
  <c r="AE39" i="7"/>
  <c r="AF39" i="7"/>
  <c r="AJ39" i="7" s="1"/>
  <c r="AG39" i="7"/>
  <c r="AH39" i="7"/>
  <c r="AD40" i="7"/>
  <c r="AK42" i="22"/>
  <c r="AJ42" i="22"/>
  <c r="AI42" i="22"/>
  <c r="AG42" i="22"/>
  <c r="AF42" i="22"/>
  <c r="AE42" i="22"/>
  <c r="AH42" i="22"/>
  <c r="Q41" i="22"/>
  <c r="S41" i="22"/>
  <c r="AQ38" i="7"/>
  <c r="AO38" i="7"/>
  <c r="AM39" i="7"/>
  <c r="AP38" i="7"/>
  <c r="AN38" i="7"/>
  <c r="AS38" i="7" s="1"/>
  <c r="H42" i="22"/>
  <c r="I41" i="23"/>
  <c r="J41" i="23"/>
  <c r="I42" i="22"/>
  <c r="J42" i="22"/>
  <c r="C43" i="23"/>
  <c r="E42" i="23"/>
  <c r="F42" i="23"/>
  <c r="D42" i="23"/>
  <c r="G42" i="23"/>
  <c r="H41" i="23"/>
  <c r="Q44" i="23"/>
  <c r="S44" i="23"/>
  <c r="R44" i="23"/>
  <c r="O44" i="23"/>
  <c r="M44" i="23"/>
  <c r="L45" i="23"/>
  <c r="N44" i="23"/>
  <c r="P44" i="23"/>
  <c r="Z42" i="23"/>
  <c r="AB42" i="23"/>
  <c r="AA42" i="23"/>
  <c r="X42" i="23"/>
  <c r="V42" i="23"/>
  <c r="U43" i="23"/>
  <c r="W42" i="23"/>
  <c r="Y42" i="23"/>
  <c r="N42" i="22"/>
  <c r="M42" i="22"/>
  <c r="O42" i="22"/>
  <c r="L43" i="22"/>
  <c r="P42" i="22"/>
  <c r="E43" i="22"/>
  <c r="C44" i="22"/>
  <c r="F43" i="22"/>
  <c r="D43" i="22"/>
  <c r="G43" i="22"/>
  <c r="U44" i="22"/>
  <c r="V43" i="22"/>
  <c r="W43" i="22"/>
  <c r="X43" i="22"/>
  <c r="Y43" i="22"/>
  <c r="AD43" i="22"/>
  <c r="AI60" i="28" l="1"/>
  <c r="AI50" i="28" s="1"/>
  <c r="AJ56" i="28"/>
  <c r="AJ62" i="28"/>
  <c r="AJ94" i="28"/>
  <c r="AJ58" i="28"/>
  <c r="AJ15" i="28"/>
  <c r="AJ14" i="28"/>
  <c r="AJ68" i="28"/>
  <c r="AJ55" i="28"/>
  <c r="AJ57" i="28"/>
  <c r="AJ61" i="28"/>
  <c r="AJ63" i="28"/>
  <c r="AJ64" i="28"/>
  <c r="AJ69" i="28"/>
  <c r="AJ70" i="28"/>
  <c r="AJ83" i="28"/>
  <c r="AJ13" i="28"/>
  <c r="AJ84" i="28"/>
  <c r="AJ44" i="28"/>
  <c r="AJ45" i="28" s="1"/>
  <c r="AJ53" i="28"/>
  <c r="AJ59" i="28"/>
  <c r="AJ65" i="28"/>
  <c r="AJ66" i="28"/>
  <c r="AJ67" i="28"/>
  <c r="AJ85" i="28"/>
  <c r="AJ86" i="28"/>
  <c r="AJ87" i="28"/>
  <c r="AJ88" i="28"/>
  <c r="AJ81" i="28"/>
  <c r="AJ82" i="28"/>
  <c r="AJ51" i="28"/>
  <c r="AJ52" i="28"/>
  <c r="AJ54" i="28"/>
  <c r="AL6" i="28"/>
  <c r="AK11" i="28"/>
  <c r="AK7" i="28"/>
  <c r="AK9" i="28" s="1"/>
  <c r="AI12" i="28"/>
  <c r="AI75" i="28"/>
  <c r="AA43" i="22"/>
  <c r="Z43" i="22"/>
  <c r="AB43" i="22"/>
  <c r="AK60" i="27"/>
  <c r="AM11" i="27"/>
  <c r="AM7" i="27"/>
  <c r="AM9" i="27" s="1"/>
  <c r="AN6" i="27"/>
  <c r="AL53" i="27"/>
  <c r="AL56" i="27"/>
  <c r="AL59" i="27"/>
  <c r="AL62" i="27"/>
  <c r="AL66" i="27"/>
  <c r="AL81" i="27"/>
  <c r="AL83" i="27"/>
  <c r="AL94" i="27"/>
  <c r="AL51" i="27"/>
  <c r="AL52" i="27"/>
  <c r="AL54" i="27"/>
  <c r="AL55" i="27"/>
  <c r="AL57" i="27"/>
  <c r="AL58" i="27"/>
  <c r="AL63" i="27"/>
  <c r="AL64" i="27"/>
  <c r="AL70" i="27"/>
  <c r="AL82" i="27"/>
  <c r="AL65" i="27"/>
  <c r="AL67" i="27"/>
  <c r="AL68" i="27"/>
  <c r="AL69" i="27"/>
  <c r="AL84" i="27"/>
  <c r="AL85" i="27"/>
  <c r="AL86" i="27"/>
  <c r="AL87" i="27"/>
  <c r="AL13" i="27"/>
  <c r="AL14" i="27"/>
  <c r="AL15" i="27"/>
  <c r="AL88" i="27"/>
  <c r="AK12" i="27"/>
  <c r="AK75" i="27"/>
  <c r="AQ44" i="22"/>
  <c r="AT44" i="22"/>
  <c r="AP44" i="22"/>
  <c r="AM45" i="22"/>
  <c r="AS44" i="22"/>
  <c r="AR44" i="22"/>
  <c r="AO44" i="22"/>
  <c r="AN44" i="22"/>
  <c r="AH44" i="23"/>
  <c r="AD45" i="23"/>
  <c r="AK44" i="23"/>
  <c r="AI44" i="23"/>
  <c r="AG44" i="23"/>
  <c r="AE44" i="23"/>
  <c r="AJ44" i="23"/>
  <c r="AF44" i="23"/>
  <c r="AQ44" i="23"/>
  <c r="AM45" i="23"/>
  <c r="AT44" i="23"/>
  <c r="AS44" i="23"/>
  <c r="AR44" i="23"/>
  <c r="AP44" i="23"/>
  <c r="AO44" i="23"/>
  <c r="AN44" i="23"/>
  <c r="AE40" i="7"/>
  <c r="AF40" i="7"/>
  <c r="AJ40" i="7" s="1"/>
  <c r="AG40" i="7"/>
  <c r="AH40" i="7"/>
  <c r="AD41" i="7"/>
  <c r="AI39" i="7"/>
  <c r="AI40" i="7" s="1"/>
  <c r="AK39" i="7"/>
  <c r="AK43" i="22"/>
  <c r="AJ43" i="22"/>
  <c r="AI43" i="22"/>
  <c r="AG43" i="22"/>
  <c r="AF43" i="22"/>
  <c r="AE43" i="22"/>
  <c r="AH43" i="22"/>
  <c r="R42" i="22"/>
  <c r="S42" i="22"/>
  <c r="Q42" i="22"/>
  <c r="AM40" i="7"/>
  <c r="AT39" i="7"/>
  <c r="AQ39" i="7"/>
  <c r="AP39" i="7"/>
  <c r="AO39" i="7"/>
  <c r="AS39" i="7" s="1"/>
  <c r="AN39" i="7"/>
  <c r="AT38" i="7"/>
  <c r="AR38" i="7"/>
  <c r="AR39" i="7" s="1"/>
  <c r="H43" i="22"/>
  <c r="I42" i="23"/>
  <c r="J42" i="23"/>
  <c r="I43" i="22"/>
  <c r="H42" i="23"/>
  <c r="C44" i="23"/>
  <c r="E43" i="23"/>
  <c r="F43" i="23"/>
  <c r="D43" i="23"/>
  <c r="G43" i="23"/>
  <c r="M45" i="23"/>
  <c r="L46" i="23"/>
  <c r="S45" i="23"/>
  <c r="Q45" i="23"/>
  <c r="N45" i="23"/>
  <c r="O45" i="23"/>
  <c r="R45" i="23"/>
  <c r="P45" i="23"/>
  <c r="V43" i="23"/>
  <c r="AB43" i="23"/>
  <c r="Z43" i="23"/>
  <c r="X43" i="23"/>
  <c r="U44" i="23"/>
  <c r="AA43" i="23"/>
  <c r="W43" i="23"/>
  <c r="Y43" i="23"/>
  <c r="AD44" i="22"/>
  <c r="J43" i="22"/>
  <c r="F44" i="22"/>
  <c r="D44" i="22"/>
  <c r="G44" i="22"/>
  <c r="C45" i="22"/>
  <c r="E44" i="22"/>
  <c r="W44" i="22"/>
  <c r="V44" i="22"/>
  <c r="U45" i="22"/>
  <c r="X44" i="22"/>
  <c r="Y44" i="22"/>
  <c r="O43" i="22"/>
  <c r="L44" i="22"/>
  <c r="M43" i="22"/>
  <c r="N43" i="22"/>
  <c r="P43" i="22"/>
  <c r="AJ12" i="28" l="1"/>
  <c r="AJ60" i="28"/>
  <c r="AJ50" i="28" s="1"/>
  <c r="AL11" i="28"/>
  <c r="AM6" i="28"/>
  <c r="AL7" i="28"/>
  <c r="AL9" i="28" s="1"/>
  <c r="AK94" i="28"/>
  <c r="AK59" i="28"/>
  <c r="AK51" i="28"/>
  <c r="AK53" i="28"/>
  <c r="AK54" i="28"/>
  <c r="AK44" i="28"/>
  <c r="AK45" i="28" s="1"/>
  <c r="AK52" i="28"/>
  <c r="AK14" i="28"/>
  <c r="AK55" i="28"/>
  <c r="AK57" i="28"/>
  <c r="AK84" i="28"/>
  <c r="AK86" i="28"/>
  <c r="AK87" i="28"/>
  <c r="AK61" i="28"/>
  <c r="AK64" i="28"/>
  <c r="AK65" i="28"/>
  <c r="AK66" i="28"/>
  <c r="AK67" i="28"/>
  <c r="AK68" i="28"/>
  <c r="AK69" i="28"/>
  <c r="AK70" i="28"/>
  <c r="AK88" i="28"/>
  <c r="AK85" i="28"/>
  <c r="AK81" i="28"/>
  <c r="AK82" i="28"/>
  <c r="AK13" i="28"/>
  <c r="AK15" i="28"/>
  <c r="AK56" i="28"/>
  <c r="AK58" i="28"/>
  <c r="AK62" i="28"/>
  <c r="AK63" i="28"/>
  <c r="AK83" i="28"/>
  <c r="AJ75" i="28"/>
  <c r="AB44" i="22"/>
  <c r="Z44" i="22"/>
  <c r="AA44" i="22"/>
  <c r="AM51" i="27"/>
  <c r="AM53" i="27"/>
  <c r="AM55" i="27"/>
  <c r="AM57" i="27"/>
  <c r="AM59" i="27"/>
  <c r="AM62" i="27"/>
  <c r="AM69" i="27"/>
  <c r="AM81" i="27"/>
  <c r="AM84" i="27"/>
  <c r="AM52" i="27"/>
  <c r="AM54" i="27"/>
  <c r="AM56" i="27"/>
  <c r="AM58" i="27"/>
  <c r="AM63" i="27"/>
  <c r="AM67" i="27"/>
  <c r="AM70" i="27"/>
  <c r="AM82" i="27"/>
  <c r="AM83" i="27"/>
  <c r="AM85" i="27"/>
  <c r="AM86" i="27"/>
  <c r="AM87" i="27"/>
  <c r="AM88" i="27"/>
  <c r="AM94" i="27"/>
  <c r="AM64" i="27"/>
  <c r="AM65" i="27"/>
  <c r="AM66" i="27"/>
  <c r="AM68" i="27"/>
  <c r="AM13" i="27"/>
  <c r="AM14" i="27"/>
  <c r="AM15" i="27"/>
  <c r="AN11" i="27"/>
  <c r="AN7" i="27"/>
  <c r="AN9" i="27" s="1"/>
  <c r="AL60" i="27"/>
  <c r="AK40" i="7"/>
  <c r="S43" i="22"/>
  <c r="AL12" i="27"/>
  <c r="AL75" i="27"/>
  <c r="AQ45" i="22"/>
  <c r="AM46" i="22"/>
  <c r="AT45" i="22"/>
  <c r="AS45" i="22"/>
  <c r="AR45" i="22"/>
  <c r="AP45" i="22"/>
  <c r="AO45" i="22"/>
  <c r="AN45" i="22"/>
  <c r="AH45" i="23"/>
  <c r="AE45" i="23"/>
  <c r="AK45" i="23"/>
  <c r="AI45" i="23"/>
  <c r="AG45" i="23"/>
  <c r="AD46" i="23"/>
  <c r="AF45" i="23"/>
  <c r="AJ45" i="23"/>
  <c r="AQ45" i="23"/>
  <c r="AP45" i="23"/>
  <c r="AM46" i="23"/>
  <c r="AT45" i="23"/>
  <c r="AS45" i="23"/>
  <c r="AR45" i="23"/>
  <c r="AN45" i="23"/>
  <c r="AO45" i="23"/>
  <c r="AE41" i="7"/>
  <c r="AF41" i="7"/>
  <c r="AJ41" i="7" s="1"/>
  <c r="AG41" i="7"/>
  <c r="AH41" i="7"/>
  <c r="AD42" i="7"/>
  <c r="Q43" i="22"/>
  <c r="AK44" i="22"/>
  <c r="AJ44" i="22"/>
  <c r="AI44" i="22"/>
  <c r="AG44" i="22"/>
  <c r="AF44" i="22"/>
  <c r="AE44" i="22"/>
  <c r="AH44" i="22"/>
  <c r="R43" i="22"/>
  <c r="AQ40" i="7"/>
  <c r="AP40" i="7"/>
  <c r="AO40" i="7"/>
  <c r="AN40" i="7"/>
  <c r="AM41" i="7"/>
  <c r="AS40" i="7"/>
  <c r="H44" i="22"/>
  <c r="H43" i="23"/>
  <c r="I43" i="23"/>
  <c r="J44" i="22"/>
  <c r="I44" i="22"/>
  <c r="N46" i="23"/>
  <c r="M46" i="23"/>
  <c r="O46" i="23"/>
  <c r="S46" i="23"/>
  <c r="R46" i="23"/>
  <c r="L47" i="23"/>
  <c r="Q46" i="23"/>
  <c r="P46" i="23"/>
  <c r="J43" i="23"/>
  <c r="D44" i="23"/>
  <c r="C45" i="23"/>
  <c r="E44" i="23"/>
  <c r="F44" i="23"/>
  <c r="G44" i="23"/>
  <c r="U45" i="23"/>
  <c r="AB44" i="23"/>
  <c r="Z44" i="23"/>
  <c r="X44" i="23"/>
  <c r="AA44" i="23"/>
  <c r="W44" i="23"/>
  <c r="V44" i="23"/>
  <c r="Y44" i="23"/>
  <c r="W45" i="22"/>
  <c r="U46" i="22"/>
  <c r="X45" i="22"/>
  <c r="V45" i="22"/>
  <c r="Y45" i="22"/>
  <c r="N44" i="22"/>
  <c r="O44" i="22"/>
  <c r="M44" i="22"/>
  <c r="L45" i="22"/>
  <c r="P44" i="22"/>
  <c r="E45" i="22"/>
  <c r="C46" i="22"/>
  <c r="G45" i="22"/>
  <c r="F45" i="22"/>
  <c r="D45" i="22"/>
  <c r="AD45" i="22"/>
  <c r="AM7" i="28" l="1"/>
  <c r="AM9" i="28" s="1"/>
  <c r="AN6" i="28"/>
  <c r="AM11" i="28"/>
  <c r="AL52" i="28"/>
  <c r="AL51" i="28"/>
  <c r="AL58" i="28"/>
  <c r="AL53" i="28"/>
  <c r="AL61" i="28"/>
  <c r="AL64" i="28"/>
  <c r="AL66" i="28"/>
  <c r="AL82" i="28"/>
  <c r="AL13" i="28"/>
  <c r="AL55" i="28"/>
  <c r="AL59" i="28"/>
  <c r="AL57" i="28"/>
  <c r="AL94" i="28"/>
  <c r="AL14" i="28"/>
  <c r="AL15" i="28"/>
  <c r="AL44" i="28"/>
  <c r="AL45" i="28" s="1"/>
  <c r="AL67" i="28"/>
  <c r="AL65" i="28"/>
  <c r="AL62" i="28"/>
  <c r="AL63" i="28"/>
  <c r="AL68" i="28"/>
  <c r="AL70" i="28"/>
  <c r="AL87" i="28"/>
  <c r="AL83" i="28"/>
  <c r="AL84" i="28"/>
  <c r="AL85" i="28"/>
  <c r="AL86" i="28"/>
  <c r="AL88" i="28"/>
  <c r="AL54" i="28"/>
  <c r="AL81" i="28"/>
  <c r="AL56" i="28"/>
  <c r="AL69" i="28"/>
  <c r="AK60" i="28"/>
  <c r="AK50" i="28" s="1"/>
  <c r="AK75" i="28"/>
  <c r="AK12" i="28"/>
  <c r="AA45" i="22"/>
  <c r="AB45" i="22"/>
  <c r="Z45" i="22"/>
  <c r="AM60" i="27"/>
  <c r="AN64" i="27"/>
  <c r="AN67" i="27"/>
  <c r="AN14" i="27"/>
  <c r="AN51" i="27"/>
  <c r="AN53" i="27"/>
  <c r="AN54" i="27"/>
  <c r="AN56" i="27"/>
  <c r="AN57" i="27"/>
  <c r="AN58" i="27"/>
  <c r="AN59" i="27"/>
  <c r="AN62" i="27"/>
  <c r="AN63" i="27"/>
  <c r="AN65" i="27"/>
  <c r="AN69" i="27"/>
  <c r="AN70" i="27"/>
  <c r="AN81" i="27"/>
  <c r="AN82" i="27"/>
  <c r="AN83" i="27"/>
  <c r="AN84" i="27"/>
  <c r="AN85" i="27"/>
  <c r="AN86" i="27"/>
  <c r="AN87" i="27"/>
  <c r="AN88" i="27"/>
  <c r="AN94" i="27"/>
  <c r="AN66" i="27"/>
  <c r="AN68" i="27"/>
  <c r="AN13" i="27"/>
  <c r="AN15" i="27"/>
  <c r="AN52" i="27"/>
  <c r="AN55" i="27"/>
  <c r="AM75" i="27"/>
  <c r="AM12" i="27"/>
  <c r="AQ46" i="22"/>
  <c r="AM47" i="22"/>
  <c r="AT46" i="22"/>
  <c r="AS46" i="22"/>
  <c r="AR46" i="22"/>
  <c r="AP46" i="22"/>
  <c r="AO46" i="22"/>
  <c r="AN46" i="22"/>
  <c r="AH46" i="23"/>
  <c r="AI46" i="23"/>
  <c r="AF46" i="23"/>
  <c r="AD47" i="23"/>
  <c r="AE46" i="23"/>
  <c r="AK46" i="23"/>
  <c r="AG46" i="23"/>
  <c r="AJ46" i="23"/>
  <c r="AQ46" i="23"/>
  <c r="AM47" i="23"/>
  <c r="AT46" i="23"/>
  <c r="AS46" i="23"/>
  <c r="AR46" i="23"/>
  <c r="AP46" i="23"/>
  <c r="AO46" i="23"/>
  <c r="AN46" i="23"/>
  <c r="AI41" i="7"/>
  <c r="AK41" i="7"/>
  <c r="AH42" i="7"/>
  <c r="AE42" i="7"/>
  <c r="AF42" i="7"/>
  <c r="AJ42" i="7" s="1"/>
  <c r="AG42" i="7"/>
  <c r="AK42" i="7" s="1"/>
  <c r="AD43" i="7"/>
  <c r="AK45" i="22"/>
  <c r="AJ45" i="22"/>
  <c r="AI45" i="22"/>
  <c r="AG45" i="22"/>
  <c r="AF45" i="22"/>
  <c r="AE45" i="22"/>
  <c r="AH45" i="22"/>
  <c r="Q44" i="22"/>
  <c r="S44" i="22"/>
  <c r="R44" i="22"/>
  <c r="AQ41" i="7"/>
  <c r="AP41" i="7"/>
  <c r="AO41" i="7"/>
  <c r="AS41" i="7" s="1"/>
  <c r="AN41" i="7"/>
  <c r="AT41" i="7" s="1"/>
  <c r="AM42" i="7"/>
  <c r="AR40" i="7"/>
  <c r="AR41" i="7" s="1"/>
  <c r="AT40" i="7"/>
  <c r="I44" i="23"/>
  <c r="J44" i="23"/>
  <c r="J45" i="22"/>
  <c r="I45" i="22"/>
  <c r="Z45" i="23"/>
  <c r="V45" i="23"/>
  <c r="U46" i="23"/>
  <c r="AA45" i="23"/>
  <c r="Y45" i="23"/>
  <c r="AB45" i="23"/>
  <c r="X45" i="23"/>
  <c r="W45" i="23"/>
  <c r="Q47" i="23"/>
  <c r="N47" i="23"/>
  <c r="S47" i="23"/>
  <c r="O47" i="23"/>
  <c r="L48" i="23"/>
  <c r="R47" i="23"/>
  <c r="M47" i="23"/>
  <c r="P47" i="23"/>
  <c r="F45" i="23"/>
  <c r="E45" i="23"/>
  <c r="D45" i="23"/>
  <c r="C46" i="23"/>
  <c r="G45" i="23"/>
  <c r="H44" i="23"/>
  <c r="H45" i="22"/>
  <c r="X46" i="22"/>
  <c r="W46" i="22"/>
  <c r="V46" i="22"/>
  <c r="U47" i="22"/>
  <c r="Y46" i="22"/>
  <c r="AD46" i="22"/>
  <c r="E46" i="22"/>
  <c r="D46" i="22"/>
  <c r="C47" i="22"/>
  <c r="F46" i="22"/>
  <c r="G46" i="22"/>
  <c r="O45" i="22"/>
  <c r="N45" i="22"/>
  <c r="M45" i="22"/>
  <c r="L46" i="22"/>
  <c r="P45" i="22"/>
  <c r="AL12" i="28" l="1"/>
  <c r="AL75" i="28"/>
  <c r="AM13" i="28"/>
  <c r="AM44" i="28"/>
  <c r="AM45" i="28" s="1"/>
  <c r="AM52" i="28"/>
  <c r="AM55" i="28"/>
  <c r="AM56" i="28"/>
  <c r="AM63" i="28"/>
  <c r="AM84" i="28"/>
  <c r="AM85" i="28"/>
  <c r="AM86" i="28"/>
  <c r="AM87" i="28"/>
  <c r="AM88" i="28"/>
  <c r="AM94" i="28"/>
  <c r="AM14" i="28"/>
  <c r="AM51" i="28"/>
  <c r="AM54" i="28"/>
  <c r="AM57" i="28"/>
  <c r="AM58" i="28"/>
  <c r="AM59" i="28"/>
  <c r="AM15" i="28"/>
  <c r="AM53" i="28"/>
  <c r="AM61" i="28"/>
  <c r="AM62" i="28"/>
  <c r="AM64" i="28"/>
  <c r="AM65" i="28"/>
  <c r="AM66" i="28"/>
  <c r="AM67" i="28"/>
  <c r="AM68" i="28"/>
  <c r="AM69" i="28"/>
  <c r="AM70" i="28"/>
  <c r="AM81" i="28"/>
  <c r="AM82" i="28"/>
  <c r="AM83" i="28"/>
  <c r="AN11" i="28"/>
  <c r="AN7" i="28"/>
  <c r="AN9" i="28" s="1"/>
  <c r="AL60" i="28"/>
  <c r="AL50" i="28" s="1"/>
  <c r="AN75" i="27"/>
  <c r="Z46" i="22"/>
  <c r="AA46" i="22"/>
  <c r="AB46" i="22"/>
  <c r="AI42" i="7"/>
  <c r="AN60" i="27"/>
  <c r="AN12" i="27"/>
  <c r="AQ47" i="22"/>
  <c r="AM48" i="22"/>
  <c r="AT47" i="22"/>
  <c r="AS47" i="22"/>
  <c r="AR47" i="22"/>
  <c r="AP47" i="22"/>
  <c r="AO47" i="22"/>
  <c r="AN47" i="22"/>
  <c r="AH47" i="23"/>
  <c r="AK47" i="23"/>
  <c r="AG47" i="23"/>
  <c r="AI47" i="23"/>
  <c r="AF47" i="23"/>
  <c r="AE47" i="23"/>
  <c r="AD48" i="23"/>
  <c r="AJ47" i="23"/>
  <c r="AQ47" i="23"/>
  <c r="AM48" i="23"/>
  <c r="AT47" i="23"/>
  <c r="AS47" i="23"/>
  <c r="AR47" i="23"/>
  <c r="AP47" i="23"/>
  <c r="AO47" i="23"/>
  <c r="AN47" i="23"/>
  <c r="AE43" i="7"/>
  <c r="AF43" i="7"/>
  <c r="AJ43" i="7" s="1"/>
  <c r="AG43" i="7"/>
  <c r="AH43" i="7"/>
  <c r="AD44" i="7"/>
  <c r="Q45" i="22"/>
  <c r="AK46" i="22"/>
  <c r="AJ46" i="22"/>
  <c r="AI46" i="22"/>
  <c r="AG46" i="22"/>
  <c r="AF46" i="22"/>
  <c r="AE46" i="22"/>
  <c r="AH46" i="22"/>
  <c r="S45" i="22"/>
  <c r="R45" i="22"/>
  <c r="AM43" i="7"/>
  <c r="AQ42" i="7"/>
  <c r="AP42" i="7"/>
  <c r="AT42" i="7" s="1"/>
  <c r="AO42" i="7"/>
  <c r="AN42" i="7"/>
  <c r="AS42" i="7" s="1"/>
  <c r="AR42" i="7"/>
  <c r="J45" i="23"/>
  <c r="J46" i="22"/>
  <c r="H46" i="22"/>
  <c r="H45" i="23"/>
  <c r="I45" i="23"/>
  <c r="I46" i="22"/>
  <c r="R48" i="23"/>
  <c r="Q48" i="23"/>
  <c r="M48" i="23"/>
  <c r="N48" i="23"/>
  <c r="L49" i="23"/>
  <c r="S48" i="23"/>
  <c r="O48" i="23"/>
  <c r="P48" i="23"/>
  <c r="E46" i="23"/>
  <c r="C47" i="23"/>
  <c r="F46" i="23"/>
  <c r="D46" i="23"/>
  <c r="G46" i="23"/>
  <c r="AA46" i="23"/>
  <c r="Z46" i="23"/>
  <c r="V46" i="23"/>
  <c r="W46" i="23"/>
  <c r="U47" i="23"/>
  <c r="AB46" i="23"/>
  <c r="X46" i="23"/>
  <c r="Y46" i="23"/>
  <c r="AD47" i="22"/>
  <c r="C48" i="22"/>
  <c r="D47" i="22"/>
  <c r="F47" i="22"/>
  <c r="E47" i="22"/>
  <c r="G47" i="22"/>
  <c r="X47" i="22"/>
  <c r="W47" i="22"/>
  <c r="V47" i="22"/>
  <c r="U48" i="22"/>
  <c r="Y47" i="22"/>
  <c r="N46" i="22"/>
  <c r="L47" i="22"/>
  <c r="M46" i="22"/>
  <c r="O46" i="22"/>
  <c r="P46" i="22"/>
  <c r="AM12" i="28" l="1"/>
  <c r="AM60" i="28"/>
  <c r="AM50" i="28" s="1"/>
  <c r="AN53" i="28"/>
  <c r="AN59" i="28"/>
  <c r="AN87" i="28"/>
  <c r="AN13" i="28"/>
  <c r="AN54" i="28"/>
  <c r="AN61" i="28"/>
  <c r="AN65" i="28"/>
  <c r="AN66" i="28"/>
  <c r="AN67" i="28"/>
  <c r="AN81" i="28"/>
  <c r="AN82" i="28"/>
  <c r="AN15" i="28"/>
  <c r="AN51" i="28"/>
  <c r="AN56" i="28"/>
  <c r="AN44" i="28"/>
  <c r="AN45" i="28" s="1"/>
  <c r="AN55" i="28"/>
  <c r="AN52" i="28"/>
  <c r="AN58" i="28"/>
  <c r="AN62" i="28"/>
  <c r="AN64" i="28"/>
  <c r="AN68" i="28"/>
  <c r="AN69" i="28"/>
  <c r="AN70" i="28"/>
  <c r="AN83" i="28"/>
  <c r="AN84" i="28"/>
  <c r="AN94" i="28"/>
  <c r="AN57" i="28"/>
  <c r="AN14" i="28"/>
  <c r="AN63" i="28"/>
  <c r="AN85" i="28"/>
  <c r="AN86" i="28"/>
  <c r="AN88" i="28"/>
  <c r="AM75" i="28"/>
  <c r="AA47" i="22"/>
  <c r="Z47" i="22"/>
  <c r="AB47" i="22"/>
  <c r="AQ48" i="22"/>
  <c r="AM49" i="22"/>
  <c r="AT48" i="22"/>
  <c r="AS48" i="22"/>
  <c r="AR48" i="22"/>
  <c r="AP48" i="22"/>
  <c r="AO48" i="22"/>
  <c r="AN48" i="22"/>
  <c r="AH48" i="23"/>
  <c r="AD49" i="23"/>
  <c r="AI48" i="23"/>
  <c r="AG48" i="23"/>
  <c r="AE48" i="23"/>
  <c r="AJ48" i="23"/>
  <c r="AK48" i="23"/>
  <c r="AF48" i="23"/>
  <c r="AQ48" i="23"/>
  <c r="AM49" i="23"/>
  <c r="AT48" i="23"/>
  <c r="AS48" i="23"/>
  <c r="AR48" i="23"/>
  <c r="AP48" i="23"/>
  <c r="AO48" i="23"/>
  <c r="AN48" i="23"/>
  <c r="AH44" i="7"/>
  <c r="AE44" i="7"/>
  <c r="AF44" i="7"/>
  <c r="AJ44" i="7" s="1"/>
  <c r="AG44" i="7"/>
  <c r="AK44" i="7" s="1"/>
  <c r="AD45" i="7"/>
  <c r="AI43" i="7"/>
  <c r="AK43" i="7"/>
  <c r="AK47" i="22"/>
  <c r="AJ47" i="22"/>
  <c r="AI47" i="22"/>
  <c r="AG47" i="22"/>
  <c r="AF47" i="22"/>
  <c r="AE47" i="22"/>
  <c r="AH47" i="22"/>
  <c r="R46" i="22"/>
  <c r="Q46" i="22"/>
  <c r="S46" i="22"/>
  <c r="AM44" i="7"/>
  <c r="AQ43" i="7"/>
  <c r="AP43" i="7"/>
  <c r="AT43" i="7" s="1"/>
  <c r="AO43" i="7"/>
  <c r="AS43" i="7" s="1"/>
  <c r="AN43" i="7"/>
  <c r="AR43" i="7"/>
  <c r="H47" i="22"/>
  <c r="I47" i="22"/>
  <c r="H46" i="23"/>
  <c r="I46" i="23"/>
  <c r="J46" i="23"/>
  <c r="W47" i="23"/>
  <c r="V47" i="23"/>
  <c r="AB47" i="23"/>
  <c r="AA47" i="23"/>
  <c r="U48" i="23"/>
  <c r="Z47" i="23"/>
  <c r="X47" i="23"/>
  <c r="Y47" i="23"/>
  <c r="D47" i="23"/>
  <c r="C48" i="23"/>
  <c r="F47" i="23"/>
  <c r="E47" i="23"/>
  <c r="G47" i="23"/>
  <c r="N49" i="23"/>
  <c r="M49" i="23"/>
  <c r="O49" i="23"/>
  <c r="R49" i="23"/>
  <c r="L50" i="23"/>
  <c r="Q49" i="23"/>
  <c r="S49" i="23"/>
  <c r="P49" i="23"/>
  <c r="C49" i="22"/>
  <c r="G48" i="22"/>
  <c r="F48" i="22"/>
  <c r="E48" i="22"/>
  <c r="D48" i="22"/>
  <c r="AD48" i="22"/>
  <c r="W48" i="22"/>
  <c r="X48" i="22"/>
  <c r="U49" i="22"/>
  <c r="V48" i="22"/>
  <c r="Y48" i="22"/>
  <c r="N47" i="22"/>
  <c r="M47" i="22"/>
  <c r="L48" i="22"/>
  <c r="O47" i="22"/>
  <c r="P47" i="22"/>
  <c r="J47" i="22"/>
  <c r="AN60" i="28" l="1"/>
  <c r="AN50" i="28" s="1"/>
  <c r="AN12" i="28"/>
  <c r="AN75" i="28"/>
  <c r="AA48" i="22"/>
  <c r="AB48" i="22"/>
  <c r="Z48" i="22"/>
  <c r="AI44" i="7"/>
  <c r="Q47" i="22"/>
  <c r="AQ49" i="22"/>
  <c r="AP49" i="22"/>
  <c r="AS49" i="22"/>
  <c r="AO49" i="22"/>
  <c r="AN49" i="22"/>
  <c r="AM50" i="22"/>
  <c r="AT49" i="22"/>
  <c r="AR49" i="22"/>
  <c r="AH49" i="23"/>
  <c r="AI49" i="23"/>
  <c r="AG49" i="23"/>
  <c r="AE49" i="23"/>
  <c r="AK49" i="23"/>
  <c r="AJ49" i="23"/>
  <c r="AF49" i="23"/>
  <c r="AD50" i="23"/>
  <c r="AQ49" i="23"/>
  <c r="AM50" i="23"/>
  <c r="AT49" i="23"/>
  <c r="AS49" i="23"/>
  <c r="AR49" i="23"/>
  <c r="AP49" i="23"/>
  <c r="AO49" i="23"/>
  <c r="AN49" i="23"/>
  <c r="AH45" i="7"/>
  <c r="AE45" i="7"/>
  <c r="AF45" i="7"/>
  <c r="AJ45" i="7" s="1"/>
  <c r="AG45" i="7"/>
  <c r="AD46" i="7"/>
  <c r="AK48" i="22"/>
  <c r="AJ48" i="22"/>
  <c r="AI48" i="22"/>
  <c r="AG48" i="22"/>
  <c r="AF48" i="22"/>
  <c r="AE48" i="22"/>
  <c r="AH48" i="22"/>
  <c r="S47" i="22"/>
  <c r="R47" i="22"/>
  <c r="AP44" i="7"/>
  <c r="AO44" i="7"/>
  <c r="AN44" i="7"/>
  <c r="AM45" i="7"/>
  <c r="AR44" i="7"/>
  <c r="AQ44" i="7"/>
  <c r="H48" i="22"/>
  <c r="J47" i="23"/>
  <c r="I47" i="23"/>
  <c r="H47" i="23"/>
  <c r="I48" i="22"/>
  <c r="Q50" i="23"/>
  <c r="M50" i="23"/>
  <c r="L51" i="23"/>
  <c r="R50" i="23"/>
  <c r="S50" i="23"/>
  <c r="O50" i="23"/>
  <c r="N50" i="23"/>
  <c r="P50" i="23"/>
  <c r="Z48" i="23"/>
  <c r="W48" i="23"/>
  <c r="X48" i="23"/>
  <c r="V48" i="23"/>
  <c r="AB48" i="23"/>
  <c r="U49" i="23"/>
  <c r="AA48" i="23"/>
  <c r="Y48" i="23"/>
  <c r="E48" i="23"/>
  <c r="D48" i="23"/>
  <c r="F48" i="23"/>
  <c r="C49" i="23"/>
  <c r="G48" i="23"/>
  <c r="L49" i="22"/>
  <c r="M48" i="22"/>
  <c r="N48" i="22"/>
  <c r="O48" i="22"/>
  <c r="P48" i="22"/>
  <c r="U50" i="22"/>
  <c r="X49" i="22"/>
  <c r="W49" i="22"/>
  <c r="V49" i="22"/>
  <c r="Y49" i="22"/>
  <c r="E49" i="22"/>
  <c r="C50" i="22"/>
  <c r="F49" i="22"/>
  <c r="D49" i="22"/>
  <c r="G49" i="22"/>
  <c r="AD49" i="22"/>
  <c r="J48" i="22"/>
  <c r="S48" i="22" l="1"/>
  <c r="Z49" i="22"/>
  <c r="AB49" i="22"/>
  <c r="AA49" i="22"/>
  <c r="AQ50" i="22"/>
  <c r="AT50" i="22"/>
  <c r="AR50" i="22"/>
  <c r="AN50" i="22"/>
  <c r="AM51" i="22"/>
  <c r="AS50" i="22"/>
  <c r="AP50" i="22"/>
  <c r="AO50" i="22"/>
  <c r="AH50" i="23"/>
  <c r="AF50" i="23"/>
  <c r="AK50" i="23"/>
  <c r="AD51" i="23"/>
  <c r="AI50" i="23"/>
  <c r="AE50" i="23"/>
  <c r="AJ50" i="23"/>
  <c r="AG50" i="23"/>
  <c r="AQ50" i="23"/>
  <c r="AM51" i="23"/>
  <c r="AT50" i="23"/>
  <c r="AS50" i="23"/>
  <c r="AR50" i="23"/>
  <c r="AP50" i="23"/>
  <c r="AO50" i="23"/>
  <c r="AN50" i="23"/>
  <c r="AI45" i="7"/>
  <c r="AK45" i="7"/>
  <c r="AE46" i="7"/>
  <c r="AF46" i="7"/>
  <c r="AJ46" i="7" s="1"/>
  <c r="AG46" i="7"/>
  <c r="AK46" i="7" s="1"/>
  <c r="AH46" i="7"/>
  <c r="AD47" i="7"/>
  <c r="AK49" i="22"/>
  <c r="AJ49" i="22"/>
  <c r="AI49" i="22"/>
  <c r="AG49" i="22"/>
  <c r="AF49" i="22"/>
  <c r="AE49" i="22"/>
  <c r="AH49" i="22"/>
  <c r="R48" i="22"/>
  <c r="Q48" i="22"/>
  <c r="AM46" i="7"/>
  <c r="AP45" i="7"/>
  <c r="AO45" i="7"/>
  <c r="AS45" i="7" s="1"/>
  <c r="AN45" i="7"/>
  <c r="AQ45" i="7"/>
  <c r="AT44" i="7"/>
  <c r="AS44" i="7"/>
  <c r="I49" i="22"/>
  <c r="I48" i="23"/>
  <c r="J48" i="23"/>
  <c r="J49" i="22"/>
  <c r="H49" i="22"/>
  <c r="H48" i="23"/>
  <c r="E49" i="23"/>
  <c r="C50" i="23"/>
  <c r="D49" i="23"/>
  <c r="F49" i="23"/>
  <c r="G49" i="23"/>
  <c r="R51" i="23"/>
  <c r="Q51" i="23"/>
  <c r="M51" i="23"/>
  <c r="N51" i="23"/>
  <c r="L52" i="23"/>
  <c r="S51" i="23"/>
  <c r="O51" i="23"/>
  <c r="P51" i="23"/>
  <c r="AA49" i="23"/>
  <c r="Z49" i="23"/>
  <c r="V49" i="23"/>
  <c r="U50" i="23"/>
  <c r="AB49" i="23"/>
  <c r="X49" i="23"/>
  <c r="W49" i="23"/>
  <c r="Y49" i="23"/>
  <c r="AD50" i="22"/>
  <c r="C51" i="22"/>
  <c r="F50" i="22"/>
  <c r="E50" i="22"/>
  <c r="D50" i="22"/>
  <c r="G50" i="22"/>
  <c r="X50" i="22"/>
  <c r="U51" i="22"/>
  <c r="W50" i="22"/>
  <c r="V50" i="22"/>
  <c r="Y50" i="22"/>
  <c r="N49" i="22"/>
  <c r="M49" i="22"/>
  <c r="O49" i="22"/>
  <c r="L50" i="22"/>
  <c r="P49" i="22"/>
  <c r="Z50" i="22" l="1"/>
  <c r="AA50" i="22"/>
  <c r="AB50" i="22"/>
  <c r="AI46" i="7"/>
  <c r="Q49" i="22"/>
  <c r="AQ51" i="22"/>
  <c r="AM52" i="22"/>
  <c r="AS51" i="22"/>
  <c r="AR51" i="22"/>
  <c r="AP51" i="22"/>
  <c r="AN51" i="22"/>
  <c r="AT51" i="22"/>
  <c r="AO51" i="22"/>
  <c r="AH51" i="23"/>
  <c r="AD52" i="23"/>
  <c r="AI51" i="23"/>
  <c r="AE51" i="23"/>
  <c r="AK51" i="23"/>
  <c r="AJ51" i="23"/>
  <c r="AG51" i="23"/>
  <c r="AF51" i="23"/>
  <c r="AQ51" i="23"/>
  <c r="AM52" i="23"/>
  <c r="AT51" i="23"/>
  <c r="AS51" i="23"/>
  <c r="AR51" i="23"/>
  <c r="AP51" i="23"/>
  <c r="AO51" i="23"/>
  <c r="AN51" i="23"/>
  <c r="AE47" i="7"/>
  <c r="AF47" i="7"/>
  <c r="AJ47" i="7" s="1"/>
  <c r="AG47" i="7"/>
  <c r="AH47" i="7"/>
  <c r="AD48" i="7"/>
  <c r="AK50" i="22"/>
  <c r="AJ50" i="22"/>
  <c r="AI50" i="22"/>
  <c r="AG50" i="22"/>
  <c r="AF50" i="22"/>
  <c r="AE50" i="22"/>
  <c r="AH50" i="22"/>
  <c r="R49" i="22"/>
  <c r="S49" i="22"/>
  <c r="AO46" i="7"/>
  <c r="AN46" i="7"/>
  <c r="AM47" i="7"/>
  <c r="AS46" i="7"/>
  <c r="AQ46" i="7"/>
  <c r="AP46" i="7"/>
  <c r="AT46" i="7" s="1"/>
  <c r="AT45" i="7"/>
  <c r="AR45" i="7"/>
  <c r="AR46" i="7" s="1"/>
  <c r="H50" i="22"/>
  <c r="H49" i="23"/>
  <c r="I50" i="22"/>
  <c r="I49" i="23"/>
  <c r="N52" i="23"/>
  <c r="M52" i="23"/>
  <c r="S52" i="23"/>
  <c r="R52" i="23"/>
  <c r="L53" i="23"/>
  <c r="Q52" i="23"/>
  <c r="O52" i="23"/>
  <c r="P52" i="23"/>
  <c r="W50" i="23"/>
  <c r="V50" i="23"/>
  <c r="X50" i="23"/>
  <c r="AB50" i="23"/>
  <c r="U51" i="23"/>
  <c r="Z50" i="23"/>
  <c r="AA50" i="23"/>
  <c r="Y50" i="23"/>
  <c r="D50" i="23"/>
  <c r="E50" i="23"/>
  <c r="C51" i="23"/>
  <c r="F50" i="23"/>
  <c r="G50" i="23"/>
  <c r="J49" i="23"/>
  <c r="J50" i="22"/>
  <c r="N50" i="22"/>
  <c r="L51" i="22"/>
  <c r="M50" i="22"/>
  <c r="O50" i="22"/>
  <c r="P50" i="22"/>
  <c r="AD51" i="22"/>
  <c r="W51" i="22"/>
  <c r="U52" i="22"/>
  <c r="X51" i="22"/>
  <c r="V51" i="22"/>
  <c r="Y51" i="22"/>
  <c r="C52" i="22"/>
  <c r="G51" i="22"/>
  <c r="F51" i="22"/>
  <c r="E51" i="22"/>
  <c r="D51" i="22"/>
  <c r="Z51" i="22" l="1"/>
  <c r="AA51" i="22"/>
  <c r="AB51" i="22"/>
  <c r="AI47" i="7"/>
  <c r="AK47" i="7"/>
  <c r="AQ52" i="22"/>
  <c r="AO52" i="22"/>
  <c r="AR52" i="22"/>
  <c r="AP52" i="22"/>
  <c r="AN52" i="22"/>
  <c r="AM53" i="22"/>
  <c r="AT52" i="22"/>
  <c r="AS52" i="22"/>
  <c r="AH52" i="23"/>
  <c r="AJ52" i="23"/>
  <c r="AE52" i="23"/>
  <c r="AG52" i="23"/>
  <c r="AF52" i="23"/>
  <c r="AI52" i="23"/>
  <c r="AK52" i="23"/>
  <c r="AD53" i="23"/>
  <c r="AQ52" i="23"/>
  <c r="AO52" i="23"/>
  <c r="AM53" i="23"/>
  <c r="AT52" i="23"/>
  <c r="AS52" i="23"/>
  <c r="AR52" i="23"/>
  <c r="AP52" i="23"/>
  <c r="AN52" i="23"/>
  <c r="AH48" i="7"/>
  <c r="AE48" i="7"/>
  <c r="AF48" i="7"/>
  <c r="AG48" i="7"/>
  <c r="AD49" i="7"/>
  <c r="R50" i="22"/>
  <c r="AK51" i="22"/>
  <c r="AJ51" i="22"/>
  <c r="AI51" i="22"/>
  <c r="AG51" i="22"/>
  <c r="AF51" i="22"/>
  <c r="AE51" i="22"/>
  <c r="AH51" i="22"/>
  <c r="S50" i="22"/>
  <c r="Q50" i="22"/>
  <c r="AN47" i="7"/>
  <c r="AP47" i="7"/>
  <c r="AR47" i="7" s="1"/>
  <c r="AM48" i="7"/>
  <c r="AQ47" i="7"/>
  <c r="AO47" i="7"/>
  <c r="AT47" i="7"/>
  <c r="AS47" i="7"/>
  <c r="I50" i="23"/>
  <c r="I51" i="22"/>
  <c r="H50" i="23"/>
  <c r="J51" i="22"/>
  <c r="Z51" i="23"/>
  <c r="X51" i="23"/>
  <c r="W51" i="23"/>
  <c r="AB51" i="23"/>
  <c r="V51" i="23"/>
  <c r="U52" i="23"/>
  <c r="AA51" i="23"/>
  <c r="Y51" i="23"/>
  <c r="J50" i="23"/>
  <c r="E51" i="23"/>
  <c r="D51" i="23"/>
  <c r="F51" i="23"/>
  <c r="C52" i="23"/>
  <c r="G51" i="23"/>
  <c r="Q53" i="23"/>
  <c r="N53" i="23"/>
  <c r="O53" i="23"/>
  <c r="M53" i="23"/>
  <c r="S53" i="23"/>
  <c r="R53" i="23"/>
  <c r="L54" i="23"/>
  <c r="P53" i="23"/>
  <c r="AD52" i="22"/>
  <c r="H51" i="22"/>
  <c r="L52" i="22"/>
  <c r="O51" i="22"/>
  <c r="N51" i="22"/>
  <c r="M51" i="22"/>
  <c r="P51" i="22"/>
  <c r="D52" i="22"/>
  <c r="C53" i="22"/>
  <c r="G52" i="22"/>
  <c r="F52" i="22"/>
  <c r="E52" i="22"/>
  <c r="U53" i="22"/>
  <c r="W52" i="22"/>
  <c r="V52" i="22"/>
  <c r="AA52" i="22" s="1"/>
  <c r="X52" i="22"/>
  <c r="Y52" i="22"/>
  <c r="AJ48" i="7" l="1"/>
  <c r="AK48" i="7"/>
  <c r="AI48" i="7"/>
  <c r="Z52" i="22"/>
  <c r="AB52" i="22"/>
  <c r="S51" i="22"/>
  <c r="AQ53" i="22"/>
  <c r="AR53" i="22"/>
  <c r="AP53" i="22"/>
  <c r="AS53" i="22"/>
  <c r="AO53" i="22"/>
  <c r="AN53" i="22"/>
  <c r="AM54" i="22"/>
  <c r="AT53" i="22"/>
  <c r="AH53" i="23"/>
  <c r="AJ53" i="23"/>
  <c r="AD54" i="23"/>
  <c r="AE53" i="23"/>
  <c r="AG53" i="23"/>
  <c r="AF53" i="23"/>
  <c r="AK53" i="23"/>
  <c r="AI53" i="23"/>
  <c r="AQ53" i="23"/>
  <c r="AM54" i="23"/>
  <c r="AT53" i="23"/>
  <c r="AS53" i="23"/>
  <c r="AR53" i="23"/>
  <c r="AP53" i="23"/>
  <c r="AO53" i="23"/>
  <c r="AN53" i="23"/>
  <c r="AE49" i="7"/>
  <c r="AF49" i="7"/>
  <c r="AG49" i="7"/>
  <c r="AH49" i="7"/>
  <c r="AD50" i="7"/>
  <c r="Q51" i="22"/>
  <c r="AK52" i="22"/>
  <c r="AJ52" i="22"/>
  <c r="AI52" i="22"/>
  <c r="AG52" i="22"/>
  <c r="AF52" i="22"/>
  <c r="AE52" i="22"/>
  <c r="AH52" i="22"/>
  <c r="R51" i="22"/>
  <c r="AQ48" i="7"/>
  <c r="AN48" i="7"/>
  <c r="AP48" i="7"/>
  <c r="AO48" i="7"/>
  <c r="AS48" i="7" s="1"/>
  <c r="AM49" i="7"/>
  <c r="J51" i="23"/>
  <c r="I51" i="23"/>
  <c r="I52" i="22"/>
  <c r="J52" i="22"/>
  <c r="AA52" i="23"/>
  <c r="Z52" i="23"/>
  <c r="V52" i="23"/>
  <c r="W52" i="23"/>
  <c r="U53" i="23"/>
  <c r="AB52" i="23"/>
  <c r="Y52" i="23"/>
  <c r="X52" i="23"/>
  <c r="H51" i="23"/>
  <c r="R54" i="23"/>
  <c r="Q54" i="23"/>
  <c r="M54" i="23"/>
  <c r="L55" i="23"/>
  <c r="S54" i="23"/>
  <c r="O54" i="23"/>
  <c r="N54" i="23"/>
  <c r="P54" i="23"/>
  <c r="E52" i="23"/>
  <c r="C53" i="23"/>
  <c r="F52" i="23"/>
  <c r="D52" i="23"/>
  <c r="G52" i="23"/>
  <c r="L53" i="22"/>
  <c r="O52" i="22"/>
  <c r="N52" i="22"/>
  <c r="M52" i="22"/>
  <c r="P52" i="22"/>
  <c r="U54" i="22"/>
  <c r="W53" i="22"/>
  <c r="V53" i="22"/>
  <c r="X53" i="22"/>
  <c r="Y53" i="22"/>
  <c r="C54" i="22"/>
  <c r="E53" i="22"/>
  <c r="D53" i="22"/>
  <c r="F53" i="22"/>
  <c r="G53" i="22"/>
  <c r="H52" i="22"/>
  <c r="AD53" i="22"/>
  <c r="AJ49" i="7" l="1"/>
  <c r="AA53" i="22"/>
  <c r="AB53" i="22"/>
  <c r="Z53" i="22"/>
  <c r="Q52" i="22"/>
  <c r="S52" i="22"/>
  <c r="AM55" i="22"/>
  <c r="AT54" i="22"/>
  <c r="AS54" i="22"/>
  <c r="AR54" i="22"/>
  <c r="AQ54" i="22"/>
  <c r="AP54" i="22"/>
  <c r="AO54" i="22"/>
  <c r="AN54" i="22"/>
  <c r="AH54" i="23"/>
  <c r="AK54" i="23"/>
  <c r="AI54" i="23"/>
  <c r="AD55" i="23"/>
  <c r="AE54" i="23"/>
  <c r="AF54" i="23"/>
  <c r="AJ54" i="23"/>
  <c r="AG54" i="23"/>
  <c r="AM55" i="23"/>
  <c r="AT54" i="23"/>
  <c r="AS54" i="23"/>
  <c r="AR54" i="23"/>
  <c r="AO54" i="23"/>
  <c r="AQ54" i="23"/>
  <c r="AP54" i="23"/>
  <c r="AN54" i="23"/>
  <c r="AH50" i="7"/>
  <c r="AE50" i="7"/>
  <c r="AF50" i="7"/>
  <c r="AG50" i="7"/>
  <c r="AD51" i="7"/>
  <c r="AI49" i="7"/>
  <c r="AK49" i="7"/>
  <c r="AK53" i="22"/>
  <c r="AJ53" i="22"/>
  <c r="AI53" i="22"/>
  <c r="AG53" i="22"/>
  <c r="AF53" i="22"/>
  <c r="AE53" i="22"/>
  <c r="AH53" i="22"/>
  <c r="R52" i="22"/>
  <c r="AM50" i="7"/>
  <c r="AQ49" i="7"/>
  <c r="AP49" i="7"/>
  <c r="AT49" i="7" s="1"/>
  <c r="AO49" i="7"/>
  <c r="AS49" i="7" s="1"/>
  <c r="AN49" i="7"/>
  <c r="AT48" i="7"/>
  <c r="AR48" i="7"/>
  <c r="AR49" i="7" s="1"/>
  <c r="J53" i="22"/>
  <c r="H53" i="22"/>
  <c r="J52" i="23"/>
  <c r="H52" i="23"/>
  <c r="I53" i="22"/>
  <c r="I52" i="23"/>
  <c r="N55" i="23"/>
  <c r="M55" i="23"/>
  <c r="L56" i="23"/>
  <c r="R55" i="23"/>
  <c r="O55" i="23"/>
  <c r="Q55" i="23"/>
  <c r="S55" i="23"/>
  <c r="P55" i="23"/>
  <c r="W53" i="23"/>
  <c r="V53" i="23"/>
  <c r="AA53" i="23"/>
  <c r="AB53" i="23"/>
  <c r="U54" i="23"/>
  <c r="Z53" i="23"/>
  <c r="X53" i="23"/>
  <c r="Y53" i="23"/>
  <c r="D53" i="23"/>
  <c r="E53" i="23"/>
  <c r="F53" i="23"/>
  <c r="C54" i="23"/>
  <c r="G53" i="23"/>
  <c r="C55" i="22"/>
  <c r="E54" i="22"/>
  <c r="D54" i="22"/>
  <c r="F54" i="22"/>
  <c r="G54" i="22"/>
  <c r="AD54" i="22"/>
  <c r="U55" i="22"/>
  <c r="X54" i="22"/>
  <c r="V54" i="22"/>
  <c r="W54" i="22"/>
  <c r="Y54" i="22"/>
  <c r="N53" i="22"/>
  <c r="L54" i="22"/>
  <c r="O53" i="22"/>
  <c r="M53" i="22"/>
  <c r="R53" i="22" s="1"/>
  <c r="P53" i="22"/>
  <c r="AK50" i="7" l="1"/>
  <c r="AJ50" i="7"/>
  <c r="Z54" i="22"/>
  <c r="AA54" i="22"/>
  <c r="AB54" i="22"/>
  <c r="AI50" i="7"/>
  <c r="AM56" i="22"/>
  <c r="AT55" i="22"/>
  <c r="AS55" i="22"/>
  <c r="AR55" i="22"/>
  <c r="AQ55" i="22"/>
  <c r="AP55" i="22"/>
  <c r="AO55" i="22"/>
  <c r="AN55" i="22"/>
  <c r="AH55" i="23"/>
  <c r="AG55" i="23"/>
  <c r="AK55" i="23"/>
  <c r="AF55" i="23"/>
  <c r="AD56" i="23"/>
  <c r="AI55" i="23"/>
  <c r="AE55" i="23"/>
  <c r="AJ55" i="23"/>
  <c r="AM56" i="23"/>
  <c r="AT55" i="23"/>
  <c r="AS55" i="23"/>
  <c r="AR55" i="23"/>
  <c r="AQ55" i="23"/>
  <c r="AP55" i="23"/>
  <c r="AO55" i="23"/>
  <c r="AN55" i="23"/>
  <c r="AE51" i="7"/>
  <c r="AF51" i="7"/>
  <c r="AG51" i="7"/>
  <c r="AH51" i="7"/>
  <c r="AD52" i="7"/>
  <c r="AK54" i="22"/>
  <c r="AJ54" i="22"/>
  <c r="AI54" i="22"/>
  <c r="AG54" i="22"/>
  <c r="AF54" i="22"/>
  <c r="AE54" i="22"/>
  <c r="AH54" i="22"/>
  <c r="Q53" i="22"/>
  <c r="S53" i="22"/>
  <c r="AM51" i="7"/>
  <c r="AQ50" i="7"/>
  <c r="AP50" i="7"/>
  <c r="AO50" i="7"/>
  <c r="AS50" i="7" s="1"/>
  <c r="AN50" i="7"/>
  <c r="H53" i="23"/>
  <c r="J54" i="22"/>
  <c r="I54" i="22"/>
  <c r="H54" i="22"/>
  <c r="J53" i="23"/>
  <c r="I53" i="23"/>
  <c r="Z54" i="23"/>
  <c r="W54" i="23"/>
  <c r="AB54" i="23"/>
  <c r="AA54" i="23"/>
  <c r="U55" i="23"/>
  <c r="V54" i="23"/>
  <c r="X54" i="23"/>
  <c r="Y54" i="23"/>
  <c r="Q56" i="23"/>
  <c r="N56" i="23"/>
  <c r="L57" i="23"/>
  <c r="S56" i="23"/>
  <c r="O56" i="23"/>
  <c r="R56" i="23"/>
  <c r="M56" i="23"/>
  <c r="P56" i="23"/>
  <c r="E54" i="23"/>
  <c r="D54" i="23"/>
  <c r="F54" i="23"/>
  <c r="C55" i="23"/>
  <c r="G54" i="23"/>
  <c r="AD55" i="22"/>
  <c r="U56" i="22"/>
  <c r="V55" i="22"/>
  <c r="W55" i="22"/>
  <c r="X55" i="22"/>
  <c r="Y55" i="22"/>
  <c r="L55" i="22"/>
  <c r="M54" i="22"/>
  <c r="O54" i="22"/>
  <c r="N54" i="22"/>
  <c r="P54" i="22"/>
  <c r="E55" i="22"/>
  <c r="D55" i="22"/>
  <c r="F55" i="22"/>
  <c r="C56" i="22"/>
  <c r="G55" i="22"/>
  <c r="AJ51" i="7" l="1"/>
  <c r="R54" i="22"/>
  <c r="AA55" i="22"/>
  <c r="AB55" i="22"/>
  <c r="Z55" i="22"/>
  <c r="Q54" i="22"/>
  <c r="AM57" i="22"/>
  <c r="AT56" i="22"/>
  <c r="AS56" i="22"/>
  <c r="AR56" i="22"/>
  <c r="AQ56" i="22"/>
  <c r="AP56" i="22"/>
  <c r="AO56" i="22"/>
  <c r="AN56" i="22"/>
  <c r="AJ56" i="23"/>
  <c r="AI56" i="23"/>
  <c r="AE56" i="23"/>
  <c r="AK56" i="23"/>
  <c r="AG56" i="23"/>
  <c r="AD57" i="23"/>
  <c r="AH56" i="23"/>
  <c r="AF56" i="23"/>
  <c r="AM57" i="23"/>
  <c r="AT56" i="23"/>
  <c r="AS56" i="23"/>
  <c r="AR56" i="23"/>
  <c r="AQ56" i="23"/>
  <c r="AP56" i="23"/>
  <c r="AO56" i="23"/>
  <c r="AN56" i="23"/>
  <c r="AH52" i="7"/>
  <c r="AE52" i="7"/>
  <c r="AF52" i="7"/>
  <c r="AJ52" i="7" s="1"/>
  <c r="AG52" i="7"/>
  <c r="AD53" i="7"/>
  <c r="S54" i="22"/>
  <c r="AI51" i="7"/>
  <c r="AK51" i="7"/>
  <c r="AK55" i="22"/>
  <c r="AJ55" i="22"/>
  <c r="AI55" i="22"/>
  <c r="AG55" i="22"/>
  <c r="AF55" i="22"/>
  <c r="AE55" i="22"/>
  <c r="AH55" i="22"/>
  <c r="AM52" i="7"/>
  <c r="AQ51" i="7"/>
  <c r="AP51" i="7"/>
  <c r="AT51" i="7" s="1"/>
  <c r="AO51" i="7"/>
  <c r="AS51" i="7" s="1"/>
  <c r="AN51" i="7"/>
  <c r="AT50" i="7"/>
  <c r="AR50" i="7"/>
  <c r="AR51" i="7" s="1"/>
  <c r="H54" i="23"/>
  <c r="J55" i="22"/>
  <c r="I54" i="23"/>
  <c r="I55" i="22"/>
  <c r="AA55" i="23"/>
  <c r="Z55" i="23"/>
  <c r="V55" i="23"/>
  <c r="W55" i="23"/>
  <c r="X55" i="23"/>
  <c r="AB55" i="23"/>
  <c r="U56" i="23"/>
  <c r="Y55" i="23"/>
  <c r="J54" i="23"/>
  <c r="R57" i="23"/>
  <c r="Q57" i="23"/>
  <c r="M57" i="23"/>
  <c r="S57" i="23"/>
  <c r="N57" i="23"/>
  <c r="O57" i="23"/>
  <c r="L58" i="23"/>
  <c r="P57" i="23"/>
  <c r="D55" i="23"/>
  <c r="C56" i="23"/>
  <c r="F55" i="23"/>
  <c r="E55" i="23"/>
  <c r="G55" i="23"/>
  <c r="L56" i="22"/>
  <c r="O55" i="22"/>
  <c r="N55" i="22"/>
  <c r="M55" i="22"/>
  <c r="P55" i="22"/>
  <c r="U57" i="22"/>
  <c r="X56" i="22"/>
  <c r="W56" i="22"/>
  <c r="V56" i="22"/>
  <c r="Y56" i="22"/>
  <c r="C57" i="22"/>
  <c r="F56" i="22"/>
  <c r="E56" i="22"/>
  <c r="D56" i="22"/>
  <c r="G56" i="22"/>
  <c r="H55" i="22"/>
  <c r="AD56" i="22"/>
  <c r="AB56" i="22" l="1"/>
  <c r="Z56" i="22"/>
  <c r="AA56" i="22"/>
  <c r="AM58" i="22"/>
  <c r="AT57" i="22"/>
  <c r="AS57" i="22"/>
  <c r="AR57" i="22"/>
  <c r="AQ57" i="22"/>
  <c r="AP57" i="22"/>
  <c r="AO57" i="22"/>
  <c r="AN57" i="22"/>
  <c r="AJ57" i="23"/>
  <c r="AF57" i="23"/>
  <c r="AE57" i="23"/>
  <c r="AI57" i="23"/>
  <c r="AK57" i="23"/>
  <c r="AH57" i="23"/>
  <c r="AD58" i="23"/>
  <c r="AG57" i="23"/>
  <c r="AM58" i="23"/>
  <c r="AT57" i="23"/>
  <c r="AS57" i="23"/>
  <c r="AR57" i="23"/>
  <c r="AQ57" i="23"/>
  <c r="AP57" i="23"/>
  <c r="AO57" i="23"/>
  <c r="AN57" i="23"/>
  <c r="AE53" i="7"/>
  <c r="AF53" i="7"/>
  <c r="AJ53" i="7" s="1"/>
  <c r="AG53" i="7"/>
  <c r="AH53" i="7"/>
  <c r="AD54" i="7"/>
  <c r="AK52" i="7"/>
  <c r="AI52" i="7"/>
  <c r="AK56" i="22"/>
  <c r="AJ56" i="22"/>
  <c r="AI56" i="22"/>
  <c r="AG56" i="22"/>
  <c r="AF56" i="22"/>
  <c r="AE56" i="22"/>
  <c r="AH56" i="22"/>
  <c r="R55" i="22"/>
  <c r="S55" i="22"/>
  <c r="Q55" i="22"/>
  <c r="AN52" i="7"/>
  <c r="AQ52" i="7"/>
  <c r="AP52" i="7"/>
  <c r="AR52" i="7" s="1"/>
  <c r="AO52" i="7"/>
  <c r="AS52" i="7" s="1"/>
  <c r="AM53" i="7"/>
  <c r="AT52" i="7"/>
  <c r="H55" i="23"/>
  <c r="H56" i="22"/>
  <c r="I56" i="22"/>
  <c r="I55" i="23"/>
  <c r="J56" i="22"/>
  <c r="N58" i="23"/>
  <c r="M58" i="23"/>
  <c r="O58" i="23"/>
  <c r="S58" i="23"/>
  <c r="Q58" i="23"/>
  <c r="L59" i="23"/>
  <c r="R58" i="23"/>
  <c r="P58" i="23"/>
  <c r="J55" i="23"/>
  <c r="D56" i="23"/>
  <c r="E56" i="23"/>
  <c r="F56" i="23"/>
  <c r="C57" i="23"/>
  <c r="G56" i="23"/>
  <c r="W56" i="23"/>
  <c r="V56" i="23"/>
  <c r="U57" i="23"/>
  <c r="AB56" i="23"/>
  <c r="AA56" i="23"/>
  <c r="X56" i="23"/>
  <c r="Z56" i="23"/>
  <c r="Y56" i="23"/>
  <c r="X57" i="22"/>
  <c r="W57" i="22"/>
  <c r="V57" i="22"/>
  <c r="U58" i="22"/>
  <c r="Y57" i="22"/>
  <c r="AD57" i="22"/>
  <c r="L57" i="22"/>
  <c r="M56" i="22"/>
  <c r="O56" i="22"/>
  <c r="N56" i="22"/>
  <c r="P56" i="22"/>
  <c r="C58" i="22"/>
  <c r="F57" i="22"/>
  <c r="D57" i="22"/>
  <c r="E57" i="22"/>
  <c r="G57" i="22"/>
  <c r="R56" i="22" l="1"/>
  <c r="AK53" i="7"/>
  <c r="AA57" i="22"/>
  <c r="Z57" i="22"/>
  <c r="AB57" i="22"/>
  <c r="AI53" i="7"/>
  <c r="AM59" i="22"/>
  <c r="AT58" i="22"/>
  <c r="AS58" i="22"/>
  <c r="AR58" i="22"/>
  <c r="AQ58" i="22"/>
  <c r="AP58" i="22"/>
  <c r="AO58" i="22"/>
  <c r="AN58" i="22"/>
  <c r="AK58" i="23"/>
  <c r="AF58" i="23"/>
  <c r="AI58" i="23"/>
  <c r="AJ58" i="23"/>
  <c r="AG58" i="23"/>
  <c r="AE58" i="23"/>
  <c r="AD59" i="23"/>
  <c r="AH58" i="23"/>
  <c r="AT58" i="23"/>
  <c r="AQ58" i="23"/>
  <c r="AO58" i="23"/>
  <c r="AN58" i="23"/>
  <c r="AM59" i="23"/>
  <c r="AS58" i="23"/>
  <c r="AR58" i="23"/>
  <c r="AP58" i="23"/>
  <c r="AH54" i="7"/>
  <c r="AE54" i="7"/>
  <c r="AF54" i="7"/>
  <c r="AG54" i="7"/>
  <c r="AD55" i="7"/>
  <c r="AK57" i="22"/>
  <c r="AJ57" i="22"/>
  <c r="AI57" i="22"/>
  <c r="AG57" i="22"/>
  <c r="AF57" i="22"/>
  <c r="AE57" i="22"/>
  <c r="AH57" i="22"/>
  <c r="Q56" i="22"/>
  <c r="S56" i="22"/>
  <c r="AM54" i="7"/>
  <c r="AQ53" i="7"/>
  <c r="AP53" i="7"/>
  <c r="AO53" i="7"/>
  <c r="AS53" i="7" s="1"/>
  <c r="AN53" i="7"/>
  <c r="H56" i="23"/>
  <c r="I57" i="22"/>
  <c r="I56" i="23"/>
  <c r="H57" i="22"/>
  <c r="Q59" i="23"/>
  <c r="S59" i="23"/>
  <c r="R59" i="23"/>
  <c r="N59" i="23"/>
  <c r="L60" i="23"/>
  <c r="O59" i="23"/>
  <c r="M59" i="23"/>
  <c r="P59" i="23"/>
  <c r="J56" i="23"/>
  <c r="Z57" i="23"/>
  <c r="W57" i="23"/>
  <c r="U58" i="23"/>
  <c r="AB57" i="23"/>
  <c r="X57" i="23"/>
  <c r="AA57" i="23"/>
  <c r="V57" i="23"/>
  <c r="Y57" i="23"/>
  <c r="E57" i="23"/>
  <c r="D57" i="23"/>
  <c r="F57" i="23"/>
  <c r="C58" i="23"/>
  <c r="G57" i="23"/>
  <c r="L58" i="22"/>
  <c r="O57" i="22"/>
  <c r="M57" i="22"/>
  <c r="N57" i="22"/>
  <c r="P57" i="22"/>
  <c r="AD58" i="22"/>
  <c r="U59" i="22"/>
  <c r="X58" i="22"/>
  <c r="W58" i="22"/>
  <c r="V58" i="22"/>
  <c r="Y58" i="22"/>
  <c r="J57" i="22"/>
  <c r="C59" i="22"/>
  <c r="G58" i="22"/>
  <c r="E58" i="22"/>
  <c r="D58" i="22"/>
  <c r="F58" i="22"/>
  <c r="R57" i="22" l="1"/>
  <c r="AJ54" i="7"/>
  <c r="AA58" i="22"/>
  <c r="Z58" i="22"/>
  <c r="AB58" i="22"/>
  <c r="AM60" i="22"/>
  <c r="AT59" i="22"/>
  <c r="AS59" i="22"/>
  <c r="AR59" i="22"/>
  <c r="AP59" i="22"/>
  <c r="AO59" i="22"/>
  <c r="AQ59" i="22"/>
  <c r="AN59" i="22"/>
  <c r="AD60" i="23"/>
  <c r="AE59" i="23"/>
  <c r="AI59" i="23"/>
  <c r="AK59" i="23"/>
  <c r="AF59" i="23"/>
  <c r="AJ59" i="23"/>
  <c r="AG59" i="23"/>
  <c r="AH59" i="23"/>
  <c r="AM60" i="23"/>
  <c r="AS59" i="23"/>
  <c r="AQ59" i="23"/>
  <c r="AP59" i="23"/>
  <c r="AO59" i="23"/>
  <c r="AT59" i="23"/>
  <c r="AR59" i="23"/>
  <c r="AN59" i="23"/>
  <c r="AD56" i="7"/>
  <c r="AE55" i="7"/>
  <c r="AF55" i="7"/>
  <c r="AJ55" i="7" s="1"/>
  <c r="AG55" i="7"/>
  <c r="AK55" i="7" s="1"/>
  <c r="AH55" i="7"/>
  <c r="AI54" i="7"/>
  <c r="AK54" i="7"/>
  <c r="AK58" i="22"/>
  <c r="AJ58" i="22"/>
  <c r="AI58" i="22"/>
  <c r="AG58" i="22"/>
  <c r="AF58" i="22"/>
  <c r="AE58" i="22"/>
  <c r="AH58" i="22"/>
  <c r="S57" i="22"/>
  <c r="Q57" i="22"/>
  <c r="AM55" i="7"/>
  <c r="AQ54" i="7"/>
  <c r="AP54" i="7"/>
  <c r="AO54" i="7"/>
  <c r="AS54" i="7" s="1"/>
  <c r="AN54" i="7"/>
  <c r="AT54" i="7" s="1"/>
  <c r="AT53" i="7"/>
  <c r="AR53" i="7"/>
  <c r="AR54" i="7" s="1"/>
  <c r="J57" i="23"/>
  <c r="I58" i="22"/>
  <c r="I57" i="23"/>
  <c r="J58" i="22"/>
  <c r="H58" i="22"/>
  <c r="AA58" i="23"/>
  <c r="Z58" i="23"/>
  <c r="V58" i="23"/>
  <c r="AB58" i="23"/>
  <c r="W58" i="23"/>
  <c r="X58" i="23"/>
  <c r="U59" i="23"/>
  <c r="Y58" i="23"/>
  <c r="R60" i="23"/>
  <c r="Q60" i="23"/>
  <c r="M60" i="23"/>
  <c r="N60" i="23"/>
  <c r="O60" i="23"/>
  <c r="S60" i="23"/>
  <c r="L61" i="23"/>
  <c r="P60" i="23"/>
  <c r="E58" i="23"/>
  <c r="C59" i="23"/>
  <c r="F58" i="23"/>
  <c r="D58" i="23"/>
  <c r="G58" i="23"/>
  <c r="H57" i="23"/>
  <c r="L59" i="22"/>
  <c r="O58" i="22"/>
  <c r="M58" i="22"/>
  <c r="N58" i="22"/>
  <c r="P58" i="22"/>
  <c r="AD59" i="22"/>
  <c r="C60" i="22"/>
  <c r="F59" i="22"/>
  <c r="E59" i="22"/>
  <c r="D59" i="22"/>
  <c r="G59" i="22"/>
  <c r="U60" i="22"/>
  <c r="X59" i="22"/>
  <c r="W59" i="22"/>
  <c r="V59" i="22"/>
  <c r="Y59" i="22"/>
  <c r="AI55" i="7" l="1"/>
  <c r="Z59" i="22"/>
  <c r="AB59" i="22"/>
  <c r="AA59" i="22"/>
  <c r="S58" i="22"/>
  <c r="R58" i="22"/>
  <c r="AM61" i="22"/>
  <c r="AT60" i="22"/>
  <c r="AS60" i="22"/>
  <c r="AR60" i="22"/>
  <c r="AQ60" i="22"/>
  <c r="AP60" i="22"/>
  <c r="AO60" i="22"/>
  <c r="AN60" i="22"/>
  <c r="AF60" i="23"/>
  <c r="AJ60" i="23"/>
  <c r="AG60" i="23"/>
  <c r="AE60" i="23"/>
  <c r="AK60" i="23"/>
  <c r="AH60" i="23"/>
  <c r="AD61" i="23"/>
  <c r="AI60" i="23"/>
  <c r="AM61" i="23"/>
  <c r="AT60" i="23"/>
  <c r="AS60" i="23"/>
  <c r="AR60" i="23"/>
  <c r="AQ60" i="23"/>
  <c r="AP60" i="23"/>
  <c r="AO60" i="23"/>
  <c r="AN60" i="23"/>
  <c r="AD57" i="7"/>
  <c r="AE56" i="7"/>
  <c r="AF56" i="7"/>
  <c r="AG56" i="7"/>
  <c r="AH56" i="7"/>
  <c r="Q58" i="22"/>
  <c r="AK59" i="22"/>
  <c r="AJ59" i="22"/>
  <c r="AI59" i="22"/>
  <c r="AG59" i="22"/>
  <c r="AF59" i="22"/>
  <c r="AE59" i="22"/>
  <c r="AH59" i="22"/>
  <c r="AM56" i="7"/>
  <c r="AQ55" i="7"/>
  <c r="AP55" i="7"/>
  <c r="AO55" i="7"/>
  <c r="AS55" i="7" s="1"/>
  <c r="AN55" i="7"/>
  <c r="I59" i="22"/>
  <c r="H59" i="22"/>
  <c r="J58" i="23"/>
  <c r="H58" i="23"/>
  <c r="I58" i="23"/>
  <c r="J59" i="22"/>
  <c r="W59" i="23"/>
  <c r="V59" i="23"/>
  <c r="X59" i="23"/>
  <c r="AB59" i="23"/>
  <c r="Z59" i="23"/>
  <c r="U60" i="23"/>
  <c r="AA59" i="23"/>
  <c r="Y59" i="23"/>
  <c r="D59" i="23"/>
  <c r="E59" i="23"/>
  <c r="F59" i="23"/>
  <c r="C60" i="23"/>
  <c r="G59" i="23"/>
  <c r="N61" i="23"/>
  <c r="M61" i="23"/>
  <c r="L62" i="23"/>
  <c r="S61" i="23"/>
  <c r="R61" i="23"/>
  <c r="O61" i="23"/>
  <c r="Q61" i="23"/>
  <c r="P61" i="23"/>
  <c r="C61" i="22"/>
  <c r="F60" i="22"/>
  <c r="E60" i="22"/>
  <c r="D60" i="22"/>
  <c r="G60" i="22"/>
  <c r="AD60" i="22"/>
  <c r="W60" i="22"/>
  <c r="V60" i="22"/>
  <c r="U61" i="22"/>
  <c r="X60" i="22"/>
  <c r="Y60" i="22"/>
  <c r="N59" i="22"/>
  <c r="M59" i="22"/>
  <c r="O59" i="22"/>
  <c r="L60" i="22"/>
  <c r="P59" i="22"/>
  <c r="AJ56" i="7" l="1"/>
  <c r="AA60" i="22"/>
  <c r="AB60" i="22"/>
  <c r="Z60" i="22"/>
  <c r="AT61" i="22"/>
  <c r="AS61" i="22"/>
  <c r="AR61" i="22"/>
  <c r="AP61" i="22"/>
  <c r="AN61" i="22"/>
  <c r="AM62" i="22"/>
  <c r="AQ61" i="22"/>
  <c r="AO61" i="22"/>
  <c r="AJ61" i="23"/>
  <c r="AE61" i="23"/>
  <c r="AD62" i="23"/>
  <c r="AG61" i="23"/>
  <c r="AK61" i="23"/>
  <c r="AF61" i="23"/>
  <c r="AI61" i="23"/>
  <c r="AH61" i="23"/>
  <c r="AM62" i="23"/>
  <c r="AS61" i="23"/>
  <c r="AR61" i="23"/>
  <c r="AQ61" i="23"/>
  <c r="AO61" i="23"/>
  <c r="AN61" i="23"/>
  <c r="AT61" i="23"/>
  <c r="AP61" i="23"/>
  <c r="AD58" i="7"/>
  <c r="AH57" i="7"/>
  <c r="AE57" i="7"/>
  <c r="AF57" i="7"/>
  <c r="AJ57" i="7" s="1"/>
  <c r="AG57" i="7"/>
  <c r="AI56" i="7"/>
  <c r="AK56" i="7"/>
  <c r="AK60" i="22"/>
  <c r="AJ60" i="22"/>
  <c r="AI60" i="22"/>
  <c r="AG60" i="22"/>
  <c r="AF60" i="22"/>
  <c r="AE60" i="22"/>
  <c r="AH60" i="22"/>
  <c r="R59" i="22"/>
  <c r="Q59" i="22"/>
  <c r="S59" i="22"/>
  <c r="AM57" i="7"/>
  <c r="AQ56" i="7"/>
  <c r="AP56" i="7"/>
  <c r="AT56" i="7" s="1"/>
  <c r="AO56" i="7"/>
  <c r="AS56" i="7" s="1"/>
  <c r="AN56" i="7"/>
  <c r="AT55" i="7"/>
  <c r="AR55" i="7"/>
  <c r="AR56" i="7" s="1"/>
  <c r="J60" i="22"/>
  <c r="I59" i="23"/>
  <c r="H60" i="22"/>
  <c r="J59" i="23"/>
  <c r="H59" i="23"/>
  <c r="I60" i="22"/>
  <c r="E60" i="23"/>
  <c r="D60" i="23"/>
  <c r="C61" i="23"/>
  <c r="F60" i="23"/>
  <c r="G60" i="23"/>
  <c r="Q62" i="23"/>
  <c r="N62" i="23"/>
  <c r="L63" i="23"/>
  <c r="S62" i="23"/>
  <c r="O62" i="23"/>
  <c r="R62" i="23"/>
  <c r="M62" i="23"/>
  <c r="P62" i="23"/>
  <c r="Z60" i="23"/>
  <c r="AB60" i="23"/>
  <c r="AA60" i="23"/>
  <c r="W60" i="23"/>
  <c r="U61" i="23"/>
  <c r="X60" i="23"/>
  <c r="V60" i="23"/>
  <c r="Y60" i="23"/>
  <c r="U62" i="22"/>
  <c r="V61" i="22"/>
  <c r="W61" i="22"/>
  <c r="X61" i="22"/>
  <c r="AB61" i="22" s="1"/>
  <c r="Y61" i="22"/>
  <c r="L61" i="22"/>
  <c r="N60" i="22"/>
  <c r="O60" i="22"/>
  <c r="M60" i="22"/>
  <c r="P60" i="22"/>
  <c r="AD61" i="22"/>
  <c r="E61" i="22"/>
  <c r="G61" i="22"/>
  <c r="F61" i="22"/>
  <c r="D61" i="22"/>
  <c r="C62" i="22"/>
  <c r="AA61" i="22" l="1"/>
  <c r="Z61" i="22"/>
  <c r="R60" i="22"/>
  <c r="AM63" i="22"/>
  <c r="AT62" i="22"/>
  <c r="AS62" i="22"/>
  <c r="AR62" i="22"/>
  <c r="AQ62" i="22"/>
  <c r="AP62" i="22"/>
  <c r="AO62" i="22"/>
  <c r="AN62" i="22"/>
  <c r="AE62" i="23"/>
  <c r="AD63" i="23"/>
  <c r="AK62" i="23"/>
  <c r="AJ62" i="23"/>
  <c r="AI62" i="23"/>
  <c r="AH62" i="23"/>
  <c r="AG62" i="23"/>
  <c r="AF62" i="23"/>
  <c r="AM63" i="23"/>
  <c r="AT62" i="23"/>
  <c r="AS62" i="23"/>
  <c r="AR62" i="23"/>
  <c r="AQ62" i="23"/>
  <c r="AP62" i="23"/>
  <c r="AO62" i="23"/>
  <c r="AN62" i="23"/>
  <c r="AD59" i="7"/>
  <c r="AE58" i="7"/>
  <c r="AF58" i="7"/>
  <c r="AG58" i="7"/>
  <c r="AH58" i="7"/>
  <c r="AI57" i="7"/>
  <c r="AK57" i="7"/>
  <c r="AK61" i="22"/>
  <c r="AJ61" i="22"/>
  <c r="AI61" i="22"/>
  <c r="AG61" i="22"/>
  <c r="AF61" i="22"/>
  <c r="AE61" i="22"/>
  <c r="AH61" i="22"/>
  <c r="Q60" i="22"/>
  <c r="S60" i="22"/>
  <c r="AM58" i="7"/>
  <c r="AQ57" i="7"/>
  <c r="AP57" i="7"/>
  <c r="AO57" i="7"/>
  <c r="AS57" i="7" s="1"/>
  <c r="AN57" i="7"/>
  <c r="I60" i="23"/>
  <c r="J61" i="22"/>
  <c r="J60" i="23"/>
  <c r="H61" i="22"/>
  <c r="I61" i="22"/>
  <c r="H60" i="23"/>
  <c r="R63" i="23"/>
  <c r="Q63" i="23"/>
  <c r="M63" i="23"/>
  <c r="S63" i="23"/>
  <c r="N63" i="23"/>
  <c r="O63" i="23"/>
  <c r="L64" i="23"/>
  <c r="P63" i="23"/>
  <c r="E61" i="23"/>
  <c r="C62" i="23"/>
  <c r="F61" i="23"/>
  <c r="D61" i="23"/>
  <c r="G61" i="23"/>
  <c r="AA61" i="23"/>
  <c r="Z61" i="23"/>
  <c r="V61" i="23"/>
  <c r="W61" i="23"/>
  <c r="X61" i="23"/>
  <c r="AB61" i="23"/>
  <c r="U62" i="23"/>
  <c r="Y61" i="23"/>
  <c r="L62" i="22"/>
  <c r="O61" i="22"/>
  <c r="N61" i="22"/>
  <c r="M61" i="22"/>
  <c r="P61" i="22"/>
  <c r="U63" i="22"/>
  <c r="X62" i="22"/>
  <c r="W62" i="22"/>
  <c r="V62" i="22"/>
  <c r="Y62" i="22"/>
  <c r="C63" i="22"/>
  <c r="F62" i="22"/>
  <c r="E62" i="22"/>
  <c r="D62" i="22"/>
  <c r="G62" i="22"/>
  <c r="AD62" i="22"/>
  <c r="Z62" i="22" l="1"/>
  <c r="AB62" i="22"/>
  <c r="AA62" i="22"/>
  <c r="AJ58" i="7"/>
  <c r="AM64" i="22"/>
  <c r="AT63" i="22"/>
  <c r="AS63" i="22"/>
  <c r="AR63" i="22"/>
  <c r="AQ63" i="22"/>
  <c r="AP63" i="22"/>
  <c r="AO63" i="22"/>
  <c r="AN63" i="22"/>
  <c r="AD64" i="23"/>
  <c r="AK63" i="23"/>
  <c r="AJ63" i="23"/>
  <c r="AI63" i="23"/>
  <c r="AH63" i="23"/>
  <c r="AG63" i="23"/>
  <c r="AF63" i="23"/>
  <c r="AE63" i="23"/>
  <c r="AM64" i="23"/>
  <c r="AT63" i="23"/>
  <c r="AS63" i="23"/>
  <c r="AR63" i="23"/>
  <c r="AQ63" i="23"/>
  <c r="AP63" i="23"/>
  <c r="AO63" i="23"/>
  <c r="AN63" i="23"/>
  <c r="AD60" i="7"/>
  <c r="AE59" i="7"/>
  <c r="AF59" i="7"/>
  <c r="AG59" i="7"/>
  <c r="AK59" i="7" s="1"/>
  <c r="AH59" i="7"/>
  <c r="AI58" i="7"/>
  <c r="AK58" i="7"/>
  <c r="Q61" i="22"/>
  <c r="AK62" i="22"/>
  <c r="AJ62" i="22"/>
  <c r="AI62" i="22"/>
  <c r="AG62" i="22"/>
  <c r="AF62" i="22"/>
  <c r="AE62" i="22"/>
  <c r="AH62" i="22"/>
  <c r="S61" i="22"/>
  <c r="R61" i="22"/>
  <c r="AM59" i="7"/>
  <c r="AQ58" i="7"/>
  <c r="AP58" i="7"/>
  <c r="AT58" i="7" s="1"/>
  <c r="AO58" i="7"/>
  <c r="AS58" i="7" s="1"/>
  <c r="AN58" i="7"/>
  <c r="AT57" i="7"/>
  <c r="AR57" i="7"/>
  <c r="AR58" i="7" s="1"/>
  <c r="H62" i="22"/>
  <c r="I61" i="23"/>
  <c r="J62" i="22"/>
  <c r="I62" i="22"/>
  <c r="H61" i="23"/>
  <c r="J61" i="23"/>
  <c r="D62" i="23"/>
  <c r="E62" i="23"/>
  <c r="F62" i="23"/>
  <c r="C63" i="23"/>
  <c r="G62" i="23"/>
  <c r="W62" i="23"/>
  <c r="V62" i="23"/>
  <c r="U63" i="23"/>
  <c r="AB62" i="23"/>
  <c r="AA62" i="23"/>
  <c r="X62" i="23"/>
  <c r="Z62" i="23"/>
  <c r="Y62" i="23"/>
  <c r="N64" i="23"/>
  <c r="M64" i="23"/>
  <c r="O64" i="23"/>
  <c r="S64" i="23"/>
  <c r="Q64" i="23"/>
  <c r="L65" i="23"/>
  <c r="R64" i="23"/>
  <c r="P64" i="23"/>
  <c r="U64" i="22"/>
  <c r="V63" i="22"/>
  <c r="X63" i="22"/>
  <c r="W63" i="22"/>
  <c r="Y63" i="22"/>
  <c r="AD63" i="22"/>
  <c r="C64" i="22"/>
  <c r="D63" i="22"/>
  <c r="E63" i="22"/>
  <c r="F63" i="22"/>
  <c r="G63" i="22"/>
  <c r="N62" i="22"/>
  <c r="M62" i="22"/>
  <c r="O62" i="22"/>
  <c r="L63" i="22"/>
  <c r="P62" i="22"/>
  <c r="AJ59" i="7" l="1"/>
  <c r="AI59" i="7"/>
  <c r="Z63" i="22"/>
  <c r="AB63" i="22"/>
  <c r="AA63" i="22"/>
  <c r="AT64" i="22"/>
  <c r="AS64" i="22"/>
  <c r="AR64" i="22"/>
  <c r="AQ64" i="22"/>
  <c r="AP64" i="22"/>
  <c r="AO64" i="22"/>
  <c r="AN64" i="22"/>
  <c r="AM65" i="22"/>
  <c r="AD65" i="23"/>
  <c r="AK64" i="23"/>
  <c r="AJ64" i="23"/>
  <c r="AI64" i="23"/>
  <c r="AH64" i="23"/>
  <c r="AG64" i="23"/>
  <c r="AF64" i="23"/>
  <c r="AE64" i="23"/>
  <c r="AM65" i="23"/>
  <c r="AT64" i="23"/>
  <c r="AS64" i="23"/>
  <c r="AQ64" i="23"/>
  <c r="AP64" i="23"/>
  <c r="AO64" i="23"/>
  <c r="AN64" i="23"/>
  <c r="AR64" i="23"/>
  <c r="AD61" i="7"/>
  <c r="AH60" i="7"/>
  <c r="AE60" i="7"/>
  <c r="AF60" i="7"/>
  <c r="AG60" i="7"/>
  <c r="AK63" i="22"/>
  <c r="AJ63" i="22"/>
  <c r="AI63" i="22"/>
  <c r="AG63" i="22"/>
  <c r="AF63" i="22"/>
  <c r="AE63" i="22"/>
  <c r="AH63" i="22"/>
  <c r="R62" i="22"/>
  <c r="S62" i="22"/>
  <c r="Q62" i="22"/>
  <c r="AM60" i="7"/>
  <c r="AQ59" i="7"/>
  <c r="AP59" i="7"/>
  <c r="AT59" i="7" s="1"/>
  <c r="AO59" i="7"/>
  <c r="AS59" i="7" s="1"/>
  <c r="AN59" i="7"/>
  <c r="AR59" i="7"/>
  <c r="J63" i="22"/>
  <c r="I63" i="22"/>
  <c r="H62" i="23"/>
  <c r="I62" i="23"/>
  <c r="J62" i="23"/>
  <c r="Z63" i="23"/>
  <c r="W63" i="23"/>
  <c r="U64" i="23"/>
  <c r="AB63" i="23"/>
  <c r="X63" i="23"/>
  <c r="AA63" i="23"/>
  <c r="V63" i="23"/>
  <c r="Y63" i="23"/>
  <c r="E63" i="23"/>
  <c r="D63" i="23"/>
  <c r="F63" i="23"/>
  <c r="C64" i="23"/>
  <c r="G63" i="23"/>
  <c r="Q65" i="23"/>
  <c r="S65" i="23"/>
  <c r="R65" i="23"/>
  <c r="N65" i="23"/>
  <c r="L66" i="23"/>
  <c r="O65" i="23"/>
  <c r="M65" i="23"/>
  <c r="P65" i="23"/>
  <c r="U65" i="22"/>
  <c r="W64" i="22"/>
  <c r="V64" i="22"/>
  <c r="X64" i="22"/>
  <c r="Y64" i="22"/>
  <c r="AD64" i="22"/>
  <c r="H63" i="22"/>
  <c r="L64" i="22"/>
  <c r="N63" i="22"/>
  <c r="M63" i="22"/>
  <c r="O63" i="22"/>
  <c r="P63" i="22"/>
  <c r="E64" i="22"/>
  <c r="F64" i="22"/>
  <c r="D64" i="22"/>
  <c r="C65" i="22"/>
  <c r="G64" i="22"/>
  <c r="AJ60" i="7" l="1"/>
  <c r="S63" i="22"/>
  <c r="AA64" i="22"/>
  <c r="AB64" i="22"/>
  <c r="Z64" i="22"/>
  <c r="R63" i="22"/>
  <c r="AM66" i="22"/>
  <c r="AT65" i="22"/>
  <c r="AS65" i="22"/>
  <c r="AR65" i="22"/>
  <c r="AQ65" i="22"/>
  <c r="AP65" i="22"/>
  <c r="AO65" i="22"/>
  <c r="AN65" i="22"/>
  <c r="AD66" i="23"/>
  <c r="AK65" i="23"/>
  <c r="AJ65" i="23"/>
  <c r="AI65" i="23"/>
  <c r="AH65" i="23"/>
  <c r="AG65" i="23"/>
  <c r="AF65" i="23"/>
  <c r="AE65" i="23"/>
  <c r="AM66" i="23"/>
  <c r="AT65" i="23"/>
  <c r="AS65" i="23"/>
  <c r="AR65" i="23"/>
  <c r="AQ65" i="23"/>
  <c r="AP65" i="23"/>
  <c r="AO65" i="23"/>
  <c r="AN65" i="23"/>
  <c r="AD62" i="7"/>
  <c r="AE61" i="7"/>
  <c r="AF61" i="7"/>
  <c r="AJ61" i="7" s="1"/>
  <c r="AG61" i="7"/>
  <c r="AH61" i="7"/>
  <c r="Q63" i="22"/>
  <c r="AI60" i="7"/>
  <c r="AK60" i="7"/>
  <c r="AK64" i="22"/>
  <c r="AJ64" i="22"/>
  <c r="AI64" i="22"/>
  <c r="AG64" i="22"/>
  <c r="AF64" i="22"/>
  <c r="AE64" i="22"/>
  <c r="AH64" i="22"/>
  <c r="AQ60" i="7"/>
  <c r="AP60" i="7"/>
  <c r="AO60" i="7"/>
  <c r="AM61" i="7"/>
  <c r="AR60" i="7"/>
  <c r="AN60" i="7"/>
  <c r="H64" i="22"/>
  <c r="I64" i="22"/>
  <c r="J63" i="23"/>
  <c r="I63" i="23"/>
  <c r="J64" i="22"/>
  <c r="H63" i="23"/>
  <c r="E64" i="23"/>
  <c r="C65" i="23"/>
  <c r="F64" i="23"/>
  <c r="D64" i="23"/>
  <c r="G64" i="23"/>
  <c r="AA64" i="23"/>
  <c r="Z64" i="23"/>
  <c r="V64" i="23"/>
  <c r="AB64" i="23"/>
  <c r="W64" i="23"/>
  <c r="X64" i="23"/>
  <c r="U65" i="23"/>
  <c r="Y64" i="23"/>
  <c r="R66" i="23"/>
  <c r="Q66" i="23"/>
  <c r="M66" i="23"/>
  <c r="N66" i="23"/>
  <c r="O66" i="23"/>
  <c r="S66" i="23"/>
  <c r="L67" i="23"/>
  <c r="P66" i="23"/>
  <c r="C66" i="22"/>
  <c r="D65" i="22"/>
  <c r="F65" i="22"/>
  <c r="E65" i="22"/>
  <c r="G65" i="22"/>
  <c r="AD65" i="22"/>
  <c r="L65" i="22"/>
  <c r="O64" i="22"/>
  <c r="N64" i="22"/>
  <c r="M64" i="22"/>
  <c r="P64" i="22"/>
  <c r="U66" i="22"/>
  <c r="X65" i="22"/>
  <c r="W65" i="22"/>
  <c r="V65" i="22"/>
  <c r="Y65" i="22"/>
  <c r="Z65" i="22" l="1"/>
  <c r="AB65" i="22"/>
  <c r="AA65" i="22"/>
  <c r="AT66" i="22"/>
  <c r="AS66" i="22"/>
  <c r="AR66" i="22"/>
  <c r="AQ66" i="22"/>
  <c r="AP66" i="22"/>
  <c r="AO66" i="22"/>
  <c r="AN66" i="22"/>
  <c r="AM67" i="22"/>
  <c r="AD67" i="23"/>
  <c r="AK66" i="23"/>
  <c r="AJ66" i="23"/>
  <c r="AI66" i="23"/>
  <c r="AH66" i="23"/>
  <c r="AG66" i="23"/>
  <c r="AF66" i="23"/>
  <c r="AE66" i="23"/>
  <c r="AM67" i="23"/>
  <c r="AT66" i="23"/>
  <c r="AS66" i="23"/>
  <c r="AR66" i="23"/>
  <c r="AQ66" i="23"/>
  <c r="AP66" i="23"/>
  <c r="AO66" i="23"/>
  <c r="AN66" i="23"/>
  <c r="AD63" i="7"/>
  <c r="AH62" i="7"/>
  <c r="AE62" i="7"/>
  <c r="AF62" i="7"/>
  <c r="AJ62" i="7" s="1"/>
  <c r="AG62" i="7"/>
  <c r="AI61" i="7"/>
  <c r="AK61" i="7"/>
  <c r="AK65" i="22"/>
  <c r="AJ65" i="22"/>
  <c r="AI65" i="22"/>
  <c r="AG65" i="22"/>
  <c r="AF65" i="22"/>
  <c r="AE65" i="22"/>
  <c r="AH65" i="22"/>
  <c r="R64" i="22"/>
  <c r="S64" i="22"/>
  <c r="Q64" i="22"/>
  <c r="AP61" i="7"/>
  <c r="AQ61" i="7"/>
  <c r="AO61" i="7"/>
  <c r="AS61" i="7" s="1"/>
  <c r="AN61" i="7"/>
  <c r="AM62" i="7"/>
  <c r="AT60" i="7"/>
  <c r="AS60" i="7"/>
  <c r="H65" i="22"/>
  <c r="I65" i="22"/>
  <c r="H64" i="23"/>
  <c r="J64" i="23"/>
  <c r="J65" i="22"/>
  <c r="I64" i="23"/>
  <c r="W65" i="23"/>
  <c r="V65" i="23"/>
  <c r="X65" i="23"/>
  <c r="AB65" i="23"/>
  <c r="Z65" i="23"/>
  <c r="U66" i="23"/>
  <c r="AA65" i="23"/>
  <c r="Y65" i="23"/>
  <c r="N67" i="23"/>
  <c r="M67" i="23"/>
  <c r="L68" i="23"/>
  <c r="S67" i="23"/>
  <c r="R67" i="23"/>
  <c r="O67" i="23"/>
  <c r="Q67" i="23"/>
  <c r="P67" i="23"/>
  <c r="D65" i="23"/>
  <c r="E65" i="23"/>
  <c r="F65" i="23"/>
  <c r="C66" i="23"/>
  <c r="G65" i="23"/>
  <c r="V66" i="22"/>
  <c r="W66" i="22"/>
  <c r="AA66" i="22" s="1"/>
  <c r="U67" i="22"/>
  <c r="X66" i="22"/>
  <c r="Y66" i="22"/>
  <c r="AD66" i="22"/>
  <c r="L66" i="22"/>
  <c r="N65" i="22"/>
  <c r="M65" i="22"/>
  <c r="O65" i="22"/>
  <c r="P65" i="22"/>
  <c r="C67" i="22"/>
  <c r="D66" i="22"/>
  <c r="F66" i="22"/>
  <c r="E66" i="22"/>
  <c r="G66" i="22"/>
  <c r="S65" i="22" l="1"/>
  <c r="Z66" i="22"/>
  <c r="AB66" i="22"/>
  <c r="Q65" i="22"/>
  <c r="AM68" i="22"/>
  <c r="AT67" i="22"/>
  <c r="AS67" i="22"/>
  <c r="AR67" i="22"/>
  <c r="AQ67" i="22"/>
  <c r="AP67" i="22"/>
  <c r="AO67" i="22"/>
  <c r="AN67" i="22"/>
  <c r="AD68" i="23"/>
  <c r="AK67" i="23"/>
  <c r="AJ67" i="23"/>
  <c r="AI67" i="23"/>
  <c r="AH67" i="23"/>
  <c r="AG67" i="23"/>
  <c r="AF67" i="23"/>
  <c r="AE67" i="23"/>
  <c r="AM68" i="23"/>
  <c r="AT67" i="23"/>
  <c r="AS67" i="23"/>
  <c r="AR67" i="23"/>
  <c r="AQ67" i="23"/>
  <c r="AP67" i="23"/>
  <c r="AO67" i="23"/>
  <c r="AN67" i="23"/>
  <c r="AD64" i="7"/>
  <c r="AE63" i="7"/>
  <c r="AF63" i="7"/>
  <c r="AJ63" i="7" s="1"/>
  <c r="AG63" i="7"/>
  <c r="AH63" i="7"/>
  <c r="R65" i="22"/>
  <c r="AI62" i="7"/>
  <c r="AK62" i="7"/>
  <c r="AK66" i="22"/>
  <c r="AJ66" i="22"/>
  <c r="AI66" i="22"/>
  <c r="AG66" i="22"/>
  <c r="AF66" i="22"/>
  <c r="AE66" i="22"/>
  <c r="AH66" i="22"/>
  <c r="AN62" i="7"/>
  <c r="AM63" i="7"/>
  <c r="AP62" i="7"/>
  <c r="AT62" i="7" s="1"/>
  <c r="AO62" i="7"/>
  <c r="AS62" i="7" s="1"/>
  <c r="AQ62" i="7"/>
  <c r="AT61" i="7"/>
  <c r="AR61" i="7"/>
  <c r="AR62" i="7" s="1"/>
  <c r="H65" i="23"/>
  <c r="I65" i="23"/>
  <c r="J66" i="22"/>
  <c r="J65" i="23"/>
  <c r="I66" i="22"/>
  <c r="Q68" i="23"/>
  <c r="N68" i="23"/>
  <c r="L69" i="23"/>
  <c r="S68" i="23"/>
  <c r="O68" i="23"/>
  <c r="R68" i="23"/>
  <c r="M68" i="23"/>
  <c r="P68" i="23"/>
  <c r="Z66" i="23"/>
  <c r="AB66" i="23"/>
  <c r="AA66" i="23"/>
  <c r="W66" i="23"/>
  <c r="U67" i="23"/>
  <c r="X66" i="23"/>
  <c r="V66" i="23"/>
  <c r="Y66" i="23"/>
  <c r="E66" i="23"/>
  <c r="D66" i="23"/>
  <c r="C67" i="23"/>
  <c r="F66" i="23"/>
  <c r="G66" i="23"/>
  <c r="C68" i="22"/>
  <c r="F67" i="22"/>
  <c r="E67" i="22"/>
  <c r="D67" i="22"/>
  <c r="G67" i="22"/>
  <c r="U68" i="22"/>
  <c r="W67" i="22"/>
  <c r="V67" i="22"/>
  <c r="X67" i="22"/>
  <c r="Y67" i="22"/>
  <c r="AD67" i="22"/>
  <c r="H66" i="22"/>
  <c r="L67" i="22"/>
  <c r="O66" i="22"/>
  <c r="N66" i="22"/>
  <c r="M66" i="22"/>
  <c r="P66" i="22"/>
  <c r="Z67" i="22" l="1"/>
  <c r="AA67" i="22"/>
  <c r="AB67" i="22"/>
  <c r="AM69" i="22"/>
  <c r="AT68" i="22"/>
  <c r="AS68" i="22"/>
  <c r="AR68" i="22"/>
  <c r="AQ68" i="22"/>
  <c r="AP68" i="22"/>
  <c r="AO68" i="22"/>
  <c r="AN68" i="22"/>
  <c r="AD69" i="23"/>
  <c r="AK68" i="23"/>
  <c r="AJ68" i="23"/>
  <c r="AI68" i="23"/>
  <c r="AH68" i="23"/>
  <c r="AG68" i="23"/>
  <c r="AF68" i="23"/>
  <c r="AE68" i="23"/>
  <c r="AM69" i="23"/>
  <c r="AT68" i="23"/>
  <c r="AS68" i="23"/>
  <c r="AR68" i="23"/>
  <c r="AQ68" i="23"/>
  <c r="AP68" i="23"/>
  <c r="AO68" i="23"/>
  <c r="AN68" i="23"/>
  <c r="AD65" i="7"/>
  <c r="AH64" i="7"/>
  <c r="AE64" i="7"/>
  <c r="AF64" i="7"/>
  <c r="AJ64" i="7" s="1"/>
  <c r="AG64" i="7"/>
  <c r="AI63" i="7"/>
  <c r="AK63" i="7"/>
  <c r="AK67" i="22"/>
  <c r="AJ67" i="22"/>
  <c r="AI67" i="22"/>
  <c r="AG67" i="22"/>
  <c r="AF67" i="22"/>
  <c r="AE67" i="22"/>
  <c r="AH67" i="22"/>
  <c r="R66" i="22"/>
  <c r="S66" i="22"/>
  <c r="Q66" i="22"/>
  <c r="AM64" i="7"/>
  <c r="AQ63" i="7"/>
  <c r="AP63" i="7"/>
  <c r="AO63" i="7"/>
  <c r="AS63" i="7" s="1"/>
  <c r="AN63" i="7"/>
  <c r="J66" i="23"/>
  <c r="I66" i="23"/>
  <c r="H67" i="22"/>
  <c r="H66" i="23"/>
  <c r="I67" i="22"/>
  <c r="J67" i="22"/>
  <c r="R69" i="23"/>
  <c r="Q69" i="23"/>
  <c r="M69" i="23"/>
  <c r="L70" i="23"/>
  <c r="S69" i="23"/>
  <c r="N69" i="23"/>
  <c r="O69" i="23"/>
  <c r="P69" i="23"/>
  <c r="AA67" i="23"/>
  <c r="Z67" i="23"/>
  <c r="V67" i="23"/>
  <c r="W67" i="23"/>
  <c r="X67" i="23"/>
  <c r="AB67" i="23"/>
  <c r="U68" i="23"/>
  <c r="Y67" i="23"/>
  <c r="E67" i="23"/>
  <c r="C68" i="23"/>
  <c r="F67" i="23"/>
  <c r="D67" i="23"/>
  <c r="G67" i="23"/>
  <c r="L68" i="22"/>
  <c r="O67" i="22"/>
  <c r="M67" i="22"/>
  <c r="N67" i="22"/>
  <c r="P67" i="22"/>
  <c r="U69" i="22"/>
  <c r="X68" i="22"/>
  <c r="W68" i="22"/>
  <c r="V68" i="22"/>
  <c r="Y68" i="22"/>
  <c r="AD68" i="22"/>
  <c r="C69" i="22"/>
  <c r="F68" i="22"/>
  <c r="D68" i="22"/>
  <c r="E68" i="22"/>
  <c r="G68" i="22"/>
  <c r="Z68" i="22" l="1"/>
  <c r="AB68" i="22"/>
  <c r="AA68" i="22"/>
  <c r="R67" i="22"/>
  <c r="Q67" i="22"/>
  <c r="AM70" i="22"/>
  <c r="AT69" i="22"/>
  <c r="AS69" i="22"/>
  <c r="AR69" i="22"/>
  <c r="AQ69" i="22"/>
  <c r="AP69" i="22"/>
  <c r="AO69" i="22"/>
  <c r="AN69" i="22"/>
  <c r="AD70" i="23"/>
  <c r="AK69" i="23"/>
  <c r="AJ69" i="23"/>
  <c r="AI69" i="23"/>
  <c r="AH69" i="23"/>
  <c r="AG69" i="23"/>
  <c r="AF69" i="23"/>
  <c r="AE69" i="23"/>
  <c r="AM70" i="23"/>
  <c r="AT69" i="23"/>
  <c r="AS69" i="23"/>
  <c r="AR69" i="23"/>
  <c r="AQ69" i="23"/>
  <c r="AP69" i="23"/>
  <c r="AO69" i="23"/>
  <c r="AN69" i="23"/>
  <c r="AD66" i="7"/>
  <c r="AE65" i="7"/>
  <c r="AF65" i="7"/>
  <c r="AJ65" i="7" s="1"/>
  <c r="AG65" i="7"/>
  <c r="AH65" i="7"/>
  <c r="AI64" i="7"/>
  <c r="AI65" i="7" s="1"/>
  <c r="AK64" i="7"/>
  <c r="AK68" i="22"/>
  <c r="AJ68" i="22"/>
  <c r="AI68" i="22"/>
  <c r="AG68" i="22"/>
  <c r="AF68" i="22"/>
  <c r="AE68" i="22"/>
  <c r="AH68" i="22"/>
  <c r="S67" i="22"/>
  <c r="AM65" i="7"/>
  <c r="AQ64" i="7"/>
  <c r="AP64" i="7"/>
  <c r="AT64" i="7" s="1"/>
  <c r="AO64" i="7"/>
  <c r="AS64" i="7" s="1"/>
  <c r="AN64" i="7"/>
  <c r="AT63" i="7"/>
  <c r="AR63" i="7"/>
  <c r="AR64" i="7" s="1"/>
  <c r="I68" i="22"/>
  <c r="H68" i="22"/>
  <c r="I67" i="23"/>
  <c r="H67" i="23"/>
  <c r="J68" i="22"/>
  <c r="J67" i="23"/>
  <c r="O70" i="23"/>
  <c r="N70" i="23"/>
  <c r="M70" i="23"/>
  <c r="R70" i="23"/>
  <c r="L71" i="23"/>
  <c r="Q70" i="23"/>
  <c r="S70" i="23"/>
  <c r="P70" i="23"/>
  <c r="D68" i="23"/>
  <c r="E68" i="23"/>
  <c r="F68" i="23"/>
  <c r="C69" i="23"/>
  <c r="G68" i="23"/>
  <c r="W68" i="23"/>
  <c r="V68" i="23"/>
  <c r="U69" i="23"/>
  <c r="AB68" i="23"/>
  <c r="AA68" i="23"/>
  <c r="X68" i="23"/>
  <c r="Z68" i="23"/>
  <c r="Y68" i="23"/>
  <c r="W69" i="22"/>
  <c r="X69" i="22"/>
  <c r="V69" i="22"/>
  <c r="U70" i="22"/>
  <c r="Y69" i="22"/>
  <c r="AD69" i="22"/>
  <c r="C70" i="22"/>
  <c r="F69" i="22"/>
  <c r="D69" i="22"/>
  <c r="E69" i="22"/>
  <c r="G69" i="22"/>
  <c r="L69" i="22"/>
  <c r="O68" i="22"/>
  <c r="M68" i="22"/>
  <c r="N68" i="22"/>
  <c r="P68" i="22"/>
  <c r="R68" i="22" l="1"/>
  <c r="AK65" i="7"/>
  <c r="Z69" i="22"/>
  <c r="AA69" i="22"/>
  <c r="AB69" i="22"/>
  <c r="AM71" i="22"/>
  <c r="AT70" i="22"/>
  <c r="AS70" i="22"/>
  <c r="AR70" i="22"/>
  <c r="AQ70" i="22"/>
  <c r="AP70" i="22"/>
  <c r="AO70" i="22"/>
  <c r="AN70" i="22"/>
  <c r="AD71" i="23"/>
  <c r="AK70" i="23"/>
  <c r="AJ70" i="23"/>
  <c r="AI70" i="23"/>
  <c r="AH70" i="23"/>
  <c r="AG70" i="23"/>
  <c r="AF70" i="23"/>
  <c r="AE70" i="23"/>
  <c r="AM71" i="23"/>
  <c r="AT70" i="23"/>
  <c r="AS70" i="23"/>
  <c r="AR70" i="23"/>
  <c r="AQ70" i="23"/>
  <c r="AP70" i="23"/>
  <c r="AO70" i="23"/>
  <c r="AN70" i="23"/>
  <c r="AD67" i="7"/>
  <c r="AH66" i="7"/>
  <c r="AE66" i="7"/>
  <c r="AF66" i="7"/>
  <c r="AG66" i="7"/>
  <c r="AK69" i="22"/>
  <c r="AJ69" i="22"/>
  <c r="AI69" i="22"/>
  <c r="AG69" i="22"/>
  <c r="AF69" i="22"/>
  <c r="AE69" i="22"/>
  <c r="AH69" i="22"/>
  <c r="S68" i="22"/>
  <c r="Q68" i="22"/>
  <c r="AM66" i="7"/>
  <c r="AQ65" i="7"/>
  <c r="AP65" i="7"/>
  <c r="AO65" i="7"/>
  <c r="AS65" i="7" s="1"/>
  <c r="AN65" i="7"/>
  <c r="I68" i="23"/>
  <c r="H69" i="22"/>
  <c r="H68" i="23"/>
  <c r="I69" i="22"/>
  <c r="J69" i="22"/>
  <c r="J68" i="23"/>
  <c r="Z69" i="23"/>
  <c r="W69" i="23"/>
  <c r="U70" i="23"/>
  <c r="AB69" i="23"/>
  <c r="X69" i="23"/>
  <c r="AA69" i="23"/>
  <c r="V69" i="23"/>
  <c r="Y69" i="23"/>
  <c r="E69" i="23"/>
  <c r="D69" i="23"/>
  <c r="F69" i="23"/>
  <c r="C70" i="23"/>
  <c r="G69" i="23"/>
  <c r="Q71" i="23"/>
  <c r="N71" i="23"/>
  <c r="O71" i="23"/>
  <c r="M71" i="23"/>
  <c r="L72" i="23"/>
  <c r="S71" i="23"/>
  <c r="R71" i="23"/>
  <c r="P71" i="23"/>
  <c r="L70" i="22"/>
  <c r="O69" i="22"/>
  <c r="M69" i="22"/>
  <c r="N69" i="22"/>
  <c r="R69" i="22" s="1"/>
  <c r="P69" i="22"/>
  <c r="AD70" i="22"/>
  <c r="U71" i="22"/>
  <c r="W70" i="22"/>
  <c r="X70" i="22"/>
  <c r="V70" i="22"/>
  <c r="Y70" i="22"/>
  <c r="F70" i="22"/>
  <c r="E70" i="22"/>
  <c r="D70" i="22"/>
  <c r="C71" i="22"/>
  <c r="G70" i="22"/>
  <c r="AJ66" i="7" l="1"/>
  <c r="AA70" i="22"/>
  <c r="AB70" i="22"/>
  <c r="Z70" i="22"/>
  <c r="S69" i="22"/>
  <c r="AM72" i="22"/>
  <c r="AT71" i="22"/>
  <c r="AS71" i="22"/>
  <c r="AR71" i="22"/>
  <c r="AQ71" i="22"/>
  <c r="AP71" i="22"/>
  <c r="AO71" i="22"/>
  <c r="AN71" i="22"/>
  <c r="AD72" i="23"/>
  <c r="AK71" i="23"/>
  <c r="AJ71" i="23"/>
  <c r="AI71" i="23"/>
  <c r="AH71" i="23"/>
  <c r="AG71" i="23"/>
  <c r="AF71" i="23"/>
  <c r="AE71" i="23"/>
  <c r="AM72" i="23"/>
  <c r="AT71" i="23"/>
  <c r="AS71" i="23"/>
  <c r="AR71" i="23"/>
  <c r="AQ71" i="23"/>
  <c r="AP71" i="23"/>
  <c r="AO71" i="23"/>
  <c r="AN71" i="23"/>
  <c r="AD68" i="7"/>
  <c r="AE67" i="7"/>
  <c r="AF67" i="7"/>
  <c r="AG67" i="7"/>
  <c r="AH67" i="7"/>
  <c r="AI66" i="7"/>
  <c r="AK66" i="7"/>
  <c r="AK70" i="22"/>
  <c r="AJ70" i="22"/>
  <c r="AI70" i="22"/>
  <c r="AG70" i="22"/>
  <c r="AF70" i="22"/>
  <c r="AE70" i="22"/>
  <c r="AH70" i="22"/>
  <c r="Q69" i="22"/>
  <c r="AM67" i="7"/>
  <c r="AQ66" i="7"/>
  <c r="AP66" i="7"/>
  <c r="AT66" i="7" s="1"/>
  <c r="AO66" i="7"/>
  <c r="AS66" i="7" s="1"/>
  <c r="AN66" i="7"/>
  <c r="AR65" i="7"/>
  <c r="AR66" i="7" s="1"/>
  <c r="AT65" i="7"/>
  <c r="H69" i="23"/>
  <c r="H70" i="22"/>
  <c r="I69" i="23"/>
  <c r="I70" i="22"/>
  <c r="J69" i="23"/>
  <c r="AB70" i="23"/>
  <c r="AA70" i="23"/>
  <c r="Z70" i="23"/>
  <c r="V70" i="23"/>
  <c r="X70" i="23"/>
  <c r="U71" i="23"/>
  <c r="W70" i="23"/>
  <c r="Y70" i="23"/>
  <c r="C71" i="23"/>
  <c r="F70" i="23"/>
  <c r="E70" i="23"/>
  <c r="D70" i="23"/>
  <c r="G70" i="23"/>
  <c r="S72" i="23"/>
  <c r="R72" i="23"/>
  <c r="Q72" i="23"/>
  <c r="M72" i="23"/>
  <c r="L73" i="23"/>
  <c r="O72" i="23"/>
  <c r="N72" i="23"/>
  <c r="P72" i="23"/>
  <c r="J70" i="22"/>
  <c r="AD71" i="22"/>
  <c r="L71" i="22"/>
  <c r="N70" i="22"/>
  <c r="M70" i="22"/>
  <c r="O70" i="22"/>
  <c r="P70" i="22"/>
  <c r="C72" i="22"/>
  <c r="F71" i="22"/>
  <c r="E71" i="22"/>
  <c r="D71" i="22"/>
  <c r="G71" i="22"/>
  <c r="U72" i="22"/>
  <c r="X71" i="22"/>
  <c r="W71" i="22"/>
  <c r="V71" i="22"/>
  <c r="Y71" i="22"/>
  <c r="AJ67" i="7" l="1"/>
  <c r="Z71" i="22"/>
  <c r="AB71" i="22"/>
  <c r="AA71" i="22"/>
  <c r="AM73" i="22"/>
  <c r="AS72" i="22"/>
  <c r="AR72" i="22"/>
  <c r="AQ72" i="22"/>
  <c r="AP72" i="22"/>
  <c r="AO72" i="22"/>
  <c r="AN72" i="22"/>
  <c r="AT72" i="22"/>
  <c r="AD73" i="23"/>
  <c r="AK72" i="23"/>
  <c r="AJ72" i="23"/>
  <c r="AI72" i="23"/>
  <c r="AH72" i="23"/>
  <c r="AG72" i="23"/>
  <c r="AF72" i="23"/>
  <c r="AE72" i="23"/>
  <c r="AM73" i="23"/>
  <c r="AT72" i="23"/>
  <c r="AS72" i="23"/>
  <c r="AR72" i="23"/>
  <c r="AQ72" i="23"/>
  <c r="AP72" i="23"/>
  <c r="AO72" i="23"/>
  <c r="AN72" i="23"/>
  <c r="AD69" i="7"/>
  <c r="AE68" i="7"/>
  <c r="AF68" i="7"/>
  <c r="AJ68" i="7" s="1"/>
  <c r="AG68" i="7"/>
  <c r="AH68" i="7"/>
  <c r="R70" i="22"/>
  <c r="AI67" i="7"/>
  <c r="AK67" i="7"/>
  <c r="AK71" i="22"/>
  <c r="AJ71" i="22"/>
  <c r="AI71" i="22"/>
  <c r="AG71" i="22"/>
  <c r="AF71" i="22"/>
  <c r="AE71" i="22"/>
  <c r="AH71" i="22"/>
  <c r="Q70" i="22"/>
  <c r="S70" i="22"/>
  <c r="AM68" i="7"/>
  <c r="AQ67" i="7"/>
  <c r="AP67" i="7"/>
  <c r="AO67" i="7"/>
  <c r="AS67" i="7" s="1"/>
  <c r="AN67" i="7"/>
  <c r="H70" i="23"/>
  <c r="H71" i="22"/>
  <c r="J70" i="23"/>
  <c r="J71" i="22"/>
  <c r="I70" i="23"/>
  <c r="I71" i="22"/>
  <c r="D71" i="23"/>
  <c r="C72" i="23"/>
  <c r="E71" i="23"/>
  <c r="F71" i="23"/>
  <c r="G71" i="23"/>
  <c r="X71" i="23"/>
  <c r="W71" i="23"/>
  <c r="V71" i="23"/>
  <c r="AB71" i="23"/>
  <c r="U72" i="23"/>
  <c r="Z71" i="23"/>
  <c r="AA71" i="23"/>
  <c r="Y71" i="23"/>
  <c r="O73" i="23"/>
  <c r="N73" i="23"/>
  <c r="M73" i="23"/>
  <c r="S73" i="23"/>
  <c r="L74" i="23"/>
  <c r="Q73" i="23"/>
  <c r="R73" i="23"/>
  <c r="P73" i="23"/>
  <c r="N71" i="22"/>
  <c r="O71" i="22"/>
  <c r="M71" i="22"/>
  <c r="L72" i="22"/>
  <c r="P71" i="22"/>
  <c r="C73" i="22"/>
  <c r="E72" i="22"/>
  <c r="F72" i="22"/>
  <c r="D72" i="22"/>
  <c r="G72" i="22"/>
  <c r="AD72" i="22"/>
  <c r="U73" i="22"/>
  <c r="W72" i="22"/>
  <c r="V72" i="22"/>
  <c r="X72" i="22"/>
  <c r="Y72" i="22"/>
  <c r="Z72" i="22" l="1"/>
  <c r="AA72" i="22"/>
  <c r="AB72" i="22"/>
  <c r="S71" i="22"/>
  <c r="R71" i="22"/>
  <c r="Q71" i="22"/>
  <c r="AM74" i="22"/>
  <c r="AT73" i="22"/>
  <c r="AS73" i="22"/>
  <c r="AR73" i="22"/>
  <c r="AQ73" i="22"/>
  <c r="AP73" i="22"/>
  <c r="AO73" i="22"/>
  <c r="AN73" i="22"/>
  <c r="AH73" i="23"/>
  <c r="AG73" i="23"/>
  <c r="AF73" i="23"/>
  <c r="AE73" i="23"/>
  <c r="AD74" i="23"/>
  <c r="AK73" i="23"/>
  <c r="AJ73" i="23"/>
  <c r="AI73" i="23"/>
  <c r="AQ73" i="23"/>
  <c r="AN73" i="23"/>
  <c r="AM74" i="23"/>
  <c r="AT73" i="23"/>
  <c r="AS73" i="23"/>
  <c r="AR73" i="23"/>
  <c r="AP73" i="23"/>
  <c r="AO73" i="23"/>
  <c r="AD70" i="7"/>
  <c r="AH69" i="7"/>
  <c r="AE69" i="7"/>
  <c r="AF69" i="7"/>
  <c r="AJ69" i="7" s="1"/>
  <c r="AG69" i="7"/>
  <c r="AI68" i="7"/>
  <c r="AK68" i="7"/>
  <c r="AK72" i="22"/>
  <c r="AJ72" i="22"/>
  <c r="AI72" i="22"/>
  <c r="AG72" i="22"/>
  <c r="AF72" i="22"/>
  <c r="AE72" i="22"/>
  <c r="AH72" i="22"/>
  <c r="AQ68" i="7"/>
  <c r="AM69" i="7"/>
  <c r="AP68" i="7"/>
  <c r="AT68" i="7" s="1"/>
  <c r="AO68" i="7"/>
  <c r="AS68" i="7" s="1"/>
  <c r="AN68" i="7"/>
  <c r="AT67" i="7"/>
  <c r="AR67" i="7"/>
  <c r="AR68" i="7" s="1"/>
  <c r="H71" i="23"/>
  <c r="H72" i="22"/>
  <c r="I71" i="23"/>
  <c r="I72" i="22"/>
  <c r="J72" i="22"/>
  <c r="F72" i="23"/>
  <c r="E72" i="23"/>
  <c r="D72" i="23"/>
  <c r="C73" i="23"/>
  <c r="G72" i="23"/>
  <c r="Z72" i="23"/>
  <c r="AB72" i="23"/>
  <c r="U73" i="23"/>
  <c r="X72" i="23"/>
  <c r="AA72" i="23"/>
  <c r="V72" i="23"/>
  <c r="W72" i="23"/>
  <c r="Y72" i="23"/>
  <c r="J71" i="23"/>
  <c r="Q74" i="23"/>
  <c r="S74" i="23"/>
  <c r="L75" i="23"/>
  <c r="O74" i="23"/>
  <c r="R74" i="23"/>
  <c r="M74" i="23"/>
  <c r="N74" i="23"/>
  <c r="P74" i="23"/>
  <c r="U74" i="22"/>
  <c r="X73" i="22"/>
  <c r="W73" i="22"/>
  <c r="V73" i="22"/>
  <c r="Y73" i="22"/>
  <c r="E73" i="22"/>
  <c r="C74" i="22"/>
  <c r="F73" i="22"/>
  <c r="D73" i="22"/>
  <c r="G73" i="22"/>
  <c r="L73" i="22"/>
  <c r="O72" i="22"/>
  <c r="N72" i="22"/>
  <c r="M72" i="22"/>
  <c r="P72" i="22"/>
  <c r="AD73" i="22"/>
  <c r="Q72" i="22" l="1"/>
  <c r="R72" i="22"/>
  <c r="S72" i="22"/>
  <c r="Z73" i="22"/>
  <c r="AA73" i="22"/>
  <c r="AB73" i="22"/>
  <c r="AM75" i="22"/>
  <c r="AT74" i="22"/>
  <c r="AS74" i="22"/>
  <c r="AR74" i="22"/>
  <c r="AQ74" i="22"/>
  <c r="AP74" i="22"/>
  <c r="AO74" i="22"/>
  <c r="AN74" i="22"/>
  <c r="AD75" i="23"/>
  <c r="AK74" i="23"/>
  <c r="AJ74" i="23"/>
  <c r="AI74" i="23"/>
  <c r="AH74" i="23"/>
  <c r="AG74" i="23"/>
  <c r="AF74" i="23"/>
  <c r="AE74" i="23"/>
  <c r="AM75" i="23"/>
  <c r="AT74" i="23"/>
  <c r="AS74" i="23"/>
  <c r="AR74" i="23"/>
  <c r="AQ74" i="23"/>
  <c r="AP74" i="23"/>
  <c r="AO74" i="23"/>
  <c r="AN74" i="23"/>
  <c r="AD71" i="7"/>
  <c r="AE70" i="7"/>
  <c r="AF70" i="7"/>
  <c r="AJ70" i="7" s="1"/>
  <c r="AG70" i="7"/>
  <c r="AH70" i="7"/>
  <c r="AI69" i="7"/>
  <c r="AK69" i="7"/>
  <c r="AK73" i="22"/>
  <c r="AJ73" i="22"/>
  <c r="AI73" i="22"/>
  <c r="AG73" i="22"/>
  <c r="AF73" i="22"/>
  <c r="AE73" i="22"/>
  <c r="AH73" i="22"/>
  <c r="AO69" i="7"/>
  <c r="AM70" i="7"/>
  <c r="AQ69" i="7"/>
  <c r="AP69" i="7"/>
  <c r="AN69" i="7"/>
  <c r="AS69" i="7" s="1"/>
  <c r="H73" i="22"/>
  <c r="I73" i="22"/>
  <c r="I72" i="23"/>
  <c r="J72" i="23"/>
  <c r="H72" i="23"/>
  <c r="S75" i="23"/>
  <c r="R75" i="23"/>
  <c r="Q75" i="23"/>
  <c r="M75" i="23"/>
  <c r="O75" i="23"/>
  <c r="N75" i="23"/>
  <c r="L76" i="23"/>
  <c r="P75" i="23"/>
  <c r="AB73" i="23"/>
  <c r="AA73" i="23"/>
  <c r="Z73" i="23"/>
  <c r="V73" i="23"/>
  <c r="X73" i="23"/>
  <c r="U74" i="23"/>
  <c r="Y73" i="23"/>
  <c r="W73" i="23"/>
  <c r="E73" i="23"/>
  <c r="C74" i="23"/>
  <c r="D73" i="23"/>
  <c r="F73" i="23"/>
  <c r="G73" i="23"/>
  <c r="C75" i="22"/>
  <c r="F74" i="22"/>
  <c r="E74" i="22"/>
  <c r="D74" i="22"/>
  <c r="G74" i="22"/>
  <c r="AD74" i="22"/>
  <c r="J73" i="22"/>
  <c r="L74" i="22"/>
  <c r="M73" i="22"/>
  <c r="N73" i="22"/>
  <c r="O73" i="22"/>
  <c r="P73" i="22"/>
  <c r="U75" i="22"/>
  <c r="X74" i="22"/>
  <c r="W74" i="22"/>
  <c r="V74" i="22"/>
  <c r="Y74" i="22"/>
  <c r="R73" i="22" l="1"/>
  <c r="S73" i="22"/>
  <c r="Q73" i="22"/>
  <c r="Z74" i="22"/>
  <c r="AB74" i="22"/>
  <c r="AA74" i="22"/>
  <c r="AM76" i="22"/>
  <c r="AT75" i="22"/>
  <c r="AS75" i="22"/>
  <c r="AR75" i="22"/>
  <c r="AQ75" i="22"/>
  <c r="AP75" i="22"/>
  <c r="AO75" i="22"/>
  <c r="AN75" i="22"/>
  <c r="AD76" i="23"/>
  <c r="AK75" i="23"/>
  <c r="AJ75" i="23"/>
  <c r="AI75" i="23"/>
  <c r="AH75" i="23"/>
  <c r="AG75" i="23"/>
  <c r="AF75" i="23"/>
  <c r="AE75" i="23"/>
  <c r="AM76" i="23"/>
  <c r="AT75" i="23"/>
  <c r="AS75" i="23"/>
  <c r="AR75" i="23"/>
  <c r="AQ75" i="23"/>
  <c r="AP75" i="23"/>
  <c r="AO75" i="23"/>
  <c r="AN75" i="23"/>
  <c r="AD72" i="7"/>
  <c r="AE71" i="7"/>
  <c r="AF71" i="7"/>
  <c r="AG71" i="7"/>
  <c r="AH71" i="7"/>
  <c r="AI70" i="7"/>
  <c r="AK70" i="7"/>
  <c r="AK74" i="22"/>
  <c r="AJ74" i="22"/>
  <c r="AI74" i="22"/>
  <c r="AG74" i="22"/>
  <c r="AF74" i="22"/>
  <c r="AE74" i="22"/>
  <c r="AH74" i="22"/>
  <c r="AQ70" i="7"/>
  <c r="AP70" i="7"/>
  <c r="AO70" i="7"/>
  <c r="AS70" i="7" s="1"/>
  <c r="AN70" i="7"/>
  <c r="AM71" i="7"/>
  <c r="AT69" i="7"/>
  <c r="AR69" i="7"/>
  <c r="H74" i="22"/>
  <c r="J73" i="23"/>
  <c r="J74" i="22"/>
  <c r="I73" i="23"/>
  <c r="H73" i="23"/>
  <c r="I74" i="22"/>
  <c r="D74" i="23"/>
  <c r="F74" i="23"/>
  <c r="E74" i="23"/>
  <c r="C75" i="23"/>
  <c r="G74" i="23"/>
  <c r="O76" i="23"/>
  <c r="N76" i="23"/>
  <c r="M76" i="23"/>
  <c r="L77" i="23"/>
  <c r="R76" i="23"/>
  <c r="S76" i="23"/>
  <c r="Q76" i="23"/>
  <c r="P76" i="23"/>
  <c r="X74" i="23"/>
  <c r="W74" i="23"/>
  <c r="V74" i="23"/>
  <c r="U75" i="23"/>
  <c r="AB74" i="23"/>
  <c r="AA74" i="23"/>
  <c r="Z74" i="23"/>
  <c r="Y74" i="23"/>
  <c r="C76" i="22"/>
  <c r="E75" i="22"/>
  <c r="D75" i="22"/>
  <c r="F75" i="22"/>
  <c r="G75" i="22"/>
  <c r="W75" i="22"/>
  <c r="V75" i="22"/>
  <c r="X75" i="22"/>
  <c r="U76" i="22"/>
  <c r="Y75" i="22"/>
  <c r="AD75" i="22"/>
  <c r="L75" i="22"/>
  <c r="O74" i="22"/>
  <c r="N74" i="22"/>
  <c r="M74" i="22"/>
  <c r="P74" i="22"/>
  <c r="Q74" i="22" l="1"/>
  <c r="R74" i="22"/>
  <c r="S74" i="22"/>
  <c r="AJ71" i="7"/>
  <c r="AA75" i="22"/>
  <c r="Z75" i="22"/>
  <c r="AB75" i="22"/>
  <c r="AM77" i="22"/>
  <c r="AT76" i="22"/>
  <c r="AS76" i="22"/>
  <c r="AR76" i="22"/>
  <c r="AQ76" i="22"/>
  <c r="AP76" i="22"/>
  <c r="AO76" i="22"/>
  <c r="AN76" i="22"/>
  <c r="AD77" i="23"/>
  <c r="AK76" i="23"/>
  <c r="AJ76" i="23"/>
  <c r="AI76" i="23"/>
  <c r="AH76" i="23"/>
  <c r="AG76" i="23"/>
  <c r="AF76" i="23"/>
  <c r="AE76" i="23"/>
  <c r="AM77" i="23"/>
  <c r="AT76" i="23"/>
  <c r="AS76" i="23"/>
  <c r="AR76" i="23"/>
  <c r="AQ76" i="23"/>
  <c r="AP76" i="23"/>
  <c r="AO76" i="23"/>
  <c r="AN76" i="23"/>
  <c r="AD73" i="7"/>
  <c r="AH72" i="7"/>
  <c r="AE72" i="7"/>
  <c r="AF72" i="7"/>
  <c r="AG72" i="7"/>
  <c r="AI72" i="7"/>
  <c r="AJ72" i="7"/>
  <c r="AK72" i="7"/>
  <c r="AI71" i="7"/>
  <c r="AK71" i="7"/>
  <c r="AK75" i="22"/>
  <c r="AJ75" i="22"/>
  <c r="AI75" i="22"/>
  <c r="AG75" i="22"/>
  <c r="AF75" i="22"/>
  <c r="AE75" i="22"/>
  <c r="AH75" i="22"/>
  <c r="AO71" i="7"/>
  <c r="AS71" i="7" s="1"/>
  <c r="AM72" i="7"/>
  <c r="AQ71" i="7"/>
  <c r="AP71" i="7"/>
  <c r="AN71" i="7"/>
  <c r="AT70" i="7"/>
  <c r="AR70" i="7"/>
  <c r="J75" i="22"/>
  <c r="I75" i="22"/>
  <c r="J74" i="23"/>
  <c r="I74" i="23"/>
  <c r="Z75" i="23"/>
  <c r="U76" i="23"/>
  <c r="AA75" i="23"/>
  <c r="AB75" i="23"/>
  <c r="X75" i="23"/>
  <c r="W75" i="23"/>
  <c r="V75" i="23"/>
  <c r="Y75" i="23"/>
  <c r="Q77" i="23"/>
  <c r="L78" i="23"/>
  <c r="R77" i="23"/>
  <c r="O77" i="23"/>
  <c r="N77" i="23"/>
  <c r="M77" i="23"/>
  <c r="S77" i="23"/>
  <c r="P77" i="23"/>
  <c r="F75" i="23"/>
  <c r="E75" i="23"/>
  <c r="D75" i="23"/>
  <c r="C76" i="23"/>
  <c r="G75" i="23"/>
  <c r="H74" i="23"/>
  <c r="L76" i="22"/>
  <c r="O75" i="22"/>
  <c r="Q75" i="22" s="1"/>
  <c r="N75" i="22"/>
  <c r="M75" i="22"/>
  <c r="P75" i="22"/>
  <c r="H75" i="22"/>
  <c r="AD76" i="22"/>
  <c r="U77" i="22"/>
  <c r="X76" i="22"/>
  <c r="W76" i="22"/>
  <c r="V76" i="22"/>
  <c r="Y76" i="22"/>
  <c r="C77" i="22"/>
  <c r="E76" i="22"/>
  <c r="D76" i="22"/>
  <c r="G76" i="22"/>
  <c r="F76" i="22"/>
  <c r="R75" i="22" l="1"/>
  <c r="S75" i="22"/>
  <c r="AA76" i="22"/>
  <c r="Z76" i="22"/>
  <c r="AB76" i="22"/>
  <c r="AT77" i="22"/>
  <c r="AS77" i="22"/>
  <c r="AR77" i="22"/>
  <c r="AQ77" i="22"/>
  <c r="AP77" i="22"/>
  <c r="AO77" i="22"/>
  <c r="AN77" i="22"/>
  <c r="AM78" i="22"/>
  <c r="AK77" i="23"/>
  <c r="AJ77" i="23"/>
  <c r="AI77" i="23"/>
  <c r="AG77" i="23"/>
  <c r="AF77" i="23"/>
  <c r="AE77" i="23"/>
  <c r="AD78" i="23"/>
  <c r="AH77" i="23"/>
  <c r="AM78" i="23"/>
  <c r="AT77" i="23"/>
  <c r="AS77" i="23"/>
  <c r="AR77" i="23"/>
  <c r="AQ77" i="23"/>
  <c r="AP77" i="23"/>
  <c r="AO77" i="23"/>
  <c r="AN77" i="23"/>
  <c r="AD74" i="7"/>
  <c r="AH73" i="7"/>
  <c r="AE73" i="7"/>
  <c r="AF73" i="7"/>
  <c r="AG73" i="7"/>
  <c r="AI73" i="7"/>
  <c r="AJ73" i="7"/>
  <c r="AK73" i="7"/>
  <c r="AK76" i="22"/>
  <c r="AJ76" i="22"/>
  <c r="AI76" i="22"/>
  <c r="AG76" i="22"/>
  <c r="AF76" i="22"/>
  <c r="AE76" i="22"/>
  <c r="AH76" i="22"/>
  <c r="AR72" i="7"/>
  <c r="AM73" i="7"/>
  <c r="AT72" i="7"/>
  <c r="AS72" i="7"/>
  <c r="AQ72" i="7"/>
  <c r="AP72" i="7"/>
  <c r="AO72" i="7"/>
  <c r="AN72" i="7"/>
  <c r="AT71" i="7"/>
  <c r="AR71" i="7"/>
  <c r="J75" i="23"/>
  <c r="H75" i="23"/>
  <c r="J76" i="22"/>
  <c r="I75" i="23"/>
  <c r="I76" i="22"/>
  <c r="H76" i="22"/>
  <c r="S78" i="23"/>
  <c r="R78" i="23"/>
  <c r="Q78" i="23"/>
  <c r="M78" i="23"/>
  <c r="L79" i="23"/>
  <c r="N78" i="23"/>
  <c r="O78" i="23"/>
  <c r="P78" i="23"/>
  <c r="C77" i="23"/>
  <c r="F76" i="23"/>
  <c r="D76" i="23"/>
  <c r="E76" i="23"/>
  <c r="G76" i="23"/>
  <c r="AB76" i="23"/>
  <c r="AA76" i="23"/>
  <c r="Z76" i="23"/>
  <c r="V76" i="23"/>
  <c r="U77" i="23"/>
  <c r="W76" i="23"/>
  <c r="X76" i="23"/>
  <c r="Y76" i="23"/>
  <c r="C78" i="22"/>
  <c r="D77" i="22"/>
  <c r="F77" i="22"/>
  <c r="E77" i="22"/>
  <c r="G77" i="22"/>
  <c r="U78" i="22"/>
  <c r="V77" i="22"/>
  <c r="W77" i="22"/>
  <c r="AA77" i="22" s="1"/>
  <c r="X77" i="22"/>
  <c r="Y77" i="22"/>
  <c r="AD77" i="22"/>
  <c r="L77" i="22"/>
  <c r="O76" i="22"/>
  <c r="M76" i="22"/>
  <c r="S76" i="22" s="1"/>
  <c r="Q76" i="22"/>
  <c r="N76" i="22"/>
  <c r="P76" i="22"/>
  <c r="R76" i="22" l="1"/>
  <c r="AB77" i="22"/>
  <c r="Z77" i="22"/>
  <c r="AM79" i="22"/>
  <c r="AT78" i="22"/>
  <c r="AS78" i="22"/>
  <c r="AR78" i="22"/>
  <c r="AQ78" i="22"/>
  <c r="AP78" i="22"/>
  <c r="AO78" i="22"/>
  <c r="AN78" i="22"/>
  <c r="AD79" i="23"/>
  <c r="AK78" i="23"/>
  <c r="AJ78" i="23"/>
  <c r="AI78" i="23"/>
  <c r="AH78" i="23"/>
  <c r="AG78" i="23"/>
  <c r="AF78" i="23"/>
  <c r="AE78" i="23"/>
  <c r="AM79" i="23"/>
  <c r="AT78" i="23"/>
  <c r="AS78" i="23"/>
  <c r="AR78" i="23"/>
  <c r="AQ78" i="23"/>
  <c r="AP78" i="23"/>
  <c r="AO78" i="23"/>
  <c r="AN78" i="23"/>
  <c r="AD75" i="7"/>
  <c r="AH74" i="7"/>
  <c r="AE74" i="7"/>
  <c r="AF74" i="7"/>
  <c r="AG74" i="7"/>
  <c r="AI74" i="7"/>
  <c r="AJ74" i="7"/>
  <c r="AK74" i="7"/>
  <c r="AK77" i="22"/>
  <c r="AJ77" i="22"/>
  <c r="AI77" i="22"/>
  <c r="AG77" i="22"/>
  <c r="AF77" i="22"/>
  <c r="AE77" i="22"/>
  <c r="AH77" i="22"/>
  <c r="AN73" i="7"/>
  <c r="AM74" i="7"/>
  <c r="AT73" i="7"/>
  <c r="AS73" i="7"/>
  <c r="AR73" i="7"/>
  <c r="AP73" i="7"/>
  <c r="AQ73" i="7"/>
  <c r="AO73" i="7"/>
  <c r="H77" i="22"/>
  <c r="I76" i="23"/>
  <c r="J77" i="22"/>
  <c r="I77" i="22"/>
  <c r="H76" i="23"/>
  <c r="X77" i="23"/>
  <c r="W77" i="23"/>
  <c r="V77" i="23"/>
  <c r="AA77" i="23"/>
  <c r="U78" i="23"/>
  <c r="AB77" i="23"/>
  <c r="Z77" i="23"/>
  <c r="Y77" i="23"/>
  <c r="D77" i="23"/>
  <c r="F77" i="23"/>
  <c r="C78" i="23"/>
  <c r="E77" i="23"/>
  <c r="G77" i="23"/>
  <c r="J76" i="23"/>
  <c r="O79" i="23"/>
  <c r="N79" i="23"/>
  <c r="M79" i="23"/>
  <c r="R79" i="23"/>
  <c r="L80" i="23"/>
  <c r="S79" i="23"/>
  <c r="Q79" i="23"/>
  <c r="P79" i="23"/>
  <c r="L78" i="22"/>
  <c r="O77" i="22"/>
  <c r="N77" i="22"/>
  <c r="M77" i="22"/>
  <c r="P77" i="22"/>
  <c r="W78" i="22"/>
  <c r="X78" i="22"/>
  <c r="V78" i="22"/>
  <c r="U79" i="22"/>
  <c r="Y78" i="22"/>
  <c r="AD78" i="22"/>
  <c r="C79" i="22"/>
  <c r="F78" i="22"/>
  <c r="E78" i="22"/>
  <c r="D78" i="22"/>
  <c r="G78" i="22"/>
  <c r="R77" i="22" l="1"/>
  <c r="S77" i="22"/>
  <c r="Q77" i="22"/>
  <c r="AB78" i="22"/>
  <c r="AA78" i="22"/>
  <c r="Z78" i="22"/>
  <c r="AM80" i="22"/>
  <c r="AT79" i="22"/>
  <c r="AS79" i="22"/>
  <c r="AR79" i="22"/>
  <c r="AQ79" i="22"/>
  <c r="AP79" i="22"/>
  <c r="AO79" i="22"/>
  <c r="AN79" i="22"/>
  <c r="AD80" i="23"/>
  <c r="AK79" i="23"/>
  <c r="AJ79" i="23"/>
  <c r="AI79" i="23"/>
  <c r="AH79" i="23"/>
  <c r="AG79" i="23"/>
  <c r="AF79" i="23"/>
  <c r="AE79" i="23"/>
  <c r="AM80" i="23"/>
  <c r="AT79" i="23"/>
  <c r="AS79" i="23"/>
  <c r="AR79" i="23"/>
  <c r="AQ79" i="23"/>
  <c r="AP79" i="23"/>
  <c r="AO79" i="23"/>
  <c r="AN79" i="23"/>
  <c r="AD76" i="7"/>
  <c r="AH75" i="7"/>
  <c r="AE75" i="7"/>
  <c r="AF75" i="7"/>
  <c r="AG75" i="7"/>
  <c r="AI75" i="7"/>
  <c r="AJ75" i="7"/>
  <c r="AK75" i="7"/>
  <c r="AK78" i="22"/>
  <c r="AJ78" i="22"/>
  <c r="AI78" i="22"/>
  <c r="AG78" i="22"/>
  <c r="AF78" i="22"/>
  <c r="AE78" i="22"/>
  <c r="AH78" i="22"/>
  <c r="AM75" i="7"/>
  <c r="AT74" i="7"/>
  <c r="AS74" i="7"/>
  <c r="AR74" i="7"/>
  <c r="AQ74" i="7"/>
  <c r="AP74" i="7"/>
  <c r="AO74" i="7"/>
  <c r="AN74" i="7"/>
  <c r="H77" i="23"/>
  <c r="I78" i="22"/>
  <c r="J78" i="22"/>
  <c r="I77" i="23"/>
  <c r="H78" i="22"/>
  <c r="J77" i="23"/>
  <c r="F78" i="23"/>
  <c r="E78" i="23"/>
  <c r="D78" i="23"/>
  <c r="C79" i="23"/>
  <c r="G78" i="23"/>
  <c r="Q80" i="23"/>
  <c r="N80" i="23"/>
  <c r="L81" i="23"/>
  <c r="S80" i="23"/>
  <c r="R80" i="23"/>
  <c r="O80" i="23"/>
  <c r="M80" i="23"/>
  <c r="P80" i="23"/>
  <c r="Z78" i="23"/>
  <c r="W78" i="23"/>
  <c r="U79" i="23"/>
  <c r="AB78" i="23"/>
  <c r="AA78" i="23"/>
  <c r="V78" i="23"/>
  <c r="X78" i="23"/>
  <c r="Y78" i="23"/>
  <c r="AD79" i="22"/>
  <c r="L79" i="22"/>
  <c r="O78" i="22"/>
  <c r="M78" i="22"/>
  <c r="N78" i="22"/>
  <c r="P78" i="22"/>
  <c r="F79" i="22"/>
  <c r="D79" i="22"/>
  <c r="C80" i="22"/>
  <c r="E79" i="22"/>
  <c r="G79" i="22"/>
  <c r="U80" i="22"/>
  <c r="X79" i="22"/>
  <c r="W79" i="22"/>
  <c r="V79" i="22"/>
  <c r="Y79" i="22"/>
  <c r="Q78" i="22" l="1"/>
  <c r="R78" i="22"/>
  <c r="S78" i="22"/>
  <c r="AB79" i="22"/>
  <c r="Z79" i="22"/>
  <c r="AA79" i="22"/>
  <c r="AM81" i="22"/>
  <c r="AT80" i="22"/>
  <c r="AS80" i="22"/>
  <c r="AR80" i="22"/>
  <c r="AQ80" i="22"/>
  <c r="AP80" i="22"/>
  <c r="AO80" i="22"/>
  <c r="AN80" i="22"/>
  <c r="AD81" i="23"/>
  <c r="AK80" i="23"/>
  <c r="AJ80" i="23"/>
  <c r="AI80" i="23"/>
  <c r="AH80" i="23"/>
  <c r="AG80" i="23"/>
  <c r="AF80" i="23"/>
  <c r="AE80" i="23"/>
  <c r="AM81" i="23"/>
  <c r="AT80" i="23"/>
  <c r="AS80" i="23"/>
  <c r="AR80" i="23"/>
  <c r="AQ80" i="23"/>
  <c r="AP80" i="23"/>
  <c r="AO80" i="23"/>
  <c r="AN80" i="23"/>
  <c r="AD77" i="7"/>
  <c r="AH76" i="7"/>
  <c r="AE76" i="7"/>
  <c r="AF76" i="7"/>
  <c r="AG76" i="7"/>
  <c r="AI76" i="7"/>
  <c r="AJ76" i="7"/>
  <c r="AK76" i="7"/>
  <c r="AK79" i="22"/>
  <c r="AJ79" i="22"/>
  <c r="AI79" i="22"/>
  <c r="AG79" i="22"/>
  <c r="AF79" i="22"/>
  <c r="AE79" i="22"/>
  <c r="AH79" i="22"/>
  <c r="AM76" i="7"/>
  <c r="AT75" i="7"/>
  <c r="AS75" i="7"/>
  <c r="AR75" i="7"/>
  <c r="AQ75" i="7"/>
  <c r="AP75" i="7"/>
  <c r="AO75" i="7"/>
  <c r="AN75" i="7"/>
  <c r="H78" i="23"/>
  <c r="J78" i="23"/>
  <c r="I78" i="23"/>
  <c r="J79" i="22"/>
  <c r="I79" i="22"/>
  <c r="C80" i="23"/>
  <c r="E79" i="23"/>
  <c r="F79" i="23"/>
  <c r="D79" i="23"/>
  <c r="G79" i="23"/>
  <c r="AB79" i="23"/>
  <c r="AA79" i="23"/>
  <c r="Z79" i="23"/>
  <c r="V79" i="23"/>
  <c r="W79" i="23"/>
  <c r="X79" i="23"/>
  <c r="U80" i="23"/>
  <c r="Y79" i="23"/>
  <c r="S81" i="23"/>
  <c r="R81" i="23"/>
  <c r="Q81" i="23"/>
  <c r="M81" i="23"/>
  <c r="O81" i="23"/>
  <c r="N81" i="23"/>
  <c r="L82" i="23"/>
  <c r="P81" i="23"/>
  <c r="L80" i="22"/>
  <c r="O79" i="22"/>
  <c r="Q79" i="22" s="1"/>
  <c r="N79" i="22"/>
  <c r="M79" i="22"/>
  <c r="P79" i="22"/>
  <c r="C81" i="22"/>
  <c r="F80" i="22"/>
  <c r="D80" i="22"/>
  <c r="E80" i="22"/>
  <c r="G80" i="22"/>
  <c r="H79" i="22"/>
  <c r="U81" i="22"/>
  <c r="X80" i="22"/>
  <c r="W80" i="22"/>
  <c r="V80" i="22"/>
  <c r="Y80" i="22"/>
  <c r="AD80" i="22"/>
  <c r="S79" i="22" l="1"/>
  <c r="R79" i="22"/>
  <c r="AA80" i="22"/>
  <c r="Z80" i="22"/>
  <c r="AB80" i="22"/>
  <c r="AM82" i="22"/>
  <c r="AT81" i="22"/>
  <c r="AS81" i="22"/>
  <c r="AR81" i="22"/>
  <c r="AQ81" i="22"/>
  <c r="AP81" i="22"/>
  <c r="AO81" i="22"/>
  <c r="AN81" i="22"/>
  <c r="AD82" i="23"/>
  <c r="AK81" i="23"/>
  <c r="AJ81" i="23"/>
  <c r="AI81" i="23"/>
  <c r="AH81" i="23"/>
  <c r="AG81" i="23"/>
  <c r="AF81" i="23"/>
  <c r="AE81" i="23"/>
  <c r="AM82" i="23"/>
  <c r="AT81" i="23"/>
  <c r="AS81" i="23"/>
  <c r="AR81" i="23"/>
  <c r="AQ81" i="23"/>
  <c r="AP81" i="23"/>
  <c r="AO81" i="23"/>
  <c r="AN81" i="23"/>
  <c r="AD78" i="7"/>
  <c r="AH77" i="7"/>
  <c r="AE77" i="7"/>
  <c r="AF77" i="7"/>
  <c r="AG77" i="7"/>
  <c r="AI77" i="7"/>
  <c r="AJ77" i="7"/>
  <c r="AK77" i="7"/>
  <c r="AK80" i="22"/>
  <c r="AJ80" i="22"/>
  <c r="AI80" i="22"/>
  <c r="AG80" i="22"/>
  <c r="AF80" i="22"/>
  <c r="AE80" i="22"/>
  <c r="AH80" i="22"/>
  <c r="AS76" i="7"/>
  <c r="AR76" i="7"/>
  <c r="AQ76" i="7"/>
  <c r="AP76" i="7"/>
  <c r="AO76" i="7"/>
  <c r="AN76" i="7"/>
  <c r="AM77" i="7"/>
  <c r="AT76" i="7"/>
  <c r="H79" i="23"/>
  <c r="I80" i="22"/>
  <c r="I79" i="23"/>
  <c r="J80" i="22"/>
  <c r="O82" i="23"/>
  <c r="N82" i="23"/>
  <c r="M82" i="23"/>
  <c r="S82" i="23"/>
  <c r="L83" i="23"/>
  <c r="Q82" i="23"/>
  <c r="R82" i="23"/>
  <c r="P82" i="23"/>
  <c r="X80" i="23"/>
  <c r="W80" i="23"/>
  <c r="V80" i="23"/>
  <c r="AB80" i="23"/>
  <c r="U81" i="23"/>
  <c r="AA80" i="23"/>
  <c r="Z80" i="23"/>
  <c r="Y80" i="23"/>
  <c r="J79" i="23"/>
  <c r="D80" i="23"/>
  <c r="C81" i="23"/>
  <c r="E80" i="23"/>
  <c r="F80" i="23"/>
  <c r="G80" i="23"/>
  <c r="H80" i="22"/>
  <c r="AD81" i="22"/>
  <c r="C82" i="22"/>
  <c r="F81" i="22"/>
  <c r="E81" i="22"/>
  <c r="D81" i="22"/>
  <c r="G81" i="22"/>
  <c r="N80" i="22"/>
  <c r="M80" i="22"/>
  <c r="L81" i="22"/>
  <c r="O80" i="22"/>
  <c r="P80" i="22"/>
  <c r="U82" i="22"/>
  <c r="X81" i="22"/>
  <c r="V81" i="22"/>
  <c r="W81" i="22"/>
  <c r="Y81" i="22"/>
  <c r="R80" i="22" l="1"/>
  <c r="Q80" i="22"/>
  <c r="S80" i="22"/>
  <c r="Z81" i="22"/>
  <c r="AA81" i="22"/>
  <c r="AB81" i="22"/>
  <c r="AQ82" i="22"/>
  <c r="AO82" i="22"/>
  <c r="AM83" i="22"/>
  <c r="AT82" i="22"/>
  <c r="AS82" i="22"/>
  <c r="AR82" i="22"/>
  <c r="AP82" i="22"/>
  <c r="AN82" i="22"/>
  <c r="AD83" i="23"/>
  <c r="AJ82" i="23"/>
  <c r="AI82" i="23"/>
  <c r="AK82" i="23"/>
  <c r="AH82" i="23"/>
  <c r="AG82" i="23"/>
  <c r="AF82" i="23"/>
  <c r="AE82" i="23"/>
  <c r="AQ82" i="23"/>
  <c r="AN82" i="23"/>
  <c r="AM83" i="23"/>
  <c r="AT82" i="23"/>
  <c r="AS82" i="23"/>
  <c r="AR82" i="23"/>
  <c r="AP82" i="23"/>
  <c r="AO82" i="23"/>
  <c r="AD79" i="7"/>
  <c r="AH78" i="7"/>
  <c r="AE78" i="7"/>
  <c r="AF78" i="7"/>
  <c r="AG78" i="7"/>
  <c r="AI78" i="7"/>
  <c r="AJ78" i="7"/>
  <c r="AK78" i="7"/>
  <c r="AK81" i="22"/>
  <c r="AJ81" i="22"/>
  <c r="AI81" i="22"/>
  <c r="AG81" i="22"/>
  <c r="AF81" i="22"/>
  <c r="AE81" i="22"/>
  <c r="AH81" i="22"/>
  <c r="AM78" i="7"/>
  <c r="AR77" i="7"/>
  <c r="AT77" i="7"/>
  <c r="AQ77" i="7"/>
  <c r="AP77" i="7"/>
  <c r="AO77" i="7"/>
  <c r="AN77" i="7"/>
  <c r="AS77" i="7"/>
  <c r="H80" i="23"/>
  <c r="J80" i="23"/>
  <c r="I80" i="23"/>
  <c r="I81" i="22"/>
  <c r="H81" i="22"/>
  <c r="Q83" i="23"/>
  <c r="S83" i="23"/>
  <c r="L84" i="23"/>
  <c r="O83" i="23"/>
  <c r="R83" i="23"/>
  <c r="N83" i="23"/>
  <c r="M83" i="23"/>
  <c r="P83" i="23"/>
  <c r="Z81" i="23"/>
  <c r="AB81" i="23"/>
  <c r="U82" i="23"/>
  <c r="X81" i="23"/>
  <c r="V81" i="23"/>
  <c r="AA81" i="23"/>
  <c r="W81" i="23"/>
  <c r="Y81" i="23"/>
  <c r="F81" i="23"/>
  <c r="E81" i="23"/>
  <c r="D81" i="23"/>
  <c r="C82" i="23"/>
  <c r="G81" i="23"/>
  <c r="J81" i="22"/>
  <c r="L82" i="22"/>
  <c r="O81" i="22"/>
  <c r="M81" i="22"/>
  <c r="N81" i="22"/>
  <c r="P81" i="22"/>
  <c r="AD82" i="22"/>
  <c r="E82" i="22"/>
  <c r="F82" i="22"/>
  <c r="D82" i="22"/>
  <c r="C83" i="22"/>
  <c r="G82" i="22"/>
  <c r="U83" i="22"/>
  <c r="X82" i="22"/>
  <c r="W82" i="22"/>
  <c r="V82" i="22"/>
  <c r="AB82" i="22" s="1"/>
  <c r="Y82" i="22"/>
  <c r="R81" i="22" l="1"/>
  <c r="S81" i="22"/>
  <c r="Q81" i="22"/>
  <c r="Z82" i="22"/>
  <c r="AA82" i="22"/>
  <c r="AM84" i="22"/>
  <c r="AT83" i="22"/>
  <c r="AS83" i="22"/>
  <c r="AR83" i="22"/>
  <c r="AP83" i="22"/>
  <c r="AN83" i="22"/>
  <c r="AQ83" i="22"/>
  <c r="AO83" i="22"/>
  <c r="AI83" i="23"/>
  <c r="AD84" i="23"/>
  <c r="AJ83" i="23"/>
  <c r="AH83" i="23"/>
  <c r="AG83" i="23"/>
  <c r="AF83" i="23"/>
  <c r="AE83" i="23"/>
  <c r="AK83" i="23"/>
  <c r="AQ83" i="23"/>
  <c r="AP83" i="23"/>
  <c r="AM84" i="23"/>
  <c r="AT83" i="23"/>
  <c r="AS83" i="23"/>
  <c r="AR83" i="23"/>
  <c r="AO83" i="23"/>
  <c r="AN83" i="23"/>
  <c r="AD80" i="7"/>
  <c r="AH79" i="7"/>
  <c r="AE79" i="7"/>
  <c r="AF79" i="7"/>
  <c r="AG79" i="7"/>
  <c r="AI79" i="7"/>
  <c r="AJ79" i="7"/>
  <c r="AK79" i="7"/>
  <c r="AK82" i="22"/>
  <c r="AJ82" i="22"/>
  <c r="AI82" i="22"/>
  <c r="AG82" i="22"/>
  <c r="AF82" i="22"/>
  <c r="AE82" i="22"/>
  <c r="AH82" i="22"/>
  <c r="AQ78" i="7"/>
  <c r="AN78" i="7"/>
  <c r="AM79" i="7"/>
  <c r="AS78" i="7"/>
  <c r="AR78" i="7"/>
  <c r="AP78" i="7"/>
  <c r="AO78" i="7"/>
  <c r="AT78" i="7"/>
  <c r="H81" i="23"/>
  <c r="H82" i="22"/>
  <c r="I82" i="22"/>
  <c r="I81" i="23"/>
  <c r="J82" i="22"/>
  <c r="J81" i="23"/>
  <c r="AB82" i="23"/>
  <c r="AA82" i="23"/>
  <c r="Z82" i="23"/>
  <c r="V82" i="23"/>
  <c r="X82" i="23"/>
  <c r="U83" i="23"/>
  <c r="W82" i="23"/>
  <c r="Y82" i="23"/>
  <c r="S84" i="23"/>
  <c r="R84" i="23"/>
  <c r="Q84" i="23"/>
  <c r="M84" i="23"/>
  <c r="O84" i="23"/>
  <c r="L85" i="23"/>
  <c r="N84" i="23"/>
  <c r="P84" i="23"/>
  <c r="E82" i="23"/>
  <c r="F82" i="23"/>
  <c r="D82" i="23"/>
  <c r="C83" i="23"/>
  <c r="G82" i="23"/>
  <c r="L83" i="22"/>
  <c r="N82" i="22"/>
  <c r="O82" i="22"/>
  <c r="M82" i="22"/>
  <c r="R82" i="22" s="1"/>
  <c r="P82" i="22"/>
  <c r="U84" i="22"/>
  <c r="X83" i="22"/>
  <c r="V83" i="22"/>
  <c r="W83" i="22"/>
  <c r="Y83" i="22"/>
  <c r="AD83" i="22"/>
  <c r="C84" i="22"/>
  <c r="D83" i="22"/>
  <c r="F83" i="22"/>
  <c r="E83" i="22"/>
  <c r="G83" i="22"/>
  <c r="Q82" i="22" l="1"/>
  <c r="S82" i="22"/>
  <c r="Z83" i="22"/>
  <c r="AB83" i="22"/>
  <c r="AA83" i="22"/>
  <c r="AM85" i="22"/>
  <c r="AQ84" i="22"/>
  <c r="AT84" i="22"/>
  <c r="AR84" i="22"/>
  <c r="AP84" i="22"/>
  <c r="AO84" i="22"/>
  <c r="AN84" i="22"/>
  <c r="AS84" i="22"/>
  <c r="AI84" i="23"/>
  <c r="AF84" i="23"/>
  <c r="AD85" i="23"/>
  <c r="AJ84" i="23"/>
  <c r="AH84" i="23"/>
  <c r="AE84" i="23"/>
  <c r="AK84" i="23"/>
  <c r="AG84" i="23"/>
  <c r="AM85" i="23"/>
  <c r="AT84" i="23"/>
  <c r="AS84" i="23"/>
  <c r="AR84" i="23"/>
  <c r="AQ84" i="23"/>
  <c r="AP84" i="23"/>
  <c r="AO84" i="23"/>
  <c r="AN84" i="23"/>
  <c r="AD81" i="7"/>
  <c r="AH80" i="7"/>
  <c r="AE80" i="7"/>
  <c r="AF80" i="7"/>
  <c r="AG80" i="7"/>
  <c r="AI80" i="7"/>
  <c r="AJ80" i="7"/>
  <c r="AK80" i="7"/>
  <c r="AK83" i="22"/>
  <c r="AJ83" i="22"/>
  <c r="AI83" i="22"/>
  <c r="AG83" i="22"/>
  <c r="AF83" i="22"/>
  <c r="AE83" i="22"/>
  <c r="AH83" i="22"/>
  <c r="AR79" i="7"/>
  <c r="AO79" i="7"/>
  <c r="AT79" i="7"/>
  <c r="AQ79" i="7"/>
  <c r="AP79" i="7"/>
  <c r="AN79" i="7"/>
  <c r="AM80" i="7"/>
  <c r="AS79" i="7"/>
  <c r="H83" i="22"/>
  <c r="H82" i="23"/>
  <c r="I83" i="22"/>
  <c r="I82" i="23"/>
  <c r="J82" i="23"/>
  <c r="J83" i="22"/>
  <c r="D83" i="23"/>
  <c r="C84" i="23"/>
  <c r="F83" i="23"/>
  <c r="E83" i="23"/>
  <c r="G83" i="23"/>
  <c r="O85" i="23"/>
  <c r="N85" i="23"/>
  <c r="M85" i="23"/>
  <c r="L86" i="23"/>
  <c r="S85" i="23"/>
  <c r="R85" i="23"/>
  <c r="Q85" i="23"/>
  <c r="P85" i="23"/>
  <c r="X83" i="23"/>
  <c r="W83" i="23"/>
  <c r="V83" i="23"/>
  <c r="U84" i="23"/>
  <c r="AB83" i="23"/>
  <c r="AA83" i="23"/>
  <c r="Z83" i="23"/>
  <c r="Y83" i="23"/>
  <c r="C85" i="22"/>
  <c r="F84" i="22"/>
  <c r="E84" i="22"/>
  <c r="D84" i="22"/>
  <c r="G84" i="22"/>
  <c r="U85" i="22"/>
  <c r="X84" i="22"/>
  <c r="W84" i="22"/>
  <c r="V84" i="22"/>
  <c r="Y84" i="22"/>
  <c r="AD84" i="22"/>
  <c r="L84" i="22"/>
  <c r="O83" i="22"/>
  <c r="N83" i="22"/>
  <c r="M83" i="22"/>
  <c r="P83" i="22"/>
  <c r="S83" i="22" l="1"/>
  <c r="Q83" i="22"/>
  <c r="R83" i="22"/>
  <c r="Z84" i="22"/>
  <c r="AB84" i="22"/>
  <c r="AA84" i="22"/>
  <c r="AT85" i="22"/>
  <c r="AM86" i="22"/>
  <c r="AS85" i="22"/>
  <c r="AQ85" i="22"/>
  <c r="AR85" i="22"/>
  <c r="AN85" i="22"/>
  <c r="AP85" i="22"/>
  <c r="AO85" i="22"/>
  <c r="AJ85" i="23"/>
  <c r="AG85" i="23"/>
  <c r="AE85" i="23"/>
  <c r="AK85" i="23"/>
  <c r="AD86" i="23"/>
  <c r="AH85" i="23"/>
  <c r="AF85" i="23"/>
  <c r="AI85" i="23"/>
  <c r="AM86" i="23"/>
  <c r="AT85" i="23"/>
  <c r="AS85" i="23"/>
  <c r="AR85" i="23"/>
  <c r="AQ85" i="23"/>
  <c r="AP85" i="23"/>
  <c r="AO85" i="23"/>
  <c r="AN85" i="23"/>
  <c r="AD82" i="7"/>
  <c r="AH81" i="7"/>
  <c r="AE81" i="7"/>
  <c r="AF81" i="7"/>
  <c r="AG81" i="7"/>
  <c r="AI81" i="7"/>
  <c r="AJ81" i="7"/>
  <c r="AK81" i="7"/>
  <c r="AK84" i="22"/>
  <c r="AJ84" i="22"/>
  <c r="AI84" i="22"/>
  <c r="AG84" i="22"/>
  <c r="AF84" i="22"/>
  <c r="AE84" i="22"/>
  <c r="AH84" i="22"/>
  <c r="AS80" i="7"/>
  <c r="AR80" i="7"/>
  <c r="AO80" i="7"/>
  <c r="AN80" i="7"/>
  <c r="AM81" i="7"/>
  <c r="AT80" i="7"/>
  <c r="AP80" i="7"/>
  <c r="AQ80" i="7"/>
  <c r="H84" i="22"/>
  <c r="I83" i="23"/>
  <c r="J84" i="22"/>
  <c r="J83" i="23"/>
  <c r="Z84" i="23"/>
  <c r="U85" i="23"/>
  <c r="AB84" i="23"/>
  <c r="AA84" i="23"/>
  <c r="W84" i="23"/>
  <c r="X84" i="23"/>
  <c r="V84" i="23"/>
  <c r="Y84" i="23"/>
  <c r="H83" i="23"/>
  <c r="Q86" i="23"/>
  <c r="R86" i="23"/>
  <c r="L87" i="23"/>
  <c r="S86" i="23"/>
  <c r="O86" i="23"/>
  <c r="N86" i="23"/>
  <c r="M86" i="23"/>
  <c r="P86" i="23"/>
  <c r="F84" i="23"/>
  <c r="E84" i="23"/>
  <c r="D84" i="23"/>
  <c r="C85" i="23"/>
  <c r="G84" i="23"/>
  <c r="U86" i="22"/>
  <c r="W85" i="22"/>
  <c r="V85" i="22"/>
  <c r="X85" i="22"/>
  <c r="Y85" i="22"/>
  <c r="AD85" i="22"/>
  <c r="I84" i="22"/>
  <c r="L85" i="22"/>
  <c r="M84" i="22"/>
  <c r="N84" i="22"/>
  <c r="O84" i="22"/>
  <c r="P84" i="22"/>
  <c r="C86" i="22"/>
  <c r="D85" i="22"/>
  <c r="G85" i="22"/>
  <c r="F85" i="22"/>
  <c r="E85" i="22"/>
  <c r="R84" i="22" l="1"/>
  <c r="Q84" i="22"/>
  <c r="S84" i="22"/>
  <c r="AA85" i="22"/>
  <c r="Z85" i="22"/>
  <c r="AB85" i="22"/>
  <c r="AN86" i="22"/>
  <c r="AT86" i="22"/>
  <c r="AQ86" i="22"/>
  <c r="AS86" i="22"/>
  <c r="AO86" i="22"/>
  <c r="AM87" i="22"/>
  <c r="AR86" i="22"/>
  <c r="AP86" i="22"/>
  <c r="AK86" i="23"/>
  <c r="AI86" i="23"/>
  <c r="AF86" i="23"/>
  <c r="AJ86" i="23"/>
  <c r="AH86" i="23"/>
  <c r="AE86" i="23"/>
  <c r="AD87" i="23"/>
  <c r="AG86" i="23"/>
  <c r="AM87" i="23"/>
  <c r="AT86" i="23"/>
  <c r="AS86" i="23"/>
  <c r="AR86" i="23"/>
  <c r="AQ86" i="23"/>
  <c r="AP86" i="23"/>
  <c r="AO86" i="23"/>
  <c r="AN86" i="23"/>
  <c r="AD83" i="7"/>
  <c r="AH82" i="7"/>
  <c r="AE82" i="7"/>
  <c r="AF82" i="7"/>
  <c r="AG82" i="7"/>
  <c r="AI82" i="7"/>
  <c r="AJ82" i="7"/>
  <c r="AK82" i="7"/>
  <c r="AK85" i="22"/>
  <c r="AJ85" i="22"/>
  <c r="AI85" i="22"/>
  <c r="AG85" i="22"/>
  <c r="AF85" i="22"/>
  <c r="AE85" i="22"/>
  <c r="AH85" i="22"/>
  <c r="AT81" i="7"/>
  <c r="AR81" i="7"/>
  <c r="AN81" i="7"/>
  <c r="AP81" i="7"/>
  <c r="AM82" i="7"/>
  <c r="AO81" i="7"/>
  <c r="AS81" i="7"/>
  <c r="AQ81" i="7"/>
  <c r="H85" i="22"/>
  <c r="H84" i="23"/>
  <c r="J84" i="23"/>
  <c r="I84" i="23"/>
  <c r="I85" i="22"/>
  <c r="J85" i="22"/>
  <c r="C86" i="23"/>
  <c r="F85" i="23"/>
  <c r="D85" i="23"/>
  <c r="E85" i="23"/>
  <c r="G85" i="23"/>
  <c r="AB85" i="23"/>
  <c r="AA85" i="23"/>
  <c r="Z85" i="23"/>
  <c r="V85" i="23"/>
  <c r="U86" i="23"/>
  <c r="W85" i="23"/>
  <c r="X85" i="23"/>
  <c r="Y85" i="23"/>
  <c r="S87" i="23"/>
  <c r="R87" i="23"/>
  <c r="Q87" i="23"/>
  <c r="M87" i="23"/>
  <c r="L88" i="23"/>
  <c r="N87" i="23"/>
  <c r="O87" i="23"/>
  <c r="P87" i="23"/>
  <c r="C87" i="22"/>
  <c r="E86" i="22"/>
  <c r="D86" i="22"/>
  <c r="F86" i="22"/>
  <c r="G86" i="22"/>
  <c r="AD86" i="22"/>
  <c r="L86" i="22"/>
  <c r="O85" i="22"/>
  <c r="N85" i="22"/>
  <c r="M85" i="22"/>
  <c r="P85" i="22"/>
  <c r="U87" i="22"/>
  <c r="W86" i="22"/>
  <c r="V86" i="22"/>
  <c r="X86" i="22"/>
  <c r="Y86" i="22"/>
  <c r="Q85" i="22" l="1"/>
  <c r="R85" i="22"/>
  <c r="S85" i="22"/>
  <c r="AA86" i="22"/>
  <c r="Z86" i="22"/>
  <c r="AB86" i="22"/>
  <c r="AS87" i="22"/>
  <c r="AQ87" i="22"/>
  <c r="AO87" i="22"/>
  <c r="AM88" i="22"/>
  <c r="AR87" i="22"/>
  <c r="AN87" i="22"/>
  <c r="AP87" i="22"/>
  <c r="AT87" i="22"/>
  <c r="AI87" i="23"/>
  <c r="AK87" i="23"/>
  <c r="AG87" i="23"/>
  <c r="AH87" i="23"/>
  <c r="AF87" i="23"/>
  <c r="AJ87" i="23"/>
  <c r="AE87" i="23"/>
  <c r="AD88" i="23"/>
  <c r="AM88" i="23"/>
  <c r="AT87" i="23"/>
  <c r="AS87" i="23"/>
  <c r="AR87" i="23"/>
  <c r="AQ87" i="23"/>
  <c r="AP87" i="23"/>
  <c r="AO87" i="23"/>
  <c r="AN87" i="23"/>
  <c r="AD84" i="7"/>
  <c r="AH83" i="7"/>
  <c r="AE83" i="7"/>
  <c r="AF83" i="7"/>
  <c r="AG83" i="7"/>
  <c r="AI83" i="7"/>
  <c r="AJ83" i="7"/>
  <c r="AK83" i="7"/>
  <c r="AK86" i="22"/>
  <c r="AJ86" i="22"/>
  <c r="AI86" i="22"/>
  <c r="AG86" i="22"/>
  <c r="AF86" i="22"/>
  <c r="AE86" i="22"/>
  <c r="AH86" i="22"/>
  <c r="AT82" i="7"/>
  <c r="AR82" i="7"/>
  <c r="AS82" i="7"/>
  <c r="AP82" i="7"/>
  <c r="AM83" i="7"/>
  <c r="AQ82" i="7"/>
  <c r="AO82" i="7"/>
  <c r="AN82" i="7"/>
  <c r="I86" i="22"/>
  <c r="J86" i="22"/>
  <c r="J85" i="23"/>
  <c r="I85" i="23"/>
  <c r="H85" i="23"/>
  <c r="D86" i="23"/>
  <c r="F86" i="23"/>
  <c r="C87" i="23"/>
  <c r="E86" i="23"/>
  <c r="G86" i="23"/>
  <c r="X86" i="23"/>
  <c r="W86" i="23"/>
  <c r="V86" i="23"/>
  <c r="AA86" i="23"/>
  <c r="U87" i="23"/>
  <c r="AB86" i="23"/>
  <c r="Z86" i="23"/>
  <c r="Y86" i="23"/>
  <c r="O88" i="23"/>
  <c r="N88" i="23"/>
  <c r="M88" i="23"/>
  <c r="R88" i="23"/>
  <c r="Q88" i="23"/>
  <c r="L89" i="23"/>
  <c r="S88" i="23"/>
  <c r="P88" i="23"/>
  <c r="W87" i="22"/>
  <c r="U88" i="22"/>
  <c r="X87" i="22"/>
  <c r="V87" i="22"/>
  <c r="Y87" i="22"/>
  <c r="H86" i="22"/>
  <c r="AD87" i="22"/>
  <c r="L87" i="22"/>
  <c r="O86" i="22"/>
  <c r="Q86" i="22" s="1"/>
  <c r="N86" i="22"/>
  <c r="M86" i="22"/>
  <c r="P86" i="22"/>
  <c r="C88" i="22"/>
  <c r="F87" i="22"/>
  <c r="D87" i="22"/>
  <c r="E87" i="22"/>
  <c r="G87" i="22"/>
  <c r="S86" i="22" l="1"/>
  <c r="R86" i="22"/>
  <c r="AA87" i="22"/>
  <c r="AB87" i="22"/>
  <c r="Z87" i="22"/>
  <c r="AT88" i="22"/>
  <c r="AQ88" i="22"/>
  <c r="AM89" i="22"/>
  <c r="AO88" i="22"/>
  <c r="AR88" i="22"/>
  <c r="AP88" i="22"/>
  <c r="AN88" i="22"/>
  <c r="AS88" i="22"/>
  <c r="AD89" i="23"/>
  <c r="AE88" i="23"/>
  <c r="AJ88" i="23"/>
  <c r="AH88" i="23"/>
  <c r="AK88" i="23"/>
  <c r="AI88" i="23"/>
  <c r="AF88" i="23"/>
  <c r="AG88" i="23"/>
  <c r="AM89" i="23"/>
  <c r="AT88" i="23"/>
  <c r="AS88" i="23"/>
  <c r="AR88" i="23"/>
  <c r="AQ88" i="23"/>
  <c r="AP88" i="23"/>
  <c r="AO88" i="23"/>
  <c r="AN88" i="23"/>
  <c r="AD85" i="7"/>
  <c r="AH84" i="7"/>
  <c r="AE84" i="7"/>
  <c r="AF84" i="7"/>
  <c r="AG84" i="7"/>
  <c r="AI84" i="7"/>
  <c r="AJ84" i="7"/>
  <c r="AK84" i="7"/>
  <c r="AK87" i="22"/>
  <c r="AJ87" i="22"/>
  <c r="AI87" i="22"/>
  <c r="AG87" i="22"/>
  <c r="AF87" i="22"/>
  <c r="AE87" i="22"/>
  <c r="AH87" i="22"/>
  <c r="AO83" i="7"/>
  <c r="AN83" i="7"/>
  <c r="AT83" i="7"/>
  <c r="AP83" i="7"/>
  <c r="AM84" i="7"/>
  <c r="AS83" i="7"/>
  <c r="AR83" i="7"/>
  <c r="AQ83" i="7"/>
  <c r="I86" i="23"/>
  <c r="I87" i="22"/>
  <c r="J86" i="23"/>
  <c r="H87" i="22"/>
  <c r="J87" i="22"/>
  <c r="Z87" i="23"/>
  <c r="W87" i="23"/>
  <c r="V87" i="23"/>
  <c r="AB87" i="23"/>
  <c r="AA87" i="23"/>
  <c r="X87" i="23"/>
  <c r="U88" i="23"/>
  <c r="Y87" i="23"/>
  <c r="F87" i="23"/>
  <c r="E87" i="23"/>
  <c r="D87" i="23"/>
  <c r="C88" i="23"/>
  <c r="G87" i="23"/>
  <c r="H86" i="23"/>
  <c r="Q89" i="23"/>
  <c r="N89" i="23"/>
  <c r="M89" i="23"/>
  <c r="S89" i="23"/>
  <c r="R89" i="23"/>
  <c r="O89" i="23"/>
  <c r="L90" i="23"/>
  <c r="P89" i="23"/>
  <c r="D88" i="22"/>
  <c r="F88" i="22"/>
  <c r="E88" i="22"/>
  <c r="C89" i="22"/>
  <c r="G88" i="22"/>
  <c r="U89" i="22"/>
  <c r="X88" i="22"/>
  <c r="V88" i="22"/>
  <c r="W88" i="22"/>
  <c r="Y88" i="22"/>
  <c r="AD88" i="22"/>
  <c r="L88" i="22"/>
  <c r="M87" i="22"/>
  <c r="O87" i="22"/>
  <c r="N87" i="22"/>
  <c r="P87" i="22"/>
  <c r="R87" i="22" l="1"/>
  <c r="Q87" i="22"/>
  <c r="S87" i="22"/>
  <c r="AA88" i="22"/>
  <c r="Z88" i="22"/>
  <c r="AB88" i="22"/>
  <c r="AT89" i="22"/>
  <c r="AQ89" i="22"/>
  <c r="AS89" i="22"/>
  <c r="AO89" i="22"/>
  <c r="AM90" i="22"/>
  <c r="AR89" i="22"/>
  <c r="AN89" i="22"/>
  <c r="AP89" i="22"/>
  <c r="AE89" i="23"/>
  <c r="AG89" i="23"/>
  <c r="AK89" i="23"/>
  <c r="AJ89" i="23"/>
  <c r="AH89" i="23"/>
  <c r="AF89" i="23"/>
  <c r="AD90" i="23"/>
  <c r="AI89" i="23"/>
  <c r="AM90" i="23"/>
  <c r="AT89" i="23"/>
  <c r="AS89" i="23"/>
  <c r="AR89" i="23"/>
  <c r="AQ89" i="23"/>
  <c r="AP89" i="23"/>
  <c r="AO89" i="23"/>
  <c r="AN89" i="23"/>
  <c r="AD86" i="7"/>
  <c r="AH85" i="7"/>
  <c r="AE85" i="7"/>
  <c r="AF85" i="7"/>
  <c r="AG85" i="7"/>
  <c r="AI85" i="7"/>
  <c r="AJ85" i="7"/>
  <c r="AK85" i="7"/>
  <c r="AK88" i="22"/>
  <c r="AJ88" i="22"/>
  <c r="AI88" i="22"/>
  <c r="AG88" i="22"/>
  <c r="AF88" i="22"/>
  <c r="AE88" i="22"/>
  <c r="AH88" i="22"/>
  <c r="AS84" i="7"/>
  <c r="AP84" i="7"/>
  <c r="AM85" i="7"/>
  <c r="AR84" i="7"/>
  <c r="AQ84" i="7"/>
  <c r="AN84" i="7"/>
  <c r="AT84" i="7"/>
  <c r="AO84" i="7"/>
  <c r="I88" i="22"/>
  <c r="H88" i="22"/>
  <c r="J88" i="22"/>
  <c r="J87" i="23"/>
  <c r="I87" i="23"/>
  <c r="H87" i="23"/>
  <c r="AB88" i="23"/>
  <c r="AA88" i="23"/>
  <c r="Z88" i="23"/>
  <c r="V88" i="23"/>
  <c r="U89" i="23"/>
  <c r="X88" i="23"/>
  <c r="W88" i="23"/>
  <c r="Y88" i="23"/>
  <c r="S90" i="23"/>
  <c r="R90" i="23"/>
  <c r="Q90" i="23"/>
  <c r="M90" i="23"/>
  <c r="L91" i="23"/>
  <c r="O90" i="23"/>
  <c r="N90" i="23"/>
  <c r="P90" i="23"/>
  <c r="C89" i="23"/>
  <c r="F88" i="23"/>
  <c r="E88" i="23"/>
  <c r="D88" i="23"/>
  <c r="G88" i="23"/>
  <c r="C90" i="22"/>
  <c r="F89" i="22"/>
  <c r="E89" i="22"/>
  <c r="D89" i="22"/>
  <c r="G89" i="22"/>
  <c r="U90" i="22"/>
  <c r="W89" i="22"/>
  <c r="V89" i="22"/>
  <c r="X89" i="22"/>
  <c r="Y89" i="22"/>
  <c r="L89" i="22"/>
  <c r="O88" i="22"/>
  <c r="N88" i="22"/>
  <c r="M88" i="22"/>
  <c r="P88" i="22"/>
  <c r="AD89" i="22"/>
  <c r="R88" i="22" l="1"/>
  <c r="S88" i="22"/>
  <c r="Q88" i="22"/>
  <c r="AA89" i="22"/>
  <c r="Z89" i="22"/>
  <c r="AB89" i="22"/>
  <c r="AT90" i="22"/>
  <c r="AO90" i="22"/>
  <c r="AS90" i="22"/>
  <c r="AQ90" i="22"/>
  <c r="AN90" i="22"/>
  <c r="AM91" i="22"/>
  <c r="AR90" i="22"/>
  <c r="AP90" i="22"/>
  <c r="AH90" i="23"/>
  <c r="AG90" i="23"/>
  <c r="AJ90" i="23"/>
  <c r="AI90" i="23"/>
  <c r="AF90" i="23"/>
  <c r="AD91" i="23"/>
  <c r="AE90" i="23"/>
  <c r="AK90" i="23"/>
  <c r="AM91" i="23"/>
  <c r="AT90" i="23"/>
  <c r="AS90" i="23"/>
  <c r="AR90" i="23"/>
  <c r="AQ90" i="23"/>
  <c r="AP90" i="23"/>
  <c r="AO90" i="23"/>
  <c r="AN90" i="23"/>
  <c r="AD87" i="7"/>
  <c r="AH86" i="7"/>
  <c r="AE86" i="7"/>
  <c r="AF86" i="7"/>
  <c r="AG86" i="7"/>
  <c r="AI86" i="7"/>
  <c r="AJ86" i="7"/>
  <c r="AK86" i="7"/>
  <c r="AK89" i="22"/>
  <c r="AJ89" i="22"/>
  <c r="AI89" i="22"/>
  <c r="AG89" i="22"/>
  <c r="AF89" i="22"/>
  <c r="AE89" i="22"/>
  <c r="AH89" i="22"/>
  <c r="AS85" i="7"/>
  <c r="AQ85" i="7"/>
  <c r="AO85" i="7"/>
  <c r="AM86" i="7"/>
  <c r="AT85" i="7"/>
  <c r="AR85" i="7"/>
  <c r="AP85" i="7"/>
  <c r="AN85" i="7"/>
  <c r="H89" i="22"/>
  <c r="I88" i="23"/>
  <c r="J88" i="23"/>
  <c r="I89" i="22"/>
  <c r="J89" i="22"/>
  <c r="D89" i="23"/>
  <c r="C90" i="23"/>
  <c r="E89" i="23"/>
  <c r="F89" i="23"/>
  <c r="G89" i="23"/>
  <c r="H88" i="23"/>
  <c r="O91" i="23"/>
  <c r="N91" i="23"/>
  <c r="M91" i="23"/>
  <c r="S91" i="23"/>
  <c r="Q91" i="23"/>
  <c r="L92" i="23"/>
  <c r="R91" i="23"/>
  <c r="P91" i="23"/>
  <c r="X89" i="23"/>
  <c r="W89" i="23"/>
  <c r="V89" i="23"/>
  <c r="AB89" i="23"/>
  <c r="Z89" i="23"/>
  <c r="U90" i="23"/>
  <c r="AA89" i="23"/>
  <c r="Y89" i="23"/>
  <c r="N89" i="22"/>
  <c r="L90" i="22"/>
  <c r="O89" i="22"/>
  <c r="M89" i="22"/>
  <c r="R89" i="22" s="1"/>
  <c r="P89" i="22"/>
  <c r="U91" i="22"/>
  <c r="X90" i="22"/>
  <c r="W90" i="22"/>
  <c r="V90" i="22"/>
  <c r="Y90" i="22"/>
  <c r="AD90" i="22"/>
  <c r="C91" i="22"/>
  <c r="F90" i="22"/>
  <c r="D90" i="22"/>
  <c r="E90" i="22"/>
  <c r="G90" i="22"/>
  <c r="Q89" i="22" l="1"/>
  <c r="S89" i="22"/>
  <c r="Z90" i="22"/>
  <c r="AB90" i="22"/>
  <c r="AA90" i="22"/>
  <c r="AS91" i="22"/>
  <c r="AO91" i="22"/>
  <c r="AR91" i="22"/>
  <c r="AN91" i="22"/>
  <c r="AM92" i="22"/>
  <c r="AQ91" i="22"/>
  <c r="AT91" i="22"/>
  <c r="AP91" i="22"/>
  <c r="AF91" i="23"/>
  <c r="AI91" i="23"/>
  <c r="AD92" i="23"/>
  <c r="AE91" i="23"/>
  <c r="AJ91" i="23"/>
  <c r="AG91" i="23"/>
  <c r="AK91" i="23"/>
  <c r="AH91" i="23"/>
  <c r="AM92" i="23"/>
  <c r="AT91" i="23"/>
  <c r="AS91" i="23"/>
  <c r="AR91" i="23"/>
  <c r="AQ91" i="23"/>
  <c r="AP91" i="23"/>
  <c r="AO91" i="23"/>
  <c r="AN91" i="23"/>
  <c r="AD88" i="7"/>
  <c r="AH87" i="7"/>
  <c r="AE87" i="7"/>
  <c r="AF87" i="7"/>
  <c r="AG87" i="7"/>
  <c r="AI87" i="7"/>
  <c r="AJ87" i="7"/>
  <c r="AK87" i="7"/>
  <c r="AK90" i="22"/>
  <c r="AJ90" i="22"/>
  <c r="AI90" i="22"/>
  <c r="AG90" i="22"/>
  <c r="AF90" i="22"/>
  <c r="AE90" i="22"/>
  <c r="AH90" i="22"/>
  <c r="AN86" i="7"/>
  <c r="AR86" i="7"/>
  <c r="AT86" i="7"/>
  <c r="AP86" i="7"/>
  <c r="AM87" i="7"/>
  <c r="AS86" i="7"/>
  <c r="AQ86" i="7"/>
  <c r="AO86" i="7"/>
  <c r="H90" i="22"/>
  <c r="J89" i="23"/>
  <c r="I89" i="23"/>
  <c r="I90" i="22"/>
  <c r="H89" i="23"/>
  <c r="J90" i="22"/>
  <c r="Q92" i="23"/>
  <c r="S92" i="23"/>
  <c r="R92" i="23"/>
  <c r="L93" i="23"/>
  <c r="O92" i="23"/>
  <c r="M92" i="23"/>
  <c r="N92" i="23"/>
  <c r="P92" i="23"/>
  <c r="Z90" i="23"/>
  <c r="AB90" i="23"/>
  <c r="AA90" i="23"/>
  <c r="U91" i="23"/>
  <c r="X90" i="23"/>
  <c r="V90" i="23"/>
  <c r="W90" i="23"/>
  <c r="Y90" i="23"/>
  <c r="F90" i="23"/>
  <c r="E90" i="23"/>
  <c r="D90" i="23"/>
  <c r="C91" i="23"/>
  <c r="G90" i="23"/>
  <c r="E91" i="22"/>
  <c r="G91" i="22"/>
  <c r="D91" i="22"/>
  <c r="C92" i="22"/>
  <c r="F91" i="22"/>
  <c r="AD91" i="22"/>
  <c r="L91" i="22"/>
  <c r="N90" i="22"/>
  <c r="M90" i="22"/>
  <c r="O90" i="22"/>
  <c r="P90" i="22"/>
  <c r="U92" i="22"/>
  <c r="X91" i="22"/>
  <c r="W91" i="22"/>
  <c r="V91" i="22"/>
  <c r="Y91" i="22"/>
  <c r="R90" i="22" l="1"/>
  <c r="Q90" i="22"/>
  <c r="S90" i="22"/>
  <c r="AB91" i="22"/>
  <c r="Z91" i="22"/>
  <c r="AA91" i="22"/>
  <c r="AS92" i="22"/>
  <c r="AO92" i="22"/>
  <c r="AM93" i="22"/>
  <c r="AP92" i="22"/>
  <c r="AN92" i="22"/>
  <c r="AQ92" i="22"/>
  <c r="AR92" i="22"/>
  <c r="AT92" i="22"/>
  <c r="AF92" i="23"/>
  <c r="AI92" i="23"/>
  <c r="AJ92" i="23"/>
  <c r="AG92" i="23"/>
  <c r="AK92" i="23"/>
  <c r="AE92" i="23"/>
  <c r="AD93" i="23"/>
  <c r="AH92" i="23"/>
  <c r="AM93" i="23"/>
  <c r="AT92" i="23"/>
  <c r="AS92" i="23"/>
  <c r="AR92" i="23"/>
  <c r="AQ92" i="23"/>
  <c r="AP92" i="23"/>
  <c r="AO92" i="23"/>
  <c r="AN92" i="23"/>
  <c r="AD89" i="7"/>
  <c r="AH88" i="7"/>
  <c r="AE88" i="7"/>
  <c r="AF88" i="7"/>
  <c r="AG88" i="7"/>
  <c r="AI88" i="7"/>
  <c r="AJ88" i="7"/>
  <c r="AK88" i="7"/>
  <c r="AJ91" i="22"/>
  <c r="AI91" i="22"/>
  <c r="AF91" i="22"/>
  <c r="AK91" i="22"/>
  <c r="AG91" i="22"/>
  <c r="AE91" i="22"/>
  <c r="AH91" i="22"/>
  <c r="AQ87" i="7"/>
  <c r="AT87" i="7"/>
  <c r="AN87" i="7"/>
  <c r="AO87" i="7"/>
  <c r="AM88" i="7"/>
  <c r="AS87" i="7"/>
  <c r="AR87" i="7"/>
  <c r="AP87" i="7"/>
  <c r="H91" i="22"/>
  <c r="I91" i="22"/>
  <c r="I90" i="23"/>
  <c r="H90" i="23"/>
  <c r="J90" i="23"/>
  <c r="AB91" i="23"/>
  <c r="AA91" i="23"/>
  <c r="Z91" i="23"/>
  <c r="V91" i="23"/>
  <c r="X91" i="23"/>
  <c r="W91" i="23"/>
  <c r="U92" i="23"/>
  <c r="Y91" i="23"/>
  <c r="E91" i="23"/>
  <c r="D91" i="23"/>
  <c r="F91" i="23"/>
  <c r="C92" i="23"/>
  <c r="G91" i="23"/>
  <c r="S93" i="23"/>
  <c r="R93" i="23"/>
  <c r="Q93" i="23"/>
  <c r="M93" i="23"/>
  <c r="O93" i="23"/>
  <c r="N93" i="23"/>
  <c r="L94" i="23"/>
  <c r="P93" i="23"/>
  <c r="L92" i="22"/>
  <c r="O91" i="22"/>
  <c r="M91" i="22"/>
  <c r="S91" i="22" s="1"/>
  <c r="N91" i="22"/>
  <c r="P91" i="22"/>
  <c r="AD92" i="22"/>
  <c r="J91" i="22"/>
  <c r="C93" i="22"/>
  <c r="E92" i="22"/>
  <c r="F92" i="22"/>
  <c r="D92" i="22"/>
  <c r="G92" i="22"/>
  <c r="U93" i="22"/>
  <c r="X92" i="22"/>
  <c r="W92" i="22"/>
  <c r="V92" i="22"/>
  <c r="Y92" i="22"/>
  <c r="R91" i="22" l="1"/>
  <c r="Q91" i="22"/>
  <c r="AB92" i="22"/>
  <c r="Z92" i="22"/>
  <c r="AA92" i="22"/>
  <c r="AS93" i="22"/>
  <c r="AN93" i="22"/>
  <c r="AQ93" i="22"/>
  <c r="AM94" i="22"/>
  <c r="AT93" i="22"/>
  <c r="AR93" i="22"/>
  <c r="AP93" i="22"/>
  <c r="AO93" i="22"/>
  <c r="AD94" i="23"/>
  <c r="AH93" i="23"/>
  <c r="AK93" i="23"/>
  <c r="AI93" i="23"/>
  <c r="AF93" i="23"/>
  <c r="AJ93" i="23"/>
  <c r="AG93" i="23"/>
  <c r="AE93" i="23"/>
  <c r="AO93" i="23"/>
  <c r="AQ93" i="23"/>
  <c r="AP93" i="23"/>
  <c r="AN93" i="23"/>
  <c r="AM94" i="23"/>
  <c r="AT93" i="23"/>
  <c r="AS93" i="23"/>
  <c r="AR93" i="23"/>
  <c r="AD90" i="7"/>
  <c r="AH89" i="7"/>
  <c r="AE89" i="7"/>
  <c r="AF89" i="7"/>
  <c r="AG89" i="7"/>
  <c r="AI89" i="7"/>
  <c r="AJ89" i="7"/>
  <c r="AK89" i="7"/>
  <c r="AK92" i="22"/>
  <c r="AE92" i="22"/>
  <c r="AJ92" i="22"/>
  <c r="AI92" i="22"/>
  <c r="AG92" i="22"/>
  <c r="AF92" i="22"/>
  <c r="AH92" i="22"/>
  <c r="AT88" i="7"/>
  <c r="AM89" i="7"/>
  <c r="AP88" i="7"/>
  <c r="AS88" i="7"/>
  <c r="AR88" i="7"/>
  <c r="AQ88" i="7"/>
  <c r="AO88" i="7"/>
  <c r="AN88" i="7"/>
  <c r="H92" i="22"/>
  <c r="H91" i="23"/>
  <c r="I92" i="22"/>
  <c r="J91" i="23"/>
  <c r="I91" i="23"/>
  <c r="O94" i="23"/>
  <c r="N94" i="23"/>
  <c r="M94" i="23"/>
  <c r="S94" i="23"/>
  <c r="L95" i="23"/>
  <c r="Q94" i="23"/>
  <c r="R94" i="23"/>
  <c r="P94" i="23"/>
  <c r="X92" i="23"/>
  <c r="W92" i="23"/>
  <c r="V92" i="23"/>
  <c r="AB92" i="23"/>
  <c r="U93" i="23"/>
  <c r="AA92" i="23"/>
  <c r="Z92" i="23"/>
  <c r="Y92" i="23"/>
  <c r="D92" i="23"/>
  <c r="C93" i="23"/>
  <c r="F92" i="23"/>
  <c r="E92" i="23"/>
  <c r="G92" i="23"/>
  <c r="X93" i="22"/>
  <c r="U94" i="22"/>
  <c r="W93" i="22"/>
  <c r="V93" i="22"/>
  <c r="AB93" i="22" s="1"/>
  <c r="Y93" i="22"/>
  <c r="L93" i="22"/>
  <c r="N92" i="22"/>
  <c r="M92" i="22"/>
  <c r="O92" i="22"/>
  <c r="P92" i="22"/>
  <c r="AD93" i="22"/>
  <c r="J92" i="22"/>
  <c r="C94" i="22"/>
  <c r="F93" i="22"/>
  <c r="E93" i="22"/>
  <c r="D93" i="22"/>
  <c r="G93" i="22"/>
  <c r="R92" i="22" l="1"/>
  <c r="Q92" i="22"/>
  <c r="S92" i="22"/>
  <c r="Z93" i="22"/>
  <c r="AA93" i="22"/>
  <c r="AM95" i="22"/>
  <c r="AT94" i="22"/>
  <c r="AS94" i="22"/>
  <c r="AR94" i="22"/>
  <c r="AP94" i="22"/>
  <c r="AN94" i="22"/>
  <c r="AQ94" i="22"/>
  <c r="AO94" i="22"/>
  <c r="AE94" i="23"/>
  <c r="AH94" i="23"/>
  <c r="AG94" i="23"/>
  <c r="AF94" i="23"/>
  <c r="AD95" i="23"/>
  <c r="AK94" i="23"/>
  <c r="AJ94" i="23"/>
  <c r="AI94" i="23"/>
  <c r="AM95" i="23"/>
  <c r="AT94" i="23"/>
  <c r="AS94" i="23"/>
  <c r="AR94" i="23"/>
  <c r="AQ94" i="23"/>
  <c r="AP94" i="23"/>
  <c r="AO94" i="23"/>
  <c r="AN94" i="23"/>
  <c r="AD91" i="7"/>
  <c r="AH90" i="7"/>
  <c r="AE90" i="7"/>
  <c r="AF90" i="7"/>
  <c r="AG90" i="7"/>
  <c r="AI90" i="7"/>
  <c r="AJ90" i="7"/>
  <c r="AK90" i="7"/>
  <c r="AK93" i="22"/>
  <c r="AF93" i="22"/>
  <c r="AJ93" i="22"/>
  <c r="AI93" i="22"/>
  <c r="AG93" i="22"/>
  <c r="AE93" i="22"/>
  <c r="AH93" i="22"/>
  <c r="AR89" i="7"/>
  <c r="AO89" i="7"/>
  <c r="AM90" i="7"/>
  <c r="AT89" i="7"/>
  <c r="AS89" i="7"/>
  <c r="AN89" i="7"/>
  <c r="AP89" i="7"/>
  <c r="AQ89" i="7"/>
  <c r="H93" i="22"/>
  <c r="J93" i="22"/>
  <c r="I92" i="23"/>
  <c r="J92" i="23"/>
  <c r="I93" i="22"/>
  <c r="Z93" i="23"/>
  <c r="AA93" i="23"/>
  <c r="U94" i="23"/>
  <c r="X93" i="23"/>
  <c r="W93" i="23"/>
  <c r="V93" i="23"/>
  <c r="AB93" i="23"/>
  <c r="Y93" i="23"/>
  <c r="H92" i="23"/>
  <c r="F93" i="23"/>
  <c r="E93" i="23"/>
  <c r="D93" i="23"/>
  <c r="C94" i="23"/>
  <c r="G93" i="23"/>
  <c r="Q95" i="23"/>
  <c r="R95" i="23"/>
  <c r="L96" i="23"/>
  <c r="O95" i="23"/>
  <c r="S95" i="23"/>
  <c r="N95" i="23"/>
  <c r="M95" i="23"/>
  <c r="P95" i="23"/>
  <c r="AD94" i="22"/>
  <c r="U95" i="22"/>
  <c r="V94" i="22"/>
  <c r="W94" i="22"/>
  <c r="AA94" i="22" s="1"/>
  <c r="X94" i="22"/>
  <c r="Y94" i="22"/>
  <c r="L94" i="22"/>
  <c r="N93" i="22"/>
  <c r="O93" i="22"/>
  <c r="M93" i="22"/>
  <c r="P93" i="22"/>
  <c r="C95" i="22"/>
  <c r="E94" i="22"/>
  <c r="G94" i="22"/>
  <c r="F94" i="22"/>
  <c r="D94" i="22"/>
  <c r="Q93" i="22" l="1"/>
  <c r="R93" i="22"/>
  <c r="S93" i="22"/>
  <c r="AB94" i="22"/>
  <c r="Z94" i="22"/>
  <c r="AM96" i="22"/>
  <c r="AT95" i="22"/>
  <c r="AR95" i="22"/>
  <c r="AO95" i="22"/>
  <c r="AS95" i="22"/>
  <c r="AQ95" i="22"/>
  <c r="AP95" i="22"/>
  <c r="AN95" i="22"/>
  <c r="AD96" i="23"/>
  <c r="AJ95" i="23"/>
  <c r="AF95" i="23"/>
  <c r="AH95" i="23"/>
  <c r="AK95" i="23"/>
  <c r="AI95" i="23"/>
  <c r="AG95" i="23"/>
  <c r="AE95" i="23"/>
  <c r="AQ95" i="23"/>
  <c r="AP95" i="23"/>
  <c r="AN95" i="23"/>
  <c r="AS95" i="23"/>
  <c r="AM96" i="23"/>
  <c r="AT95" i="23"/>
  <c r="AR95" i="23"/>
  <c r="AO95" i="23"/>
  <c r="AD92" i="7"/>
  <c r="AH91" i="7"/>
  <c r="AE91" i="7"/>
  <c r="AF91" i="7"/>
  <c r="AG91" i="7"/>
  <c r="AI91" i="7"/>
  <c r="AJ91" i="7"/>
  <c r="AK91" i="7"/>
  <c r="AJ94" i="22"/>
  <c r="AF94" i="22"/>
  <c r="AK94" i="22"/>
  <c r="AI94" i="22"/>
  <c r="AG94" i="22"/>
  <c r="AE94" i="22"/>
  <c r="AH94" i="22"/>
  <c r="AP90" i="7"/>
  <c r="AO90" i="7"/>
  <c r="AM91" i="7"/>
  <c r="AQ90" i="7"/>
  <c r="AS90" i="7"/>
  <c r="AN90" i="7"/>
  <c r="AT90" i="7"/>
  <c r="AR90" i="7"/>
  <c r="H94" i="22"/>
  <c r="I93" i="23"/>
  <c r="J93" i="23"/>
  <c r="H93" i="23"/>
  <c r="J94" i="22"/>
  <c r="I94" i="22"/>
  <c r="S96" i="23"/>
  <c r="R96" i="23"/>
  <c r="N96" i="23"/>
  <c r="Q96" i="23"/>
  <c r="O96" i="23"/>
  <c r="M96" i="23"/>
  <c r="L97" i="23"/>
  <c r="P96" i="23"/>
  <c r="AB94" i="23"/>
  <c r="AA94" i="23"/>
  <c r="Z94" i="23"/>
  <c r="V94" i="23"/>
  <c r="U95" i="23"/>
  <c r="W94" i="23"/>
  <c r="X94" i="23"/>
  <c r="Y94" i="23"/>
  <c r="C95" i="23"/>
  <c r="F94" i="23"/>
  <c r="D94" i="23"/>
  <c r="E94" i="23"/>
  <c r="G94" i="23"/>
  <c r="C96" i="22"/>
  <c r="F95" i="22"/>
  <c r="E95" i="22"/>
  <c r="D95" i="22"/>
  <c r="G95" i="22"/>
  <c r="U96" i="22"/>
  <c r="X95" i="22"/>
  <c r="W95" i="22"/>
  <c r="V95" i="22"/>
  <c r="Y95" i="22"/>
  <c r="L95" i="22"/>
  <c r="O94" i="22"/>
  <c r="N94" i="22"/>
  <c r="M94" i="22"/>
  <c r="S94" i="22" s="1"/>
  <c r="P94" i="22"/>
  <c r="AD95" i="22"/>
  <c r="Q94" i="22" l="1"/>
  <c r="R94" i="22"/>
  <c r="AA95" i="22"/>
  <c r="AB95" i="22"/>
  <c r="Z95" i="22"/>
  <c r="AM97" i="22"/>
  <c r="AT96" i="22"/>
  <c r="AS96" i="22"/>
  <c r="AR96" i="22"/>
  <c r="AP96" i="22"/>
  <c r="AN96" i="22"/>
  <c r="AQ96" i="22"/>
  <c r="AO96" i="22"/>
  <c r="AD97" i="23"/>
  <c r="AK96" i="23"/>
  <c r="AJ96" i="23"/>
  <c r="AI96" i="23"/>
  <c r="AG96" i="23"/>
  <c r="AE96" i="23"/>
  <c r="AH96" i="23"/>
  <c r="AF96" i="23"/>
  <c r="AQ96" i="23"/>
  <c r="AP96" i="23"/>
  <c r="AO96" i="23"/>
  <c r="AM97" i="23"/>
  <c r="AT96" i="23"/>
  <c r="AS96" i="23"/>
  <c r="AR96" i="23"/>
  <c r="AN96" i="23"/>
  <c r="AD93" i="7"/>
  <c r="AH92" i="7"/>
  <c r="AE92" i="7"/>
  <c r="AF92" i="7"/>
  <c r="AG92" i="7"/>
  <c r="AI92" i="7"/>
  <c r="AJ92" i="7"/>
  <c r="AK92" i="7"/>
  <c r="AJ95" i="22"/>
  <c r="AI95" i="22"/>
  <c r="AG95" i="22"/>
  <c r="AE95" i="22"/>
  <c r="AK95" i="22"/>
  <c r="AF95" i="22"/>
  <c r="AH95" i="22"/>
  <c r="AT91" i="7"/>
  <c r="AP91" i="7"/>
  <c r="AR91" i="7"/>
  <c r="AM92" i="7"/>
  <c r="AS91" i="7"/>
  <c r="AQ91" i="7"/>
  <c r="AO91" i="7"/>
  <c r="AN91" i="7"/>
  <c r="H95" i="22"/>
  <c r="J95" i="22"/>
  <c r="H94" i="23"/>
  <c r="I94" i="23"/>
  <c r="J94" i="23"/>
  <c r="I95" i="22"/>
  <c r="D95" i="23"/>
  <c r="F95" i="23"/>
  <c r="E95" i="23"/>
  <c r="C96" i="23"/>
  <c r="G95" i="23"/>
  <c r="U96" i="23"/>
  <c r="X95" i="23"/>
  <c r="W95" i="23"/>
  <c r="V95" i="23"/>
  <c r="AA95" i="23"/>
  <c r="Z95" i="23"/>
  <c r="AB95" i="23"/>
  <c r="Y95" i="23"/>
  <c r="L98" i="23"/>
  <c r="O97" i="23"/>
  <c r="S97" i="23"/>
  <c r="Q97" i="23"/>
  <c r="N97" i="23"/>
  <c r="M97" i="23"/>
  <c r="R97" i="23"/>
  <c r="P97" i="23"/>
  <c r="W96" i="22"/>
  <c r="U97" i="22"/>
  <c r="X96" i="22"/>
  <c r="V96" i="22"/>
  <c r="Y96" i="22"/>
  <c r="AD96" i="22"/>
  <c r="C97" i="22"/>
  <c r="F96" i="22"/>
  <c r="E96" i="22"/>
  <c r="D96" i="22"/>
  <c r="G96" i="22"/>
  <c r="M95" i="22"/>
  <c r="N95" i="22"/>
  <c r="L96" i="22"/>
  <c r="O95" i="22"/>
  <c r="P95" i="22"/>
  <c r="R95" i="22" l="1"/>
  <c r="S95" i="22"/>
  <c r="Q95" i="22"/>
  <c r="AA96" i="22"/>
  <c r="AB96" i="22"/>
  <c r="Z96" i="22"/>
  <c r="AS97" i="22"/>
  <c r="AM98" i="22"/>
  <c r="AT97" i="22"/>
  <c r="AR97" i="22"/>
  <c r="AQ97" i="22"/>
  <c r="AP97" i="22"/>
  <c r="AO97" i="22"/>
  <c r="AN97" i="22"/>
  <c r="AE97" i="23"/>
  <c r="AD98" i="23"/>
  <c r="AK97" i="23"/>
  <c r="AJ97" i="23"/>
  <c r="AI97" i="23"/>
  <c r="AH97" i="23"/>
  <c r="AG97" i="23"/>
  <c r="AF97" i="23"/>
  <c r="AM98" i="23"/>
  <c r="AT97" i="23"/>
  <c r="AS97" i="23"/>
  <c r="AR97" i="23"/>
  <c r="AQ97" i="23"/>
  <c r="AP97" i="23"/>
  <c r="AO97" i="23"/>
  <c r="AN97" i="23"/>
  <c r="AD94" i="7"/>
  <c r="AH93" i="7"/>
  <c r="AE93" i="7"/>
  <c r="AF93" i="7"/>
  <c r="AG93" i="7"/>
  <c r="AI93" i="7"/>
  <c r="AJ93" i="7"/>
  <c r="AK93" i="7"/>
  <c r="AK96" i="22"/>
  <c r="AE96" i="22"/>
  <c r="AJ96" i="22"/>
  <c r="AI96" i="22"/>
  <c r="AG96" i="22"/>
  <c r="AF96" i="22"/>
  <c r="AH96" i="22"/>
  <c r="AM93" i="7"/>
  <c r="AT92" i="7"/>
  <c r="AS92" i="7"/>
  <c r="AO92" i="7"/>
  <c r="AQ92" i="7"/>
  <c r="AN92" i="7"/>
  <c r="AP92" i="7"/>
  <c r="AR92" i="7"/>
  <c r="H96" i="22"/>
  <c r="I95" i="23"/>
  <c r="J95" i="23"/>
  <c r="I96" i="22"/>
  <c r="J96" i="22"/>
  <c r="V96" i="23"/>
  <c r="U97" i="23"/>
  <c r="AB96" i="23"/>
  <c r="X96" i="23"/>
  <c r="W96" i="23"/>
  <c r="Z96" i="23"/>
  <c r="AA96" i="23"/>
  <c r="Y96" i="23"/>
  <c r="R98" i="23"/>
  <c r="Q98" i="23"/>
  <c r="O98" i="23"/>
  <c r="N98" i="23"/>
  <c r="M98" i="23"/>
  <c r="L99" i="23"/>
  <c r="S98" i="23"/>
  <c r="P98" i="23"/>
  <c r="C97" i="23"/>
  <c r="F96" i="23"/>
  <c r="E96" i="23"/>
  <c r="D96" i="23"/>
  <c r="G96" i="23"/>
  <c r="H95" i="23"/>
  <c r="L97" i="22"/>
  <c r="N96" i="22"/>
  <c r="M96" i="22"/>
  <c r="O96" i="22"/>
  <c r="P96" i="22"/>
  <c r="E97" i="22"/>
  <c r="D97" i="22"/>
  <c r="C98" i="22"/>
  <c r="F97" i="22"/>
  <c r="G97" i="22"/>
  <c r="U98" i="22"/>
  <c r="V97" i="22"/>
  <c r="X97" i="22"/>
  <c r="W97" i="22"/>
  <c r="Y97" i="22"/>
  <c r="AD97" i="22"/>
  <c r="S96" i="22" l="1"/>
  <c r="R96" i="22"/>
  <c r="Q96" i="22"/>
  <c r="AA97" i="22"/>
  <c r="Z97" i="22"/>
  <c r="AB97" i="22"/>
  <c r="AM99" i="22"/>
  <c r="AS98" i="22"/>
  <c r="AP98" i="22"/>
  <c r="AT98" i="22"/>
  <c r="AR98" i="22"/>
  <c r="AQ98" i="22"/>
  <c r="AO98" i="22"/>
  <c r="AN98" i="22"/>
  <c r="AD99" i="23"/>
  <c r="AK98" i="23"/>
  <c r="AJ98" i="23"/>
  <c r="AI98" i="23"/>
  <c r="AH98" i="23"/>
  <c r="AG98" i="23"/>
  <c r="AF98" i="23"/>
  <c r="AE98" i="23"/>
  <c r="AT98" i="23"/>
  <c r="AM99" i="23"/>
  <c r="AS98" i="23"/>
  <c r="AR98" i="23"/>
  <c r="AQ98" i="23"/>
  <c r="AP98" i="23"/>
  <c r="AO98" i="23"/>
  <c r="AN98" i="23"/>
  <c r="AD95" i="7"/>
  <c r="AH94" i="7"/>
  <c r="AE94" i="7"/>
  <c r="AF94" i="7"/>
  <c r="AG94" i="7"/>
  <c r="AI94" i="7"/>
  <c r="AJ94" i="7"/>
  <c r="AK94" i="7"/>
  <c r="AJ97" i="22"/>
  <c r="AF97" i="22"/>
  <c r="AK97" i="22"/>
  <c r="AI97" i="22"/>
  <c r="AG97" i="22"/>
  <c r="AE97" i="22"/>
  <c r="AH97" i="22"/>
  <c r="AM94" i="7"/>
  <c r="AR93" i="7"/>
  <c r="AN93" i="7"/>
  <c r="AP93" i="7"/>
  <c r="AT93" i="7"/>
  <c r="AS93" i="7"/>
  <c r="AQ93" i="7"/>
  <c r="AO93" i="7"/>
  <c r="H96" i="23"/>
  <c r="I96" i="23"/>
  <c r="J96" i="23"/>
  <c r="I97" i="22"/>
  <c r="J97" i="22"/>
  <c r="F97" i="23"/>
  <c r="E97" i="23"/>
  <c r="D97" i="23"/>
  <c r="C98" i="23"/>
  <c r="G97" i="23"/>
  <c r="N99" i="23"/>
  <c r="M99" i="23"/>
  <c r="R99" i="23"/>
  <c r="Q99" i="23"/>
  <c r="O99" i="23"/>
  <c r="S99" i="23"/>
  <c r="L100" i="23"/>
  <c r="P99" i="23"/>
  <c r="W97" i="23"/>
  <c r="V97" i="23"/>
  <c r="X97" i="23"/>
  <c r="AB97" i="23"/>
  <c r="AA97" i="23"/>
  <c r="Z97" i="23"/>
  <c r="U98" i="23"/>
  <c r="Y97" i="23"/>
  <c r="AD98" i="22"/>
  <c r="C99" i="22"/>
  <c r="D98" i="22"/>
  <c r="F98" i="22"/>
  <c r="E98" i="22"/>
  <c r="G98" i="22"/>
  <c r="H97" i="22"/>
  <c r="U99" i="22"/>
  <c r="X98" i="22"/>
  <c r="W98" i="22"/>
  <c r="V98" i="22"/>
  <c r="Y98" i="22"/>
  <c r="L98" i="22"/>
  <c r="O97" i="22"/>
  <c r="N97" i="22"/>
  <c r="M97" i="22"/>
  <c r="P97" i="22"/>
  <c r="R97" i="22" l="1"/>
  <c r="S97" i="22"/>
  <c r="Q97" i="22"/>
  <c r="Z98" i="22"/>
  <c r="AA98" i="22"/>
  <c r="AB98" i="22"/>
  <c r="AM100" i="22"/>
  <c r="AT99" i="22"/>
  <c r="AS99" i="22"/>
  <c r="AR99" i="22"/>
  <c r="AQ99" i="22"/>
  <c r="AP99" i="22"/>
  <c r="AO99" i="22"/>
  <c r="AN99" i="22"/>
  <c r="AD100" i="23"/>
  <c r="AK99" i="23"/>
  <c r="AJ99" i="23"/>
  <c r="AI99" i="23"/>
  <c r="AH99" i="23"/>
  <c r="AG99" i="23"/>
  <c r="AF99" i="23"/>
  <c r="AE99" i="23"/>
  <c r="AQ99" i="23"/>
  <c r="AP99" i="23"/>
  <c r="AN99" i="23"/>
  <c r="AM100" i="23"/>
  <c r="AT99" i="23"/>
  <c r="AS99" i="23"/>
  <c r="AR99" i="23"/>
  <c r="AO99" i="23"/>
  <c r="AD96" i="7"/>
  <c r="AH95" i="7"/>
  <c r="AE95" i="7"/>
  <c r="AF95" i="7"/>
  <c r="AG95" i="7"/>
  <c r="AI95" i="7"/>
  <c r="AJ95" i="7"/>
  <c r="AK95" i="7"/>
  <c r="AK98" i="22"/>
  <c r="AI98" i="22"/>
  <c r="AF98" i="22"/>
  <c r="AE98" i="22"/>
  <c r="AJ98" i="22"/>
  <c r="AG98" i="22"/>
  <c r="AH98" i="22"/>
  <c r="AQ94" i="7"/>
  <c r="AO94" i="7"/>
  <c r="AS94" i="7"/>
  <c r="AT94" i="7"/>
  <c r="AR94" i="7"/>
  <c r="AP94" i="7"/>
  <c r="AN94" i="7"/>
  <c r="AM95" i="7"/>
  <c r="H98" i="22"/>
  <c r="I97" i="23"/>
  <c r="J97" i="23"/>
  <c r="I98" i="22"/>
  <c r="H97" i="23"/>
  <c r="U99" i="23"/>
  <c r="X98" i="23"/>
  <c r="AB98" i="23"/>
  <c r="Z98" i="23"/>
  <c r="W98" i="23"/>
  <c r="V98" i="23"/>
  <c r="AA98" i="23"/>
  <c r="Y98" i="23"/>
  <c r="L101" i="23"/>
  <c r="O100" i="23"/>
  <c r="N100" i="23"/>
  <c r="M100" i="23"/>
  <c r="R100" i="23"/>
  <c r="Q100" i="23"/>
  <c r="S100" i="23"/>
  <c r="P100" i="23"/>
  <c r="E98" i="23"/>
  <c r="D98" i="23"/>
  <c r="F98" i="23"/>
  <c r="C99" i="23"/>
  <c r="G98" i="23"/>
  <c r="J98" i="22"/>
  <c r="N98" i="22"/>
  <c r="M98" i="22"/>
  <c r="O98" i="22"/>
  <c r="S98" i="22" s="1"/>
  <c r="L99" i="22"/>
  <c r="P98" i="22"/>
  <c r="C100" i="22"/>
  <c r="D99" i="22"/>
  <c r="F99" i="22"/>
  <c r="E99" i="22"/>
  <c r="G99" i="22"/>
  <c r="U100" i="22"/>
  <c r="V99" i="22"/>
  <c r="W99" i="22"/>
  <c r="AA99" i="22" s="1"/>
  <c r="X99" i="22"/>
  <c r="Y99" i="22"/>
  <c r="AD99" i="22"/>
  <c r="Q98" i="22" l="1"/>
  <c r="R98" i="22"/>
  <c r="Z99" i="22"/>
  <c r="AB99" i="22"/>
  <c r="AM101" i="22"/>
  <c r="AT100" i="22"/>
  <c r="AS100" i="22"/>
  <c r="AR100" i="22"/>
  <c r="AQ100" i="22"/>
  <c r="AP100" i="22"/>
  <c r="AO100" i="22"/>
  <c r="AN100" i="22"/>
  <c r="AD101" i="23"/>
  <c r="AK100" i="23"/>
  <c r="AJ100" i="23"/>
  <c r="AI100" i="23"/>
  <c r="AH100" i="23"/>
  <c r="AG100" i="23"/>
  <c r="AF100" i="23"/>
  <c r="AE100" i="23"/>
  <c r="AM101" i="23"/>
  <c r="AT100" i="23"/>
  <c r="AS100" i="23"/>
  <c r="AR100" i="23"/>
  <c r="AQ100" i="23"/>
  <c r="AP100" i="23"/>
  <c r="AO100" i="23"/>
  <c r="AN100" i="23"/>
  <c r="AD97" i="7"/>
  <c r="AH96" i="7"/>
  <c r="AE96" i="7"/>
  <c r="AF96" i="7"/>
  <c r="AG96" i="7"/>
  <c r="AI96" i="7"/>
  <c r="AJ96" i="7"/>
  <c r="AK96" i="7"/>
  <c r="AJ99" i="22"/>
  <c r="AI99" i="22"/>
  <c r="AG99" i="22"/>
  <c r="AK99" i="22"/>
  <c r="AF99" i="22"/>
  <c r="AE99" i="22"/>
  <c r="AH99" i="22"/>
  <c r="AM96" i="7"/>
  <c r="AQ95" i="7"/>
  <c r="AP95" i="7"/>
  <c r="AS95" i="7"/>
  <c r="AO95" i="7"/>
  <c r="AN95" i="7"/>
  <c r="AR95" i="7"/>
  <c r="AT95" i="7"/>
  <c r="H99" i="22"/>
  <c r="H98" i="23"/>
  <c r="I98" i="23"/>
  <c r="J98" i="23"/>
  <c r="J99" i="22"/>
  <c r="I99" i="22"/>
  <c r="R101" i="23"/>
  <c r="Q101" i="23"/>
  <c r="L102" i="23"/>
  <c r="O101" i="23"/>
  <c r="S101" i="23"/>
  <c r="M101" i="23"/>
  <c r="N101" i="23"/>
  <c r="P101" i="23"/>
  <c r="AA99" i="23"/>
  <c r="Z99" i="23"/>
  <c r="X99" i="23"/>
  <c r="W99" i="23"/>
  <c r="V99" i="23"/>
  <c r="U100" i="23"/>
  <c r="Y99" i="23"/>
  <c r="AB99" i="23"/>
  <c r="C100" i="23"/>
  <c r="F99" i="23"/>
  <c r="E99" i="23"/>
  <c r="D99" i="23"/>
  <c r="G99" i="23"/>
  <c r="AD100" i="22"/>
  <c r="E100" i="22"/>
  <c r="F100" i="22"/>
  <c r="D100" i="22"/>
  <c r="C101" i="22"/>
  <c r="G100" i="22"/>
  <c r="L100" i="22"/>
  <c r="O99" i="22"/>
  <c r="N99" i="22"/>
  <c r="M99" i="22"/>
  <c r="P99" i="22"/>
  <c r="U101" i="22"/>
  <c r="W100" i="22"/>
  <c r="V100" i="22"/>
  <c r="X100" i="22"/>
  <c r="Y100" i="22"/>
  <c r="R99" i="22" l="1"/>
  <c r="Q99" i="22"/>
  <c r="S99" i="22"/>
  <c r="AB100" i="22"/>
  <c r="AA100" i="22"/>
  <c r="Z100" i="22"/>
  <c r="AQ101" i="22"/>
  <c r="AP101" i="22"/>
  <c r="AO101" i="22"/>
  <c r="AN101" i="22"/>
  <c r="AM102" i="22"/>
  <c r="AT101" i="22"/>
  <c r="AS101" i="22"/>
  <c r="AR101" i="22"/>
  <c r="AH101" i="23"/>
  <c r="AD102" i="23"/>
  <c r="AK101" i="23"/>
  <c r="AJ101" i="23"/>
  <c r="AI101" i="23"/>
  <c r="AG101" i="23"/>
  <c r="AF101" i="23"/>
  <c r="AE101" i="23"/>
  <c r="AR101" i="23"/>
  <c r="AM102" i="23"/>
  <c r="AT101" i="23"/>
  <c r="AS101" i="23"/>
  <c r="AQ101" i="23"/>
  <c r="AP101" i="23"/>
  <c r="AO101" i="23"/>
  <c r="AN101" i="23"/>
  <c r="AD98" i="7"/>
  <c r="AH97" i="7"/>
  <c r="AE97" i="7"/>
  <c r="AF97" i="7"/>
  <c r="AG97" i="7"/>
  <c r="AI97" i="7"/>
  <c r="AJ97" i="7"/>
  <c r="AK97" i="7"/>
  <c r="AJ100" i="22"/>
  <c r="AE100" i="22"/>
  <c r="AK100" i="22"/>
  <c r="AI100" i="22"/>
  <c r="AG100" i="22"/>
  <c r="AF100" i="22"/>
  <c r="AH100" i="22"/>
  <c r="AS96" i="7"/>
  <c r="AR96" i="7"/>
  <c r="AM97" i="7"/>
  <c r="AT96" i="7"/>
  <c r="AN96" i="7"/>
  <c r="AP96" i="7"/>
  <c r="AQ96" i="7"/>
  <c r="AO96" i="7"/>
  <c r="H100" i="22"/>
  <c r="H99" i="23"/>
  <c r="J99" i="23"/>
  <c r="I99" i="23"/>
  <c r="I100" i="22"/>
  <c r="W100" i="23"/>
  <c r="V100" i="23"/>
  <c r="AA100" i="23"/>
  <c r="Z100" i="23"/>
  <c r="X100" i="23"/>
  <c r="AB100" i="23"/>
  <c r="U101" i="23"/>
  <c r="Y100" i="23"/>
  <c r="N102" i="23"/>
  <c r="M102" i="23"/>
  <c r="O102" i="23"/>
  <c r="S102" i="23"/>
  <c r="R102" i="23"/>
  <c r="Q102" i="23"/>
  <c r="L103" i="23"/>
  <c r="P102" i="23"/>
  <c r="C101" i="23"/>
  <c r="F100" i="23"/>
  <c r="D100" i="23"/>
  <c r="E100" i="23"/>
  <c r="G100" i="23"/>
  <c r="J100" i="22"/>
  <c r="L101" i="22"/>
  <c r="N100" i="22"/>
  <c r="M100" i="22"/>
  <c r="O100" i="22"/>
  <c r="P100" i="22"/>
  <c r="C102" i="22"/>
  <c r="F101" i="22"/>
  <c r="E101" i="22"/>
  <c r="D101" i="22"/>
  <c r="G101" i="22"/>
  <c r="U102" i="22"/>
  <c r="X101" i="22"/>
  <c r="W101" i="22"/>
  <c r="V101" i="22"/>
  <c r="Y101" i="22"/>
  <c r="AD101" i="22"/>
  <c r="S100" i="22" l="1"/>
  <c r="R100" i="22"/>
  <c r="Q100" i="22"/>
  <c r="Z101" i="22"/>
  <c r="AA101" i="22"/>
  <c r="AB101" i="22"/>
  <c r="AO102" i="22"/>
  <c r="AR102" i="22"/>
  <c r="AP102" i="22"/>
  <c r="AN102" i="22"/>
  <c r="AM103" i="22"/>
  <c r="AT102" i="22"/>
  <c r="AS102" i="22"/>
  <c r="AQ102" i="22"/>
  <c r="AJ102" i="23"/>
  <c r="AG102" i="23"/>
  <c r="AK102" i="23"/>
  <c r="AI102" i="23"/>
  <c r="AF102" i="23"/>
  <c r="AD103" i="23"/>
  <c r="AH102" i="23"/>
  <c r="AE102" i="23"/>
  <c r="AM103" i="23"/>
  <c r="AT102" i="23"/>
  <c r="AS102" i="23"/>
  <c r="AR102" i="23"/>
  <c r="AQ102" i="23"/>
  <c r="AP102" i="23"/>
  <c r="AO102" i="23"/>
  <c r="AN102" i="23"/>
  <c r="AD99" i="7"/>
  <c r="AH98" i="7"/>
  <c r="AE98" i="7"/>
  <c r="AF98" i="7"/>
  <c r="AG98" i="7"/>
  <c r="AI98" i="7"/>
  <c r="AJ98" i="7"/>
  <c r="AK98" i="7"/>
  <c r="AK101" i="22"/>
  <c r="AI101" i="22"/>
  <c r="AG101" i="22"/>
  <c r="AE101" i="22"/>
  <c r="AJ101" i="22"/>
  <c r="AF101" i="22"/>
  <c r="AH101" i="22"/>
  <c r="AM98" i="7"/>
  <c r="AT97" i="7"/>
  <c r="AQ97" i="7"/>
  <c r="AS97" i="7"/>
  <c r="AP97" i="7"/>
  <c r="AO97" i="7"/>
  <c r="AR97" i="7"/>
  <c r="AN97" i="7"/>
  <c r="H101" i="22"/>
  <c r="J101" i="22"/>
  <c r="I100" i="23"/>
  <c r="J100" i="23"/>
  <c r="I101" i="22"/>
  <c r="L104" i="23"/>
  <c r="O103" i="23"/>
  <c r="R103" i="23"/>
  <c r="S103" i="23"/>
  <c r="Q103" i="23"/>
  <c r="N103" i="23"/>
  <c r="M103" i="23"/>
  <c r="P103" i="23"/>
  <c r="U102" i="23"/>
  <c r="X101" i="23"/>
  <c r="W101" i="23"/>
  <c r="V101" i="23"/>
  <c r="AA101" i="23"/>
  <c r="Z101" i="23"/>
  <c r="AB101" i="23"/>
  <c r="Y101" i="23"/>
  <c r="E101" i="23"/>
  <c r="D101" i="23"/>
  <c r="F101" i="23"/>
  <c r="C102" i="23"/>
  <c r="G101" i="23"/>
  <c r="H100" i="23"/>
  <c r="L102" i="22"/>
  <c r="O101" i="22"/>
  <c r="N101" i="22"/>
  <c r="M101" i="22"/>
  <c r="P101" i="22"/>
  <c r="C103" i="22"/>
  <c r="F102" i="22"/>
  <c r="D102" i="22"/>
  <c r="E102" i="22"/>
  <c r="G102" i="22"/>
  <c r="AD102" i="22"/>
  <c r="X102" i="22"/>
  <c r="W102" i="22"/>
  <c r="V102" i="22"/>
  <c r="U103" i="22"/>
  <c r="Y102" i="22"/>
  <c r="R101" i="22" l="1"/>
  <c r="S101" i="22"/>
  <c r="Q101" i="22"/>
  <c r="AA102" i="22"/>
  <c r="Z102" i="22"/>
  <c r="AB102" i="22"/>
  <c r="AQ103" i="22"/>
  <c r="AN103" i="22"/>
  <c r="AM104" i="22"/>
  <c r="AT103" i="22"/>
  <c r="AS103" i="22"/>
  <c r="AR103" i="22"/>
  <c r="AP103" i="22"/>
  <c r="AO103" i="22"/>
  <c r="AD104" i="23"/>
  <c r="AK103" i="23"/>
  <c r="AJ103" i="23"/>
  <c r="AI103" i="23"/>
  <c r="AH103" i="23"/>
  <c r="AG103" i="23"/>
  <c r="AF103" i="23"/>
  <c r="AE103" i="23"/>
  <c r="AQ103" i="23"/>
  <c r="AP103" i="23"/>
  <c r="AO103" i="23"/>
  <c r="AN103" i="23"/>
  <c r="AM104" i="23"/>
  <c r="AT103" i="23"/>
  <c r="AS103" i="23"/>
  <c r="AR103" i="23"/>
  <c r="AD100" i="7"/>
  <c r="AH99" i="7"/>
  <c r="AE99" i="7"/>
  <c r="AF99" i="7"/>
  <c r="AG99" i="7"/>
  <c r="AI99" i="7"/>
  <c r="AJ99" i="7"/>
  <c r="AK99" i="7"/>
  <c r="AJ102" i="22"/>
  <c r="AI102" i="22"/>
  <c r="AF102" i="22"/>
  <c r="AK102" i="22"/>
  <c r="AG102" i="22"/>
  <c r="AE102" i="22"/>
  <c r="AH102" i="22"/>
  <c r="AQ98" i="7"/>
  <c r="AM99" i="7"/>
  <c r="AT98" i="7"/>
  <c r="AO98" i="7"/>
  <c r="AR98" i="7"/>
  <c r="AP98" i="7"/>
  <c r="AN98" i="7"/>
  <c r="AS98" i="7"/>
  <c r="H101" i="23"/>
  <c r="J101" i="23"/>
  <c r="I101" i="23"/>
  <c r="J102" i="22"/>
  <c r="I102" i="22"/>
  <c r="AA102" i="23"/>
  <c r="Z102" i="23"/>
  <c r="U103" i="23"/>
  <c r="X102" i="23"/>
  <c r="V102" i="23"/>
  <c r="AB102" i="23"/>
  <c r="W102" i="23"/>
  <c r="Y102" i="23"/>
  <c r="C103" i="23"/>
  <c r="F102" i="23"/>
  <c r="E102" i="23"/>
  <c r="D102" i="23"/>
  <c r="G102" i="23"/>
  <c r="R104" i="23"/>
  <c r="Q104" i="23"/>
  <c r="O104" i="23"/>
  <c r="N104" i="23"/>
  <c r="M104" i="23"/>
  <c r="S104" i="23"/>
  <c r="L105" i="23"/>
  <c r="P104" i="23"/>
  <c r="H102" i="22"/>
  <c r="C104" i="22"/>
  <c r="F103" i="22"/>
  <c r="E103" i="22"/>
  <c r="D103" i="22"/>
  <c r="G103" i="22"/>
  <c r="L103" i="22"/>
  <c r="O102" i="22"/>
  <c r="M102" i="22"/>
  <c r="S102" i="22" s="1"/>
  <c r="N102" i="22"/>
  <c r="P102" i="22"/>
  <c r="U104" i="22"/>
  <c r="W103" i="22"/>
  <c r="X103" i="22"/>
  <c r="V103" i="22"/>
  <c r="Y103" i="22"/>
  <c r="AD103" i="22"/>
  <c r="R102" i="22" l="1"/>
  <c r="Q102" i="22"/>
  <c r="AA103" i="22"/>
  <c r="Z103" i="22"/>
  <c r="AB103" i="22"/>
  <c r="AM105" i="22"/>
  <c r="AT104" i="22"/>
  <c r="AS104" i="22"/>
  <c r="AR104" i="22"/>
  <c r="AQ104" i="22"/>
  <c r="AP104" i="22"/>
  <c r="AO104" i="22"/>
  <c r="AN104" i="22"/>
  <c r="AD105" i="23"/>
  <c r="AK104" i="23"/>
  <c r="AJ104" i="23"/>
  <c r="AI104" i="23"/>
  <c r="AH104" i="23"/>
  <c r="AG104" i="23"/>
  <c r="AF104" i="23"/>
  <c r="AE104" i="23"/>
  <c r="AM105" i="23"/>
  <c r="AT104" i="23"/>
  <c r="AS104" i="23"/>
  <c r="AR104" i="23"/>
  <c r="AQ104" i="23"/>
  <c r="AP104" i="23"/>
  <c r="AO104" i="23"/>
  <c r="AN104" i="23"/>
  <c r="AD101" i="7"/>
  <c r="AH100" i="7"/>
  <c r="AE100" i="7"/>
  <c r="AF100" i="7"/>
  <c r="AG100" i="7"/>
  <c r="AI100" i="7"/>
  <c r="AJ100" i="7"/>
  <c r="AK100" i="7"/>
  <c r="AK103" i="22"/>
  <c r="AE103" i="22"/>
  <c r="AJ103" i="22"/>
  <c r="AI103" i="22"/>
  <c r="AG103" i="22"/>
  <c r="AF103" i="22"/>
  <c r="AH103" i="22"/>
  <c r="AT99" i="7"/>
  <c r="AP99" i="7"/>
  <c r="AM100" i="7"/>
  <c r="AS99" i="7"/>
  <c r="AR99" i="7"/>
  <c r="AQ99" i="7"/>
  <c r="AO99" i="7"/>
  <c r="AN99" i="7"/>
  <c r="J102" i="23"/>
  <c r="H102" i="23"/>
  <c r="H103" i="22"/>
  <c r="J103" i="22"/>
  <c r="I102" i="23"/>
  <c r="I103" i="22"/>
  <c r="N105" i="23"/>
  <c r="M105" i="23"/>
  <c r="L106" i="23"/>
  <c r="S105" i="23"/>
  <c r="R105" i="23"/>
  <c r="Q105" i="23"/>
  <c r="O105" i="23"/>
  <c r="P105" i="23"/>
  <c r="W103" i="23"/>
  <c r="V103" i="23"/>
  <c r="X103" i="23"/>
  <c r="U104" i="23"/>
  <c r="AB103" i="23"/>
  <c r="Z103" i="23"/>
  <c r="AA103" i="23"/>
  <c r="Y103" i="23"/>
  <c r="F103" i="23"/>
  <c r="E103" i="23"/>
  <c r="D103" i="23"/>
  <c r="C104" i="23"/>
  <c r="G103" i="23"/>
  <c r="U105" i="22"/>
  <c r="X104" i="22"/>
  <c r="V104" i="22"/>
  <c r="W104" i="22"/>
  <c r="Y104" i="22"/>
  <c r="L104" i="22"/>
  <c r="O103" i="22"/>
  <c r="Q103" i="22" s="1"/>
  <c r="M103" i="22"/>
  <c r="N103" i="22"/>
  <c r="P103" i="22"/>
  <c r="C105" i="22"/>
  <c r="F104" i="22"/>
  <c r="E104" i="22"/>
  <c r="D104" i="22"/>
  <c r="G104" i="22"/>
  <c r="AD104" i="22"/>
  <c r="S103" i="22" l="1"/>
  <c r="R103" i="22"/>
  <c r="AA104" i="22"/>
  <c r="AB104" i="22"/>
  <c r="Z104" i="22"/>
  <c r="AM106" i="22"/>
  <c r="AT105" i="22"/>
  <c r="AS105" i="22"/>
  <c r="AR105" i="22"/>
  <c r="AQ105" i="22"/>
  <c r="AP105" i="22"/>
  <c r="AO105" i="22"/>
  <c r="AN105" i="22"/>
  <c r="AF105" i="23"/>
  <c r="AH105" i="23"/>
  <c r="AG105" i="23"/>
  <c r="AE105" i="23"/>
  <c r="AD106" i="23"/>
  <c r="AK105" i="23"/>
  <c r="AJ105" i="23"/>
  <c r="AI105" i="23"/>
  <c r="AQ105" i="23"/>
  <c r="AN105" i="23"/>
  <c r="AT105" i="23"/>
  <c r="AO105" i="23"/>
  <c r="AM106" i="23"/>
  <c r="AS105" i="23"/>
  <c r="AR105" i="23"/>
  <c r="AP105" i="23"/>
  <c r="AD102" i="7"/>
  <c r="AH101" i="7"/>
  <c r="AE101" i="7"/>
  <c r="AF101" i="7"/>
  <c r="AG101" i="7"/>
  <c r="AI101" i="7"/>
  <c r="AJ101" i="7"/>
  <c r="AK101" i="7"/>
  <c r="AK104" i="22"/>
  <c r="AF104" i="22"/>
  <c r="AJ104" i="22"/>
  <c r="AI104" i="22"/>
  <c r="AG104" i="22"/>
  <c r="AE104" i="22"/>
  <c r="AH104" i="22"/>
  <c r="AR100" i="7"/>
  <c r="AT100" i="7"/>
  <c r="AN100" i="7"/>
  <c r="AM101" i="7"/>
  <c r="AO100" i="7"/>
  <c r="AP100" i="7"/>
  <c r="AS100" i="7"/>
  <c r="AQ100" i="7"/>
  <c r="H104" i="22"/>
  <c r="J104" i="22"/>
  <c r="I104" i="22"/>
  <c r="I103" i="23"/>
  <c r="J103" i="23"/>
  <c r="H103" i="23"/>
  <c r="U105" i="23"/>
  <c r="X104" i="23"/>
  <c r="AA104" i="23"/>
  <c r="V104" i="23"/>
  <c r="W104" i="23"/>
  <c r="Z104" i="23"/>
  <c r="AB104" i="23"/>
  <c r="Y104" i="23"/>
  <c r="L107" i="23"/>
  <c r="O106" i="23"/>
  <c r="N106" i="23"/>
  <c r="M106" i="23"/>
  <c r="S106" i="23"/>
  <c r="Q106" i="23"/>
  <c r="R106" i="23"/>
  <c r="P106" i="23"/>
  <c r="E104" i="23"/>
  <c r="D104" i="23"/>
  <c r="C105" i="23"/>
  <c r="F104" i="23"/>
  <c r="G104" i="23"/>
  <c r="N104" i="22"/>
  <c r="O104" i="22"/>
  <c r="M104" i="22"/>
  <c r="L105" i="22"/>
  <c r="P104" i="22"/>
  <c r="C106" i="22"/>
  <c r="F105" i="22"/>
  <c r="D105" i="22"/>
  <c r="E105" i="22"/>
  <c r="G105" i="22"/>
  <c r="AD105" i="22"/>
  <c r="W105" i="22"/>
  <c r="V105" i="22"/>
  <c r="AA105" i="22" s="1"/>
  <c r="X105" i="22"/>
  <c r="U106" i="22"/>
  <c r="Y105" i="22"/>
  <c r="R104" i="22" l="1"/>
  <c r="Q104" i="22"/>
  <c r="S104" i="22"/>
  <c r="AB105" i="22"/>
  <c r="Z105" i="22"/>
  <c r="AQ106" i="22"/>
  <c r="AO106" i="22"/>
  <c r="AM107" i="22"/>
  <c r="AT106" i="22"/>
  <c r="AS106" i="22"/>
  <c r="AR106" i="22"/>
  <c r="AP106" i="22"/>
  <c r="AN106" i="22"/>
  <c r="AD107" i="23"/>
  <c r="AK106" i="23"/>
  <c r="AJ106" i="23"/>
  <c r="AI106" i="23"/>
  <c r="AG106" i="23"/>
  <c r="AE106" i="23"/>
  <c r="AH106" i="23"/>
  <c r="AF106" i="23"/>
  <c r="AQ106" i="23"/>
  <c r="AO106" i="23"/>
  <c r="AM107" i="23"/>
  <c r="AT106" i="23"/>
  <c r="AS106" i="23"/>
  <c r="AR106" i="23"/>
  <c r="AP106" i="23"/>
  <c r="AN106" i="23"/>
  <c r="AD103" i="7"/>
  <c r="AH102" i="7"/>
  <c r="AE102" i="7"/>
  <c r="AF102" i="7"/>
  <c r="AG102" i="7"/>
  <c r="AI102" i="7"/>
  <c r="AJ102" i="7"/>
  <c r="AK102" i="7"/>
  <c r="AJ105" i="22"/>
  <c r="AI105" i="22"/>
  <c r="AG105" i="22"/>
  <c r="AF105" i="22"/>
  <c r="AK105" i="22"/>
  <c r="AE105" i="22"/>
  <c r="AH105" i="22"/>
  <c r="AT101" i="7"/>
  <c r="AR101" i="7"/>
  <c r="AN101" i="7"/>
  <c r="AO101" i="7"/>
  <c r="AS101" i="7"/>
  <c r="AM102" i="7"/>
  <c r="AP101" i="7"/>
  <c r="AQ101" i="7"/>
  <c r="H105" i="22"/>
  <c r="I104" i="23"/>
  <c r="J104" i="23"/>
  <c r="I105" i="22"/>
  <c r="R107" i="23"/>
  <c r="Q107" i="23"/>
  <c r="L108" i="23"/>
  <c r="O107" i="23"/>
  <c r="N107" i="23"/>
  <c r="M107" i="23"/>
  <c r="S107" i="23"/>
  <c r="P107" i="23"/>
  <c r="C106" i="23"/>
  <c r="F105" i="23"/>
  <c r="E105" i="23"/>
  <c r="D105" i="23"/>
  <c r="G105" i="23"/>
  <c r="H104" i="23"/>
  <c r="AA105" i="23"/>
  <c r="Z105" i="23"/>
  <c r="X105" i="23"/>
  <c r="W105" i="23"/>
  <c r="V105" i="23"/>
  <c r="U106" i="23"/>
  <c r="AB105" i="23"/>
  <c r="Y105" i="23"/>
  <c r="C107" i="22"/>
  <c r="F106" i="22"/>
  <c r="E106" i="22"/>
  <c r="G106" i="22"/>
  <c r="D106" i="22"/>
  <c r="AD106" i="22"/>
  <c r="L106" i="22"/>
  <c r="O105" i="22"/>
  <c r="N105" i="22"/>
  <c r="M105" i="22"/>
  <c r="S105" i="22" s="1"/>
  <c r="P105" i="22"/>
  <c r="J105" i="22"/>
  <c r="U107" i="22"/>
  <c r="W106" i="22"/>
  <c r="V106" i="22"/>
  <c r="AA106" i="22" s="1"/>
  <c r="X106" i="22"/>
  <c r="Y106" i="22"/>
  <c r="Q105" i="22" l="1"/>
  <c r="R105" i="22"/>
  <c r="AB106" i="22"/>
  <c r="Z106" i="22"/>
  <c r="AM108" i="22"/>
  <c r="AT107" i="22"/>
  <c r="AS107" i="22"/>
  <c r="AR107" i="22"/>
  <c r="AQ107" i="22"/>
  <c r="AP107" i="22"/>
  <c r="AO107" i="22"/>
  <c r="AN107" i="22"/>
  <c r="AD108" i="23"/>
  <c r="AK107" i="23"/>
  <c r="AJ107" i="23"/>
  <c r="AI107" i="23"/>
  <c r="AH107" i="23"/>
  <c r="AG107" i="23"/>
  <c r="AF107" i="23"/>
  <c r="AE107" i="23"/>
  <c r="AM108" i="23"/>
  <c r="AT107" i="23"/>
  <c r="AS107" i="23"/>
  <c r="AR107" i="23"/>
  <c r="AQ107" i="23"/>
  <c r="AP107" i="23"/>
  <c r="AO107" i="23"/>
  <c r="AN107" i="23"/>
  <c r="AD104" i="7"/>
  <c r="AH103" i="7"/>
  <c r="AE103" i="7"/>
  <c r="AF103" i="7"/>
  <c r="AG103" i="7"/>
  <c r="AI103" i="7"/>
  <c r="AJ103" i="7"/>
  <c r="AK103" i="7"/>
  <c r="AJ106" i="22"/>
  <c r="AE106" i="22"/>
  <c r="AK106" i="22"/>
  <c r="AI106" i="22"/>
  <c r="AG106" i="22"/>
  <c r="AF106" i="22"/>
  <c r="AH106" i="22"/>
  <c r="AP102" i="7"/>
  <c r="AM103" i="7"/>
  <c r="AS102" i="7"/>
  <c r="AT102" i="7"/>
  <c r="AR102" i="7"/>
  <c r="AO102" i="7"/>
  <c r="AN102" i="7"/>
  <c r="AQ102" i="7"/>
  <c r="H106" i="22"/>
  <c r="J106" i="22"/>
  <c r="I105" i="23"/>
  <c r="H105" i="23"/>
  <c r="I106" i="22"/>
  <c r="N108" i="23"/>
  <c r="M108" i="23"/>
  <c r="O108" i="23"/>
  <c r="S108" i="23"/>
  <c r="R108" i="23"/>
  <c r="Q108" i="23"/>
  <c r="L109" i="23"/>
  <c r="P108" i="23"/>
  <c r="J105" i="23"/>
  <c r="C107" i="23"/>
  <c r="F106" i="23"/>
  <c r="E106" i="23"/>
  <c r="D106" i="23"/>
  <c r="G106" i="23"/>
  <c r="W106" i="23"/>
  <c r="V106" i="23"/>
  <c r="U107" i="23"/>
  <c r="AA106" i="23"/>
  <c r="Z106" i="23"/>
  <c r="X106" i="23"/>
  <c r="AB106" i="23"/>
  <c r="Y106" i="23"/>
  <c r="AD107" i="22"/>
  <c r="L107" i="22"/>
  <c r="M106" i="22"/>
  <c r="N106" i="22"/>
  <c r="O106" i="22"/>
  <c r="P106" i="22"/>
  <c r="U108" i="22"/>
  <c r="W107" i="22"/>
  <c r="V107" i="22"/>
  <c r="X107" i="22"/>
  <c r="Y107" i="22"/>
  <c r="C108" i="22"/>
  <c r="D107" i="22"/>
  <c r="F107" i="22"/>
  <c r="E107" i="22"/>
  <c r="G107" i="22"/>
  <c r="R106" i="22" l="1"/>
  <c r="Q106" i="22"/>
  <c r="S106" i="22"/>
  <c r="AA107" i="22"/>
  <c r="AB107" i="22"/>
  <c r="Z107" i="22"/>
  <c r="AM109" i="22"/>
  <c r="AT108" i="22"/>
  <c r="AS108" i="22"/>
  <c r="AR108" i="22"/>
  <c r="AQ108" i="22"/>
  <c r="AP108" i="22"/>
  <c r="AO108" i="22"/>
  <c r="AN108" i="22"/>
  <c r="AD109" i="23"/>
  <c r="AK108" i="23"/>
  <c r="AJ108" i="23"/>
  <c r="AI108" i="23"/>
  <c r="AH108" i="23"/>
  <c r="AG108" i="23"/>
  <c r="AF108" i="23"/>
  <c r="AE108" i="23"/>
  <c r="AM109" i="23"/>
  <c r="AT108" i="23"/>
  <c r="AS108" i="23"/>
  <c r="AR108" i="23"/>
  <c r="AQ108" i="23"/>
  <c r="AP108" i="23"/>
  <c r="AO108" i="23"/>
  <c r="AN108" i="23"/>
  <c r="AD105" i="7"/>
  <c r="AH104" i="7"/>
  <c r="AE104" i="7"/>
  <c r="AF104" i="7"/>
  <c r="AG104" i="7"/>
  <c r="AI104" i="7"/>
  <c r="AJ104" i="7"/>
  <c r="AK104" i="7"/>
  <c r="AJ107" i="22"/>
  <c r="AE107" i="22"/>
  <c r="AK107" i="22"/>
  <c r="AI107" i="22"/>
  <c r="AG107" i="22"/>
  <c r="AF107" i="22"/>
  <c r="AH107" i="22"/>
  <c r="AR103" i="7"/>
  <c r="AP103" i="7"/>
  <c r="AN103" i="7"/>
  <c r="AQ103" i="7"/>
  <c r="AM104" i="7"/>
  <c r="AO103" i="7"/>
  <c r="AS103" i="7"/>
  <c r="AT103" i="7"/>
  <c r="J106" i="23"/>
  <c r="J107" i="22"/>
  <c r="I107" i="22"/>
  <c r="H106" i="23"/>
  <c r="I106" i="23"/>
  <c r="E107" i="23"/>
  <c r="D107" i="23"/>
  <c r="F107" i="23"/>
  <c r="C108" i="23"/>
  <c r="G107" i="23"/>
  <c r="L110" i="23"/>
  <c r="O109" i="23"/>
  <c r="R109" i="23"/>
  <c r="M109" i="23"/>
  <c r="S109" i="23"/>
  <c r="Q109" i="23"/>
  <c r="N109" i="23"/>
  <c r="P109" i="23"/>
  <c r="U108" i="23"/>
  <c r="X107" i="23"/>
  <c r="W107" i="23"/>
  <c r="V107" i="23"/>
  <c r="AB107" i="23"/>
  <c r="AA107" i="23"/>
  <c r="Z107" i="23"/>
  <c r="Y107" i="23"/>
  <c r="N107" i="22"/>
  <c r="O107" i="22"/>
  <c r="M107" i="22"/>
  <c r="R107" i="22" s="1"/>
  <c r="L108" i="22"/>
  <c r="P107" i="22"/>
  <c r="U109" i="22"/>
  <c r="W108" i="22"/>
  <c r="V108" i="22"/>
  <c r="X108" i="22"/>
  <c r="Y108" i="22"/>
  <c r="H107" i="22"/>
  <c r="C109" i="22"/>
  <c r="E108" i="22"/>
  <c r="D108" i="22"/>
  <c r="F108" i="22"/>
  <c r="G108" i="22"/>
  <c r="AD108" i="22"/>
  <c r="S107" i="22" l="1"/>
  <c r="Q107" i="22"/>
  <c r="Z108" i="22"/>
  <c r="AA108" i="22"/>
  <c r="AB108" i="22"/>
  <c r="AM110" i="22"/>
  <c r="AT109" i="22"/>
  <c r="AS109" i="22"/>
  <c r="AR109" i="22"/>
  <c r="AQ109" i="22"/>
  <c r="AP109" i="22"/>
  <c r="AO109" i="22"/>
  <c r="AN109" i="22"/>
  <c r="AD110" i="23"/>
  <c r="AK109" i="23"/>
  <c r="AJ109" i="23"/>
  <c r="AI109" i="23"/>
  <c r="AH109" i="23"/>
  <c r="AG109" i="23"/>
  <c r="AF109" i="23"/>
  <c r="AE109" i="23"/>
  <c r="AM110" i="23"/>
  <c r="AT109" i="23"/>
  <c r="AS109" i="23"/>
  <c r="AR109" i="23"/>
  <c r="AQ109" i="23"/>
  <c r="AP109" i="23"/>
  <c r="AO109" i="23"/>
  <c r="AN109" i="23"/>
  <c r="AD106" i="7"/>
  <c r="AH105" i="7"/>
  <c r="AE105" i="7"/>
  <c r="AF105" i="7"/>
  <c r="AG105" i="7"/>
  <c r="AI105" i="7"/>
  <c r="AJ105" i="7"/>
  <c r="AK105" i="7"/>
  <c r="AJ108" i="22"/>
  <c r="AE108" i="22"/>
  <c r="AK108" i="22"/>
  <c r="AI108" i="22"/>
  <c r="AG108" i="22"/>
  <c r="AF108" i="22"/>
  <c r="AH108" i="22"/>
  <c r="AQ104" i="7"/>
  <c r="AO104" i="7"/>
  <c r="AT104" i="7"/>
  <c r="AS104" i="7"/>
  <c r="AR104" i="7"/>
  <c r="AN104" i="7"/>
  <c r="AP104" i="7"/>
  <c r="AM105" i="7"/>
  <c r="J108" i="22"/>
  <c r="I108" i="22"/>
  <c r="J107" i="23"/>
  <c r="I107" i="23"/>
  <c r="R110" i="23"/>
  <c r="Q110" i="23"/>
  <c r="O110" i="23"/>
  <c r="N110" i="23"/>
  <c r="M110" i="23"/>
  <c r="L111" i="23"/>
  <c r="S110" i="23"/>
  <c r="P110" i="23"/>
  <c r="H107" i="23"/>
  <c r="AA108" i="23"/>
  <c r="Z108" i="23"/>
  <c r="U109" i="23"/>
  <c r="X108" i="23"/>
  <c r="AB108" i="23"/>
  <c r="V108" i="23"/>
  <c r="W108" i="23"/>
  <c r="Y108" i="23"/>
  <c r="C109" i="23"/>
  <c r="F108" i="23"/>
  <c r="D108" i="23"/>
  <c r="E108" i="23"/>
  <c r="G108" i="23"/>
  <c r="AD109" i="22"/>
  <c r="H108" i="22"/>
  <c r="U110" i="22"/>
  <c r="X109" i="22"/>
  <c r="W109" i="22"/>
  <c r="V109" i="22"/>
  <c r="Y109" i="22"/>
  <c r="E109" i="22"/>
  <c r="C110" i="22"/>
  <c r="D109" i="22"/>
  <c r="G109" i="22"/>
  <c r="F109" i="22"/>
  <c r="L109" i="22"/>
  <c r="O108" i="22"/>
  <c r="N108" i="22"/>
  <c r="M108" i="22"/>
  <c r="P108" i="22"/>
  <c r="R108" i="22" l="1"/>
  <c r="Q108" i="22"/>
  <c r="S108" i="22"/>
  <c r="AA109" i="22"/>
  <c r="AB109" i="22"/>
  <c r="Z109" i="22"/>
  <c r="AM111" i="22"/>
  <c r="AT110" i="22"/>
  <c r="AS110" i="22"/>
  <c r="AR110" i="22"/>
  <c r="AQ110" i="22"/>
  <c r="AP110" i="22"/>
  <c r="AO110" i="22"/>
  <c r="AN110" i="22"/>
  <c r="AD111" i="23"/>
  <c r="AK110" i="23"/>
  <c r="AJ110" i="23"/>
  <c r="AI110" i="23"/>
  <c r="AH110" i="23"/>
  <c r="AG110" i="23"/>
  <c r="AF110" i="23"/>
  <c r="AE110" i="23"/>
  <c r="AM111" i="23"/>
  <c r="AT110" i="23"/>
  <c r="AS110" i="23"/>
  <c r="AR110" i="23"/>
  <c r="AQ110" i="23"/>
  <c r="AP110" i="23"/>
  <c r="AO110" i="23"/>
  <c r="AN110" i="23"/>
  <c r="AD107" i="7"/>
  <c r="AH106" i="7"/>
  <c r="AE106" i="7"/>
  <c r="AF106" i="7"/>
  <c r="AG106" i="7"/>
  <c r="AI106" i="7"/>
  <c r="AJ106" i="7"/>
  <c r="AK106" i="7"/>
  <c r="AJ109" i="22"/>
  <c r="AI109" i="22"/>
  <c r="AG109" i="22"/>
  <c r="AE109" i="22"/>
  <c r="AK109" i="22"/>
  <c r="AF109" i="22"/>
  <c r="AH109" i="22"/>
  <c r="AM106" i="7"/>
  <c r="AS105" i="7"/>
  <c r="AR105" i="7"/>
  <c r="AP105" i="7"/>
  <c r="AO105" i="7"/>
  <c r="AN105" i="7"/>
  <c r="AT105" i="7"/>
  <c r="AQ105" i="7"/>
  <c r="J108" i="23"/>
  <c r="I108" i="23"/>
  <c r="H108" i="23"/>
  <c r="I109" i="22"/>
  <c r="J109" i="22"/>
  <c r="H109" i="22"/>
  <c r="N111" i="23"/>
  <c r="M111" i="23"/>
  <c r="L112" i="23"/>
  <c r="S111" i="23"/>
  <c r="Q111" i="23"/>
  <c r="O111" i="23"/>
  <c r="R111" i="23"/>
  <c r="P111" i="23"/>
  <c r="W109" i="23"/>
  <c r="V109" i="23"/>
  <c r="X109" i="23"/>
  <c r="Z109" i="23"/>
  <c r="AA109" i="23"/>
  <c r="U110" i="23"/>
  <c r="AB109" i="23"/>
  <c r="Y109" i="23"/>
  <c r="F109" i="23"/>
  <c r="E109" i="23"/>
  <c r="D109" i="23"/>
  <c r="C110" i="23"/>
  <c r="G109" i="23"/>
  <c r="U111" i="22"/>
  <c r="X110" i="22"/>
  <c r="V110" i="22"/>
  <c r="W110" i="22"/>
  <c r="Y110" i="22"/>
  <c r="C111" i="22"/>
  <c r="E110" i="22"/>
  <c r="D110" i="22"/>
  <c r="F110" i="22"/>
  <c r="G110" i="22"/>
  <c r="L110" i="22"/>
  <c r="M109" i="22"/>
  <c r="O109" i="22"/>
  <c r="N109" i="22"/>
  <c r="P109" i="22"/>
  <c r="AD110" i="22"/>
  <c r="S109" i="22" l="1"/>
  <c r="R109" i="22"/>
  <c r="Q109" i="22"/>
  <c r="AB110" i="22"/>
  <c r="AA110" i="22"/>
  <c r="Z110" i="22"/>
  <c r="AM112" i="22"/>
  <c r="AR111" i="22"/>
  <c r="AO111" i="22"/>
  <c r="AT111" i="22"/>
  <c r="AS111" i="22"/>
  <c r="AQ111" i="22"/>
  <c r="AP111" i="22"/>
  <c r="AN111" i="22"/>
  <c r="AD112" i="23"/>
  <c r="AJ111" i="23"/>
  <c r="AG111" i="23"/>
  <c r="AK111" i="23"/>
  <c r="AI111" i="23"/>
  <c r="AH111" i="23"/>
  <c r="AF111" i="23"/>
  <c r="AE111" i="23"/>
  <c r="AO111" i="23"/>
  <c r="AM112" i="23"/>
  <c r="AT111" i="23"/>
  <c r="AS111" i="23"/>
  <c r="AR111" i="23"/>
  <c r="AQ111" i="23"/>
  <c r="AP111" i="23"/>
  <c r="AN111" i="23"/>
  <c r="AD108" i="7"/>
  <c r="AH107" i="7"/>
  <c r="AE107" i="7"/>
  <c r="AF107" i="7"/>
  <c r="AG107" i="7"/>
  <c r="AI107" i="7"/>
  <c r="AJ107" i="7"/>
  <c r="AK107" i="7"/>
  <c r="AJ110" i="22"/>
  <c r="AI110" i="22"/>
  <c r="AG110" i="22"/>
  <c r="AE110" i="22"/>
  <c r="AK110" i="22"/>
  <c r="AF110" i="22"/>
  <c r="AH110" i="22"/>
  <c r="AN106" i="7"/>
  <c r="AQ106" i="7"/>
  <c r="AT106" i="7"/>
  <c r="AM107" i="7"/>
  <c r="AS106" i="7"/>
  <c r="AR106" i="7"/>
  <c r="AP106" i="7"/>
  <c r="AO106" i="7"/>
  <c r="H110" i="22"/>
  <c r="J109" i="23"/>
  <c r="I109" i="23"/>
  <c r="I110" i="22"/>
  <c r="L113" i="23"/>
  <c r="O112" i="23"/>
  <c r="N112" i="23"/>
  <c r="M112" i="23"/>
  <c r="S112" i="23"/>
  <c r="R112" i="23"/>
  <c r="Q112" i="23"/>
  <c r="P112" i="23"/>
  <c r="H109" i="23"/>
  <c r="U111" i="23"/>
  <c r="X110" i="23"/>
  <c r="AA110" i="23"/>
  <c r="V110" i="23"/>
  <c r="AB110" i="23"/>
  <c r="Z110" i="23"/>
  <c r="W110" i="23"/>
  <c r="Y110" i="23"/>
  <c r="E110" i="23"/>
  <c r="D110" i="23"/>
  <c r="C111" i="23"/>
  <c r="F110" i="23"/>
  <c r="G110" i="23"/>
  <c r="AD111" i="22"/>
  <c r="C112" i="22"/>
  <c r="F111" i="22"/>
  <c r="E111" i="22"/>
  <c r="D111" i="22"/>
  <c r="G111" i="22"/>
  <c r="J110" i="22"/>
  <c r="L111" i="22"/>
  <c r="O110" i="22"/>
  <c r="N110" i="22"/>
  <c r="M110" i="22"/>
  <c r="P110" i="22"/>
  <c r="W111" i="22"/>
  <c r="V111" i="22"/>
  <c r="U112" i="22"/>
  <c r="X111" i="22"/>
  <c r="Y111" i="22"/>
  <c r="R110" i="22" l="1"/>
  <c r="Q110" i="22"/>
  <c r="S110" i="22"/>
  <c r="AA111" i="22"/>
  <c r="Z111" i="22"/>
  <c r="AB111" i="22"/>
  <c r="AS112" i="22"/>
  <c r="AP112" i="22"/>
  <c r="AM113" i="22"/>
  <c r="AT112" i="22"/>
  <c r="AR112" i="22"/>
  <c r="AQ112" i="22"/>
  <c r="AO112" i="22"/>
  <c r="AN112" i="22"/>
  <c r="AD113" i="23"/>
  <c r="AI112" i="23"/>
  <c r="AG112" i="23"/>
  <c r="AE112" i="23"/>
  <c r="AK112" i="23"/>
  <c r="AJ112" i="23"/>
  <c r="AH112" i="23"/>
  <c r="AF112" i="23"/>
  <c r="AR112" i="23"/>
  <c r="AN112" i="23"/>
  <c r="AM113" i="23"/>
  <c r="AT112" i="23"/>
  <c r="AS112" i="23"/>
  <c r="AQ112" i="23"/>
  <c r="AP112" i="23"/>
  <c r="AO112" i="23"/>
  <c r="AD109" i="7"/>
  <c r="AH108" i="7"/>
  <c r="AE108" i="7"/>
  <c r="AF108" i="7"/>
  <c r="AG108" i="7"/>
  <c r="AI108" i="7"/>
  <c r="AJ108" i="7"/>
  <c r="AK108" i="7"/>
  <c r="AK111" i="22"/>
  <c r="AE111" i="22"/>
  <c r="AJ111" i="22"/>
  <c r="AI111" i="22"/>
  <c r="AG111" i="22"/>
  <c r="AF111" i="22"/>
  <c r="AH111" i="22"/>
  <c r="AO107" i="7"/>
  <c r="AS107" i="7"/>
  <c r="AP107" i="7"/>
  <c r="AM108" i="7"/>
  <c r="AT107" i="7"/>
  <c r="AR107" i="7"/>
  <c r="AQ107" i="7"/>
  <c r="AN107" i="7"/>
  <c r="H111" i="22"/>
  <c r="H110" i="23"/>
  <c r="J110" i="23"/>
  <c r="I110" i="23"/>
  <c r="J111" i="22"/>
  <c r="I111" i="22"/>
  <c r="R113" i="23"/>
  <c r="Q113" i="23"/>
  <c r="L114" i="23"/>
  <c r="O113" i="23"/>
  <c r="S113" i="23"/>
  <c r="N113" i="23"/>
  <c r="M113" i="23"/>
  <c r="P113" i="23"/>
  <c r="C112" i="23"/>
  <c r="F111" i="23"/>
  <c r="E111" i="23"/>
  <c r="D111" i="23"/>
  <c r="G111" i="23"/>
  <c r="AA111" i="23"/>
  <c r="Z111" i="23"/>
  <c r="X111" i="23"/>
  <c r="W111" i="23"/>
  <c r="V111" i="23"/>
  <c r="AB111" i="23"/>
  <c r="U112" i="23"/>
  <c r="Y111" i="23"/>
  <c r="C113" i="22"/>
  <c r="F112" i="22"/>
  <c r="D112" i="22"/>
  <c r="E112" i="22"/>
  <c r="G112" i="22"/>
  <c r="U113" i="22"/>
  <c r="X112" i="22"/>
  <c r="W112" i="22"/>
  <c r="V112" i="22"/>
  <c r="Y112" i="22"/>
  <c r="L112" i="22"/>
  <c r="O111" i="22"/>
  <c r="N111" i="22"/>
  <c r="M111" i="22"/>
  <c r="P111" i="22"/>
  <c r="AD112" i="22"/>
  <c r="Q111" i="22" l="1"/>
  <c r="S111" i="22"/>
  <c r="R111" i="22"/>
  <c r="Z112" i="22"/>
  <c r="AB112" i="22"/>
  <c r="AA112" i="22"/>
  <c r="AT113" i="22"/>
  <c r="AS113" i="22"/>
  <c r="AR113" i="22"/>
  <c r="AP113" i="22"/>
  <c r="AO113" i="22"/>
  <c r="AM114" i="22"/>
  <c r="AQ113" i="22"/>
  <c r="AN113" i="22"/>
  <c r="AH113" i="23"/>
  <c r="AE113" i="23"/>
  <c r="AD114" i="23"/>
  <c r="AK113" i="23"/>
  <c r="AJ113" i="23"/>
  <c r="AI113" i="23"/>
  <c r="AG113" i="23"/>
  <c r="AF113" i="23"/>
  <c r="AM114" i="23"/>
  <c r="AT113" i="23"/>
  <c r="AS113" i="23"/>
  <c r="AR113" i="23"/>
  <c r="AO113" i="23"/>
  <c r="AQ113" i="23"/>
  <c r="AP113" i="23"/>
  <c r="AN113" i="23"/>
  <c r="AD110" i="7"/>
  <c r="AH109" i="7"/>
  <c r="AE109" i="7"/>
  <c r="AF109" i="7"/>
  <c r="AG109" i="7"/>
  <c r="AI109" i="7"/>
  <c r="AJ109" i="7"/>
  <c r="AK109" i="7"/>
  <c r="AJ112" i="22"/>
  <c r="AI112" i="22"/>
  <c r="AF112" i="22"/>
  <c r="AK112" i="22"/>
  <c r="AG112" i="22"/>
  <c r="AE112" i="22"/>
  <c r="AH112" i="22"/>
  <c r="AS108" i="7"/>
  <c r="AT108" i="7"/>
  <c r="AO108" i="7"/>
  <c r="AP108" i="7"/>
  <c r="AM109" i="7"/>
  <c r="AR108" i="7"/>
  <c r="AN108" i="7"/>
  <c r="AQ108" i="7"/>
  <c r="H112" i="22"/>
  <c r="J112" i="22"/>
  <c r="I111" i="23"/>
  <c r="J111" i="23"/>
  <c r="I112" i="22"/>
  <c r="N114" i="23"/>
  <c r="M114" i="23"/>
  <c r="O114" i="23"/>
  <c r="R114" i="23"/>
  <c r="Q114" i="23"/>
  <c r="S114" i="23"/>
  <c r="L115" i="23"/>
  <c r="P114" i="23"/>
  <c r="C113" i="23"/>
  <c r="F112" i="23"/>
  <c r="D112" i="23"/>
  <c r="E112" i="23"/>
  <c r="G112" i="23"/>
  <c r="W112" i="23"/>
  <c r="V112" i="23"/>
  <c r="U113" i="23"/>
  <c r="AB112" i="23"/>
  <c r="AA112" i="23"/>
  <c r="Z112" i="23"/>
  <c r="X112" i="23"/>
  <c r="Y112" i="23"/>
  <c r="H111" i="23"/>
  <c r="U114" i="22"/>
  <c r="X113" i="22"/>
  <c r="W113" i="22"/>
  <c r="V113" i="22"/>
  <c r="Y113" i="22"/>
  <c r="AD113" i="22"/>
  <c r="L113" i="22"/>
  <c r="O112" i="22"/>
  <c r="N112" i="22"/>
  <c r="M112" i="22"/>
  <c r="P112" i="22"/>
  <c r="C114" i="22"/>
  <c r="F113" i="22"/>
  <c r="D113" i="22"/>
  <c r="E113" i="22"/>
  <c r="G113" i="22"/>
  <c r="R112" i="22" l="1"/>
  <c r="S112" i="22"/>
  <c r="Q112" i="22"/>
  <c r="AA113" i="22"/>
  <c r="Z113" i="22"/>
  <c r="AB113" i="22"/>
  <c r="AT114" i="22"/>
  <c r="AS114" i="22"/>
  <c r="AR114" i="22"/>
  <c r="AP114" i="22"/>
  <c r="AN114" i="22"/>
  <c r="AM115" i="22"/>
  <c r="AQ114" i="22"/>
  <c r="AO114" i="22"/>
  <c r="AK114" i="23"/>
  <c r="AJ114" i="23"/>
  <c r="AI114" i="23"/>
  <c r="AG114" i="23"/>
  <c r="AD115" i="23"/>
  <c r="AH114" i="23"/>
  <c r="AF114" i="23"/>
  <c r="AE114" i="23"/>
  <c r="AM115" i="23"/>
  <c r="AR114" i="23"/>
  <c r="AT114" i="23"/>
  <c r="AS114" i="23"/>
  <c r="AQ114" i="23"/>
  <c r="AP114" i="23"/>
  <c r="AO114" i="23"/>
  <c r="AN114" i="23"/>
  <c r="AD111" i="7"/>
  <c r="AH110" i="7"/>
  <c r="AE110" i="7"/>
  <c r="AF110" i="7"/>
  <c r="AG110" i="7"/>
  <c r="AI110" i="7"/>
  <c r="AJ110" i="7"/>
  <c r="AK110" i="7"/>
  <c r="AK113" i="22"/>
  <c r="AI113" i="22"/>
  <c r="AG113" i="22"/>
  <c r="AE113" i="22"/>
  <c r="AJ113" i="22"/>
  <c r="AF113" i="22"/>
  <c r="AH113" i="22"/>
  <c r="AP109" i="7"/>
  <c r="AS109" i="7"/>
  <c r="AM110" i="7"/>
  <c r="AT109" i="7"/>
  <c r="AR109" i="7"/>
  <c r="AQ109" i="7"/>
  <c r="AO109" i="7"/>
  <c r="AN109" i="7"/>
  <c r="H113" i="22"/>
  <c r="I112" i="23"/>
  <c r="H112" i="23"/>
  <c r="I113" i="22"/>
  <c r="J113" i="22"/>
  <c r="E113" i="23"/>
  <c r="D113" i="23"/>
  <c r="F113" i="23"/>
  <c r="C114" i="23"/>
  <c r="G113" i="23"/>
  <c r="J112" i="23"/>
  <c r="U114" i="23"/>
  <c r="X113" i="23"/>
  <c r="W113" i="23"/>
  <c r="V113" i="23"/>
  <c r="AB113" i="23"/>
  <c r="AA113" i="23"/>
  <c r="Z113" i="23"/>
  <c r="Y113" i="23"/>
  <c r="L116" i="23"/>
  <c r="O115" i="23"/>
  <c r="R115" i="23"/>
  <c r="M115" i="23"/>
  <c r="S115" i="23"/>
  <c r="Q115" i="23"/>
  <c r="N115" i="23"/>
  <c r="P115" i="23"/>
  <c r="C115" i="22"/>
  <c r="F114" i="22"/>
  <c r="E114" i="22"/>
  <c r="D114" i="22"/>
  <c r="G114" i="22"/>
  <c r="AD114" i="22"/>
  <c r="O113" i="22"/>
  <c r="M113" i="22"/>
  <c r="L114" i="22"/>
  <c r="N113" i="22"/>
  <c r="P113" i="22"/>
  <c r="W114" i="22"/>
  <c r="X114" i="22"/>
  <c r="V114" i="22"/>
  <c r="U115" i="22"/>
  <c r="Y114" i="22"/>
  <c r="R113" i="22" l="1"/>
  <c r="S113" i="22"/>
  <c r="Q113" i="22"/>
  <c r="AB114" i="22"/>
  <c r="Z114" i="22"/>
  <c r="AA114" i="22"/>
  <c r="AM116" i="22"/>
  <c r="AT115" i="22"/>
  <c r="AR115" i="22"/>
  <c r="AO115" i="22"/>
  <c r="AQ115" i="22"/>
  <c r="AS115" i="22"/>
  <c r="AP115" i="22"/>
  <c r="AN115" i="22"/>
  <c r="AD116" i="23"/>
  <c r="AH115" i="23"/>
  <c r="AG115" i="23"/>
  <c r="AE115" i="23"/>
  <c r="AK115" i="23"/>
  <c r="AJ115" i="23"/>
  <c r="AI115" i="23"/>
  <c r="AF115" i="23"/>
  <c r="AQ115" i="23"/>
  <c r="AO115" i="23"/>
  <c r="AS115" i="23"/>
  <c r="AM116" i="23"/>
  <c r="AT115" i="23"/>
  <c r="AR115" i="23"/>
  <c r="AP115" i="23"/>
  <c r="AN115" i="23"/>
  <c r="AD112" i="7"/>
  <c r="AH111" i="7"/>
  <c r="AE111" i="7"/>
  <c r="AF111" i="7"/>
  <c r="AG111" i="7"/>
  <c r="AI111" i="7"/>
  <c r="AJ111" i="7"/>
  <c r="AK111" i="7"/>
  <c r="AK114" i="22"/>
  <c r="AI114" i="22"/>
  <c r="AF114" i="22"/>
  <c r="AJ114" i="22"/>
  <c r="AG114" i="22"/>
  <c r="AE114" i="22"/>
  <c r="AH114" i="22"/>
  <c r="AS110" i="7"/>
  <c r="AT110" i="7"/>
  <c r="AP110" i="7"/>
  <c r="AO110" i="7"/>
  <c r="AR110" i="7"/>
  <c r="AM111" i="7"/>
  <c r="AQ110" i="7"/>
  <c r="AN110" i="7"/>
  <c r="H114" i="22"/>
  <c r="H113" i="23"/>
  <c r="I113" i="23"/>
  <c r="J114" i="22"/>
  <c r="J113" i="23"/>
  <c r="I114" i="22"/>
  <c r="C115" i="23"/>
  <c r="F114" i="23"/>
  <c r="D114" i="23"/>
  <c r="E114" i="23"/>
  <c r="G114" i="23"/>
  <c r="R116" i="23"/>
  <c r="Q116" i="23"/>
  <c r="O116" i="23"/>
  <c r="N116" i="23"/>
  <c r="M116" i="23"/>
  <c r="S116" i="23"/>
  <c r="L117" i="23"/>
  <c r="P116" i="23"/>
  <c r="AA114" i="23"/>
  <c r="Z114" i="23"/>
  <c r="U115" i="23"/>
  <c r="X114" i="23"/>
  <c r="AB114" i="23"/>
  <c r="W114" i="23"/>
  <c r="V114" i="23"/>
  <c r="Y114" i="23"/>
  <c r="F115" i="22"/>
  <c r="E115" i="22"/>
  <c r="D115" i="22"/>
  <c r="C116" i="22"/>
  <c r="G115" i="22"/>
  <c r="AD115" i="22"/>
  <c r="L115" i="22"/>
  <c r="O114" i="22"/>
  <c r="Q114" i="22" s="1"/>
  <c r="M114" i="22"/>
  <c r="S114" i="22" s="1"/>
  <c r="N114" i="22"/>
  <c r="P114" i="22"/>
  <c r="U116" i="22"/>
  <c r="X115" i="22"/>
  <c r="W115" i="22"/>
  <c r="V115" i="22"/>
  <c r="Y115" i="22"/>
  <c r="R114" i="22" l="1"/>
  <c r="H114" i="23"/>
  <c r="Z115" i="22"/>
  <c r="AB115" i="22"/>
  <c r="AA115" i="22"/>
  <c r="AM117" i="22"/>
  <c r="AT116" i="22"/>
  <c r="AS116" i="22"/>
  <c r="AR116" i="22"/>
  <c r="AQ116" i="22"/>
  <c r="AP116" i="22"/>
  <c r="AO116" i="22"/>
  <c r="AN116" i="22"/>
  <c r="AD117" i="23"/>
  <c r="AK116" i="23"/>
  <c r="AJ116" i="23"/>
  <c r="AI116" i="23"/>
  <c r="AH116" i="23"/>
  <c r="AG116" i="23"/>
  <c r="AF116" i="23"/>
  <c r="AE116" i="23"/>
  <c r="AM117" i="23"/>
  <c r="AT116" i="23"/>
  <c r="AS116" i="23"/>
  <c r="AR116" i="23"/>
  <c r="AQ116" i="23"/>
  <c r="AP116" i="23"/>
  <c r="AO116" i="23"/>
  <c r="AN116" i="23"/>
  <c r="AD113" i="7"/>
  <c r="AH112" i="7"/>
  <c r="AE112" i="7"/>
  <c r="AF112" i="7"/>
  <c r="AG112" i="7"/>
  <c r="AI112" i="7"/>
  <c r="AJ112" i="7"/>
  <c r="AK112" i="7"/>
  <c r="AK115" i="22"/>
  <c r="AI115" i="22"/>
  <c r="AG115" i="22"/>
  <c r="AF115" i="22"/>
  <c r="AJ115" i="22"/>
  <c r="AE115" i="22"/>
  <c r="AH115" i="22"/>
  <c r="AM112" i="7"/>
  <c r="AP111" i="7"/>
  <c r="AT111" i="7"/>
  <c r="AS111" i="7"/>
  <c r="AO111" i="7"/>
  <c r="AR111" i="7"/>
  <c r="AQ111" i="7"/>
  <c r="AN111" i="7"/>
  <c r="H115" i="22"/>
  <c r="I114" i="23"/>
  <c r="J114" i="23"/>
  <c r="I115" i="22"/>
  <c r="J115" i="22"/>
  <c r="W115" i="23"/>
  <c r="V115" i="23"/>
  <c r="X115" i="23"/>
  <c r="Z115" i="23"/>
  <c r="AA115" i="23"/>
  <c r="U116" i="23"/>
  <c r="AB115" i="23"/>
  <c r="Y115" i="23"/>
  <c r="N117" i="23"/>
  <c r="M117" i="23"/>
  <c r="O117" i="23"/>
  <c r="L118" i="23"/>
  <c r="S117" i="23"/>
  <c r="R117" i="23"/>
  <c r="Q117" i="23"/>
  <c r="P117" i="23"/>
  <c r="F115" i="23"/>
  <c r="E115" i="23"/>
  <c r="D115" i="23"/>
  <c r="C116" i="23"/>
  <c r="G115" i="23"/>
  <c r="U117" i="22"/>
  <c r="V116" i="22"/>
  <c r="X116" i="22"/>
  <c r="W116" i="22"/>
  <c r="Y116" i="22"/>
  <c r="AD116" i="22"/>
  <c r="C117" i="22"/>
  <c r="D116" i="22"/>
  <c r="F116" i="22"/>
  <c r="E116" i="22"/>
  <c r="G116" i="22"/>
  <c r="L116" i="22"/>
  <c r="N115" i="22"/>
  <c r="O115" i="22"/>
  <c r="Q115" i="22" s="1"/>
  <c r="M115" i="22"/>
  <c r="P115" i="22"/>
  <c r="S115" i="22" l="1"/>
  <c r="R115" i="22"/>
  <c r="AA116" i="22"/>
  <c r="AB116" i="22"/>
  <c r="Z116" i="22"/>
  <c r="AQ117" i="22"/>
  <c r="AN117" i="22"/>
  <c r="AM118" i="22"/>
  <c r="AT117" i="22"/>
  <c r="AS117" i="22"/>
  <c r="AR117" i="22"/>
  <c r="AP117" i="22"/>
  <c r="AO117" i="22"/>
  <c r="AD118" i="23"/>
  <c r="AJ117" i="23"/>
  <c r="AI117" i="23"/>
  <c r="AG117" i="23"/>
  <c r="AK117" i="23"/>
  <c r="AH117" i="23"/>
  <c r="AF117" i="23"/>
  <c r="AE117" i="23"/>
  <c r="AM118" i="23"/>
  <c r="AO117" i="23"/>
  <c r="AT117" i="23"/>
  <c r="AS117" i="23"/>
  <c r="AR117" i="23"/>
  <c r="AQ117" i="23"/>
  <c r="AP117" i="23"/>
  <c r="AN117" i="23"/>
  <c r="AD114" i="7"/>
  <c r="AH113" i="7"/>
  <c r="AE113" i="7"/>
  <c r="AF113" i="7"/>
  <c r="AG113" i="7"/>
  <c r="AI113" i="7"/>
  <c r="AJ113" i="7"/>
  <c r="AK113" i="7"/>
  <c r="AK116" i="22"/>
  <c r="AI116" i="22"/>
  <c r="AG116" i="22"/>
  <c r="AF116" i="22"/>
  <c r="AJ116" i="22"/>
  <c r="AE116" i="22"/>
  <c r="AH116" i="22"/>
  <c r="AT112" i="7"/>
  <c r="AS112" i="7"/>
  <c r="AP112" i="7"/>
  <c r="AQ112" i="7"/>
  <c r="AO112" i="7"/>
  <c r="AN112" i="7"/>
  <c r="AR112" i="7"/>
  <c r="AM113" i="7"/>
  <c r="H116" i="22"/>
  <c r="I116" i="22"/>
  <c r="J115" i="23"/>
  <c r="J116" i="22"/>
  <c r="H115" i="23"/>
  <c r="I115" i="23"/>
  <c r="U117" i="23"/>
  <c r="X116" i="23"/>
  <c r="AA116" i="23"/>
  <c r="V116" i="23"/>
  <c r="AB116" i="23"/>
  <c r="Z116" i="23"/>
  <c r="W116" i="23"/>
  <c r="Y116" i="23"/>
  <c r="L119" i="23"/>
  <c r="O118" i="23"/>
  <c r="N118" i="23"/>
  <c r="M118" i="23"/>
  <c r="S118" i="23"/>
  <c r="R118" i="23"/>
  <c r="Q118" i="23"/>
  <c r="P118" i="23"/>
  <c r="E116" i="23"/>
  <c r="D116" i="23"/>
  <c r="C117" i="23"/>
  <c r="F116" i="23"/>
  <c r="G116" i="23"/>
  <c r="AD117" i="22"/>
  <c r="N116" i="22"/>
  <c r="L117" i="22"/>
  <c r="O116" i="22"/>
  <c r="Q116" i="22" s="1"/>
  <c r="M116" i="22"/>
  <c r="P116" i="22"/>
  <c r="C118" i="22"/>
  <c r="F117" i="22"/>
  <c r="E117" i="22"/>
  <c r="D117" i="22"/>
  <c r="G117" i="22"/>
  <c r="U118" i="22"/>
  <c r="X117" i="22"/>
  <c r="W117" i="22"/>
  <c r="V117" i="22"/>
  <c r="Y117" i="22"/>
  <c r="S116" i="22" l="1"/>
  <c r="R116" i="22"/>
  <c r="Z117" i="22"/>
  <c r="AB117" i="22"/>
  <c r="AA117" i="22"/>
  <c r="AS118" i="22"/>
  <c r="AQ118" i="22"/>
  <c r="AP118" i="22"/>
  <c r="AN118" i="22"/>
  <c r="AM119" i="22"/>
  <c r="AT118" i="22"/>
  <c r="AR118" i="22"/>
  <c r="AO118" i="22"/>
  <c r="AD119" i="23"/>
  <c r="AK118" i="23"/>
  <c r="AJ118" i="23"/>
  <c r="AI118" i="23"/>
  <c r="AG118" i="23"/>
  <c r="AF118" i="23"/>
  <c r="AH118" i="23"/>
  <c r="AE118" i="23"/>
  <c r="AQ118" i="23"/>
  <c r="AM119" i="23"/>
  <c r="AS118" i="23"/>
  <c r="AR118" i="23"/>
  <c r="AO118" i="23"/>
  <c r="AN118" i="23"/>
  <c r="AT118" i="23"/>
  <c r="AP118" i="23"/>
  <c r="AD115" i="7"/>
  <c r="AH114" i="7"/>
  <c r="AE114" i="7"/>
  <c r="AF114" i="7"/>
  <c r="AG114" i="7"/>
  <c r="AI114" i="7"/>
  <c r="AJ114" i="7"/>
  <c r="AK114" i="7"/>
  <c r="AK117" i="22"/>
  <c r="AF117" i="22"/>
  <c r="AJ117" i="22"/>
  <c r="AI117" i="22"/>
  <c r="AG117" i="22"/>
  <c r="AE117" i="22"/>
  <c r="AH117" i="22"/>
  <c r="AT113" i="7"/>
  <c r="AR113" i="7"/>
  <c r="AP113" i="7"/>
  <c r="AN113" i="7"/>
  <c r="AO113" i="7"/>
  <c r="AS113" i="7"/>
  <c r="AQ113" i="7"/>
  <c r="AM114" i="7"/>
  <c r="H117" i="22"/>
  <c r="J117" i="22"/>
  <c r="H116" i="23"/>
  <c r="J116" i="23"/>
  <c r="I116" i="23"/>
  <c r="I117" i="22"/>
  <c r="C118" i="23"/>
  <c r="F117" i="23"/>
  <c r="E117" i="23"/>
  <c r="D117" i="23"/>
  <c r="G117" i="23"/>
  <c r="R119" i="23"/>
  <c r="Q119" i="23"/>
  <c r="L120" i="23"/>
  <c r="O119" i="23"/>
  <c r="S119" i="23"/>
  <c r="N119" i="23"/>
  <c r="M119" i="23"/>
  <c r="P119" i="23"/>
  <c r="AA117" i="23"/>
  <c r="Z117" i="23"/>
  <c r="X117" i="23"/>
  <c r="W117" i="23"/>
  <c r="V117" i="23"/>
  <c r="AB117" i="23"/>
  <c r="U118" i="23"/>
  <c r="Y117" i="23"/>
  <c r="AD118" i="22"/>
  <c r="L118" i="22"/>
  <c r="O117" i="22"/>
  <c r="Q117" i="22" s="1"/>
  <c r="M117" i="22"/>
  <c r="N117" i="22"/>
  <c r="P117" i="22"/>
  <c r="U119" i="22"/>
  <c r="W118" i="22"/>
  <c r="V118" i="22"/>
  <c r="X118" i="22"/>
  <c r="Y118" i="22"/>
  <c r="E118" i="22"/>
  <c r="C119" i="22"/>
  <c r="D118" i="22"/>
  <c r="G118" i="22"/>
  <c r="F118" i="22"/>
  <c r="S117" i="22" l="1"/>
  <c r="R117" i="22"/>
  <c r="AA118" i="22"/>
  <c r="Z118" i="22"/>
  <c r="AB118" i="22"/>
  <c r="AT119" i="22"/>
  <c r="AS119" i="22"/>
  <c r="AQ119" i="22"/>
  <c r="AP119" i="22"/>
  <c r="AN119" i="22"/>
  <c r="AM120" i="22"/>
  <c r="AR119" i="22"/>
  <c r="AO119" i="22"/>
  <c r="AD120" i="23"/>
  <c r="AJ119" i="23"/>
  <c r="AI119" i="23"/>
  <c r="AF119" i="23"/>
  <c r="AH119" i="23"/>
  <c r="AE119" i="23"/>
  <c r="AK119" i="23"/>
  <c r="AG119" i="23"/>
  <c r="AM120" i="23"/>
  <c r="AT119" i="23"/>
  <c r="AS119" i="23"/>
  <c r="AR119" i="23"/>
  <c r="AQ119" i="23"/>
  <c r="AO119" i="23"/>
  <c r="AP119" i="23"/>
  <c r="AN119" i="23"/>
  <c r="AD116" i="7"/>
  <c r="AH115" i="7"/>
  <c r="AE115" i="7"/>
  <c r="AF115" i="7"/>
  <c r="AG115" i="7"/>
  <c r="AI115" i="7"/>
  <c r="AJ115" i="7"/>
  <c r="AK115" i="7"/>
  <c r="AK118" i="22"/>
  <c r="AI118" i="22"/>
  <c r="AF118" i="22"/>
  <c r="AJ118" i="22"/>
  <c r="AG118" i="22"/>
  <c r="AE118" i="22"/>
  <c r="AH118" i="22"/>
  <c r="AT114" i="7"/>
  <c r="AO114" i="7"/>
  <c r="AP114" i="7"/>
  <c r="AM115" i="7"/>
  <c r="AS114" i="7"/>
  <c r="AR114" i="7"/>
  <c r="AQ114" i="7"/>
  <c r="AN114" i="7"/>
  <c r="I118" i="22"/>
  <c r="J117" i="23"/>
  <c r="H117" i="23"/>
  <c r="I117" i="23"/>
  <c r="J118" i="22"/>
  <c r="N120" i="23"/>
  <c r="M120" i="23"/>
  <c r="Q120" i="23"/>
  <c r="S120" i="23"/>
  <c r="L121" i="23"/>
  <c r="R120" i="23"/>
  <c r="O120" i="23"/>
  <c r="P120" i="23"/>
  <c r="W118" i="23"/>
  <c r="V118" i="23"/>
  <c r="X118" i="23"/>
  <c r="AA118" i="23"/>
  <c r="U119" i="23"/>
  <c r="Z118" i="23"/>
  <c r="AB118" i="23"/>
  <c r="Y118" i="23"/>
  <c r="C119" i="23"/>
  <c r="F118" i="23"/>
  <c r="D118" i="23"/>
  <c r="E118" i="23"/>
  <c r="G118" i="23"/>
  <c r="H118" i="22"/>
  <c r="U120" i="22"/>
  <c r="X119" i="22"/>
  <c r="V119" i="22"/>
  <c r="W119" i="22"/>
  <c r="Y119" i="22"/>
  <c r="L119" i="22"/>
  <c r="N118" i="22"/>
  <c r="M118" i="22"/>
  <c r="O118" i="22"/>
  <c r="P118" i="22"/>
  <c r="C120" i="22"/>
  <c r="D119" i="22"/>
  <c r="F119" i="22"/>
  <c r="E119" i="22"/>
  <c r="G119" i="22"/>
  <c r="AD119" i="22"/>
  <c r="R118" i="22" l="1"/>
  <c r="S118" i="22"/>
  <c r="Q118" i="22"/>
  <c r="Z119" i="22"/>
  <c r="AB119" i="22"/>
  <c r="AA119" i="22"/>
  <c r="AQ120" i="22"/>
  <c r="AM121" i="22"/>
  <c r="AT120" i="22"/>
  <c r="AS120" i="22"/>
  <c r="AR120" i="22"/>
  <c r="AP120" i="22"/>
  <c r="AO120" i="22"/>
  <c r="AN120" i="22"/>
  <c r="AH120" i="23"/>
  <c r="AF120" i="23"/>
  <c r="AD121" i="23"/>
  <c r="AK120" i="23"/>
  <c r="AJ120" i="23"/>
  <c r="AI120" i="23"/>
  <c r="AG120" i="23"/>
  <c r="AE120" i="23"/>
  <c r="AM121" i="23"/>
  <c r="AT120" i="23"/>
  <c r="AS120" i="23"/>
  <c r="AR120" i="23"/>
  <c r="AN120" i="23"/>
  <c r="AQ120" i="23"/>
  <c r="AP120" i="23"/>
  <c r="AO120" i="23"/>
  <c r="AD117" i="7"/>
  <c r="AH116" i="7"/>
  <c r="AE116" i="7"/>
  <c r="AF116" i="7"/>
  <c r="AG116" i="7"/>
  <c r="AI116" i="7"/>
  <c r="AJ116" i="7"/>
  <c r="AK116" i="7"/>
  <c r="AK119" i="22"/>
  <c r="AI119" i="22"/>
  <c r="AG119" i="22"/>
  <c r="AE119" i="22"/>
  <c r="AJ119" i="22"/>
  <c r="AF119" i="22"/>
  <c r="AH119" i="22"/>
  <c r="AN115" i="7"/>
  <c r="AP115" i="7"/>
  <c r="AM116" i="7"/>
  <c r="AT115" i="7"/>
  <c r="AS115" i="7"/>
  <c r="AR115" i="7"/>
  <c r="AQ115" i="7"/>
  <c r="AO115" i="7"/>
  <c r="H118" i="23"/>
  <c r="I119" i="22"/>
  <c r="H119" i="22"/>
  <c r="I118" i="23"/>
  <c r="J119" i="22"/>
  <c r="U120" i="23"/>
  <c r="V119" i="23"/>
  <c r="AA119" i="23"/>
  <c r="Z119" i="23"/>
  <c r="X119" i="23"/>
  <c r="W119" i="23"/>
  <c r="AB119" i="23"/>
  <c r="Y119" i="23"/>
  <c r="E119" i="23"/>
  <c r="D119" i="23"/>
  <c r="F119" i="23"/>
  <c r="C120" i="23"/>
  <c r="G119" i="23"/>
  <c r="L122" i="23"/>
  <c r="M121" i="23"/>
  <c r="O121" i="23"/>
  <c r="N121" i="23"/>
  <c r="S121" i="23"/>
  <c r="R121" i="23"/>
  <c r="Q121" i="23"/>
  <c r="P121" i="23"/>
  <c r="J118" i="23"/>
  <c r="L120" i="22"/>
  <c r="O119" i="22"/>
  <c r="N119" i="22"/>
  <c r="M119" i="22"/>
  <c r="P119" i="22"/>
  <c r="AD120" i="22"/>
  <c r="C121" i="22"/>
  <c r="D120" i="22"/>
  <c r="F120" i="22"/>
  <c r="E120" i="22"/>
  <c r="G120" i="22"/>
  <c r="U121" i="22"/>
  <c r="X120" i="22"/>
  <c r="W120" i="22"/>
  <c r="V120" i="22"/>
  <c r="Y120" i="22"/>
  <c r="Q119" i="22" l="1"/>
  <c r="R119" i="22"/>
  <c r="S119" i="22"/>
  <c r="Z120" i="22"/>
  <c r="AA120" i="22"/>
  <c r="AB120" i="22"/>
  <c r="AM122" i="22"/>
  <c r="AT121" i="22"/>
  <c r="AS121" i="22"/>
  <c r="AR121" i="22"/>
  <c r="AQ121" i="22"/>
  <c r="AP121" i="22"/>
  <c r="AO121" i="22"/>
  <c r="AN121" i="22"/>
  <c r="AD122" i="23"/>
  <c r="AK121" i="23"/>
  <c r="AJ121" i="23"/>
  <c r="AI121" i="23"/>
  <c r="AH121" i="23"/>
  <c r="AG121" i="23"/>
  <c r="AF121" i="23"/>
  <c r="AE121" i="23"/>
  <c r="AO121" i="23"/>
  <c r="AN121" i="23"/>
  <c r="AM122" i="23"/>
  <c r="AT121" i="23"/>
  <c r="AS121" i="23"/>
  <c r="AR121" i="23"/>
  <c r="AQ121" i="23"/>
  <c r="AP121" i="23"/>
  <c r="AD118" i="7"/>
  <c r="AH117" i="7"/>
  <c r="AE117" i="7"/>
  <c r="AF117" i="7"/>
  <c r="AG117" i="7"/>
  <c r="AI117" i="7"/>
  <c r="AJ117" i="7"/>
  <c r="AK117" i="7"/>
  <c r="AJ120" i="22"/>
  <c r="AI120" i="22"/>
  <c r="AG120" i="22"/>
  <c r="AK120" i="22"/>
  <c r="AF120" i="22"/>
  <c r="AE120" i="22"/>
  <c r="AH120" i="22"/>
  <c r="AN116" i="7"/>
  <c r="AP116" i="7"/>
  <c r="AO116" i="7"/>
  <c r="AM117" i="7"/>
  <c r="AT116" i="7"/>
  <c r="AR116" i="7"/>
  <c r="AS116" i="7"/>
  <c r="AQ116" i="7"/>
  <c r="J120" i="22"/>
  <c r="I120" i="22"/>
  <c r="H119" i="23"/>
  <c r="I119" i="23"/>
  <c r="J119" i="23"/>
  <c r="C121" i="23"/>
  <c r="E120" i="23"/>
  <c r="D120" i="23"/>
  <c r="F120" i="23"/>
  <c r="G120" i="23"/>
  <c r="R122" i="23"/>
  <c r="Q122" i="23"/>
  <c r="L123" i="23"/>
  <c r="O122" i="23"/>
  <c r="S122" i="23"/>
  <c r="M122" i="23"/>
  <c r="N122" i="23"/>
  <c r="P122" i="23"/>
  <c r="AA120" i="23"/>
  <c r="Z120" i="23"/>
  <c r="U121" i="23"/>
  <c r="AB120" i="23"/>
  <c r="X120" i="23"/>
  <c r="W120" i="23"/>
  <c r="V120" i="23"/>
  <c r="Y120" i="23"/>
  <c r="U122" i="22"/>
  <c r="X121" i="22"/>
  <c r="V121" i="22"/>
  <c r="W121" i="22"/>
  <c r="Y121" i="22"/>
  <c r="H120" i="22"/>
  <c r="AD121" i="22"/>
  <c r="C122" i="22"/>
  <c r="D121" i="22"/>
  <c r="F121" i="22"/>
  <c r="E121" i="22"/>
  <c r="G121" i="22"/>
  <c r="L121" i="22"/>
  <c r="M120" i="22"/>
  <c r="O120" i="22"/>
  <c r="N120" i="22"/>
  <c r="R120" i="22" s="1"/>
  <c r="P120" i="22"/>
  <c r="S120" i="22" l="1"/>
  <c r="Q120" i="22"/>
  <c r="AA121" i="22"/>
  <c r="Z121" i="22"/>
  <c r="AB121" i="22"/>
  <c r="AM123" i="22"/>
  <c r="AT122" i="22"/>
  <c r="AS122" i="22"/>
  <c r="AR122" i="22"/>
  <c r="AQ122" i="22"/>
  <c r="AP122" i="22"/>
  <c r="AO122" i="22"/>
  <c r="AN122" i="22"/>
  <c r="AD123" i="23"/>
  <c r="AK122" i="23"/>
  <c r="AJ122" i="23"/>
  <c r="AI122" i="23"/>
  <c r="AH122" i="23"/>
  <c r="AG122" i="23"/>
  <c r="AF122" i="23"/>
  <c r="AE122" i="23"/>
  <c r="AN122" i="23"/>
  <c r="AM123" i="23"/>
  <c r="AT122" i="23"/>
  <c r="AS122" i="23"/>
  <c r="AR122" i="23"/>
  <c r="AQ122" i="23"/>
  <c r="AP122" i="23"/>
  <c r="AO122" i="23"/>
  <c r="AD119" i="7"/>
  <c r="AH118" i="7"/>
  <c r="AE118" i="7"/>
  <c r="AF118" i="7"/>
  <c r="AG118" i="7"/>
  <c r="AI118" i="7"/>
  <c r="AJ118" i="7"/>
  <c r="AK118" i="7"/>
  <c r="AK121" i="22"/>
  <c r="AE121" i="22"/>
  <c r="AJ121" i="22"/>
  <c r="AI121" i="22"/>
  <c r="AG121" i="22"/>
  <c r="AF121" i="22"/>
  <c r="AH121" i="22"/>
  <c r="AO117" i="7"/>
  <c r="AM118" i="7"/>
  <c r="AP117" i="7"/>
  <c r="AT117" i="7"/>
  <c r="AQ117" i="7"/>
  <c r="AN117" i="7"/>
  <c r="AS117" i="7"/>
  <c r="AR117" i="7"/>
  <c r="H120" i="23"/>
  <c r="I121" i="22"/>
  <c r="I120" i="23"/>
  <c r="H121" i="22"/>
  <c r="J121" i="22"/>
  <c r="J120" i="23"/>
  <c r="W121" i="23"/>
  <c r="V121" i="23"/>
  <c r="Z121" i="23"/>
  <c r="X121" i="23"/>
  <c r="AB121" i="23"/>
  <c r="AA121" i="23"/>
  <c r="U122" i="23"/>
  <c r="Y121" i="23"/>
  <c r="N123" i="23"/>
  <c r="M123" i="23"/>
  <c r="Q123" i="23"/>
  <c r="L124" i="23"/>
  <c r="S123" i="23"/>
  <c r="R123" i="23"/>
  <c r="O123" i="23"/>
  <c r="P123" i="23"/>
  <c r="C122" i="23"/>
  <c r="D121" i="23"/>
  <c r="F121" i="23"/>
  <c r="E121" i="23"/>
  <c r="G121" i="23"/>
  <c r="AD122" i="22"/>
  <c r="L122" i="22"/>
  <c r="O121" i="22"/>
  <c r="N121" i="22"/>
  <c r="M121" i="22"/>
  <c r="S121" i="22" s="1"/>
  <c r="P121" i="22"/>
  <c r="C123" i="22"/>
  <c r="F122" i="22"/>
  <c r="E122" i="22"/>
  <c r="D122" i="22"/>
  <c r="G122" i="22"/>
  <c r="U123" i="22"/>
  <c r="W122" i="22"/>
  <c r="V122" i="22"/>
  <c r="X122" i="22"/>
  <c r="AB122" i="22" s="1"/>
  <c r="Y122" i="22"/>
  <c r="Q121" i="22" l="1"/>
  <c r="R121" i="22"/>
  <c r="Z122" i="22"/>
  <c r="AA122" i="22"/>
  <c r="AS123" i="22"/>
  <c r="AR123" i="22"/>
  <c r="AO123" i="22"/>
  <c r="AM124" i="22"/>
  <c r="AT123" i="22"/>
  <c r="AQ123" i="22"/>
  <c r="AN123" i="22"/>
  <c r="AP123" i="22"/>
  <c r="AK123" i="23"/>
  <c r="AI123" i="23"/>
  <c r="AE123" i="23"/>
  <c r="AD124" i="23"/>
  <c r="AJ123" i="23"/>
  <c r="AH123" i="23"/>
  <c r="AG123" i="23"/>
  <c r="AF123" i="23"/>
  <c r="AO123" i="23"/>
  <c r="AM124" i="23"/>
  <c r="AT123" i="23"/>
  <c r="AS123" i="23"/>
  <c r="AR123" i="23"/>
  <c r="AQ123" i="23"/>
  <c r="AP123" i="23"/>
  <c r="AN123" i="23"/>
  <c r="AD120" i="7"/>
  <c r="AH119" i="7"/>
  <c r="AE119" i="7"/>
  <c r="AF119" i="7"/>
  <c r="AG119" i="7"/>
  <c r="AI119" i="7"/>
  <c r="AJ119" i="7"/>
  <c r="AK119" i="7"/>
  <c r="AK122" i="22"/>
  <c r="AI122" i="22"/>
  <c r="AG122" i="22"/>
  <c r="AF122" i="22"/>
  <c r="AJ122" i="22"/>
  <c r="AE122" i="22"/>
  <c r="AH122" i="22"/>
  <c r="AM119" i="7"/>
  <c r="AS118" i="7"/>
  <c r="AQ118" i="7"/>
  <c r="AO118" i="7"/>
  <c r="AN118" i="7"/>
  <c r="AT118" i="7"/>
  <c r="AP118" i="7"/>
  <c r="AR118" i="7"/>
  <c r="H121" i="23"/>
  <c r="I121" i="23"/>
  <c r="J121" i="23"/>
  <c r="I122" i="22"/>
  <c r="J122" i="22"/>
  <c r="E122" i="23"/>
  <c r="D122" i="23"/>
  <c r="F122" i="23"/>
  <c r="C123" i="23"/>
  <c r="G122" i="23"/>
  <c r="U123" i="23"/>
  <c r="AA122" i="23"/>
  <c r="V122" i="23"/>
  <c r="AB122" i="23"/>
  <c r="Z122" i="23"/>
  <c r="X122" i="23"/>
  <c r="W122" i="23"/>
  <c r="Y122" i="23"/>
  <c r="L125" i="23"/>
  <c r="R124" i="23"/>
  <c r="M124" i="23"/>
  <c r="Q124" i="23"/>
  <c r="O124" i="23"/>
  <c r="N124" i="23"/>
  <c r="S124" i="23"/>
  <c r="P124" i="23"/>
  <c r="AD123" i="22"/>
  <c r="H122" i="22"/>
  <c r="L123" i="22"/>
  <c r="O122" i="22"/>
  <c r="N122" i="22"/>
  <c r="M122" i="22"/>
  <c r="P122" i="22"/>
  <c r="W123" i="22"/>
  <c r="X123" i="22"/>
  <c r="V123" i="22"/>
  <c r="U124" i="22"/>
  <c r="Y123" i="22"/>
  <c r="C124" i="22"/>
  <c r="F123" i="22"/>
  <c r="E123" i="22"/>
  <c r="D123" i="22"/>
  <c r="G123" i="22"/>
  <c r="R122" i="22" l="1"/>
  <c r="S122" i="22"/>
  <c r="Q122" i="22"/>
  <c r="AA123" i="22"/>
  <c r="Z123" i="22"/>
  <c r="AB123" i="22"/>
  <c r="AM125" i="22"/>
  <c r="AT124" i="22"/>
  <c r="AS124" i="22"/>
  <c r="AR124" i="22"/>
  <c r="AQ124" i="22"/>
  <c r="AP124" i="22"/>
  <c r="AO124" i="22"/>
  <c r="AN124" i="22"/>
  <c r="AD125" i="23"/>
  <c r="AK124" i="23"/>
  <c r="AJ124" i="23"/>
  <c r="AI124" i="23"/>
  <c r="AH124" i="23"/>
  <c r="AG124" i="23"/>
  <c r="AF124" i="23"/>
  <c r="AE124" i="23"/>
  <c r="AN124" i="23"/>
  <c r="AM125" i="23"/>
  <c r="AT124" i="23"/>
  <c r="AS124" i="23"/>
  <c r="AR124" i="23"/>
  <c r="AQ124" i="23"/>
  <c r="AP124" i="23"/>
  <c r="AO124" i="23"/>
  <c r="AD121" i="7"/>
  <c r="AH120" i="7"/>
  <c r="AE120" i="7"/>
  <c r="AF120" i="7"/>
  <c r="AG120" i="7"/>
  <c r="AI120" i="7"/>
  <c r="AJ120" i="7"/>
  <c r="AK120" i="7"/>
  <c r="AJ123" i="22"/>
  <c r="AF123" i="22"/>
  <c r="AK123" i="22"/>
  <c r="AI123" i="22"/>
  <c r="AG123" i="22"/>
  <c r="AE123" i="22"/>
  <c r="AH123" i="22"/>
  <c r="AQ119" i="7"/>
  <c r="AN119" i="7"/>
  <c r="AM120" i="7"/>
  <c r="AT119" i="7"/>
  <c r="AS119" i="7"/>
  <c r="AR119" i="7"/>
  <c r="AP119" i="7"/>
  <c r="AO119" i="7"/>
  <c r="I122" i="23"/>
  <c r="J122" i="23"/>
  <c r="H123" i="22"/>
  <c r="I123" i="22"/>
  <c r="J123" i="22"/>
  <c r="H122" i="23"/>
  <c r="R125" i="23"/>
  <c r="Q125" i="23"/>
  <c r="L126" i="23"/>
  <c r="N125" i="23"/>
  <c r="O125" i="23"/>
  <c r="M125" i="23"/>
  <c r="S125" i="23"/>
  <c r="P125" i="23"/>
  <c r="AA123" i="23"/>
  <c r="Z123" i="23"/>
  <c r="U124" i="23"/>
  <c r="W123" i="23"/>
  <c r="X123" i="23"/>
  <c r="V123" i="23"/>
  <c r="AB123" i="23"/>
  <c r="Y123" i="23"/>
  <c r="C124" i="23"/>
  <c r="D123" i="23"/>
  <c r="F123" i="23"/>
  <c r="E123" i="23"/>
  <c r="G123" i="23"/>
  <c r="U125" i="22"/>
  <c r="X124" i="22"/>
  <c r="W124" i="22"/>
  <c r="V124" i="22"/>
  <c r="Y124" i="22"/>
  <c r="F124" i="22"/>
  <c r="D124" i="22"/>
  <c r="C125" i="22"/>
  <c r="E124" i="22"/>
  <c r="G124" i="22"/>
  <c r="L124" i="22"/>
  <c r="N123" i="22"/>
  <c r="M123" i="22"/>
  <c r="O123" i="22"/>
  <c r="S123" i="22" s="1"/>
  <c r="P123" i="22"/>
  <c r="AD124" i="22"/>
  <c r="Q123" i="22" l="1"/>
  <c r="R123" i="22"/>
  <c r="Z124" i="22"/>
  <c r="AB124" i="22"/>
  <c r="AA124" i="22"/>
  <c r="AM126" i="22"/>
  <c r="AT125" i="22"/>
  <c r="AS125" i="22"/>
  <c r="AR125" i="22"/>
  <c r="AQ125" i="22"/>
  <c r="AP125" i="22"/>
  <c r="AO125" i="22"/>
  <c r="AN125" i="22"/>
  <c r="AD126" i="23"/>
  <c r="AK125" i="23"/>
  <c r="AJ125" i="23"/>
  <c r="AI125" i="23"/>
  <c r="AH125" i="23"/>
  <c r="AG125" i="23"/>
  <c r="AF125" i="23"/>
  <c r="AE125" i="23"/>
  <c r="AM126" i="23"/>
  <c r="AT125" i="23"/>
  <c r="AS125" i="23"/>
  <c r="AR125" i="23"/>
  <c r="AQ125" i="23"/>
  <c r="AP125" i="23"/>
  <c r="AO125" i="23"/>
  <c r="AN125" i="23"/>
  <c r="AD122" i="7"/>
  <c r="AH121" i="7"/>
  <c r="AE121" i="7"/>
  <c r="AF121" i="7"/>
  <c r="AG121" i="7"/>
  <c r="AI121" i="7"/>
  <c r="AJ121" i="7"/>
  <c r="AK121" i="7"/>
  <c r="AK124" i="22"/>
  <c r="AI124" i="22"/>
  <c r="AG124" i="22"/>
  <c r="AE124" i="22"/>
  <c r="AJ124" i="22"/>
  <c r="AF124" i="22"/>
  <c r="AH124" i="22"/>
  <c r="AS120" i="7"/>
  <c r="AM121" i="7"/>
  <c r="AQ120" i="7"/>
  <c r="AT120" i="7"/>
  <c r="AR120" i="7"/>
  <c r="AP120" i="7"/>
  <c r="AO120" i="7"/>
  <c r="AN120" i="7"/>
  <c r="H123" i="23"/>
  <c r="I123" i="23"/>
  <c r="J123" i="23"/>
  <c r="H124" i="22"/>
  <c r="I124" i="22"/>
  <c r="N126" i="23"/>
  <c r="M126" i="23"/>
  <c r="R126" i="23"/>
  <c r="Q126" i="23"/>
  <c r="L127" i="23"/>
  <c r="O126" i="23"/>
  <c r="S126" i="23"/>
  <c r="P126" i="23"/>
  <c r="W124" i="23"/>
  <c r="V124" i="23"/>
  <c r="U125" i="23"/>
  <c r="Z124" i="23"/>
  <c r="X124" i="23"/>
  <c r="AB124" i="23"/>
  <c r="AA124" i="23"/>
  <c r="Y124" i="23"/>
  <c r="C125" i="23"/>
  <c r="F124" i="23"/>
  <c r="E124" i="23"/>
  <c r="D124" i="23"/>
  <c r="G124" i="23"/>
  <c r="J124" i="22"/>
  <c r="AD125" i="22"/>
  <c r="C126" i="22"/>
  <c r="E125" i="22"/>
  <c r="F125" i="22"/>
  <c r="D125" i="22"/>
  <c r="G125" i="22"/>
  <c r="L125" i="22"/>
  <c r="O124" i="22"/>
  <c r="M124" i="22"/>
  <c r="N124" i="22"/>
  <c r="R124" i="22" s="1"/>
  <c r="P124" i="22"/>
  <c r="U126" i="22"/>
  <c r="W125" i="22"/>
  <c r="X125" i="22"/>
  <c r="V125" i="22"/>
  <c r="Y125" i="22"/>
  <c r="Q124" i="22" l="1"/>
  <c r="S124" i="22"/>
  <c r="AA125" i="22"/>
  <c r="AB125" i="22"/>
  <c r="Z125" i="22"/>
  <c r="AM127" i="22"/>
  <c r="AT126" i="22"/>
  <c r="AS126" i="22"/>
  <c r="AR126" i="22"/>
  <c r="AQ126" i="22"/>
  <c r="AP126" i="22"/>
  <c r="AO126" i="22"/>
  <c r="AN126" i="22"/>
  <c r="AD127" i="23"/>
  <c r="AK126" i="23"/>
  <c r="AJ126" i="23"/>
  <c r="AI126" i="23"/>
  <c r="AH126" i="23"/>
  <c r="AG126" i="23"/>
  <c r="AF126" i="23"/>
  <c r="AE126" i="23"/>
  <c r="AM127" i="23"/>
  <c r="AT126" i="23"/>
  <c r="AS126" i="23"/>
  <c r="AR126" i="23"/>
  <c r="AQ126" i="23"/>
  <c r="AP126" i="23"/>
  <c r="AO126" i="23"/>
  <c r="AN126" i="23"/>
  <c r="AD123" i="7"/>
  <c r="AH122" i="7"/>
  <c r="AE122" i="7"/>
  <c r="AF122" i="7"/>
  <c r="AG122" i="7"/>
  <c r="AI122" i="7"/>
  <c r="AJ122" i="7"/>
  <c r="AK122" i="7"/>
  <c r="AJ125" i="22"/>
  <c r="AF125" i="22"/>
  <c r="AK125" i="22"/>
  <c r="AI125" i="22"/>
  <c r="AG125" i="22"/>
  <c r="AE125" i="22"/>
  <c r="AH125" i="22"/>
  <c r="AQ121" i="7"/>
  <c r="AO121" i="7"/>
  <c r="AM122" i="7"/>
  <c r="AP121" i="7"/>
  <c r="AT121" i="7"/>
  <c r="AN121" i="7"/>
  <c r="AS121" i="7"/>
  <c r="AR121" i="7"/>
  <c r="H124" i="23"/>
  <c r="J124" i="23"/>
  <c r="I124" i="23"/>
  <c r="J125" i="22"/>
  <c r="I125" i="22"/>
  <c r="U126" i="23"/>
  <c r="AA125" i="23"/>
  <c r="Z125" i="23"/>
  <c r="AB125" i="23"/>
  <c r="X125" i="23"/>
  <c r="W125" i="23"/>
  <c r="V125" i="23"/>
  <c r="Y125" i="23"/>
  <c r="E125" i="23"/>
  <c r="D125" i="23"/>
  <c r="C126" i="23"/>
  <c r="F125" i="23"/>
  <c r="G125" i="23"/>
  <c r="L128" i="23"/>
  <c r="R127" i="23"/>
  <c r="S127" i="23"/>
  <c r="Q127" i="23"/>
  <c r="O127" i="23"/>
  <c r="M127" i="23"/>
  <c r="N127" i="23"/>
  <c r="P127" i="23"/>
  <c r="H125" i="22"/>
  <c r="U127" i="22"/>
  <c r="X126" i="22"/>
  <c r="W126" i="22"/>
  <c r="V126" i="22"/>
  <c r="Y126" i="22"/>
  <c r="AD126" i="22"/>
  <c r="C127" i="22"/>
  <c r="F126" i="22"/>
  <c r="E126" i="22"/>
  <c r="D126" i="22"/>
  <c r="G126" i="22"/>
  <c r="N125" i="22"/>
  <c r="M125" i="22"/>
  <c r="L126" i="22"/>
  <c r="O125" i="22"/>
  <c r="P125" i="22"/>
  <c r="R125" i="22" l="1"/>
  <c r="S125" i="22"/>
  <c r="Q125" i="22"/>
  <c r="Z126" i="22"/>
  <c r="AA126" i="22"/>
  <c r="AB126" i="22"/>
  <c r="AM128" i="22"/>
  <c r="AT127" i="22"/>
  <c r="AS127" i="22"/>
  <c r="AQ127" i="22"/>
  <c r="AO127" i="22"/>
  <c r="AN127" i="22"/>
  <c r="AR127" i="22"/>
  <c r="AP127" i="22"/>
  <c r="AD128" i="23"/>
  <c r="AK127" i="23"/>
  <c r="AJ127" i="23"/>
  <c r="AI127" i="23"/>
  <c r="AG127" i="23"/>
  <c r="AE127" i="23"/>
  <c r="AH127" i="23"/>
  <c r="AF127" i="23"/>
  <c r="AQ127" i="23"/>
  <c r="AP127" i="23"/>
  <c r="AN127" i="23"/>
  <c r="AM128" i="23"/>
  <c r="AT127" i="23"/>
  <c r="AS127" i="23"/>
  <c r="AR127" i="23"/>
  <c r="AO127" i="23"/>
  <c r="AD124" i="7"/>
  <c r="AH123" i="7"/>
  <c r="AE123" i="7"/>
  <c r="AF123" i="7"/>
  <c r="AG123" i="7"/>
  <c r="AI123" i="7"/>
  <c r="AJ123" i="7"/>
  <c r="AK123" i="7"/>
  <c r="AK126" i="22"/>
  <c r="AI126" i="22"/>
  <c r="AG126" i="22"/>
  <c r="AE126" i="22"/>
  <c r="AJ126" i="22"/>
  <c r="AF126" i="22"/>
  <c r="AH126" i="22"/>
  <c r="AM123" i="7"/>
  <c r="AO122" i="7"/>
  <c r="AP122" i="7"/>
  <c r="AT122" i="7"/>
  <c r="AR122" i="7"/>
  <c r="AQ122" i="7"/>
  <c r="AN122" i="7"/>
  <c r="AS122" i="7"/>
  <c r="H125" i="23"/>
  <c r="I125" i="23"/>
  <c r="H126" i="22"/>
  <c r="I126" i="22"/>
  <c r="J126" i="22"/>
  <c r="R128" i="23"/>
  <c r="Q128" i="23"/>
  <c r="L129" i="23"/>
  <c r="N128" i="23"/>
  <c r="M128" i="23"/>
  <c r="S128" i="23"/>
  <c r="O128" i="23"/>
  <c r="P128" i="23"/>
  <c r="AA126" i="23"/>
  <c r="Z126" i="23"/>
  <c r="U127" i="23"/>
  <c r="W126" i="23"/>
  <c r="AB126" i="23"/>
  <c r="V126" i="23"/>
  <c r="X126" i="23"/>
  <c r="Y126" i="23"/>
  <c r="J125" i="23"/>
  <c r="C127" i="23"/>
  <c r="D126" i="23"/>
  <c r="F126" i="23"/>
  <c r="E126" i="23"/>
  <c r="G126" i="23"/>
  <c r="AD127" i="22"/>
  <c r="E127" i="22"/>
  <c r="D127" i="22"/>
  <c r="G127" i="22"/>
  <c r="F127" i="22"/>
  <c r="C128" i="22"/>
  <c r="U128" i="22"/>
  <c r="V127" i="22"/>
  <c r="X127" i="22"/>
  <c r="W127" i="22"/>
  <c r="Y127" i="22"/>
  <c r="L127" i="22"/>
  <c r="M126" i="22"/>
  <c r="O126" i="22"/>
  <c r="N126" i="22"/>
  <c r="P126" i="22"/>
  <c r="S126" i="22" l="1"/>
  <c r="R126" i="22"/>
  <c r="Q126" i="22"/>
  <c r="AA127" i="22"/>
  <c r="AB127" i="22"/>
  <c r="Z127" i="22"/>
  <c r="AM129" i="22"/>
  <c r="AT128" i="22"/>
  <c r="AS128" i="22"/>
  <c r="AR128" i="22"/>
  <c r="AQ128" i="22"/>
  <c r="AP128" i="22"/>
  <c r="AO128" i="22"/>
  <c r="AN128" i="22"/>
  <c r="AD129" i="23"/>
  <c r="AK128" i="23"/>
  <c r="AJ128" i="23"/>
  <c r="AI128" i="23"/>
  <c r="AH128" i="23"/>
  <c r="AG128" i="23"/>
  <c r="AF128" i="23"/>
  <c r="AE128" i="23"/>
  <c r="AM129" i="23"/>
  <c r="AT128" i="23"/>
  <c r="AS128" i="23"/>
  <c r="AR128" i="23"/>
  <c r="AQ128" i="23"/>
  <c r="AP128" i="23"/>
  <c r="AO128" i="23"/>
  <c r="AN128" i="23"/>
  <c r="AD125" i="7"/>
  <c r="AH124" i="7"/>
  <c r="AE124" i="7"/>
  <c r="AF124" i="7"/>
  <c r="AG124" i="7"/>
  <c r="AI124" i="7"/>
  <c r="AJ124" i="7"/>
  <c r="AK124" i="7"/>
  <c r="AK127" i="22"/>
  <c r="AF127" i="22"/>
  <c r="AJ127" i="22"/>
  <c r="AI127" i="22"/>
  <c r="AG127" i="22"/>
  <c r="AE127" i="22"/>
  <c r="AH127" i="22"/>
  <c r="AS123" i="7"/>
  <c r="AO123" i="7"/>
  <c r="AM124" i="7"/>
  <c r="AN123" i="7"/>
  <c r="AP123" i="7"/>
  <c r="AT123" i="7"/>
  <c r="AQ123" i="7"/>
  <c r="AR123" i="7"/>
  <c r="H126" i="23"/>
  <c r="H127" i="22"/>
  <c r="I126" i="23"/>
  <c r="J126" i="23"/>
  <c r="I127" i="22"/>
  <c r="J127" i="22"/>
  <c r="W127" i="23"/>
  <c r="V127" i="23"/>
  <c r="Z127" i="23"/>
  <c r="X127" i="23"/>
  <c r="AB127" i="23"/>
  <c r="AA127" i="23"/>
  <c r="U128" i="23"/>
  <c r="Y127" i="23"/>
  <c r="N129" i="23"/>
  <c r="M129" i="23"/>
  <c r="Q129" i="23"/>
  <c r="R129" i="23"/>
  <c r="S129" i="23"/>
  <c r="L130" i="23"/>
  <c r="O129" i="23"/>
  <c r="P129" i="23"/>
  <c r="C128" i="23"/>
  <c r="E127" i="23"/>
  <c r="F127" i="23"/>
  <c r="D127" i="23"/>
  <c r="G127" i="23"/>
  <c r="U129" i="22"/>
  <c r="X128" i="22"/>
  <c r="W128" i="22"/>
  <c r="V128" i="22"/>
  <c r="Y128" i="22"/>
  <c r="C129" i="22"/>
  <c r="E128" i="22"/>
  <c r="D128" i="22"/>
  <c r="F128" i="22"/>
  <c r="G128" i="22"/>
  <c r="L128" i="22"/>
  <c r="O127" i="22"/>
  <c r="N127" i="22"/>
  <c r="M127" i="22"/>
  <c r="P127" i="22"/>
  <c r="AD128" i="22"/>
  <c r="Q127" i="22" l="1"/>
  <c r="S127" i="22"/>
  <c r="R127" i="22"/>
  <c r="AA128" i="22"/>
  <c r="AB128" i="22"/>
  <c r="Z128" i="22"/>
  <c r="AM130" i="22"/>
  <c r="AT129" i="22"/>
  <c r="AS129" i="22"/>
  <c r="AR129" i="22"/>
  <c r="AQ129" i="22"/>
  <c r="AP129" i="22"/>
  <c r="AO129" i="22"/>
  <c r="AN129" i="22"/>
  <c r="AG129" i="23"/>
  <c r="AE129" i="23"/>
  <c r="AF129" i="23"/>
  <c r="AD130" i="23"/>
  <c r="AK129" i="23"/>
  <c r="AJ129" i="23"/>
  <c r="AI129" i="23"/>
  <c r="AH129" i="23"/>
  <c r="AO129" i="23"/>
  <c r="AM130" i="23"/>
  <c r="AS129" i="23"/>
  <c r="AR129" i="23"/>
  <c r="AP129" i="23"/>
  <c r="AQ129" i="23"/>
  <c r="AT129" i="23"/>
  <c r="AN129" i="23"/>
  <c r="AD126" i="7"/>
  <c r="AH125" i="7"/>
  <c r="AE125" i="7"/>
  <c r="AF125" i="7"/>
  <c r="AG125" i="7"/>
  <c r="AI125" i="7"/>
  <c r="AJ125" i="7"/>
  <c r="AK125" i="7"/>
  <c r="AK128" i="22"/>
  <c r="AF128" i="22"/>
  <c r="AJ128" i="22"/>
  <c r="AI128" i="22"/>
  <c r="AG128" i="22"/>
  <c r="AE128" i="22"/>
  <c r="AH128" i="22"/>
  <c r="AS124" i="7"/>
  <c r="AM125" i="7"/>
  <c r="AO124" i="7"/>
  <c r="AQ124" i="7"/>
  <c r="AT124" i="7"/>
  <c r="AR124" i="7"/>
  <c r="AP124" i="7"/>
  <c r="AN124" i="7"/>
  <c r="J127" i="23"/>
  <c r="I127" i="23"/>
  <c r="I128" i="22"/>
  <c r="H127" i="23"/>
  <c r="J128" i="22"/>
  <c r="E128" i="23"/>
  <c r="D128" i="23"/>
  <c r="C129" i="23"/>
  <c r="F128" i="23"/>
  <c r="G128" i="23"/>
  <c r="L131" i="23"/>
  <c r="M130" i="23"/>
  <c r="S130" i="23"/>
  <c r="N130" i="23"/>
  <c r="R130" i="23"/>
  <c r="Q130" i="23"/>
  <c r="O130" i="23"/>
  <c r="P130" i="23"/>
  <c r="U129" i="23"/>
  <c r="V128" i="23"/>
  <c r="Z128" i="23"/>
  <c r="X128" i="23"/>
  <c r="W128" i="23"/>
  <c r="AB128" i="23"/>
  <c r="AA128" i="23"/>
  <c r="Y128" i="23"/>
  <c r="AD129" i="22"/>
  <c r="U130" i="22"/>
  <c r="W129" i="22"/>
  <c r="V129" i="22"/>
  <c r="X129" i="22"/>
  <c r="Y129" i="22"/>
  <c r="H128" i="22"/>
  <c r="C130" i="22"/>
  <c r="F129" i="22"/>
  <c r="E129" i="22"/>
  <c r="D129" i="22"/>
  <c r="G129" i="22"/>
  <c r="L129" i="22"/>
  <c r="M128" i="22"/>
  <c r="N128" i="22"/>
  <c r="O128" i="22"/>
  <c r="P128" i="22"/>
  <c r="R128" i="22" l="1"/>
  <c r="Q128" i="22"/>
  <c r="S128" i="22"/>
  <c r="AB129" i="22"/>
  <c r="Z129" i="22"/>
  <c r="AA129" i="22"/>
  <c r="AM131" i="22"/>
  <c r="AT130" i="22"/>
  <c r="AS130" i="22"/>
  <c r="AR130" i="22"/>
  <c r="AQ130" i="22"/>
  <c r="AP130" i="22"/>
  <c r="AO130" i="22"/>
  <c r="AN130" i="22"/>
  <c r="AD131" i="23"/>
  <c r="AK130" i="23"/>
  <c r="AJ130" i="23"/>
  <c r="AI130" i="23"/>
  <c r="AH130" i="23"/>
  <c r="AG130" i="23"/>
  <c r="AF130" i="23"/>
  <c r="AE130" i="23"/>
  <c r="AM131" i="23"/>
  <c r="AT130" i="23"/>
  <c r="AS130" i="23"/>
  <c r="AR130" i="23"/>
  <c r="AQ130" i="23"/>
  <c r="AP130" i="23"/>
  <c r="AO130" i="23"/>
  <c r="AN130" i="23"/>
  <c r="AD127" i="7"/>
  <c r="AH126" i="7"/>
  <c r="AE126" i="7"/>
  <c r="AF126" i="7"/>
  <c r="AG126" i="7"/>
  <c r="AI126" i="7"/>
  <c r="AJ126" i="7"/>
  <c r="AK126" i="7"/>
  <c r="AK129" i="22"/>
  <c r="AI129" i="22"/>
  <c r="AG129" i="22"/>
  <c r="AF129" i="22"/>
  <c r="AJ129" i="22"/>
  <c r="AE129" i="22"/>
  <c r="AH129" i="22"/>
  <c r="AN125" i="7"/>
  <c r="AM126" i="7"/>
  <c r="AP125" i="7"/>
  <c r="AR125" i="7"/>
  <c r="AS125" i="7"/>
  <c r="AT125" i="7"/>
  <c r="AQ125" i="7"/>
  <c r="AO125" i="7"/>
  <c r="I129" i="22"/>
  <c r="J129" i="22"/>
  <c r="I128" i="23"/>
  <c r="J128" i="23"/>
  <c r="C130" i="23"/>
  <c r="E129" i="23"/>
  <c r="D129" i="23"/>
  <c r="F129" i="23"/>
  <c r="G129" i="23"/>
  <c r="AA129" i="23"/>
  <c r="Z129" i="23"/>
  <c r="U130" i="23"/>
  <c r="AB129" i="23"/>
  <c r="X129" i="23"/>
  <c r="W129" i="23"/>
  <c r="V129" i="23"/>
  <c r="Y129" i="23"/>
  <c r="H128" i="23"/>
  <c r="R131" i="23"/>
  <c r="Q131" i="23"/>
  <c r="L132" i="23"/>
  <c r="M131" i="23"/>
  <c r="O131" i="23"/>
  <c r="N131" i="23"/>
  <c r="S131" i="23"/>
  <c r="P131" i="23"/>
  <c r="H129" i="22"/>
  <c r="C131" i="22"/>
  <c r="E130" i="22"/>
  <c r="D130" i="22"/>
  <c r="G130" i="22"/>
  <c r="F130" i="22"/>
  <c r="U131" i="22"/>
  <c r="V130" i="22"/>
  <c r="X130" i="22"/>
  <c r="W130" i="22"/>
  <c r="Y130" i="22"/>
  <c r="L130" i="22"/>
  <c r="N129" i="22"/>
  <c r="M129" i="22"/>
  <c r="O129" i="22"/>
  <c r="P129" i="22"/>
  <c r="AD130" i="22"/>
  <c r="S129" i="22" l="1"/>
  <c r="Q129" i="22"/>
  <c r="R129" i="22"/>
  <c r="Z130" i="22"/>
  <c r="AB130" i="22"/>
  <c r="AA130" i="22"/>
  <c r="AR131" i="22"/>
  <c r="AO131" i="22"/>
  <c r="AQ131" i="22"/>
  <c r="AP131" i="22"/>
  <c r="AN131" i="22"/>
  <c r="AM132" i="22"/>
  <c r="AT131" i="22"/>
  <c r="AS131" i="22"/>
  <c r="AD132" i="23"/>
  <c r="AJ131" i="23"/>
  <c r="AH131" i="23"/>
  <c r="AG131" i="23"/>
  <c r="AE131" i="23"/>
  <c r="AK131" i="23"/>
  <c r="AI131" i="23"/>
  <c r="AF131" i="23"/>
  <c r="AR131" i="23"/>
  <c r="AS131" i="23"/>
  <c r="AT131" i="23"/>
  <c r="AO131" i="23"/>
  <c r="AM132" i="23"/>
  <c r="AQ131" i="23"/>
  <c r="AP131" i="23"/>
  <c r="AN131" i="23"/>
  <c r="AD128" i="7"/>
  <c r="AH127" i="7"/>
  <c r="AE127" i="7"/>
  <c r="AF127" i="7"/>
  <c r="AG127" i="7"/>
  <c r="AI127" i="7"/>
  <c r="AJ127" i="7"/>
  <c r="AK127" i="7"/>
  <c r="AJ130" i="22"/>
  <c r="AG130" i="22"/>
  <c r="AF130" i="22"/>
  <c r="AK130" i="22"/>
  <c r="AI130" i="22"/>
  <c r="AE130" i="22"/>
  <c r="AH130" i="22"/>
  <c r="AT126" i="7"/>
  <c r="AP126" i="7"/>
  <c r="AS126" i="7"/>
  <c r="AQ126" i="7"/>
  <c r="AO126" i="7"/>
  <c r="AM127" i="7"/>
  <c r="AN126" i="7"/>
  <c r="AR126" i="7"/>
  <c r="H130" i="22"/>
  <c r="H129" i="23"/>
  <c r="I129" i="23"/>
  <c r="I130" i="22"/>
  <c r="J130" i="22"/>
  <c r="J129" i="23"/>
  <c r="W130" i="23"/>
  <c r="V130" i="23"/>
  <c r="Z130" i="23"/>
  <c r="AB130" i="23"/>
  <c r="U131" i="23"/>
  <c r="AA130" i="23"/>
  <c r="X130" i="23"/>
  <c r="Y130" i="23"/>
  <c r="N132" i="23"/>
  <c r="M132" i="23"/>
  <c r="Q132" i="23"/>
  <c r="O132" i="23"/>
  <c r="L133" i="23"/>
  <c r="S132" i="23"/>
  <c r="R132" i="23"/>
  <c r="P132" i="23"/>
  <c r="C131" i="23"/>
  <c r="E130" i="23"/>
  <c r="F130" i="23"/>
  <c r="D130" i="23"/>
  <c r="G130" i="23"/>
  <c r="AD131" i="22"/>
  <c r="U132" i="22"/>
  <c r="X131" i="22"/>
  <c r="W131" i="22"/>
  <c r="V131" i="22"/>
  <c r="Y131" i="22"/>
  <c r="C132" i="22"/>
  <c r="D131" i="22"/>
  <c r="E131" i="22"/>
  <c r="F131" i="22"/>
  <c r="G131" i="22"/>
  <c r="L131" i="22"/>
  <c r="O130" i="22"/>
  <c r="Q130" i="22" s="1"/>
  <c r="N130" i="22"/>
  <c r="M130" i="22"/>
  <c r="P130" i="22"/>
  <c r="S130" i="22" l="1"/>
  <c r="R130" i="22"/>
  <c r="AA131" i="22"/>
  <c r="AB131" i="22"/>
  <c r="Z131" i="22"/>
  <c r="AM133" i="22"/>
  <c r="AT132" i="22"/>
  <c r="AS132" i="22"/>
  <c r="AR132" i="22"/>
  <c r="AQ132" i="22"/>
  <c r="AP132" i="22"/>
  <c r="AO132" i="22"/>
  <c r="AN132" i="22"/>
  <c r="AD133" i="23"/>
  <c r="AK132" i="23"/>
  <c r="AJ132" i="23"/>
  <c r="AI132" i="23"/>
  <c r="AH132" i="23"/>
  <c r="AG132" i="23"/>
  <c r="AF132" i="23"/>
  <c r="AE132" i="23"/>
  <c r="AM133" i="23"/>
  <c r="AT132" i="23"/>
  <c r="AS132" i="23"/>
  <c r="AR132" i="23"/>
  <c r="AQ132" i="23"/>
  <c r="AP132" i="23"/>
  <c r="AO132" i="23"/>
  <c r="AN132" i="23"/>
  <c r="AD129" i="7"/>
  <c r="AH128" i="7"/>
  <c r="AE128" i="7"/>
  <c r="AF128" i="7"/>
  <c r="AG128" i="7"/>
  <c r="AI128" i="7"/>
  <c r="AJ128" i="7"/>
  <c r="AK128" i="7"/>
  <c r="AJ131" i="22"/>
  <c r="AE131" i="22"/>
  <c r="AK131" i="22"/>
  <c r="AI131" i="22"/>
  <c r="AG131" i="22"/>
  <c r="AF131" i="22"/>
  <c r="AH131" i="22"/>
  <c r="AS127" i="7"/>
  <c r="AP127" i="7"/>
  <c r="AN127" i="7"/>
  <c r="AM128" i="7"/>
  <c r="AT127" i="7"/>
  <c r="AR127" i="7"/>
  <c r="AQ127" i="7"/>
  <c r="AO127" i="7"/>
  <c r="J130" i="23"/>
  <c r="I130" i="23"/>
  <c r="H130" i="23"/>
  <c r="J131" i="22"/>
  <c r="I131" i="22"/>
  <c r="E131" i="23"/>
  <c r="D131" i="23"/>
  <c r="F131" i="23"/>
  <c r="C132" i="23"/>
  <c r="G131" i="23"/>
  <c r="U132" i="23"/>
  <c r="AA131" i="23"/>
  <c r="V131" i="23"/>
  <c r="X131" i="23"/>
  <c r="AB131" i="23"/>
  <c r="Z131" i="23"/>
  <c r="W131" i="23"/>
  <c r="Y131" i="23"/>
  <c r="L134" i="23"/>
  <c r="R133" i="23"/>
  <c r="M133" i="23"/>
  <c r="S133" i="23"/>
  <c r="Q133" i="23"/>
  <c r="O133" i="23"/>
  <c r="N133" i="23"/>
  <c r="P133" i="23"/>
  <c r="H131" i="22"/>
  <c r="C133" i="22"/>
  <c r="F132" i="22"/>
  <c r="E132" i="22"/>
  <c r="D132" i="22"/>
  <c r="G132" i="22"/>
  <c r="M131" i="22"/>
  <c r="O131" i="22"/>
  <c r="N131" i="22"/>
  <c r="L132" i="22"/>
  <c r="P131" i="22"/>
  <c r="W132" i="22"/>
  <c r="V132" i="22"/>
  <c r="AA132" i="22" s="1"/>
  <c r="X132" i="22"/>
  <c r="AB132" i="22" s="1"/>
  <c r="U133" i="22"/>
  <c r="Y132" i="22"/>
  <c r="AD132" i="22"/>
  <c r="R131" i="22" l="1"/>
  <c r="Q131" i="22"/>
  <c r="S131" i="22"/>
  <c r="H131" i="23"/>
  <c r="Z132" i="22"/>
  <c r="AQ133" i="22"/>
  <c r="AO133" i="22"/>
  <c r="AM134" i="22"/>
  <c r="AT133" i="22"/>
  <c r="AS133" i="22"/>
  <c r="AR133" i="22"/>
  <c r="AP133" i="22"/>
  <c r="AN133" i="22"/>
  <c r="AH133" i="23"/>
  <c r="AD134" i="23"/>
  <c r="AK133" i="23"/>
  <c r="AJ133" i="23"/>
  <c r="AI133" i="23"/>
  <c r="AG133" i="23"/>
  <c r="AF133" i="23"/>
  <c r="AE133" i="23"/>
  <c r="AT133" i="23"/>
  <c r="AM134" i="23"/>
  <c r="AS133" i="23"/>
  <c r="AR133" i="23"/>
  <c r="AQ133" i="23"/>
  <c r="AP133" i="23"/>
  <c r="AO133" i="23"/>
  <c r="AN133" i="23"/>
  <c r="AD130" i="7"/>
  <c r="AH129" i="7"/>
  <c r="AE129" i="7"/>
  <c r="AF129" i="7"/>
  <c r="AG129" i="7"/>
  <c r="AI129" i="7"/>
  <c r="AJ129" i="7"/>
  <c r="AK129" i="7"/>
  <c r="AJ132" i="22"/>
  <c r="AI132" i="22"/>
  <c r="AG132" i="22"/>
  <c r="AE132" i="22"/>
  <c r="AK132" i="22"/>
  <c r="AF132" i="22"/>
  <c r="AH132" i="22"/>
  <c r="AN128" i="7"/>
  <c r="AT128" i="7"/>
  <c r="AP128" i="7"/>
  <c r="AQ128" i="7"/>
  <c r="AS128" i="7"/>
  <c r="AM129" i="7"/>
  <c r="AR128" i="7"/>
  <c r="AO128" i="7"/>
  <c r="H132" i="22"/>
  <c r="I131" i="23"/>
  <c r="I132" i="22"/>
  <c r="J132" i="22"/>
  <c r="C133" i="23"/>
  <c r="D132" i="23"/>
  <c r="E132" i="23"/>
  <c r="F132" i="23"/>
  <c r="G132" i="23"/>
  <c r="J131" i="23"/>
  <c r="AA132" i="23"/>
  <c r="Z132" i="23"/>
  <c r="U133" i="23"/>
  <c r="W132" i="23"/>
  <c r="AB132" i="23"/>
  <c r="V132" i="23"/>
  <c r="X132" i="23"/>
  <c r="Y132" i="23"/>
  <c r="R134" i="23"/>
  <c r="Q134" i="23"/>
  <c r="L135" i="23"/>
  <c r="N134" i="23"/>
  <c r="M134" i="23"/>
  <c r="S134" i="23"/>
  <c r="O134" i="23"/>
  <c r="P134" i="23"/>
  <c r="D133" i="22"/>
  <c r="G133" i="22"/>
  <c r="E133" i="22"/>
  <c r="F133" i="22"/>
  <c r="C134" i="22"/>
  <c r="U134" i="22"/>
  <c r="X133" i="22"/>
  <c r="V133" i="22"/>
  <c r="W133" i="22"/>
  <c r="AA133" i="22" s="1"/>
  <c r="Y133" i="22"/>
  <c r="L133" i="22"/>
  <c r="O132" i="22"/>
  <c r="N132" i="22"/>
  <c r="M132" i="22"/>
  <c r="P132" i="22"/>
  <c r="AD133" i="22"/>
  <c r="Q132" i="22" l="1"/>
  <c r="S132" i="22"/>
  <c r="R132" i="22"/>
  <c r="H132" i="23"/>
  <c r="Z133" i="22"/>
  <c r="AB133" i="22"/>
  <c r="AS134" i="22"/>
  <c r="AQ134" i="22"/>
  <c r="AO134" i="22"/>
  <c r="AM135" i="22"/>
  <c r="AT134" i="22"/>
  <c r="AR134" i="22"/>
  <c r="AP134" i="22"/>
  <c r="AN134" i="22"/>
  <c r="AF134" i="23"/>
  <c r="AD135" i="23"/>
  <c r="AK134" i="23"/>
  <c r="AJ134" i="23"/>
  <c r="AI134" i="23"/>
  <c r="AE134" i="23"/>
  <c r="AH134" i="23"/>
  <c r="AG134" i="23"/>
  <c r="AM135" i="23"/>
  <c r="AT134" i="23"/>
  <c r="AS134" i="23"/>
  <c r="AR134" i="23"/>
  <c r="AP134" i="23"/>
  <c r="AO134" i="23"/>
  <c r="AQ134" i="23"/>
  <c r="AN134" i="23"/>
  <c r="AD131" i="7"/>
  <c r="AH130" i="7"/>
  <c r="AE130" i="7"/>
  <c r="AF130" i="7"/>
  <c r="AG130" i="7"/>
  <c r="AI130" i="7"/>
  <c r="AJ130" i="7"/>
  <c r="AK130" i="7"/>
  <c r="AJ133" i="22"/>
  <c r="AE133" i="22"/>
  <c r="AK133" i="22"/>
  <c r="AI133" i="22"/>
  <c r="AG133" i="22"/>
  <c r="AF133" i="22"/>
  <c r="AH133" i="22"/>
  <c r="AT129" i="7"/>
  <c r="AQ129" i="7"/>
  <c r="AR129" i="7"/>
  <c r="AM130" i="7"/>
  <c r="AP129" i="7"/>
  <c r="AN129" i="7"/>
  <c r="AS129" i="7"/>
  <c r="AO129" i="7"/>
  <c r="H133" i="22"/>
  <c r="I133" i="22"/>
  <c r="J132" i="23"/>
  <c r="I132" i="23"/>
  <c r="J133" i="22"/>
  <c r="W133" i="23"/>
  <c r="V133" i="23"/>
  <c r="U134" i="23"/>
  <c r="X133" i="23"/>
  <c r="AA133" i="23"/>
  <c r="AB133" i="23"/>
  <c r="Z133" i="23"/>
  <c r="Y133" i="23"/>
  <c r="N135" i="23"/>
  <c r="M135" i="23"/>
  <c r="S135" i="23"/>
  <c r="L136" i="23"/>
  <c r="Q135" i="23"/>
  <c r="R135" i="23"/>
  <c r="O135" i="23"/>
  <c r="P135" i="23"/>
  <c r="C134" i="23"/>
  <c r="F133" i="23"/>
  <c r="D133" i="23"/>
  <c r="E133" i="23"/>
  <c r="G133" i="23"/>
  <c r="C135" i="22"/>
  <c r="F134" i="22"/>
  <c r="E134" i="22"/>
  <c r="D134" i="22"/>
  <c r="G134" i="22"/>
  <c r="AD134" i="22"/>
  <c r="U135" i="22"/>
  <c r="X134" i="22"/>
  <c r="W134" i="22"/>
  <c r="V134" i="22"/>
  <c r="Y134" i="22"/>
  <c r="L134" i="22"/>
  <c r="O133" i="22"/>
  <c r="Q133" i="22" s="1"/>
  <c r="M133" i="22"/>
  <c r="N133" i="22"/>
  <c r="P133" i="22"/>
  <c r="S133" i="22" l="1"/>
  <c r="R133" i="22"/>
  <c r="AA134" i="22"/>
  <c r="AB134" i="22"/>
  <c r="Z134" i="22"/>
  <c r="AM136" i="22"/>
  <c r="AT135" i="22"/>
  <c r="AS135" i="22"/>
  <c r="AR135" i="22"/>
  <c r="AQ135" i="22"/>
  <c r="AP135" i="22"/>
  <c r="AO135" i="22"/>
  <c r="AN135" i="22"/>
  <c r="AD136" i="23"/>
  <c r="AK135" i="23"/>
  <c r="AJ135" i="23"/>
  <c r="AI135" i="23"/>
  <c r="AH135" i="23"/>
  <c r="AG135" i="23"/>
  <c r="AF135" i="23"/>
  <c r="AE135" i="23"/>
  <c r="AN135" i="23"/>
  <c r="AM136" i="23"/>
  <c r="AT135" i="23"/>
  <c r="AS135" i="23"/>
  <c r="AR135" i="23"/>
  <c r="AQ135" i="23"/>
  <c r="AP135" i="23"/>
  <c r="AO135" i="23"/>
  <c r="AD132" i="7"/>
  <c r="AH131" i="7"/>
  <c r="AE131" i="7"/>
  <c r="AF131" i="7"/>
  <c r="AG131" i="7"/>
  <c r="AI131" i="7"/>
  <c r="AJ131" i="7"/>
  <c r="AK131" i="7"/>
  <c r="AK134" i="22"/>
  <c r="AE134" i="22"/>
  <c r="AJ134" i="22"/>
  <c r="AI134" i="22"/>
  <c r="AG134" i="22"/>
  <c r="AF134" i="22"/>
  <c r="AH134" i="22"/>
  <c r="AQ130" i="7"/>
  <c r="AM131" i="7"/>
  <c r="AT130" i="7"/>
  <c r="AP130" i="7"/>
  <c r="AN130" i="7"/>
  <c r="AS130" i="7"/>
  <c r="AO130" i="7"/>
  <c r="AR130" i="7"/>
  <c r="H134" i="22"/>
  <c r="I134" i="22"/>
  <c r="I133" i="23"/>
  <c r="J133" i="23"/>
  <c r="J134" i="22"/>
  <c r="E134" i="23"/>
  <c r="D134" i="23"/>
  <c r="C135" i="23"/>
  <c r="F134" i="23"/>
  <c r="G134" i="23"/>
  <c r="L137" i="23"/>
  <c r="R136" i="23"/>
  <c r="Q136" i="23"/>
  <c r="N136" i="23"/>
  <c r="S136" i="23"/>
  <c r="O136" i="23"/>
  <c r="M136" i="23"/>
  <c r="P136" i="23"/>
  <c r="H133" i="23"/>
  <c r="U135" i="23"/>
  <c r="AA134" i="23"/>
  <c r="W134" i="23"/>
  <c r="V134" i="23"/>
  <c r="Z134" i="23"/>
  <c r="AB134" i="23"/>
  <c r="X134" i="23"/>
  <c r="Y134" i="23"/>
  <c r="N134" i="22"/>
  <c r="M134" i="22"/>
  <c r="L135" i="22"/>
  <c r="O134" i="22"/>
  <c r="P134" i="22"/>
  <c r="C136" i="22"/>
  <c r="E135" i="22"/>
  <c r="D135" i="22"/>
  <c r="F135" i="22"/>
  <c r="G135" i="22"/>
  <c r="AD135" i="22"/>
  <c r="U136" i="22"/>
  <c r="X135" i="22"/>
  <c r="W135" i="22"/>
  <c r="V135" i="22"/>
  <c r="Y135" i="22"/>
  <c r="R134" i="22" l="1"/>
  <c r="S134" i="22"/>
  <c r="Q134" i="22"/>
  <c r="Z135" i="22"/>
  <c r="AA135" i="22"/>
  <c r="AB135" i="22"/>
  <c r="AM137" i="22"/>
  <c r="AT136" i="22"/>
  <c r="AS136" i="22"/>
  <c r="AR136" i="22"/>
  <c r="AQ136" i="22"/>
  <c r="AP136" i="22"/>
  <c r="AO136" i="22"/>
  <c r="AN136" i="22"/>
  <c r="AD137" i="23"/>
  <c r="AK136" i="23"/>
  <c r="AJ136" i="23"/>
  <c r="AI136" i="23"/>
  <c r="AH136" i="23"/>
  <c r="AG136" i="23"/>
  <c r="AF136" i="23"/>
  <c r="AE136" i="23"/>
  <c r="AM137" i="23"/>
  <c r="AT136" i="23"/>
  <c r="AS136" i="23"/>
  <c r="AR136" i="23"/>
  <c r="AQ136" i="23"/>
  <c r="AP136" i="23"/>
  <c r="AO136" i="23"/>
  <c r="AN136" i="23"/>
  <c r="AD133" i="7"/>
  <c r="AH132" i="7"/>
  <c r="AE132" i="7"/>
  <c r="AF132" i="7"/>
  <c r="AG132" i="7"/>
  <c r="AI132" i="7"/>
  <c r="AJ132" i="7"/>
  <c r="AK132" i="7"/>
  <c r="AJ135" i="22"/>
  <c r="AF135" i="22"/>
  <c r="AK135" i="22"/>
  <c r="AI135" i="22"/>
  <c r="AG135" i="22"/>
  <c r="AE135" i="22"/>
  <c r="AH135" i="22"/>
  <c r="AQ131" i="7"/>
  <c r="AM132" i="7"/>
  <c r="AT131" i="7"/>
  <c r="AS131" i="7"/>
  <c r="AR131" i="7"/>
  <c r="AP131" i="7"/>
  <c r="AO131" i="7"/>
  <c r="AN131" i="7"/>
  <c r="H135" i="22"/>
  <c r="J134" i="23"/>
  <c r="I134" i="23"/>
  <c r="J135" i="22"/>
  <c r="H134" i="23"/>
  <c r="I135" i="22"/>
  <c r="R137" i="23"/>
  <c r="Q137" i="23"/>
  <c r="L138" i="23"/>
  <c r="N137" i="23"/>
  <c r="O137" i="23"/>
  <c r="S137" i="23"/>
  <c r="M137" i="23"/>
  <c r="P137" i="23"/>
  <c r="C136" i="23"/>
  <c r="D135" i="23"/>
  <c r="F135" i="23"/>
  <c r="E135" i="23"/>
  <c r="G135" i="23"/>
  <c r="AA135" i="23"/>
  <c r="Z135" i="23"/>
  <c r="U136" i="23"/>
  <c r="W135" i="23"/>
  <c r="AB135" i="23"/>
  <c r="X135" i="23"/>
  <c r="V135" i="23"/>
  <c r="Y135" i="23"/>
  <c r="E136" i="22"/>
  <c r="D136" i="22"/>
  <c r="F136" i="22"/>
  <c r="G136" i="22"/>
  <c r="C137" i="22"/>
  <c r="L136" i="22"/>
  <c r="O135" i="22"/>
  <c r="N135" i="22"/>
  <c r="M135" i="22"/>
  <c r="P135" i="22"/>
  <c r="AD136" i="22"/>
  <c r="U137" i="22"/>
  <c r="X136" i="22"/>
  <c r="W136" i="22"/>
  <c r="V136" i="22"/>
  <c r="AB136" i="22" s="1"/>
  <c r="Y136" i="22"/>
  <c r="D8" i="18"/>
  <c r="F8" i="18"/>
  <c r="G8" i="18"/>
  <c r="H8" i="18"/>
  <c r="I8" i="18"/>
  <c r="N8" i="18"/>
  <c r="M8" i="18"/>
  <c r="L8" i="18"/>
  <c r="K8" i="18"/>
  <c r="J8" i="18"/>
  <c r="E8" i="18"/>
  <c r="O9" i="18"/>
  <c r="Q135" i="22" l="1"/>
  <c r="R135" i="22"/>
  <c r="S135" i="22"/>
  <c r="Z136" i="22"/>
  <c r="AA136" i="22"/>
  <c r="AM138" i="22"/>
  <c r="AT137" i="22"/>
  <c r="AR137" i="22"/>
  <c r="AQ137" i="22"/>
  <c r="AP137" i="22"/>
  <c r="AO137" i="22"/>
  <c r="AN137" i="22"/>
  <c r="AS137" i="22"/>
  <c r="AD138" i="23"/>
  <c r="AK137" i="23"/>
  <c r="AJ137" i="23"/>
  <c r="AI137" i="23"/>
  <c r="AH137" i="23"/>
  <c r="AG137" i="23"/>
  <c r="AF137" i="23"/>
  <c r="AE137" i="23"/>
  <c r="AM138" i="23"/>
  <c r="AT137" i="23"/>
  <c r="AS137" i="23"/>
  <c r="AR137" i="23"/>
  <c r="AQ137" i="23"/>
  <c r="AP137" i="23"/>
  <c r="AO137" i="23"/>
  <c r="AN137" i="23"/>
  <c r="AD134" i="7"/>
  <c r="AH133" i="7"/>
  <c r="AE133" i="7"/>
  <c r="AF133" i="7"/>
  <c r="AG133" i="7"/>
  <c r="AI133" i="7"/>
  <c r="AJ133" i="7"/>
  <c r="AK133" i="7"/>
  <c r="AK136" i="22"/>
  <c r="AI136" i="22"/>
  <c r="AG136" i="22"/>
  <c r="AE136" i="22"/>
  <c r="AJ136" i="22"/>
  <c r="AF136" i="22"/>
  <c r="AH136" i="22"/>
  <c r="AQ132" i="7"/>
  <c r="AT132" i="7"/>
  <c r="AR132" i="7"/>
  <c r="AP132" i="7"/>
  <c r="AN132" i="7"/>
  <c r="AO132" i="7"/>
  <c r="AS132" i="7"/>
  <c r="AM133" i="7"/>
  <c r="I135" i="23"/>
  <c r="J135" i="23"/>
  <c r="H135" i="23"/>
  <c r="J136" i="22"/>
  <c r="H136" i="22"/>
  <c r="I136" i="22"/>
  <c r="N138" i="23"/>
  <c r="M138" i="23"/>
  <c r="Q138" i="23"/>
  <c r="O138" i="23"/>
  <c r="R138" i="23"/>
  <c r="S138" i="23"/>
  <c r="L139" i="23"/>
  <c r="P138" i="23"/>
  <c r="W136" i="23"/>
  <c r="V136" i="23"/>
  <c r="Z136" i="23"/>
  <c r="AB136" i="23"/>
  <c r="AA136" i="23"/>
  <c r="U137" i="23"/>
  <c r="X136" i="23"/>
  <c r="Y136" i="23"/>
  <c r="C137" i="23"/>
  <c r="E136" i="23"/>
  <c r="F136" i="23"/>
  <c r="D136" i="23"/>
  <c r="G136" i="23"/>
  <c r="L137" i="22"/>
  <c r="O136" i="22"/>
  <c r="M136" i="22"/>
  <c r="N136" i="22"/>
  <c r="P136" i="22"/>
  <c r="U138" i="22"/>
  <c r="X137" i="22"/>
  <c r="W137" i="22"/>
  <c r="V137" i="22"/>
  <c r="AA137" i="22" s="1"/>
  <c r="Y137" i="22"/>
  <c r="C138" i="22"/>
  <c r="F137" i="22"/>
  <c r="D137" i="22"/>
  <c r="E137" i="22"/>
  <c r="G137" i="22"/>
  <c r="AD137" i="22"/>
  <c r="E46" i="17"/>
  <c r="E75" i="17" s="1"/>
  <c r="F46" i="17"/>
  <c r="R136" i="22" l="1"/>
  <c r="S136" i="22"/>
  <c r="Q136" i="22"/>
  <c r="E106" i="17"/>
  <c r="E84" i="17"/>
  <c r="F75" i="17"/>
  <c r="E17" i="28"/>
  <c r="F17" i="28"/>
  <c r="G17" i="28"/>
  <c r="H17" i="28"/>
  <c r="I17" i="28"/>
  <c r="J17" i="28"/>
  <c r="K17" i="28"/>
  <c r="L17" i="28"/>
  <c r="M17" i="28"/>
  <c r="N17" i="28"/>
  <c r="AB137" i="22"/>
  <c r="Z137" i="22"/>
  <c r="E17" i="27"/>
  <c r="F17" i="27"/>
  <c r="G17" i="27"/>
  <c r="H17" i="27"/>
  <c r="I17" i="27"/>
  <c r="J17" i="27"/>
  <c r="K17" i="27"/>
  <c r="L17" i="27"/>
  <c r="M17" i="27"/>
  <c r="N17" i="27"/>
  <c r="AM139" i="22"/>
  <c r="AQ138" i="22"/>
  <c r="AO138" i="22"/>
  <c r="AT138" i="22"/>
  <c r="AS138" i="22"/>
  <c r="AR138" i="22"/>
  <c r="AP138" i="22"/>
  <c r="AN138" i="22"/>
  <c r="AD139" i="23"/>
  <c r="AH138" i="23"/>
  <c r="AF138" i="23"/>
  <c r="AK138" i="23"/>
  <c r="AJ138" i="23"/>
  <c r="AI138" i="23"/>
  <c r="AG138" i="23"/>
  <c r="AE138" i="23"/>
  <c r="AQ138" i="23"/>
  <c r="AO138" i="23"/>
  <c r="AM139" i="23"/>
  <c r="AT138" i="23"/>
  <c r="AS138" i="23"/>
  <c r="AR138" i="23"/>
  <c r="AP138" i="23"/>
  <c r="AN138" i="23"/>
  <c r="AD135" i="7"/>
  <c r="AH134" i="7"/>
  <c r="AE134" i="7"/>
  <c r="AF134" i="7"/>
  <c r="AG134" i="7"/>
  <c r="AI134" i="7"/>
  <c r="AJ134" i="7"/>
  <c r="AK134" i="7"/>
  <c r="AK137" i="22"/>
  <c r="AF137" i="22"/>
  <c r="AJ137" i="22"/>
  <c r="AI137" i="22"/>
  <c r="AG137" i="22"/>
  <c r="AE137" i="22"/>
  <c r="AH137" i="22"/>
  <c r="AQ133" i="7"/>
  <c r="AN133" i="7"/>
  <c r="AR133" i="7"/>
  <c r="AO133" i="7"/>
  <c r="AT133" i="7"/>
  <c r="AM134" i="7"/>
  <c r="AS133" i="7"/>
  <c r="AP133" i="7"/>
  <c r="D107" i="17"/>
  <c r="E50" i="17"/>
  <c r="E79" i="17" s="1"/>
  <c r="F50" i="17"/>
  <c r="H136" i="23"/>
  <c r="J137" i="22"/>
  <c r="J136" i="23"/>
  <c r="H137" i="22"/>
  <c r="I136" i="23"/>
  <c r="I137" i="22"/>
  <c r="E137" i="23"/>
  <c r="D137" i="23"/>
  <c r="C138" i="23"/>
  <c r="F137" i="23"/>
  <c r="G137" i="23"/>
  <c r="U138" i="23"/>
  <c r="V137" i="23"/>
  <c r="AB137" i="23"/>
  <c r="W137" i="23"/>
  <c r="X137" i="23"/>
  <c r="Z137" i="23"/>
  <c r="AA137" i="23"/>
  <c r="Y137" i="23"/>
  <c r="R139" i="23"/>
  <c r="L140" i="23"/>
  <c r="M139" i="23"/>
  <c r="Q139" i="23"/>
  <c r="O139" i="23"/>
  <c r="N139" i="23"/>
  <c r="S139" i="23"/>
  <c r="P139" i="23"/>
  <c r="X138" i="22"/>
  <c r="W138" i="22"/>
  <c r="U139" i="22"/>
  <c r="V138" i="22"/>
  <c r="Y138" i="22"/>
  <c r="AD138" i="22"/>
  <c r="C139" i="22"/>
  <c r="E138" i="22"/>
  <c r="D138" i="22"/>
  <c r="F138" i="22"/>
  <c r="G138" i="22"/>
  <c r="L138" i="22"/>
  <c r="M137" i="22"/>
  <c r="O137" i="22"/>
  <c r="N137" i="22"/>
  <c r="P137" i="22"/>
  <c r="S137" i="22" l="1"/>
  <c r="R137" i="22"/>
  <c r="Q137" i="22"/>
  <c r="F106" i="17"/>
  <c r="F84" i="17"/>
  <c r="E42" i="28"/>
  <c r="E43" i="28" s="1"/>
  <c r="E41" i="28"/>
  <c r="E47" i="28"/>
  <c r="E48" i="28"/>
  <c r="E46" i="28"/>
  <c r="F42" i="28"/>
  <c r="F43" i="28" s="1"/>
  <c r="F46" i="28"/>
  <c r="F41" i="28"/>
  <c r="F47" i="28"/>
  <c r="F48" i="28"/>
  <c r="G41" i="28"/>
  <c r="G48" i="28"/>
  <c r="G46" i="28"/>
  <c r="G47" i="28"/>
  <c r="G42" i="28"/>
  <c r="G43" i="28" s="1"/>
  <c r="H41" i="28"/>
  <c r="H47" i="28"/>
  <c r="H46" i="28"/>
  <c r="H42" i="28"/>
  <c r="H43" i="28" s="1"/>
  <c r="H48" i="28"/>
  <c r="I47" i="28"/>
  <c r="I48" i="28"/>
  <c r="I42" i="28"/>
  <c r="I43" i="28" s="1"/>
  <c r="I41" i="28"/>
  <c r="I46" i="28"/>
  <c r="J46" i="28"/>
  <c r="J48" i="28"/>
  <c r="J42" i="28"/>
  <c r="J43" i="28" s="1"/>
  <c r="J41" i="28"/>
  <c r="J47" i="28"/>
  <c r="K47" i="28"/>
  <c r="K46" i="28"/>
  <c r="K42" i="28"/>
  <c r="K43" i="28" s="1"/>
  <c r="K41" i="28"/>
  <c r="K48" i="28"/>
  <c r="L42" i="28"/>
  <c r="L43" i="28" s="1"/>
  <c r="L46" i="28"/>
  <c r="L48" i="28"/>
  <c r="L41" i="28"/>
  <c r="L47" i="28"/>
  <c r="M48" i="28"/>
  <c r="M46" i="28"/>
  <c r="M47" i="28"/>
  <c r="M42" i="28"/>
  <c r="M43" i="28" s="1"/>
  <c r="M41" i="28"/>
  <c r="N46" i="28"/>
  <c r="N48" i="28"/>
  <c r="N41" i="28"/>
  <c r="N47" i="28"/>
  <c r="N42" i="28"/>
  <c r="N43" i="28" s="1"/>
  <c r="F79" i="17"/>
  <c r="O17" i="28"/>
  <c r="P17" i="28"/>
  <c r="Q17" i="28"/>
  <c r="R17" i="28"/>
  <c r="S17" i="28"/>
  <c r="T17" i="28"/>
  <c r="U17" i="28"/>
  <c r="V17" i="28"/>
  <c r="W17" i="28"/>
  <c r="X17" i="28"/>
  <c r="Y17" i="28"/>
  <c r="Z17" i="28"/>
  <c r="E52" i="17"/>
  <c r="F52" i="17"/>
  <c r="Z138" i="22"/>
  <c r="AA138" i="22"/>
  <c r="AB138" i="22"/>
  <c r="E48" i="27"/>
  <c r="E41" i="27"/>
  <c r="E46" i="27"/>
  <c r="E42" i="27"/>
  <c r="E43" i="27" s="1"/>
  <c r="E47" i="27"/>
  <c r="F42" i="27"/>
  <c r="F43" i="27" s="1"/>
  <c r="F47" i="27"/>
  <c r="F48" i="27"/>
  <c r="F41" i="27"/>
  <c r="F46" i="27"/>
  <c r="G41" i="27"/>
  <c r="G48" i="27"/>
  <c r="G46" i="27"/>
  <c r="G47" i="27"/>
  <c r="G42" i="27"/>
  <c r="G43" i="27" s="1"/>
  <c r="H48" i="27"/>
  <c r="H47" i="27"/>
  <c r="H46" i="27"/>
  <c r="H42" i="27"/>
  <c r="H43" i="27" s="1"/>
  <c r="H41" i="27"/>
  <c r="I48" i="27"/>
  <c r="I47" i="27"/>
  <c r="I46" i="27"/>
  <c r="I42" i="27"/>
  <c r="I43" i="27" s="1"/>
  <c r="I41" i="27"/>
  <c r="J47" i="27"/>
  <c r="J46" i="27"/>
  <c r="J42" i="27"/>
  <c r="J43" i="27" s="1"/>
  <c r="J41" i="27"/>
  <c r="J48" i="27"/>
  <c r="K48" i="27"/>
  <c r="K46" i="27"/>
  <c r="K42" i="27"/>
  <c r="K43" i="27" s="1"/>
  <c r="K47" i="27"/>
  <c r="K41" i="27"/>
  <c r="L48" i="27"/>
  <c r="L41" i="27"/>
  <c r="L42" i="27"/>
  <c r="L43" i="27" s="1"/>
  <c r="L47" i="27"/>
  <c r="L46" i="27"/>
  <c r="M46" i="27"/>
  <c r="M41" i="27"/>
  <c r="M48" i="27"/>
  <c r="M47" i="27"/>
  <c r="M42" i="27"/>
  <c r="M43" i="27" s="1"/>
  <c r="N47" i="27"/>
  <c r="N46" i="27"/>
  <c r="N42" i="27"/>
  <c r="N43" i="27" s="1"/>
  <c r="N41" i="27"/>
  <c r="N48" i="27"/>
  <c r="O17" i="27"/>
  <c r="P17" i="27"/>
  <c r="Q17" i="27"/>
  <c r="R17" i="27"/>
  <c r="S17" i="27"/>
  <c r="T17" i="27"/>
  <c r="U17" i="27"/>
  <c r="V17" i="27"/>
  <c r="W17" i="27"/>
  <c r="X17" i="27"/>
  <c r="Y17" i="27"/>
  <c r="Z17" i="27"/>
  <c r="AS139" i="22"/>
  <c r="AM140" i="22"/>
  <c r="AT139" i="22"/>
  <c r="AR139" i="22"/>
  <c r="AP139" i="22"/>
  <c r="AN139" i="22"/>
  <c r="AQ139" i="22"/>
  <c r="AO139" i="22"/>
  <c r="AD140" i="23"/>
  <c r="AK139" i="23"/>
  <c r="AJ139" i="23"/>
  <c r="AI139" i="23"/>
  <c r="AH139" i="23"/>
  <c r="AG139" i="23"/>
  <c r="AF139" i="23"/>
  <c r="AE139" i="23"/>
  <c r="AQ139" i="23"/>
  <c r="AO139" i="23"/>
  <c r="AM140" i="23"/>
  <c r="AT139" i="23"/>
  <c r="AS139" i="23"/>
  <c r="AR139" i="23"/>
  <c r="AP139" i="23"/>
  <c r="AN139" i="23"/>
  <c r="AD136" i="7"/>
  <c r="AH135" i="7"/>
  <c r="AE135" i="7"/>
  <c r="AF135" i="7"/>
  <c r="AG135" i="7"/>
  <c r="AI135" i="7"/>
  <c r="AJ135" i="7"/>
  <c r="AK135" i="7"/>
  <c r="AJ138" i="22"/>
  <c r="AF138" i="22"/>
  <c r="AK138" i="22"/>
  <c r="AI138" i="22"/>
  <c r="AG138" i="22"/>
  <c r="AE138" i="22"/>
  <c r="AH138" i="22"/>
  <c r="AQ134" i="7"/>
  <c r="AR134" i="7"/>
  <c r="AP134" i="7"/>
  <c r="AT134" i="7"/>
  <c r="AN134" i="7"/>
  <c r="AS134" i="7"/>
  <c r="AM135" i="7"/>
  <c r="AO134" i="7"/>
  <c r="D54" i="17"/>
  <c r="D80" i="17" s="1"/>
  <c r="F54" i="17"/>
  <c r="E54" i="17"/>
  <c r="E80" i="17" s="1"/>
  <c r="H137" i="23"/>
  <c r="J138" i="22"/>
  <c r="I137" i="23"/>
  <c r="I138" i="22"/>
  <c r="J137" i="23"/>
  <c r="AA138" i="23"/>
  <c r="Z138" i="23"/>
  <c r="X138" i="23"/>
  <c r="U139" i="23"/>
  <c r="AB138" i="23"/>
  <c r="W138" i="23"/>
  <c r="V138" i="23"/>
  <c r="Y138" i="23"/>
  <c r="C139" i="23"/>
  <c r="E138" i="23"/>
  <c r="F138" i="23"/>
  <c r="D138" i="23"/>
  <c r="G138" i="23"/>
  <c r="S140" i="23"/>
  <c r="N140" i="23"/>
  <c r="O140" i="23"/>
  <c r="M140" i="23"/>
  <c r="R140" i="23"/>
  <c r="L141" i="23"/>
  <c r="Q140" i="23"/>
  <c r="P140" i="23"/>
  <c r="L139" i="22"/>
  <c r="M138" i="22"/>
  <c r="N138" i="22"/>
  <c r="O138" i="22"/>
  <c r="P138" i="22"/>
  <c r="H138" i="22"/>
  <c r="AD139" i="22"/>
  <c r="C140" i="22"/>
  <c r="F139" i="22"/>
  <c r="D139" i="22"/>
  <c r="G139" i="22"/>
  <c r="E139" i="22"/>
  <c r="U140" i="22"/>
  <c r="X139" i="22"/>
  <c r="W139" i="22"/>
  <c r="V139" i="22"/>
  <c r="Y139" i="22"/>
  <c r="F6" i="3"/>
  <c r="O44" i="28" l="1"/>
  <c r="O45" i="28" s="1"/>
  <c r="P44" i="28"/>
  <c r="P45" i="28" s="1"/>
  <c r="R138" i="22"/>
  <c r="S138" i="22"/>
  <c r="Q138" i="22"/>
  <c r="N61" i="28"/>
  <c r="N50" i="28" s="1"/>
  <c r="M61" i="28"/>
  <c r="M50" i="28" s="1"/>
  <c r="L61" i="28"/>
  <c r="L50" i="28" s="1"/>
  <c r="K61" i="28"/>
  <c r="K50" i="28" s="1"/>
  <c r="J61" i="28"/>
  <c r="J50" i="28" s="1"/>
  <c r="I61" i="28"/>
  <c r="I50" i="28" s="1"/>
  <c r="H61" i="28"/>
  <c r="H50" i="28" s="1"/>
  <c r="G61" i="28"/>
  <c r="G50" i="28" s="1"/>
  <c r="F61" i="28"/>
  <c r="F50" i="28" s="1"/>
  <c r="E61" i="28"/>
  <c r="E50" i="28" s="1"/>
  <c r="N44" i="28"/>
  <c r="M44" i="28"/>
  <c r="L44" i="28"/>
  <c r="K44" i="28"/>
  <c r="J44" i="28"/>
  <c r="I44" i="28"/>
  <c r="H44" i="28"/>
  <c r="G44" i="28"/>
  <c r="F44" i="28"/>
  <c r="E44" i="28"/>
  <c r="Z42" i="28"/>
  <c r="Z43" i="28" s="1"/>
  <c r="Y42" i="28"/>
  <c r="Y43" i="28" s="1"/>
  <c r="X42" i="28"/>
  <c r="X43" i="28" s="1"/>
  <c r="W42" i="28"/>
  <c r="W43" i="28" s="1"/>
  <c r="V42" i="28"/>
  <c r="V43" i="28" s="1"/>
  <c r="U42" i="28"/>
  <c r="U43" i="28" s="1"/>
  <c r="T42" i="28"/>
  <c r="T43" i="28" s="1"/>
  <c r="S42" i="28"/>
  <c r="S43" i="28" s="1"/>
  <c r="R42" i="28"/>
  <c r="R43" i="28" s="1"/>
  <c r="Q42" i="28"/>
  <c r="Q43" i="28" s="1"/>
  <c r="P42" i="28"/>
  <c r="P43" i="28" s="1"/>
  <c r="O42" i="28"/>
  <c r="O43" i="28" s="1"/>
  <c r="O48" i="28"/>
  <c r="O41" i="28"/>
  <c r="O46" i="28"/>
  <c r="O47" i="28"/>
  <c r="P46" i="28"/>
  <c r="P48" i="28"/>
  <c r="P41" i="28"/>
  <c r="P47" i="28"/>
  <c r="Q48" i="28"/>
  <c r="Q46" i="28"/>
  <c r="Q47" i="28"/>
  <c r="Q41" i="28"/>
  <c r="R48" i="28"/>
  <c r="R47" i="28"/>
  <c r="R41" i="28"/>
  <c r="R46" i="28"/>
  <c r="S48" i="28"/>
  <c r="S47" i="28"/>
  <c r="S41" i="28"/>
  <c r="S46" i="28"/>
  <c r="T46" i="28"/>
  <c r="T48" i="28"/>
  <c r="T47" i="28"/>
  <c r="T41" i="28"/>
  <c r="U47" i="28"/>
  <c r="U46" i="28"/>
  <c r="U48" i="28"/>
  <c r="U41" i="28"/>
  <c r="V48" i="28"/>
  <c r="V47" i="28"/>
  <c r="V41" i="28"/>
  <c r="V46" i="28"/>
  <c r="W41" i="28"/>
  <c r="W48" i="28"/>
  <c r="W47" i="28"/>
  <c r="W46" i="28"/>
  <c r="X46" i="28"/>
  <c r="X47" i="28"/>
  <c r="X48" i="28"/>
  <c r="X41" i="28"/>
  <c r="Y41" i="28"/>
  <c r="Y46" i="28"/>
  <c r="Y48" i="28"/>
  <c r="Y47" i="28"/>
  <c r="Z41" i="28"/>
  <c r="Z48" i="28"/>
  <c r="Z46" i="28"/>
  <c r="Z47" i="28"/>
  <c r="F56" i="17"/>
  <c r="F80" i="17"/>
  <c r="AA17" i="28"/>
  <c r="AB17" i="28"/>
  <c r="AC17" i="28"/>
  <c r="AD17" i="28"/>
  <c r="AE17" i="28"/>
  <c r="AF17" i="28"/>
  <c r="AG17" i="28"/>
  <c r="AH17" i="28"/>
  <c r="AI17" i="28"/>
  <c r="AJ17" i="28"/>
  <c r="AK17" i="28"/>
  <c r="AL17" i="28"/>
  <c r="AM17" i="28"/>
  <c r="AN17" i="28"/>
  <c r="D56" i="17"/>
  <c r="E56" i="17"/>
  <c r="E44" i="27"/>
  <c r="F44" i="27"/>
  <c r="G44" i="27"/>
  <c r="H44" i="27"/>
  <c r="J44" i="27"/>
  <c r="K44" i="27"/>
  <c r="L44" i="27"/>
  <c r="M44" i="27"/>
  <c r="N44" i="27"/>
  <c r="I44" i="27"/>
  <c r="AA139" i="22"/>
  <c r="Z139" i="22"/>
  <c r="AB139" i="22"/>
  <c r="O42" i="27"/>
  <c r="O43" i="27" s="1"/>
  <c r="O47" i="27"/>
  <c r="O41" i="27"/>
  <c r="O48" i="27"/>
  <c r="O46" i="27"/>
  <c r="P48" i="27"/>
  <c r="P46" i="27"/>
  <c r="P41" i="27"/>
  <c r="P47" i="27"/>
  <c r="P42" i="27"/>
  <c r="P43" i="27" s="1"/>
  <c r="Q48" i="27"/>
  <c r="Q47" i="27"/>
  <c r="Q46" i="27"/>
  <c r="Q41" i="27"/>
  <c r="Q42" i="27"/>
  <c r="Q43" i="27" s="1"/>
  <c r="R48" i="27"/>
  <c r="R47" i="27"/>
  <c r="R46" i="27"/>
  <c r="R41" i="27"/>
  <c r="R42" i="27"/>
  <c r="R43" i="27" s="1"/>
  <c r="S48" i="27"/>
  <c r="S46" i="27"/>
  <c r="S42" i="27"/>
  <c r="S43" i="27" s="1"/>
  <c r="S41" i="27"/>
  <c r="S47" i="27"/>
  <c r="T48" i="27"/>
  <c r="T47" i="27"/>
  <c r="T46" i="27"/>
  <c r="T42" i="27"/>
  <c r="T43" i="27" s="1"/>
  <c r="T41" i="27"/>
  <c r="U47" i="27"/>
  <c r="U42" i="27"/>
  <c r="U43" i="27" s="1"/>
  <c r="U48" i="27"/>
  <c r="U46" i="27"/>
  <c r="U41" i="27"/>
  <c r="V41" i="27"/>
  <c r="V48" i="27"/>
  <c r="V46" i="27"/>
  <c r="V47" i="27"/>
  <c r="V42" i="27"/>
  <c r="V43" i="27" s="1"/>
  <c r="W41" i="27"/>
  <c r="W48" i="27"/>
  <c r="W47" i="27"/>
  <c r="W46" i="27"/>
  <c r="W42" i="27"/>
  <c r="W43" i="27" s="1"/>
  <c r="X41" i="27"/>
  <c r="X48" i="27"/>
  <c r="X46" i="27"/>
  <c r="X42" i="27"/>
  <c r="X43" i="27" s="1"/>
  <c r="X47" i="27"/>
  <c r="Y46" i="27"/>
  <c r="Y47" i="27"/>
  <c r="Y41" i="27"/>
  <c r="Y48" i="27"/>
  <c r="Y42" i="27"/>
  <c r="Y43" i="27" s="1"/>
  <c r="Z46" i="27"/>
  <c r="Z41" i="27"/>
  <c r="Z47" i="27"/>
  <c r="Z42" i="27"/>
  <c r="Z43" i="27" s="1"/>
  <c r="Z48" i="27"/>
  <c r="E107" i="17"/>
  <c r="E61" i="27"/>
  <c r="E50" i="27" s="1"/>
  <c r="F61" i="27"/>
  <c r="F50" i="27" s="1"/>
  <c r="G61" i="27"/>
  <c r="G50" i="27" s="1"/>
  <c r="H61" i="27"/>
  <c r="H50" i="27" s="1"/>
  <c r="I61" i="27"/>
  <c r="I50" i="27" s="1"/>
  <c r="J61" i="27"/>
  <c r="J50" i="27" s="1"/>
  <c r="K61" i="27"/>
  <c r="K50" i="27" s="1"/>
  <c r="L61" i="27"/>
  <c r="L50" i="27" s="1"/>
  <c r="M61" i="27"/>
  <c r="M50" i="27" s="1"/>
  <c r="N61" i="27"/>
  <c r="N50" i="27" s="1"/>
  <c r="V44" i="27"/>
  <c r="V45" i="27" s="1"/>
  <c r="O44" i="27"/>
  <c r="O45" i="27" s="1"/>
  <c r="P44" i="27"/>
  <c r="P45" i="27" s="1"/>
  <c r="Q44" i="27"/>
  <c r="Q45" i="27" s="1"/>
  <c r="R44" i="27"/>
  <c r="R45" i="27" s="1"/>
  <c r="S44" i="27"/>
  <c r="S45" i="27" s="1"/>
  <c r="T44" i="27"/>
  <c r="T45" i="27" s="1"/>
  <c r="U44" i="27"/>
  <c r="U45" i="27" s="1"/>
  <c r="W44" i="27"/>
  <c r="W45" i="27" s="1"/>
  <c r="X44" i="27"/>
  <c r="X45" i="27" s="1"/>
  <c r="Y44" i="27"/>
  <c r="Y45" i="27" s="1"/>
  <c r="Z44" i="27"/>
  <c r="Z45" i="27" s="1"/>
  <c r="AA17" i="27"/>
  <c r="AB17" i="27"/>
  <c r="AC17" i="27"/>
  <c r="AD17" i="27"/>
  <c r="AE17" i="27"/>
  <c r="AF17" i="27"/>
  <c r="AG17" i="27"/>
  <c r="AH17" i="27"/>
  <c r="AI17" i="27"/>
  <c r="AJ17" i="27"/>
  <c r="AK17" i="27"/>
  <c r="AL17" i="27"/>
  <c r="AM17" i="27"/>
  <c r="AN17" i="27"/>
  <c r="AQ140" i="22"/>
  <c r="AM141" i="22"/>
  <c r="AP140" i="22"/>
  <c r="AT140" i="22"/>
  <c r="AS140" i="22"/>
  <c r="AR140" i="22"/>
  <c r="AO140" i="22"/>
  <c r="AN140" i="22"/>
  <c r="AH140" i="23"/>
  <c r="AF140" i="23"/>
  <c r="AD141" i="23"/>
  <c r="AK140" i="23"/>
  <c r="AJ140" i="23"/>
  <c r="AI140" i="23"/>
  <c r="AG140" i="23"/>
  <c r="AE140" i="23"/>
  <c r="AR140" i="23"/>
  <c r="AM141" i="23"/>
  <c r="AT140" i="23"/>
  <c r="AS140" i="23"/>
  <c r="AQ140" i="23"/>
  <c r="AP140" i="23"/>
  <c r="AO140" i="23"/>
  <c r="AN140" i="23"/>
  <c r="AD137" i="7"/>
  <c r="AH136" i="7"/>
  <c r="AE136" i="7"/>
  <c r="AF136" i="7"/>
  <c r="AG136" i="7"/>
  <c r="AI136" i="7"/>
  <c r="AJ136" i="7"/>
  <c r="AK136" i="7"/>
  <c r="AK139" i="22"/>
  <c r="AJ139" i="22"/>
  <c r="AE139" i="22"/>
  <c r="AI139" i="22"/>
  <c r="AG139" i="22"/>
  <c r="AF139" i="22"/>
  <c r="AH139" i="22"/>
  <c r="AM136" i="7"/>
  <c r="AP135" i="7"/>
  <c r="AS135" i="7"/>
  <c r="AR135" i="7"/>
  <c r="AT135" i="7"/>
  <c r="AQ135" i="7"/>
  <c r="AO135" i="7"/>
  <c r="AN135" i="7"/>
  <c r="F107" i="17"/>
  <c r="F108" i="17"/>
  <c r="E108" i="17"/>
  <c r="O61" i="27" s="1"/>
  <c r="F7" i="3"/>
  <c r="F9" i="3" s="1"/>
  <c r="F11" i="3"/>
  <c r="I139" i="22"/>
  <c r="H139" i="22"/>
  <c r="J139" i="22"/>
  <c r="I138" i="23"/>
  <c r="J138" i="23"/>
  <c r="H138" i="23"/>
  <c r="L142" i="23"/>
  <c r="O141" i="23"/>
  <c r="N141" i="23"/>
  <c r="S141" i="23"/>
  <c r="R141" i="23"/>
  <c r="Q141" i="23"/>
  <c r="M141" i="23"/>
  <c r="P141" i="23"/>
  <c r="U140" i="23"/>
  <c r="X139" i="23"/>
  <c r="W139" i="23"/>
  <c r="V139" i="23"/>
  <c r="AB139" i="23"/>
  <c r="AA139" i="23"/>
  <c r="Z139" i="23"/>
  <c r="Y139" i="23"/>
  <c r="E139" i="23"/>
  <c r="C140" i="23"/>
  <c r="D139" i="23"/>
  <c r="F139" i="23"/>
  <c r="G139" i="23"/>
  <c r="AD140" i="22"/>
  <c r="C141" i="22"/>
  <c r="F140" i="22"/>
  <c r="E140" i="22"/>
  <c r="D140" i="22"/>
  <c r="G140" i="22"/>
  <c r="U141" i="22"/>
  <c r="X140" i="22"/>
  <c r="W140" i="22"/>
  <c r="V140" i="22"/>
  <c r="Y140" i="22"/>
  <c r="L140" i="22"/>
  <c r="O139" i="22"/>
  <c r="N139" i="22"/>
  <c r="M139" i="22"/>
  <c r="P139" i="22"/>
  <c r="F8" i="3"/>
  <c r="E94" i="3"/>
  <c r="G6" i="3"/>
  <c r="R139" i="22" l="1"/>
  <c r="Q40" i="28"/>
  <c r="Q139" i="22"/>
  <c r="S139" i="22"/>
  <c r="O40" i="28"/>
  <c r="R40" i="28"/>
  <c r="K45" i="27"/>
  <c r="K40" i="27" s="1"/>
  <c r="H45" i="27"/>
  <c r="H40" i="27" s="1"/>
  <c r="L45" i="27"/>
  <c r="L40" i="27" s="1"/>
  <c r="S40" i="28"/>
  <c r="P40" i="28"/>
  <c r="T40" i="28"/>
  <c r="U40" i="28"/>
  <c r="V40" i="28"/>
  <c r="W40" i="28"/>
  <c r="X40" i="28"/>
  <c r="Y40" i="28"/>
  <c r="Z40" i="28"/>
  <c r="N45" i="28"/>
  <c r="N40" i="28" s="1"/>
  <c r="O61" i="28"/>
  <c r="O50" i="28" s="1"/>
  <c r="P61" i="28"/>
  <c r="P50" i="28" s="1"/>
  <c r="Q61" i="28"/>
  <c r="Q50" i="28" s="1"/>
  <c r="R61" i="28"/>
  <c r="R50" i="28" s="1"/>
  <c r="S61" i="28"/>
  <c r="S50" i="28" s="1"/>
  <c r="T61" i="28"/>
  <c r="T50" i="28" s="1"/>
  <c r="U61" i="28"/>
  <c r="U50" i="28" s="1"/>
  <c r="V61" i="28"/>
  <c r="V50" i="28" s="1"/>
  <c r="W61" i="28"/>
  <c r="W50" i="28" s="1"/>
  <c r="X61" i="28"/>
  <c r="X50" i="28" s="1"/>
  <c r="Y61" i="28"/>
  <c r="Y50" i="28" s="1"/>
  <c r="Z61" i="28"/>
  <c r="Z50" i="28" s="1"/>
  <c r="M45" i="28"/>
  <c r="M40" i="28" s="1"/>
  <c r="L45" i="28"/>
  <c r="L40" i="28" s="1"/>
  <c r="K45" i="28"/>
  <c r="K40" i="28" s="1"/>
  <c r="J45" i="28"/>
  <c r="J40" i="28" s="1"/>
  <c r="I45" i="28"/>
  <c r="I40" i="28" s="1"/>
  <c r="H45" i="28"/>
  <c r="H40" i="28" s="1"/>
  <c r="G45" i="28"/>
  <c r="G40" i="28" s="1"/>
  <c r="F45" i="28"/>
  <c r="F40" i="28" s="1"/>
  <c r="E45" i="28"/>
  <c r="E40" i="28" s="1"/>
  <c r="AN42" i="28"/>
  <c r="AN43" i="28" s="1"/>
  <c r="AM42" i="28"/>
  <c r="AM43" i="28" s="1"/>
  <c r="AL42" i="28"/>
  <c r="AL43" i="28" s="1"/>
  <c r="AK42" i="28"/>
  <c r="AK43" i="28" s="1"/>
  <c r="AJ42" i="28"/>
  <c r="AJ43" i="28" s="1"/>
  <c r="AI42" i="28"/>
  <c r="AI43" i="28" s="1"/>
  <c r="AH42" i="28"/>
  <c r="AH43" i="28" s="1"/>
  <c r="AG42" i="28"/>
  <c r="AG43" i="28" s="1"/>
  <c r="AF42" i="28"/>
  <c r="AF43" i="28" s="1"/>
  <c r="AE42" i="28"/>
  <c r="AE43" i="28" s="1"/>
  <c r="AD42" i="28"/>
  <c r="AD43" i="28" s="1"/>
  <c r="AC42" i="28"/>
  <c r="AC43" i="28" s="1"/>
  <c r="AB42" i="28"/>
  <c r="AB43" i="28" s="1"/>
  <c r="AA42" i="28"/>
  <c r="AA43" i="28" s="1"/>
  <c r="AA41" i="28"/>
  <c r="AA47" i="28"/>
  <c r="AA48" i="28"/>
  <c r="AA46" i="28"/>
  <c r="AB48" i="28"/>
  <c r="AB47" i="28"/>
  <c r="AB41" i="28"/>
  <c r="AB46" i="28"/>
  <c r="AC47" i="28"/>
  <c r="AC48" i="28"/>
  <c r="AC46" i="28"/>
  <c r="AC41" i="28"/>
  <c r="AD47" i="28"/>
  <c r="AD41" i="28"/>
  <c r="AD48" i="28"/>
  <c r="AD46" i="28"/>
  <c r="AE46" i="28"/>
  <c r="AE48" i="28"/>
  <c r="AE47" i="28"/>
  <c r="AE41" i="28"/>
  <c r="AF46" i="28"/>
  <c r="AF48" i="28"/>
  <c r="AF41" i="28"/>
  <c r="AF47" i="28"/>
  <c r="AG48" i="28"/>
  <c r="AG47" i="28"/>
  <c r="AG41" i="28"/>
  <c r="AG46" i="28"/>
  <c r="AH47" i="28"/>
  <c r="AH46" i="28"/>
  <c r="AH41" i="28"/>
  <c r="AH48" i="28"/>
  <c r="AI41" i="28"/>
  <c r="AI48" i="28"/>
  <c r="AI46" i="28"/>
  <c r="AI47" i="28"/>
  <c r="AJ41" i="28"/>
  <c r="AJ46" i="28"/>
  <c r="AJ47" i="28"/>
  <c r="AJ48" i="28"/>
  <c r="AK48" i="28"/>
  <c r="AK41" i="28"/>
  <c r="AK47" i="28"/>
  <c r="AK46" i="28"/>
  <c r="AL46" i="28"/>
  <c r="AL41" i="28"/>
  <c r="AL47" i="28"/>
  <c r="AL48" i="28"/>
  <c r="AM47" i="28"/>
  <c r="AM46" i="28"/>
  <c r="AM48" i="28"/>
  <c r="AM41" i="28"/>
  <c r="AN47" i="28"/>
  <c r="AN41" i="28"/>
  <c r="AN48" i="28"/>
  <c r="AN46" i="28"/>
  <c r="E45" i="27"/>
  <c r="E40" i="27" s="1"/>
  <c r="F45" i="27"/>
  <c r="F40" i="27" s="1"/>
  <c r="G45" i="27"/>
  <c r="G40" i="27" s="1"/>
  <c r="J45" i="27"/>
  <c r="J40" i="27" s="1"/>
  <c r="M45" i="27"/>
  <c r="M40" i="27" s="1"/>
  <c r="N45" i="27"/>
  <c r="N40" i="27" s="1"/>
  <c r="I45" i="27"/>
  <c r="I40" i="27" s="1"/>
  <c r="AA140" i="22"/>
  <c r="AB140" i="22"/>
  <c r="Z140" i="22"/>
  <c r="Q40" i="27"/>
  <c r="S40" i="27"/>
  <c r="AA47" i="27"/>
  <c r="AA46" i="27"/>
  <c r="AA41" i="27"/>
  <c r="AA42" i="27"/>
  <c r="AA43" i="27" s="1"/>
  <c r="AA48" i="27"/>
  <c r="AB48" i="27"/>
  <c r="AB47" i="27"/>
  <c r="AB46" i="27"/>
  <c r="AB41" i="27"/>
  <c r="AB42" i="27"/>
  <c r="AB43" i="27" s="1"/>
  <c r="AC47" i="27"/>
  <c r="AC46" i="27"/>
  <c r="AC42" i="27"/>
  <c r="AC43" i="27" s="1"/>
  <c r="AC41" i="27"/>
  <c r="AC48" i="27"/>
  <c r="AD42" i="27"/>
  <c r="AD43" i="27" s="1"/>
  <c r="AD48" i="27"/>
  <c r="AD47" i="27"/>
  <c r="AD46" i="27"/>
  <c r="AD41" i="27"/>
  <c r="AE48" i="27"/>
  <c r="AE46" i="27"/>
  <c r="AE41" i="27"/>
  <c r="AE47" i="27"/>
  <c r="AE42" i="27"/>
  <c r="AE43" i="27" s="1"/>
  <c r="AF41" i="27"/>
  <c r="AF47" i="27"/>
  <c r="AF46" i="27"/>
  <c r="AF42" i="27"/>
  <c r="AF43" i="27" s="1"/>
  <c r="AF48" i="27"/>
  <c r="AG47" i="27"/>
  <c r="AG48" i="27"/>
  <c r="AG46" i="27"/>
  <c r="AG42" i="27"/>
  <c r="AG43" i="27" s="1"/>
  <c r="AG41" i="27"/>
  <c r="AH41" i="27"/>
  <c r="AH46" i="27"/>
  <c r="AH42" i="27"/>
  <c r="AH43" i="27" s="1"/>
  <c r="AH48" i="27"/>
  <c r="AH47" i="27"/>
  <c r="AI48" i="27"/>
  <c r="AI47" i="27"/>
  <c r="AI41" i="27"/>
  <c r="AI46" i="27"/>
  <c r="AI42" i="27"/>
  <c r="AI43" i="27" s="1"/>
  <c r="AJ42" i="27"/>
  <c r="AJ43" i="27" s="1"/>
  <c r="AJ47" i="27"/>
  <c r="AJ48" i="27"/>
  <c r="AJ46" i="27"/>
  <c r="AJ41" i="27"/>
  <c r="AK48" i="27"/>
  <c r="AK46" i="27"/>
  <c r="AK42" i="27"/>
  <c r="AK43" i="27" s="1"/>
  <c r="AK41" i="27"/>
  <c r="AK47" i="27"/>
  <c r="AL48" i="27"/>
  <c r="AL47" i="27"/>
  <c r="AL46" i="27"/>
  <c r="AL42" i="27"/>
  <c r="AL43" i="27" s="1"/>
  <c r="AL41" i="27"/>
  <c r="AM48" i="27"/>
  <c r="AM46" i="27"/>
  <c r="AM41" i="27"/>
  <c r="AM47" i="27"/>
  <c r="AM42" i="27"/>
  <c r="AM43" i="27" s="1"/>
  <c r="AN48" i="27"/>
  <c r="AN47" i="27"/>
  <c r="AN41" i="27"/>
  <c r="AN46" i="27"/>
  <c r="AN42" i="27"/>
  <c r="AN43" i="27" s="1"/>
  <c r="T40" i="27"/>
  <c r="U40" i="27"/>
  <c r="V40" i="27"/>
  <c r="W40" i="27"/>
  <c r="X40" i="27"/>
  <c r="Y40" i="27"/>
  <c r="O40" i="27"/>
  <c r="Z40" i="27"/>
  <c r="P40" i="27"/>
  <c r="R40" i="27"/>
  <c r="P61" i="27"/>
  <c r="P50" i="27" s="1"/>
  <c r="O50" i="27"/>
  <c r="U61" i="27"/>
  <c r="U50" i="27" s="1"/>
  <c r="Q61" i="27"/>
  <c r="Q50" i="27" s="1"/>
  <c r="R61" i="27"/>
  <c r="R50" i="27" s="1"/>
  <c r="S61" i="27"/>
  <c r="S50" i="27" s="1"/>
  <c r="T61" i="27"/>
  <c r="T50" i="27" s="1"/>
  <c r="V61" i="27"/>
  <c r="V50" i="27" s="1"/>
  <c r="W61" i="27"/>
  <c r="W50" i="27" s="1"/>
  <c r="X61" i="27"/>
  <c r="X50" i="27" s="1"/>
  <c r="Y61" i="27"/>
  <c r="Y50" i="27" s="1"/>
  <c r="Z61" i="27"/>
  <c r="Z50" i="27" s="1"/>
  <c r="F85" i="3"/>
  <c r="F84" i="3"/>
  <c r="F83" i="3"/>
  <c r="F69" i="3"/>
  <c r="F66" i="3"/>
  <c r="F61" i="3"/>
  <c r="F57" i="3"/>
  <c r="F53" i="3"/>
  <c r="F52" i="3"/>
  <c r="F51" i="3"/>
  <c r="F86" i="3"/>
  <c r="F81" i="3"/>
  <c r="F65" i="3"/>
  <c r="F63" i="3"/>
  <c r="F59" i="3"/>
  <c r="F56" i="3"/>
  <c r="F44" i="3"/>
  <c r="F45" i="3" s="1"/>
  <c r="F54" i="3"/>
  <c r="F62" i="3"/>
  <c r="F70" i="3"/>
  <c r="F68" i="3"/>
  <c r="F67" i="3"/>
  <c r="F82" i="3"/>
  <c r="F64" i="3"/>
  <c r="F58" i="3"/>
  <c r="F55" i="3"/>
  <c r="F88" i="3"/>
  <c r="F87" i="3"/>
  <c r="F79" i="3"/>
  <c r="F78" i="3"/>
  <c r="F77" i="3"/>
  <c r="F80" i="3"/>
  <c r="F76" i="3"/>
  <c r="AT141" i="22"/>
  <c r="AS141" i="22"/>
  <c r="AQ141" i="22"/>
  <c r="AO141" i="22"/>
  <c r="AM142" i="22"/>
  <c r="AR141" i="22"/>
  <c r="AP141" i="22"/>
  <c r="AN141" i="22"/>
  <c r="AD142" i="23"/>
  <c r="AK141" i="23"/>
  <c r="AJ141" i="23"/>
  <c r="AI141" i="23"/>
  <c r="AH141" i="23"/>
  <c r="AG141" i="23"/>
  <c r="AF141" i="23"/>
  <c r="AE141" i="23"/>
  <c r="AM142" i="23"/>
  <c r="AT141" i="23"/>
  <c r="AS141" i="23"/>
  <c r="AR141" i="23"/>
  <c r="AQ141" i="23"/>
  <c r="AP141" i="23"/>
  <c r="AO141" i="23"/>
  <c r="AN141" i="23"/>
  <c r="AD138" i="7"/>
  <c r="AH137" i="7"/>
  <c r="AE137" i="7"/>
  <c r="AF137" i="7"/>
  <c r="AG137" i="7"/>
  <c r="AI137" i="7"/>
  <c r="AJ137" i="7"/>
  <c r="AK137" i="7"/>
  <c r="AK140" i="22"/>
  <c r="AI140" i="22"/>
  <c r="AF140" i="22"/>
  <c r="AJ140" i="22"/>
  <c r="AG140" i="22"/>
  <c r="AE140" i="22"/>
  <c r="AH140" i="22"/>
  <c r="AO136" i="7"/>
  <c r="AM137" i="7"/>
  <c r="AT136" i="7"/>
  <c r="AR136" i="7"/>
  <c r="AQ136" i="7"/>
  <c r="AN136" i="7"/>
  <c r="AS136" i="7"/>
  <c r="AP136" i="7"/>
  <c r="F109" i="17"/>
  <c r="E109" i="17"/>
  <c r="F17" i="3"/>
  <c r="G11" i="3"/>
  <c r="F15" i="3"/>
  <c r="F14" i="3"/>
  <c r="F13" i="3"/>
  <c r="F94" i="3"/>
  <c r="I140" i="22"/>
  <c r="J139" i="23"/>
  <c r="H139" i="23"/>
  <c r="I139" i="23"/>
  <c r="J140" i="22"/>
  <c r="G8" i="3"/>
  <c r="R142" i="23"/>
  <c r="O142" i="23"/>
  <c r="N142" i="23"/>
  <c r="M142" i="23"/>
  <c r="L143" i="23"/>
  <c r="S142" i="23"/>
  <c r="Q142" i="23"/>
  <c r="P142" i="23"/>
  <c r="AA140" i="23"/>
  <c r="U141" i="23"/>
  <c r="X140" i="23"/>
  <c r="AB140" i="23"/>
  <c r="V140" i="23"/>
  <c r="Z140" i="23"/>
  <c r="W140" i="23"/>
  <c r="Y140" i="23"/>
  <c r="C141" i="23"/>
  <c r="F140" i="23"/>
  <c r="E140" i="23"/>
  <c r="D140" i="23"/>
  <c r="G140" i="23"/>
  <c r="H140" i="22"/>
  <c r="M140" i="22"/>
  <c r="L141" i="22"/>
  <c r="O140" i="22"/>
  <c r="N140" i="22"/>
  <c r="P140" i="22"/>
  <c r="C142" i="22"/>
  <c r="F141" i="22"/>
  <c r="E141" i="22"/>
  <c r="D141" i="22"/>
  <c r="G141" i="22"/>
  <c r="AD141" i="22"/>
  <c r="W141" i="22"/>
  <c r="V141" i="22"/>
  <c r="U142" i="22"/>
  <c r="X141" i="22"/>
  <c r="Y141" i="22"/>
  <c r="G7" i="3"/>
  <c r="G9" i="3" s="1"/>
  <c r="H6" i="3"/>
  <c r="R140" i="22" l="1"/>
  <c r="Q140" i="22"/>
  <c r="S140" i="22"/>
  <c r="AB40" i="28"/>
  <c r="AC40" i="28"/>
  <c r="AD40" i="28"/>
  <c r="AE40" i="28"/>
  <c r="AF40" i="28"/>
  <c r="AG40" i="28"/>
  <c r="AH40" i="28"/>
  <c r="AI40" i="28"/>
  <c r="AJ40" i="28"/>
  <c r="AK40" i="28"/>
  <c r="AL40" i="28"/>
  <c r="AA40" i="28"/>
  <c r="AM40" i="28"/>
  <c r="AN40" i="28"/>
  <c r="AB141" i="22"/>
  <c r="AA141" i="22"/>
  <c r="Z141" i="22"/>
  <c r="F60" i="3"/>
  <c r="F50" i="3" s="1"/>
  <c r="F75" i="3"/>
  <c r="AN44" i="27"/>
  <c r="AK44" i="27"/>
  <c r="AI44" i="27"/>
  <c r="AH44" i="27"/>
  <c r="AG44" i="27"/>
  <c r="AF44" i="27"/>
  <c r="AC44" i="27"/>
  <c r="AA44" i="27"/>
  <c r="AD44" i="27"/>
  <c r="AB44" i="27"/>
  <c r="AE44" i="27"/>
  <c r="AJ44" i="27"/>
  <c r="AL44" i="27"/>
  <c r="AM44" i="27"/>
  <c r="AD61" i="27"/>
  <c r="AD50" i="27" s="1"/>
  <c r="AE61" i="27"/>
  <c r="AE50" i="27" s="1"/>
  <c r="AF61" i="27"/>
  <c r="AF50" i="27" s="1"/>
  <c r="AG61" i="27"/>
  <c r="AG50" i="27" s="1"/>
  <c r="AH61" i="27"/>
  <c r="AH50" i="27" s="1"/>
  <c r="AI61" i="27"/>
  <c r="AI50" i="27" s="1"/>
  <c r="AA61" i="27"/>
  <c r="AA50" i="27" s="1"/>
  <c r="AJ61" i="27"/>
  <c r="AJ50" i="27" s="1"/>
  <c r="AK61" i="27"/>
  <c r="AK50" i="27" s="1"/>
  <c r="AB61" i="27"/>
  <c r="AB50" i="27" s="1"/>
  <c r="AL61" i="27"/>
  <c r="AL50" i="27" s="1"/>
  <c r="AC61" i="27"/>
  <c r="AC50" i="27" s="1"/>
  <c r="AM61" i="27"/>
  <c r="AM50" i="27" s="1"/>
  <c r="AN61" i="27"/>
  <c r="AN50" i="27" s="1"/>
  <c r="G76" i="3"/>
  <c r="G77" i="3"/>
  <c r="G80" i="3"/>
  <c r="G78" i="3"/>
  <c r="G79" i="3"/>
  <c r="G63" i="3"/>
  <c r="G61" i="3"/>
  <c r="G57" i="3"/>
  <c r="G54" i="3"/>
  <c r="G52" i="3"/>
  <c r="G88" i="3"/>
  <c r="G87" i="3"/>
  <c r="G85" i="3"/>
  <c r="G84" i="3"/>
  <c r="G83" i="3"/>
  <c r="G82" i="3"/>
  <c r="G81" i="3"/>
  <c r="G86" i="3"/>
  <c r="G67" i="3"/>
  <c r="G65" i="3"/>
  <c r="G64" i="3"/>
  <c r="G62" i="3"/>
  <c r="G59" i="3"/>
  <c r="G58" i="3"/>
  <c r="G70" i="3"/>
  <c r="G56" i="3"/>
  <c r="G69" i="3"/>
  <c r="G68" i="3"/>
  <c r="G55" i="3"/>
  <c r="G53" i="3"/>
  <c r="G66" i="3"/>
  <c r="G51" i="3"/>
  <c r="G44" i="3"/>
  <c r="G45" i="3" s="1"/>
  <c r="AS142" i="22"/>
  <c r="AN142" i="22"/>
  <c r="AT142" i="22"/>
  <c r="AP142" i="22"/>
  <c r="AM143" i="22"/>
  <c r="AR142" i="22"/>
  <c r="AO142" i="22"/>
  <c r="AQ142" i="22"/>
  <c r="AG142" i="23"/>
  <c r="AJ142" i="23"/>
  <c r="AF142" i="23"/>
  <c r="AD143" i="23"/>
  <c r="AH142" i="23"/>
  <c r="AE142" i="23"/>
  <c r="AK142" i="23"/>
  <c r="AI142" i="23"/>
  <c r="AQ142" i="23"/>
  <c r="AT142" i="23"/>
  <c r="AP142" i="23"/>
  <c r="AS142" i="23"/>
  <c r="AR142" i="23"/>
  <c r="AO142" i="23"/>
  <c r="AM143" i="23"/>
  <c r="AN142" i="23"/>
  <c r="AD139" i="7"/>
  <c r="AH138" i="7"/>
  <c r="AE138" i="7"/>
  <c r="AF138" i="7"/>
  <c r="AG138" i="7"/>
  <c r="AI138" i="7"/>
  <c r="AJ138" i="7"/>
  <c r="AK138" i="7"/>
  <c r="AK141" i="22"/>
  <c r="AF141" i="22"/>
  <c r="AJ141" i="22"/>
  <c r="AI141" i="22"/>
  <c r="AG141" i="22"/>
  <c r="AE141" i="22"/>
  <c r="AH141" i="22"/>
  <c r="AQ137" i="7"/>
  <c r="AM138" i="7"/>
  <c r="AP137" i="7"/>
  <c r="AO137" i="7"/>
  <c r="AS137" i="7"/>
  <c r="AT137" i="7"/>
  <c r="AR137" i="7"/>
  <c r="AN137" i="7"/>
  <c r="F48" i="3"/>
  <c r="F42" i="3"/>
  <c r="F43" i="3" s="1"/>
  <c r="F47" i="3"/>
  <c r="F46" i="3"/>
  <c r="F41" i="3"/>
  <c r="F111" i="17"/>
  <c r="E111" i="17"/>
  <c r="H8" i="3"/>
  <c r="G17" i="3"/>
  <c r="F12" i="3"/>
  <c r="H11" i="3"/>
  <c r="G15" i="3"/>
  <c r="G14" i="3"/>
  <c r="G13" i="3"/>
  <c r="J140" i="23"/>
  <c r="H141" i="22"/>
  <c r="G94" i="3"/>
  <c r="H140" i="23"/>
  <c r="I141" i="22"/>
  <c r="S143" i="23"/>
  <c r="N143" i="23"/>
  <c r="L144" i="23"/>
  <c r="O143" i="23"/>
  <c r="Q143" i="23"/>
  <c r="M143" i="23"/>
  <c r="R143" i="23"/>
  <c r="P143" i="23"/>
  <c r="I140" i="23"/>
  <c r="AB141" i="23"/>
  <c r="W141" i="23"/>
  <c r="X141" i="23"/>
  <c r="V141" i="23"/>
  <c r="AA141" i="23"/>
  <c r="U142" i="23"/>
  <c r="Z141" i="23"/>
  <c r="Y141" i="23"/>
  <c r="F141" i="23"/>
  <c r="E141" i="23"/>
  <c r="D141" i="23"/>
  <c r="C142" i="23"/>
  <c r="G141" i="23"/>
  <c r="F142" i="22"/>
  <c r="C143" i="22"/>
  <c r="G142" i="22"/>
  <c r="E142" i="22"/>
  <c r="D142" i="22"/>
  <c r="L142" i="22"/>
  <c r="M141" i="22"/>
  <c r="O141" i="22"/>
  <c r="N141" i="22"/>
  <c r="R141" i="22" s="1"/>
  <c r="P141" i="22"/>
  <c r="J141" i="22"/>
  <c r="AD142" i="22"/>
  <c r="U143" i="22"/>
  <c r="X142" i="22"/>
  <c r="V142" i="22"/>
  <c r="W142" i="22"/>
  <c r="Y142" i="22"/>
  <c r="H7" i="3"/>
  <c r="H9" i="3" s="1"/>
  <c r="I6" i="3"/>
  <c r="Z11" i="7"/>
  <c r="Q11" i="7"/>
  <c r="H11" i="7"/>
  <c r="U11" i="7"/>
  <c r="Q141" i="22" l="1"/>
  <c r="S141" i="22"/>
  <c r="G60" i="3"/>
  <c r="G50" i="3" s="1"/>
  <c r="AA142" i="22"/>
  <c r="Z142" i="22"/>
  <c r="AB142" i="22"/>
  <c r="G75" i="3"/>
  <c r="AK45" i="27"/>
  <c r="AK40" i="27" s="1"/>
  <c r="AG45" i="27"/>
  <c r="AG40" i="27" s="1"/>
  <c r="AC45" i="27"/>
  <c r="AC40" i="27" s="1"/>
  <c r="AD45" i="27"/>
  <c r="AD40" i="27" s="1"/>
  <c r="AJ45" i="27"/>
  <c r="AJ40" i="27" s="1"/>
  <c r="AL45" i="27"/>
  <c r="AL40" i="27" s="1"/>
  <c r="AN45" i="27"/>
  <c r="AN40" i="27" s="1"/>
  <c r="AI45" i="27"/>
  <c r="AI40" i="27" s="1"/>
  <c r="AH45" i="27"/>
  <c r="AH40" i="27" s="1"/>
  <c r="AF45" i="27"/>
  <c r="AF40" i="27" s="1"/>
  <c r="AA45" i="27"/>
  <c r="AA40" i="27" s="1"/>
  <c r="AB45" i="27"/>
  <c r="AB40" i="27" s="1"/>
  <c r="AE45" i="27"/>
  <c r="AE40" i="27" s="1"/>
  <c r="AM45" i="27"/>
  <c r="AM40" i="27" s="1"/>
  <c r="H77" i="3"/>
  <c r="H79" i="3"/>
  <c r="H78" i="3"/>
  <c r="H76" i="3"/>
  <c r="H80" i="3"/>
  <c r="H69" i="3"/>
  <c r="H65" i="3"/>
  <c r="H59" i="3"/>
  <c r="H88" i="3"/>
  <c r="H87" i="3"/>
  <c r="H86" i="3"/>
  <c r="H85" i="3"/>
  <c r="H84" i="3"/>
  <c r="H83" i="3"/>
  <c r="H82" i="3"/>
  <c r="H81" i="3"/>
  <c r="H66" i="3"/>
  <c r="H63" i="3"/>
  <c r="H62" i="3"/>
  <c r="H61" i="3"/>
  <c r="H57" i="3"/>
  <c r="H55" i="3"/>
  <c r="H54" i="3"/>
  <c r="H53" i="3"/>
  <c r="H52" i="3"/>
  <c r="H51" i="3"/>
  <c r="H44" i="3"/>
  <c r="H45" i="3" s="1"/>
  <c r="H70" i="3"/>
  <c r="H68" i="3"/>
  <c r="H67" i="3"/>
  <c r="H64" i="3"/>
  <c r="H58" i="3"/>
  <c r="H56" i="3"/>
  <c r="AM144" i="22"/>
  <c r="AT143" i="22"/>
  <c r="AS143" i="22"/>
  <c r="AR143" i="22"/>
  <c r="AQ143" i="22"/>
  <c r="AP143" i="22"/>
  <c r="AO143" i="22"/>
  <c r="AN143" i="22"/>
  <c r="AD144" i="23"/>
  <c r="AK143" i="23"/>
  <c r="AJ143" i="23"/>
  <c r="AI143" i="23"/>
  <c r="AH143" i="23"/>
  <c r="AG143" i="23"/>
  <c r="AF143" i="23"/>
  <c r="AE143" i="23"/>
  <c r="AM144" i="23"/>
  <c r="AT143" i="23"/>
  <c r="AS143" i="23"/>
  <c r="AR143" i="23"/>
  <c r="AQ143" i="23"/>
  <c r="AP143" i="23"/>
  <c r="AO143" i="23"/>
  <c r="AN143" i="23"/>
  <c r="AD140" i="7"/>
  <c r="AH139" i="7"/>
  <c r="AE139" i="7"/>
  <c r="AF139" i="7"/>
  <c r="AG139" i="7"/>
  <c r="AI139" i="7"/>
  <c r="AJ139" i="7"/>
  <c r="AK139" i="7"/>
  <c r="AJ142" i="22"/>
  <c r="AF142" i="22"/>
  <c r="AK142" i="22"/>
  <c r="AI142" i="22"/>
  <c r="AG142" i="22"/>
  <c r="AE142" i="22"/>
  <c r="AH142" i="22"/>
  <c r="AT138" i="7"/>
  <c r="AN138" i="7"/>
  <c r="AS138" i="7"/>
  <c r="AR138" i="7"/>
  <c r="AP138" i="7"/>
  <c r="AO138" i="7"/>
  <c r="AQ138" i="7"/>
  <c r="AM139" i="7"/>
  <c r="F40" i="3"/>
  <c r="G47" i="3"/>
  <c r="G46" i="3"/>
  <c r="G41" i="3"/>
  <c r="G48" i="3"/>
  <c r="G42" i="3"/>
  <c r="G43" i="3" s="1"/>
  <c r="I8" i="3"/>
  <c r="H17" i="3"/>
  <c r="G12" i="3"/>
  <c r="H15" i="3"/>
  <c r="H14" i="3"/>
  <c r="H13" i="3"/>
  <c r="I11" i="3"/>
  <c r="H94" i="3"/>
  <c r="H142" i="22"/>
  <c r="I141" i="23"/>
  <c r="J141" i="23"/>
  <c r="I142" i="22"/>
  <c r="L145" i="23"/>
  <c r="O144" i="23"/>
  <c r="N144" i="23"/>
  <c r="M144" i="23"/>
  <c r="S144" i="23"/>
  <c r="Q144" i="23"/>
  <c r="R144" i="23"/>
  <c r="P144" i="23"/>
  <c r="U143" i="23"/>
  <c r="X142" i="23"/>
  <c r="W142" i="23"/>
  <c r="AB142" i="23"/>
  <c r="AA142" i="23"/>
  <c r="V142" i="23"/>
  <c r="Z142" i="23"/>
  <c r="Y142" i="23"/>
  <c r="H141" i="23"/>
  <c r="E142" i="23"/>
  <c r="C143" i="23"/>
  <c r="F142" i="23"/>
  <c r="D142" i="23"/>
  <c r="G142" i="23"/>
  <c r="L143" i="22"/>
  <c r="N142" i="22"/>
  <c r="M142" i="22"/>
  <c r="O142" i="22"/>
  <c r="P142" i="22"/>
  <c r="J142" i="22"/>
  <c r="U144" i="22"/>
  <c r="X143" i="22"/>
  <c r="V143" i="22"/>
  <c r="W143" i="22"/>
  <c r="Y143" i="22"/>
  <c r="C144" i="22"/>
  <c r="D143" i="22"/>
  <c r="F143" i="22"/>
  <c r="E143" i="22"/>
  <c r="G143" i="22"/>
  <c r="AD143" i="22"/>
  <c r="J6" i="3"/>
  <c r="I7" i="3"/>
  <c r="I9" i="3" s="1"/>
  <c r="U12" i="7"/>
  <c r="Y11" i="7"/>
  <c r="R142" i="22" l="1"/>
  <c r="S142" i="22"/>
  <c r="Q142" i="22"/>
  <c r="G40" i="3"/>
  <c r="Z143" i="22"/>
  <c r="AA143" i="22"/>
  <c r="AB143" i="22"/>
  <c r="H60" i="3"/>
  <c r="H50" i="3" s="1"/>
  <c r="H75" i="3"/>
  <c r="I76" i="3"/>
  <c r="I80" i="3"/>
  <c r="I78" i="3"/>
  <c r="I79" i="3"/>
  <c r="I77" i="3"/>
  <c r="I56" i="3"/>
  <c r="I52" i="3"/>
  <c r="I51" i="3"/>
  <c r="I88" i="3"/>
  <c r="I87" i="3"/>
  <c r="I86" i="3"/>
  <c r="I85" i="3"/>
  <c r="I84" i="3"/>
  <c r="I83" i="3"/>
  <c r="I70" i="3"/>
  <c r="I68" i="3"/>
  <c r="I69" i="3"/>
  <c r="I67" i="3"/>
  <c r="I64" i="3"/>
  <c r="I59" i="3"/>
  <c r="I58" i="3"/>
  <c r="I44" i="3"/>
  <c r="I45" i="3" s="1"/>
  <c r="I82" i="3"/>
  <c r="I81" i="3"/>
  <c r="I62" i="3"/>
  <c r="I61" i="3"/>
  <c r="I66" i="3"/>
  <c r="I65" i="3"/>
  <c r="I63" i="3"/>
  <c r="I57" i="3"/>
  <c r="I55" i="3"/>
  <c r="I54" i="3"/>
  <c r="I53" i="3"/>
  <c r="AM145" i="22"/>
  <c r="AT144" i="22"/>
  <c r="AS144" i="22"/>
  <c r="AR144" i="22"/>
  <c r="AQ144" i="22"/>
  <c r="AP144" i="22"/>
  <c r="AO144" i="22"/>
  <c r="AN144" i="22"/>
  <c r="AD145" i="23"/>
  <c r="AK144" i="23"/>
  <c r="AJ144" i="23"/>
  <c r="AI144" i="23"/>
  <c r="AH144" i="23"/>
  <c r="AG144" i="23"/>
  <c r="AF144" i="23"/>
  <c r="AE144" i="23"/>
  <c r="AN144" i="23"/>
  <c r="AM145" i="23"/>
  <c r="AT144" i="23"/>
  <c r="AS144" i="23"/>
  <c r="AR144" i="23"/>
  <c r="AQ144" i="23"/>
  <c r="AP144" i="23"/>
  <c r="AO144" i="23"/>
  <c r="AD141" i="7"/>
  <c r="AH140" i="7"/>
  <c r="AE140" i="7"/>
  <c r="AF140" i="7"/>
  <c r="AG140" i="7"/>
  <c r="AI140" i="7"/>
  <c r="AJ140" i="7"/>
  <c r="AK140" i="7"/>
  <c r="AJ143" i="22"/>
  <c r="AI143" i="22"/>
  <c r="AG143" i="22"/>
  <c r="AE143" i="22"/>
  <c r="AK143" i="22"/>
  <c r="AF143" i="22"/>
  <c r="AH143" i="22"/>
  <c r="AS139" i="7"/>
  <c r="AP139" i="7"/>
  <c r="AM140" i="7"/>
  <c r="AO139" i="7"/>
  <c r="AT139" i="7"/>
  <c r="AQ139" i="7"/>
  <c r="AR139" i="7"/>
  <c r="AN139" i="7"/>
  <c r="H48" i="3"/>
  <c r="H47" i="3"/>
  <c r="H46" i="3"/>
  <c r="H42" i="3"/>
  <c r="H43" i="3" s="1"/>
  <c r="H41" i="3"/>
  <c r="G12" i="7"/>
  <c r="E12" i="7"/>
  <c r="E36" i="3" s="1"/>
  <c r="F12" i="7"/>
  <c r="E35" i="3" s="1"/>
  <c r="G11" i="7"/>
  <c r="D20" i="3" s="1"/>
  <c r="J8" i="3"/>
  <c r="I17" i="3"/>
  <c r="H12" i="3"/>
  <c r="I15" i="3"/>
  <c r="I14" i="3"/>
  <c r="I13" i="3"/>
  <c r="J11" i="3"/>
  <c r="J143" i="22"/>
  <c r="I94" i="3"/>
  <c r="I142" i="23"/>
  <c r="H142" i="23"/>
  <c r="I143" i="22"/>
  <c r="AA143" i="23"/>
  <c r="X143" i="23"/>
  <c r="W143" i="23"/>
  <c r="V143" i="23"/>
  <c r="U144" i="23"/>
  <c r="AB143" i="23"/>
  <c r="Z143" i="23"/>
  <c r="Y143" i="23"/>
  <c r="C144" i="23"/>
  <c r="F143" i="23"/>
  <c r="E143" i="23"/>
  <c r="D143" i="23"/>
  <c r="G143" i="23"/>
  <c r="J142" i="23"/>
  <c r="R145" i="23"/>
  <c r="L146" i="23"/>
  <c r="O145" i="23"/>
  <c r="N145" i="23"/>
  <c r="M145" i="23"/>
  <c r="Q145" i="23"/>
  <c r="S145" i="23"/>
  <c r="P145" i="23"/>
  <c r="H143" i="22"/>
  <c r="U145" i="22"/>
  <c r="X144" i="22"/>
  <c r="W144" i="22"/>
  <c r="V144" i="22"/>
  <c r="Y144" i="22"/>
  <c r="AD144" i="22"/>
  <c r="C145" i="22"/>
  <c r="F144" i="22"/>
  <c r="E144" i="22"/>
  <c r="D144" i="22"/>
  <c r="G144" i="22"/>
  <c r="N143" i="22"/>
  <c r="M143" i="22"/>
  <c r="O143" i="22"/>
  <c r="S143" i="22" s="1"/>
  <c r="L144" i="22"/>
  <c r="P143" i="22"/>
  <c r="M12" i="7"/>
  <c r="N12" i="7"/>
  <c r="P12" i="7"/>
  <c r="O12" i="7"/>
  <c r="E13" i="7"/>
  <c r="F36" i="3" s="1"/>
  <c r="P11" i="7"/>
  <c r="D21" i="3" s="1"/>
  <c r="K6" i="3"/>
  <c r="J7" i="3"/>
  <c r="J9" i="3" s="1"/>
  <c r="G13" i="7"/>
  <c r="F13" i="7"/>
  <c r="F35" i="3" s="1"/>
  <c r="Y12" i="7"/>
  <c r="X12" i="7"/>
  <c r="W12" i="7"/>
  <c r="V12" i="7"/>
  <c r="U13" i="7"/>
  <c r="R143" i="22" l="1"/>
  <c r="Q143" i="22"/>
  <c r="AA144" i="22"/>
  <c r="Z144" i="22"/>
  <c r="AB144" i="22"/>
  <c r="AA12" i="7"/>
  <c r="I75" i="3"/>
  <c r="I60" i="3"/>
  <c r="I50" i="3" s="1"/>
  <c r="J79" i="3"/>
  <c r="J76" i="3"/>
  <c r="J80" i="3"/>
  <c r="J78" i="3"/>
  <c r="J77" i="3"/>
  <c r="J44" i="3"/>
  <c r="J45" i="3" s="1"/>
  <c r="J88" i="3"/>
  <c r="J87" i="3"/>
  <c r="J86" i="3"/>
  <c r="J85" i="3"/>
  <c r="J84" i="3"/>
  <c r="J83" i="3"/>
  <c r="J82" i="3"/>
  <c r="J81" i="3"/>
  <c r="J70" i="3"/>
  <c r="J68" i="3"/>
  <c r="J67" i="3"/>
  <c r="J65" i="3"/>
  <c r="J63" i="3"/>
  <c r="J62" i="3"/>
  <c r="J61" i="3"/>
  <c r="J58" i="3"/>
  <c r="J57" i="3"/>
  <c r="J56" i="3"/>
  <c r="J55" i="3"/>
  <c r="J54" i="3"/>
  <c r="J53" i="3"/>
  <c r="J52" i="3"/>
  <c r="J51" i="3"/>
  <c r="J66" i="3"/>
  <c r="J64" i="3"/>
  <c r="J59" i="3"/>
  <c r="J69" i="3"/>
  <c r="AO145" i="22"/>
  <c r="AQ145" i="22"/>
  <c r="AR145" i="22"/>
  <c r="AP145" i="22"/>
  <c r="AN145" i="22"/>
  <c r="AM146" i="22"/>
  <c r="AT145" i="22"/>
  <c r="AS145" i="22"/>
  <c r="AE145" i="23"/>
  <c r="AF145" i="23"/>
  <c r="AG145" i="23"/>
  <c r="AD146" i="23"/>
  <c r="AK145" i="23"/>
  <c r="AJ145" i="23"/>
  <c r="AI145" i="23"/>
  <c r="AH145" i="23"/>
  <c r="AS145" i="23"/>
  <c r="AP145" i="23"/>
  <c r="AM146" i="23"/>
  <c r="AQ145" i="23"/>
  <c r="AO145" i="23"/>
  <c r="AT145" i="23"/>
  <c r="AR145" i="23"/>
  <c r="AN145" i="23"/>
  <c r="AD142" i="7"/>
  <c r="AH141" i="7"/>
  <c r="AE141" i="7"/>
  <c r="AF141" i="7"/>
  <c r="AG141" i="7"/>
  <c r="AI141" i="7"/>
  <c r="AJ141" i="7"/>
  <c r="AK141" i="7"/>
  <c r="AJ144" i="22"/>
  <c r="AI144" i="22"/>
  <c r="AG144" i="22"/>
  <c r="AE144" i="22"/>
  <c r="AK144" i="22"/>
  <c r="AF144" i="22"/>
  <c r="AH144" i="22"/>
  <c r="AN140" i="7"/>
  <c r="AQ140" i="7"/>
  <c r="AO140" i="7"/>
  <c r="AR140" i="7"/>
  <c r="AM141" i="7"/>
  <c r="AS140" i="7"/>
  <c r="AT140" i="7"/>
  <c r="AP140" i="7"/>
  <c r="Z12" i="7"/>
  <c r="AB12" i="7"/>
  <c r="H40" i="3"/>
  <c r="I47" i="3"/>
  <c r="I46" i="3"/>
  <c r="I42" i="3"/>
  <c r="I43" i="3" s="1"/>
  <c r="I48" i="3"/>
  <c r="I41" i="3"/>
  <c r="E21" i="3"/>
  <c r="H12" i="7"/>
  <c r="H13" i="7" s="1"/>
  <c r="I12" i="7"/>
  <c r="J12" i="7"/>
  <c r="D13" i="7"/>
  <c r="J13" i="7" s="1"/>
  <c r="Q12" i="7"/>
  <c r="K8" i="3"/>
  <c r="I12" i="3"/>
  <c r="J17" i="3"/>
  <c r="J15" i="3"/>
  <c r="J14" i="3"/>
  <c r="J13" i="3"/>
  <c r="K11" i="3"/>
  <c r="J94" i="3"/>
  <c r="H143" i="23"/>
  <c r="I143" i="23"/>
  <c r="I144" i="22"/>
  <c r="J143" i="23"/>
  <c r="J144" i="22"/>
  <c r="H144" i="22"/>
  <c r="R12" i="7"/>
  <c r="S12" i="7"/>
  <c r="S146" i="23"/>
  <c r="N146" i="23"/>
  <c r="O146" i="23"/>
  <c r="M146" i="23"/>
  <c r="R146" i="23"/>
  <c r="L147" i="23"/>
  <c r="Q146" i="23"/>
  <c r="P146" i="23"/>
  <c r="C145" i="23"/>
  <c r="F144" i="23"/>
  <c r="D144" i="23"/>
  <c r="E144" i="23"/>
  <c r="G144" i="23"/>
  <c r="AB144" i="23"/>
  <c r="W144" i="23"/>
  <c r="U145" i="23"/>
  <c r="X144" i="23"/>
  <c r="Z144" i="23"/>
  <c r="V144" i="23"/>
  <c r="AA144" i="23"/>
  <c r="Y144" i="23"/>
  <c r="AD145" i="22"/>
  <c r="L145" i="22"/>
  <c r="O144" i="22"/>
  <c r="M144" i="22"/>
  <c r="N144" i="22"/>
  <c r="P144" i="22"/>
  <c r="U146" i="22"/>
  <c r="V145" i="22"/>
  <c r="X145" i="22"/>
  <c r="W145" i="22"/>
  <c r="Y145" i="22"/>
  <c r="E145" i="22"/>
  <c r="D145" i="22"/>
  <c r="F145" i="22"/>
  <c r="C146" i="22"/>
  <c r="G145" i="22"/>
  <c r="P13" i="7"/>
  <c r="F21" i="3" s="1"/>
  <c r="O13" i="7"/>
  <c r="M13" i="7"/>
  <c r="N13" i="7"/>
  <c r="K7" i="3"/>
  <c r="K9" i="3" s="1"/>
  <c r="L6" i="3"/>
  <c r="Y13" i="7"/>
  <c r="X13" i="7"/>
  <c r="W13" i="7"/>
  <c r="V13" i="7"/>
  <c r="U14" i="7"/>
  <c r="V14" i="7" s="1"/>
  <c r="G14" i="7"/>
  <c r="F14" i="7"/>
  <c r="G35" i="3" s="1"/>
  <c r="E14" i="7"/>
  <c r="G36" i="3" s="1"/>
  <c r="R144" i="22" l="1"/>
  <c r="S144" i="22"/>
  <c r="Q144" i="22"/>
  <c r="AA145" i="22"/>
  <c r="Z145" i="22"/>
  <c r="AB145" i="22"/>
  <c r="J60" i="3"/>
  <c r="J50" i="3" s="1"/>
  <c r="J75" i="3"/>
  <c r="K80" i="3"/>
  <c r="K79" i="3"/>
  <c r="K78" i="3"/>
  <c r="K76" i="3"/>
  <c r="K77" i="3"/>
  <c r="K65" i="3"/>
  <c r="K63" i="3"/>
  <c r="K57" i="3"/>
  <c r="K55" i="3"/>
  <c r="K53" i="3"/>
  <c r="K88" i="3"/>
  <c r="K87" i="3"/>
  <c r="K86" i="3"/>
  <c r="K85" i="3"/>
  <c r="K83" i="3"/>
  <c r="K81" i="3"/>
  <c r="K69" i="3"/>
  <c r="K66" i="3"/>
  <c r="K62" i="3"/>
  <c r="K59" i="3"/>
  <c r="K44" i="3"/>
  <c r="K45" i="3" s="1"/>
  <c r="K84" i="3"/>
  <c r="K82" i="3"/>
  <c r="K67" i="3"/>
  <c r="K70" i="3"/>
  <c r="K68" i="3"/>
  <c r="K64" i="3"/>
  <c r="K61" i="3"/>
  <c r="K58" i="3"/>
  <c r="K56" i="3"/>
  <c r="K54" i="3"/>
  <c r="K52" i="3"/>
  <c r="K51" i="3"/>
  <c r="AP146" i="22"/>
  <c r="AR146" i="22"/>
  <c r="AN146" i="22"/>
  <c r="AQ146" i="22"/>
  <c r="AO146" i="22"/>
  <c r="AM147" i="22"/>
  <c r="AT146" i="22"/>
  <c r="AS146" i="22"/>
  <c r="AG146" i="23"/>
  <c r="AD147" i="23"/>
  <c r="AJ146" i="23"/>
  <c r="AF146" i="23"/>
  <c r="AK146" i="23"/>
  <c r="AI146" i="23"/>
  <c r="AE146" i="23"/>
  <c r="AH146" i="23"/>
  <c r="AS146" i="23"/>
  <c r="AR146" i="23"/>
  <c r="AO146" i="23"/>
  <c r="AM147" i="23"/>
  <c r="AT146" i="23"/>
  <c r="AQ146" i="23"/>
  <c r="AP146" i="23"/>
  <c r="AN146" i="23"/>
  <c r="AD143" i="7"/>
  <c r="AH142" i="7"/>
  <c r="AE142" i="7"/>
  <c r="AF142" i="7"/>
  <c r="AG142" i="7"/>
  <c r="AI142" i="7"/>
  <c r="AJ142" i="7"/>
  <c r="AK142" i="7"/>
  <c r="AJ145" i="22"/>
  <c r="AF145" i="22"/>
  <c r="AK145" i="22"/>
  <c r="AI145" i="22"/>
  <c r="AG145" i="22"/>
  <c r="AE145" i="22"/>
  <c r="AH145" i="22"/>
  <c r="AP141" i="7"/>
  <c r="AN141" i="7"/>
  <c r="AM142" i="7"/>
  <c r="AT141" i="7"/>
  <c r="AS141" i="7"/>
  <c r="AR141" i="7"/>
  <c r="AO141" i="7"/>
  <c r="AQ141" i="7"/>
  <c r="AB13" i="7"/>
  <c r="Z13" i="7"/>
  <c r="AA13" i="7"/>
  <c r="D72" i="3"/>
  <c r="I40" i="3"/>
  <c r="J41" i="3"/>
  <c r="J48" i="3"/>
  <c r="J47" i="3"/>
  <c r="J46" i="3"/>
  <c r="J42" i="3"/>
  <c r="J43" i="3" s="1"/>
  <c r="I13" i="7"/>
  <c r="L8" i="3"/>
  <c r="K17" i="3"/>
  <c r="J12" i="3"/>
  <c r="L11" i="3"/>
  <c r="K15" i="3"/>
  <c r="K14" i="3"/>
  <c r="K13" i="3"/>
  <c r="H144" i="23"/>
  <c r="S13" i="7"/>
  <c r="J145" i="22"/>
  <c r="I144" i="23"/>
  <c r="I145" i="22"/>
  <c r="K94" i="3"/>
  <c r="J144" i="23"/>
  <c r="H145" i="22"/>
  <c r="Q13" i="7"/>
  <c r="L148" i="23"/>
  <c r="O147" i="23"/>
  <c r="N147" i="23"/>
  <c r="S147" i="23"/>
  <c r="R147" i="23"/>
  <c r="M147" i="23"/>
  <c r="Q147" i="23"/>
  <c r="P147" i="23"/>
  <c r="U146" i="23"/>
  <c r="X145" i="23"/>
  <c r="W145" i="23"/>
  <c r="V145" i="23"/>
  <c r="AB145" i="23"/>
  <c r="AA145" i="23"/>
  <c r="Z145" i="23"/>
  <c r="Y145" i="23"/>
  <c r="E145" i="23"/>
  <c r="F145" i="23"/>
  <c r="D145" i="23"/>
  <c r="C146" i="23"/>
  <c r="G145" i="23"/>
  <c r="L146" i="22"/>
  <c r="O145" i="22"/>
  <c r="N145" i="22"/>
  <c r="M145" i="22"/>
  <c r="P145" i="22"/>
  <c r="U147" i="22"/>
  <c r="X146" i="22"/>
  <c r="W146" i="22"/>
  <c r="V146" i="22"/>
  <c r="Y146" i="22"/>
  <c r="C147" i="22"/>
  <c r="F146" i="22"/>
  <c r="E146" i="22"/>
  <c r="D146" i="22"/>
  <c r="G146" i="22"/>
  <c r="AD146" i="22"/>
  <c r="R13" i="7"/>
  <c r="N14" i="7"/>
  <c r="M14" i="7"/>
  <c r="P14" i="7"/>
  <c r="G21" i="3" s="1"/>
  <c r="O14" i="7"/>
  <c r="L7" i="3"/>
  <c r="L9" i="3" s="1"/>
  <c r="M6" i="3"/>
  <c r="I14" i="7"/>
  <c r="J14" i="7"/>
  <c r="G15" i="7"/>
  <c r="F15" i="7"/>
  <c r="H35" i="3" s="1"/>
  <c r="E15" i="7"/>
  <c r="H36" i="3" s="1"/>
  <c r="D15" i="7"/>
  <c r="Y14" i="7"/>
  <c r="X14" i="7"/>
  <c r="W14" i="7"/>
  <c r="U15" i="7"/>
  <c r="H14" i="7"/>
  <c r="S145" i="22" l="1"/>
  <c r="J40" i="3"/>
  <c r="Q145" i="22"/>
  <c r="R145" i="22"/>
  <c r="AA146" i="22"/>
  <c r="Z146" i="22"/>
  <c r="AB146" i="22"/>
  <c r="K60" i="3"/>
  <c r="K50" i="3" s="1"/>
  <c r="K75" i="3"/>
  <c r="L78" i="3"/>
  <c r="L76" i="3"/>
  <c r="L80" i="3"/>
  <c r="L79" i="3"/>
  <c r="L77" i="3"/>
  <c r="L62" i="3"/>
  <c r="L58" i="3"/>
  <c r="L88" i="3"/>
  <c r="L87" i="3"/>
  <c r="L86" i="3"/>
  <c r="L85" i="3"/>
  <c r="L84" i="3"/>
  <c r="L83" i="3"/>
  <c r="L82" i="3"/>
  <c r="L68" i="3"/>
  <c r="L67" i="3"/>
  <c r="L65" i="3"/>
  <c r="L64" i="3"/>
  <c r="L61" i="3"/>
  <c r="L59" i="3"/>
  <c r="L57" i="3"/>
  <c r="L54" i="3"/>
  <c r="L52" i="3"/>
  <c r="L51" i="3"/>
  <c r="L81" i="3"/>
  <c r="L70" i="3"/>
  <c r="L69" i="3"/>
  <c r="L66" i="3"/>
  <c r="L63" i="3"/>
  <c r="L55" i="3"/>
  <c r="L53" i="3"/>
  <c r="L44" i="3"/>
  <c r="L45" i="3" s="1"/>
  <c r="L56" i="3"/>
  <c r="AM148" i="22"/>
  <c r="AT147" i="22"/>
  <c r="AS147" i="22"/>
  <c r="AR147" i="22"/>
  <c r="AQ147" i="22"/>
  <c r="AP147" i="22"/>
  <c r="AO147" i="22"/>
  <c r="AN147" i="22"/>
  <c r="AD148" i="23"/>
  <c r="AK147" i="23"/>
  <c r="AJ147" i="23"/>
  <c r="AI147" i="23"/>
  <c r="AH147" i="23"/>
  <c r="AG147" i="23"/>
  <c r="AF147" i="23"/>
  <c r="AE147" i="23"/>
  <c r="AM148" i="23"/>
  <c r="AT147" i="23"/>
  <c r="AS147" i="23"/>
  <c r="AR147" i="23"/>
  <c r="AQ147" i="23"/>
  <c r="AP147" i="23"/>
  <c r="AO147" i="23"/>
  <c r="AN147" i="23"/>
  <c r="AD144" i="7"/>
  <c r="AH143" i="7"/>
  <c r="AE143" i="7"/>
  <c r="AF143" i="7"/>
  <c r="AG143" i="7"/>
  <c r="AI143" i="7"/>
  <c r="AJ143" i="7"/>
  <c r="AK143" i="7"/>
  <c r="AK146" i="22"/>
  <c r="AI146" i="22"/>
  <c r="AE146" i="22"/>
  <c r="AJ146" i="22"/>
  <c r="AG146" i="22"/>
  <c r="AF146" i="22"/>
  <c r="AH146" i="22"/>
  <c r="AM143" i="7"/>
  <c r="AP142" i="7"/>
  <c r="AQ142" i="7"/>
  <c r="AN142" i="7"/>
  <c r="AR142" i="7"/>
  <c r="AT142" i="7"/>
  <c r="AS142" i="7"/>
  <c r="AO142" i="7"/>
  <c r="AB14" i="7"/>
  <c r="AA14" i="7"/>
  <c r="K48" i="3"/>
  <c r="K47" i="3"/>
  <c r="K46" i="3"/>
  <c r="K42" i="3"/>
  <c r="K43" i="3" s="1"/>
  <c r="K41" i="3"/>
  <c r="M8" i="3"/>
  <c r="K12" i="3"/>
  <c r="L17" i="3"/>
  <c r="L15" i="3"/>
  <c r="L14" i="3"/>
  <c r="L13" i="3"/>
  <c r="M11" i="3"/>
  <c r="L94" i="3"/>
  <c r="H145" i="23"/>
  <c r="I145" i="23"/>
  <c r="I146" i="22"/>
  <c r="J146" i="22"/>
  <c r="R14" i="7"/>
  <c r="S14" i="7"/>
  <c r="J145" i="23"/>
  <c r="AA146" i="23"/>
  <c r="U147" i="23"/>
  <c r="X146" i="23"/>
  <c r="Z146" i="23"/>
  <c r="AB146" i="23"/>
  <c r="V146" i="23"/>
  <c r="W146" i="23"/>
  <c r="Y146" i="23"/>
  <c r="C147" i="23"/>
  <c r="F146" i="23"/>
  <c r="E146" i="23"/>
  <c r="D146" i="23"/>
  <c r="G146" i="23"/>
  <c r="R148" i="23"/>
  <c r="O148" i="23"/>
  <c r="N148" i="23"/>
  <c r="M148" i="23"/>
  <c r="L149" i="23"/>
  <c r="S148" i="23"/>
  <c r="Q148" i="23"/>
  <c r="P148" i="23"/>
  <c r="U148" i="22"/>
  <c r="X147" i="22"/>
  <c r="V147" i="22"/>
  <c r="W147" i="22"/>
  <c r="AA147" i="22" s="1"/>
  <c r="Y147" i="22"/>
  <c r="H146" i="22"/>
  <c r="C148" i="22"/>
  <c r="F147" i="22"/>
  <c r="D147" i="22"/>
  <c r="E147" i="22"/>
  <c r="G147" i="22"/>
  <c r="AD147" i="22"/>
  <c r="L147" i="22"/>
  <c r="O146" i="22"/>
  <c r="N146" i="22"/>
  <c r="M146" i="22"/>
  <c r="P146" i="22"/>
  <c r="Q14" i="7"/>
  <c r="Z14" i="7"/>
  <c r="P15" i="7"/>
  <c r="H21" i="3" s="1"/>
  <c r="N15" i="7"/>
  <c r="M15" i="7"/>
  <c r="O15" i="7"/>
  <c r="N6" i="3"/>
  <c r="M7" i="3"/>
  <c r="M9" i="3" s="1"/>
  <c r="I15" i="7"/>
  <c r="J15" i="7"/>
  <c r="Y15" i="7"/>
  <c r="X15" i="7"/>
  <c r="W15" i="7"/>
  <c r="V15" i="7"/>
  <c r="U16" i="7"/>
  <c r="G16" i="7"/>
  <c r="F16" i="7"/>
  <c r="I35" i="3" s="1"/>
  <c r="E16" i="7"/>
  <c r="I36" i="3" s="1"/>
  <c r="D16" i="7"/>
  <c r="H15" i="7"/>
  <c r="R146" i="22" l="1"/>
  <c r="Q146" i="22"/>
  <c r="S146" i="22"/>
  <c r="Z147" i="22"/>
  <c r="AB147" i="22"/>
  <c r="L75" i="3"/>
  <c r="L60" i="3"/>
  <c r="L50" i="3" s="1"/>
  <c r="M76" i="3"/>
  <c r="M78" i="3"/>
  <c r="M77" i="3"/>
  <c r="M80" i="3"/>
  <c r="M79" i="3"/>
  <c r="M68" i="3"/>
  <c r="M64" i="3"/>
  <c r="M61" i="3"/>
  <c r="M59" i="3"/>
  <c r="M54" i="3"/>
  <c r="M51" i="3"/>
  <c r="M88" i="3"/>
  <c r="M87" i="3"/>
  <c r="M86" i="3"/>
  <c r="M85" i="3"/>
  <c r="M84" i="3"/>
  <c r="M83" i="3"/>
  <c r="M82" i="3"/>
  <c r="M81" i="3"/>
  <c r="M69" i="3"/>
  <c r="M66" i="3"/>
  <c r="M63" i="3"/>
  <c r="M62" i="3"/>
  <c r="M58" i="3"/>
  <c r="M57" i="3"/>
  <c r="M56" i="3"/>
  <c r="M55" i="3"/>
  <c r="M53" i="3"/>
  <c r="M44" i="3"/>
  <c r="M45" i="3" s="1"/>
  <c r="M70" i="3"/>
  <c r="M67" i="3"/>
  <c r="M65" i="3"/>
  <c r="M52" i="3"/>
  <c r="AM149" i="22"/>
  <c r="AT148" i="22"/>
  <c r="AS148" i="22"/>
  <c r="AR148" i="22"/>
  <c r="AO148" i="22"/>
  <c r="AQ148" i="22"/>
  <c r="AP148" i="22"/>
  <c r="AN148" i="22"/>
  <c r="AH148" i="23"/>
  <c r="AD149" i="23"/>
  <c r="AK148" i="23"/>
  <c r="AJ148" i="23"/>
  <c r="AI148" i="23"/>
  <c r="AG148" i="23"/>
  <c r="AF148" i="23"/>
  <c r="AE148" i="23"/>
  <c r="AM149" i="23"/>
  <c r="AT148" i="23"/>
  <c r="AS148" i="23"/>
  <c r="AR148" i="23"/>
  <c r="AQ148" i="23"/>
  <c r="AP148" i="23"/>
  <c r="AO148" i="23"/>
  <c r="AN148" i="23"/>
  <c r="AD145" i="7"/>
  <c r="AH144" i="7"/>
  <c r="AE144" i="7"/>
  <c r="AF144" i="7"/>
  <c r="AG144" i="7"/>
  <c r="AI144" i="7"/>
  <c r="AJ144" i="7"/>
  <c r="AK144" i="7"/>
  <c r="AA15" i="7"/>
  <c r="AK147" i="22"/>
  <c r="AF147" i="22"/>
  <c r="AJ147" i="22"/>
  <c r="AI147" i="22"/>
  <c r="AG147" i="22"/>
  <c r="AE147" i="22"/>
  <c r="AH147" i="22"/>
  <c r="AQ143" i="7"/>
  <c r="AT143" i="7"/>
  <c r="AM144" i="7"/>
  <c r="AS143" i="7"/>
  <c r="AO143" i="7"/>
  <c r="AR143" i="7"/>
  <c r="AP143" i="7"/>
  <c r="AN143" i="7"/>
  <c r="AB15" i="7"/>
  <c r="K40" i="3"/>
  <c r="L42" i="3"/>
  <c r="L43" i="3" s="1"/>
  <c r="L41" i="3"/>
  <c r="L48" i="3"/>
  <c r="L47" i="3"/>
  <c r="L46" i="3"/>
  <c r="N8" i="3"/>
  <c r="H146" i="23"/>
  <c r="L12" i="3"/>
  <c r="M17" i="3"/>
  <c r="M15" i="3"/>
  <c r="M14" i="3"/>
  <c r="M13" i="3"/>
  <c r="N11" i="3"/>
  <c r="M94" i="3"/>
  <c r="I147" i="22"/>
  <c r="H147" i="22"/>
  <c r="I146" i="23"/>
  <c r="J146" i="23"/>
  <c r="J147" i="22"/>
  <c r="Q15" i="7"/>
  <c r="AB147" i="23"/>
  <c r="W147" i="23"/>
  <c r="X147" i="23"/>
  <c r="V147" i="23"/>
  <c r="AA147" i="23"/>
  <c r="Z147" i="23"/>
  <c r="U148" i="23"/>
  <c r="Y147" i="23"/>
  <c r="F147" i="23"/>
  <c r="E147" i="23"/>
  <c r="D147" i="23"/>
  <c r="C148" i="23"/>
  <c r="G147" i="23"/>
  <c r="S149" i="23"/>
  <c r="N149" i="23"/>
  <c r="L150" i="23"/>
  <c r="O149" i="23"/>
  <c r="Q149" i="23"/>
  <c r="M149" i="23"/>
  <c r="R149" i="23"/>
  <c r="P149" i="23"/>
  <c r="AD148" i="22"/>
  <c r="L148" i="22"/>
  <c r="O147" i="22"/>
  <c r="N147" i="22"/>
  <c r="M147" i="22"/>
  <c r="P147" i="22"/>
  <c r="C149" i="22"/>
  <c r="D148" i="22"/>
  <c r="G148" i="22"/>
  <c r="E148" i="22"/>
  <c r="F148" i="22"/>
  <c r="U149" i="22"/>
  <c r="V148" i="22"/>
  <c r="X148" i="22"/>
  <c r="W148" i="22"/>
  <c r="AA148" i="22" s="1"/>
  <c r="Y148" i="22"/>
  <c r="Z15" i="7"/>
  <c r="S15" i="7"/>
  <c r="R15" i="7"/>
  <c r="P16" i="7"/>
  <c r="I21" i="3" s="1"/>
  <c r="N16" i="7"/>
  <c r="O16" i="7"/>
  <c r="M16" i="7"/>
  <c r="O6" i="3"/>
  <c r="N7" i="3"/>
  <c r="N9" i="3" s="1"/>
  <c r="H16" i="7"/>
  <c r="J16" i="7"/>
  <c r="I16" i="7"/>
  <c r="Y16" i="7"/>
  <c r="X16" i="7"/>
  <c r="W16" i="7"/>
  <c r="V16" i="7"/>
  <c r="U17" i="7"/>
  <c r="G17" i="7"/>
  <c r="F17" i="7"/>
  <c r="J35" i="3" s="1"/>
  <c r="E17" i="7"/>
  <c r="J36" i="3" s="1"/>
  <c r="D17" i="7"/>
  <c r="S147" i="22" l="1"/>
  <c r="Q147" i="22"/>
  <c r="R147" i="22"/>
  <c r="AB148" i="22"/>
  <c r="Z148" i="22"/>
  <c r="M75" i="3"/>
  <c r="M60" i="3"/>
  <c r="M50" i="3" s="1"/>
  <c r="O8" i="3"/>
  <c r="P8" i="3" s="1"/>
  <c r="N76" i="3"/>
  <c r="N80" i="3"/>
  <c r="N79" i="3"/>
  <c r="N78" i="3"/>
  <c r="N77" i="3"/>
  <c r="N44" i="3"/>
  <c r="N45" i="3" s="1"/>
  <c r="N88" i="3"/>
  <c r="N87" i="3"/>
  <c r="N86" i="3"/>
  <c r="N85" i="3"/>
  <c r="N84" i="3"/>
  <c r="N83" i="3"/>
  <c r="N81" i="3"/>
  <c r="N68" i="3"/>
  <c r="N67" i="3"/>
  <c r="N64" i="3"/>
  <c r="N61" i="3"/>
  <c r="N59" i="3"/>
  <c r="N54" i="3"/>
  <c r="N52" i="3"/>
  <c r="N51" i="3"/>
  <c r="N82" i="3"/>
  <c r="N66" i="3"/>
  <c r="N65" i="3"/>
  <c r="N63" i="3"/>
  <c r="N62" i="3"/>
  <c r="N56" i="3"/>
  <c r="N70" i="3"/>
  <c r="N69" i="3"/>
  <c r="N58" i="3"/>
  <c r="N57" i="3"/>
  <c r="N55" i="3"/>
  <c r="N53" i="3"/>
  <c r="AM150" i="22"/>
  <c r="AT149" i="22"/>
  <c r="AS149" i="22"/>
  <c r="AR149" i="22"/>
  <c r="AQ149" i="22"/>
  <c r="AP149" i="22"/>
  <c r="AO149" i="22"/>
  <c r="AN149" i="22"/>
  <c r="AE149" i="23"/>
  <c r="AF149" i="23"/>
  <c r="AG149" i="23"/>
  <c r="AD150" i="23"/>
  <c r="AK149" i="23"/>
  <c r="AJ149" i="23"/>
  <c r="AI149" i="23"/>
  <c r="AH149" i="23"/>
  <c r="AR149" i="23"/>
  <c r="AP149" i="23"/>
  <c r="AT149" i="23"/>
  <c r="AO149" i="23"/>
  <c r="AM150" i="23"/>
  <c r="AS149" i="23"/>
  <c r="AN149" i="23"/>
  <c r="AQ149" i="23"/>
  <c r="AD146" i="7"/>
  <c r="AH145" i="7"/>
  <c r="AE145" i="7"/>
  <c r="AF145" i="7"/>
  <c r="AG145" i="7"/>
  <c r="AI145" i="7"/>
  <c r="AJ145" i="7"/>
  <c r="AK145" i="7"/>
  <c r="AK148" i="22"/>
  <c r="AI148" i="22"/>
  <c r="AG148" i="22"/>
  <c r="AF148" i="22"/>
  <c r="AJ148" i="22"/>
  <c r="AE148" i="22"/>
  <c r="AH148" i="22"/>
  <c r="AQ144" i="7"/>
  <c r="AS144" i="7"/>
  <c r="AR144" i="7"/>
  <c r="AT144" i="7"/>
  <c r="AO144" i="7"/>
  <c r="AN144" i="7"/>
  <c r="AM145" i="7"/>
  <c r="AP144" i="7"/>
  <c r="AB16" i="7"/>
  <c r="AA16" i="7"/>
  <c r="L40" i="3"/>
  <c r="M48" i="3"/>
  <c r="M47" i="3"/>
  <c r="M46" i="3"/>
  <c r="M42" i="3"/>
  <c r="M43" i="3" s="1"/>
  <c r="M41" i="3"/>
  <c r="M12" i="3"/>
  <c r="N17" i="3"/>
  <c r="N15" i="3"/>
  <c r="N14" i="3"/>
  <c r="N13" i="3"/>
  <c r="O11" i="3"/>
  <c r="N94" i="3"/>
  <c r="J147" i="23"/>
  <c r="H147" i="23"/>
  <c r="J148" i="22"/>
  <c r="I148" i="22"/>
  <c r="I147" i="23"/>
  <c r="Q16" i="7"/>
  <c r="R16" i="7"/>
  <c r="E148" i="23"/>
  <c r="C149" i="23"/>
  <c r="F148" i="23"/>
  <c r="D148" i="23"/>
  <c r="G148" i="23"/>
  <c r="L151" i="23"/>
  <c r="O150" i="23"/>
  <c r="N150" i="23"/>
  <c r="M150" i="23"/>
  <c r="S150" i="23"/>
  <c r="Q150" i="23"/>
  <c r="R150" i="23"/>
  <c r="P150" i="23"/>
  <c r="U149" i="23"/>
  <c r="X148" i="23"/>
  <c r="W148" i="23"/>
  <c r="AB148" i="23"/>
  <c r="AA148" i="23"/>
  <c r="Z148" i="23"/>
  <c r="V148" i="23"/>
  <c r="Y148" i="23"/>
  <c r="L149" i="22"/>
  <c r="O148" i="22"/>
  <c r="N148" i="22"/>
  <c r="M148" i="22"/>
  <c r="P148" i="22"/>
  <c r="H148" i="22"/>
  <c r="U150" i="22"/>
  <c r="W149" i="22"/>
  <c r="V149" i="22"/>
  <c r="X149" i="22"/>
  <c r="AB149" i="22" s="1"/>
  <c r="Y149" i="22"/>
  <c r="C150" i="22"/>
  <c r="D149" i="22"/>
  <c r="F149" i="22"/>
  <c r="E149" i="22"/>
  <c r="G149" i="22"/>
  <c r="AD149" i="22"/>
  <c r="S16" i="7"/>
  <c r="Z16" i="7"/>
  <c r="N17" i="7"/>
  <c r="P17" i="7"/>
  <c r="J21" i="3" s="1"/>
  <c r="O17" i="7"/>
  <c r="M17" i="7"/>
  <c r="O7" i="3"/>
  <c r="O9" i="3" s="1"/>
  <c r="P6" i="3"/>
  <c r="I17" i="7"/>
  <c r="J17" i="7"/>
  <c r="G18" i="7"/>
  <c r="F18" i="7"/>
  <c r="K35" i="3" s="1"/>
  <c r="E18" i="7"/>
  <c r="K36" i="3" s="1"/>
  <c r="D18" i="7"/>
  <c r="H17" i="7"/>
  <c r="Y17" i="7"/>
  <c r="X17" i="7"/>
  <c r="W17" i="7"/>
  <c r="V17" i="7"/>
  <c r="U18" i="7"/>
  <c r="Q148" i="22" l="1"/>
  <c r="S148" i="22"/>
  <c r="R148" i="22"/>
  <c r="AA149" i="22"/>
  <c r="Z149" i="22"/>
  <c r="O77" i="3"/>
  <c r="O80" i="3"/>
  <c r="O79" i="3"/>
  <c r="O76" i="3"/>
  <c r="O78" i="3"/>
  <c r="N75" i="3"/>
  <c r="N60" i="3"/>
  <c r="N50" i="3" s="1"/>
  <c r="P78" i="3"/>
  <c r="P76" i="3"/>
  <c r="P80" i="3"/>
  <c r="P79" i="3"/>
  <c r="P77" i="3"/>
  <c r="O67" i="3"/>
  <c r="O52" i="3"/>
  <c r="O88" i="3"/>
  <c r="O87" i="3"/>
  <c r="O86" i="3"/>
  <c r="O85" i="3"/>
  <c r="O84" i="3"/>
  <c r="O83" i="3"/>
  <c r="O82" i="3"/>
  <c r="O70" i="3"/>
  <c r="O65" i="3"/>
  <c r="O64" i="3"/>
  <c r="O63" i="3"/>
  <c r="O62" i="3"/>
  <c r="O58" i="3"/>
  <c r="O57" i="3"/>
  <c r="O56" i="3"/>
  <c r="O55" i="3"/>
  <c r="O53" i="3"/>
  <c r="O44" i="3"/>
  <c r="O45" i="3" s="1"/>
  <c r="O81" i="3"/>
  <c r="O69" i="3"/>
  <c r="O68" i="3"/>
  <c r="O66" i="3"/>
  <c r="O61" i="3"/>
  <c r="O59" i="3"/>
  <c r="O54" i="3"/>
  <c r="O51" i="3"/>
  <c r="AM151" i="22"/>
  <c r="AT150" i="22"/>
  <c r="AQ150" i="22"/>
  <c r="AP150" i="22"/>
  <c r="AN150" i="22"/>
  <c r="AS150" i="22"/>
  <c r="AO150" i="22"/>
  <c r="AR150" i="22"/>
  <c r="AK150" i="23"/>
  <c r="AH150" i="23"/>
  <c r="AG150" i="23"/>
  <c r="AF150" i="23"/>
  <c r="AD151" i="23"/>
  <c r="AI150" i="23"/>
  <c r="AE150" i="23"/>
  <c r="AJ150" i="23"/>
  <c r="AM151" i="23"/>
  <c r="AS150" i="23"/>
  <c r="AR150" i="23"/>
  <c r="AQ150" i="23"/>
  <c r="AP150" i="23"/>
  <c r="AO150" i="23"/>
  <c r="AT150" i="23"/>
  <c r="AN150" i="23"/>
  <c r="AD147" i="7"/>
  <c r="AH146" i="7"/>
  <c r="AE146" i="7"/>
  <c r="AF146" i="7"/>
  <c r="AG146" i="7"/>
  <c r="AI146" i="7"/>
  <c r="AJ146" i="7"/>
  <c r="AK146" i="7"/>
  <c r="AJ149" i="22"/>
  <c r="AF149" i="22"/>
  <c r="AK149" i="22"/>
  <c r="AI149" i="22"/>
  <c r="AG149" i="22"/>
  <c r="AE149" i="22"/>
  <c r="AH149" i="22"/>
  <c r="AO145" i="7"/>
  <c r="AT145" i="7"/>
  <c r="AS145" i="7"/>
  <c r="AR145" i="7"/>
  <c r="AN145" i="7"/>
  <c r="AP145" i="7"/>
  <c r="AQ145" i="7"/>
  <c r="AM146" i="7"/>
  <c r="AB17" i="7"/>
  <c r="AA17" i="7"/>
  <c r="M40" i="3"/>
  <c r="N41" i="3"/>
  <c r="N48" i="3"/>
  <c r="N47" i="3"/>
  <c r="N46" i="3"/>
  <c r="N42" i="3"/>
  <c r="N43" i="3" s="1"/>
  <c r="N12" i="3"/>
  <c r="O17" i="3"/>
  <c r="O14" i="3"/>
  <c r="O13" i="3"/>
  <c r="O15" i="3"/>
  <c r="P11" i="3"/>
  <c r="O94" i="3"/>
  <c r="I149" i="22"/>
  <c r="H148" i="23"/>
  <c r="I148" i="23"/>
  <c r="H149" i="22"/>
  <c r="J149" i="22"/>
  <c r="Q17" i="7"/>
  <c r="AA149" i="23"/>
  <c r="X149" i="23"/>
  <c r="W149" i="23"/>
  <c r="V149" i="23"/>
  <c r="U150" i="23"/>
  <c r="AB149" i="23"/>
  <c r="Z149" i="23"/>
  <c r="Y149" i="23"/>
  <c r="J148" i="23"/>
  <c r="C150" i="23"/>
  <c r="F149" i="23"/>
  <c r="E149" i="23"/>
  <c r="D149" i="23"/>
  <c r="G149" i="23"/>
  <c r="R151" i="23"/>
  <c r="O151" i="23"/>
  <c r="L152" i="23"/>
  <c r="N151" i="23"/>
  <c r="S151" i="23"/>
  <c r="Q151" i="23"/>
  <c r="M151" i="23"/>
  <c r="P151" i="23"/>
  <c r="W150" i="22"/>
  <c r="V150" i="22"/>
  <c r="U151" i="22"/>
  <c r="X150" i="22"/>
  <c r="Y150" i="22"/>
  <c r="AD150" i="22"/>
  <c r="C151" i="22"/>
  <c r="F150" i="22"/>
  <c r="E150" i="22"/>
  <c r="D150" i="22"/>
  <c r="G150" i="22"/>
  <c r="O149" i="22"/>
  <c r="Q149" i="22" s="1"/>
  <c r="N149" i="22"/>
  <c r="M149" i="22"/>
  <c r="S149" i="22" s="1"/>
  <c r="L150" i="22"/>
  <c r="P149" i="22"/>
  <c r="S17" i="7"/>
  <c r="R17" i="7"/>
  <c r="Z17" i="7"/>
  <c r="M18" i="7"/>
  <c r="P18" i="7"/>
  <c r="K21" i="3" s="1"/>
  <c r="N18" i="7"/>
  <c r="O18" i="7"/>
  <c r="Q8" i="3"/>
  <c r="P7" i="3"/>
  <c r="P9" i="3" s="1"/>
  <c r="Q6" i="3"/>
  <c r="J18" i="7"/>
  <c r="I18" i="7"/>
  <c r="H18" i="7"/>
  <c r="G19" i="7"/>
  <c r="F19" i="7"/>
  <c r="L35" i="3" s="1"/>
  <c r="E19" i="7"/>
  <c r="L36" i="3" s="1"/>
  <c r="D19" i="7"/>
  <c r="Y18" i="7"/>
  <c r="X18" i="7"/>
  <c r="W18" i="7"/>
  <c r="V18" i="7"/>
  <c r="U19" i="7"/>
  <c r="R149" i="22" l="1"/>
  <c r="AB150" i="22"/>
  <c r="AA150" i="22"/>
  <c r="Z150" i="22"/>
  <c r="O60" i="3"/>
  <c r="O50" i="3" s="1"/>
  <c r="O75" i="3"/>
  <c r="Q76" i="3"/>
  <c r="Q80" i="3"/>
  <c r="Q79" i="3"/>
  <c r="Q78" i="3"/>
  <c r="Q77" i="3"/>
  <c r="P55" i="3"/>
  <c r="P88" i="3"/>
  <c r="P87" i="3"/>
  <c r="P86" i="3"/>
  <c r="P85" i="3"/>
  <c r="P84" i="3"/>
  <c r="P83" i="3"/>
  <c r="P82" i="3"/>
  <c r="P81" i="3"/>
  <c r="P69" i="3"/>
  <c r="P68" i="3"/>
  <c r="P66" i="3"/>
  <c r="P62" i="3"/>
  <c r="P59" i="3"/>
  <c r="P54" i="3"/>
  <c r="P52" i="3"/>
  <c r="P70" i="3"/>
  <c r="P61" i="3"/>
  <c r="P58" i="3"/>
  <c r="P57" i="3"/>
  <c r="P67" i="3"/>
  <c r="P65" i="3"/>
  <c r="P64" i="3"/>
  <c r="P63" i="3"/>
  <c r="P53" i="3"/>
  <c r="P44" i="3"/>
  <c r="P45" i="3" s="1"/>
  <c r="P56" i="3"/>
  <c r="P51" i="3"/>
  <c r="AM152" i="22"/>
  <c r="AT151" i="22"/>
  <c r="AS151" i="22"/>
  <c r="AQ151" i="22"/>
  <c r="AO151" i="22"/>
  <c r="AR151" i="22"/>
  <c r="AP151" i="22"/>
  <c r="AN151" i="22"/>
  <c r="AD152" i="23"/>
  <c r="AJ151" i="23"/>
  <c r="AI151" i="23"/>
  <c r="AG151" i="23"/>
  <c r="AE151" i="23"/>
  <c r="AK151" i="23"/>
  <c r="AH151" i="23"/>
  <c r="AF151" i="23"/>
  <c r="AT151" i="23"/>
  <c r="AR151" i="23"/>
  <c r="AP151" i="23"/>
  <c r="AM152" i="23"/>
  <c r="AS151" i="23"/>
  <c r="AQ151" i="23"/>
  <c r="AO151" i="23"/>
  <c r="AN151" i="23"/>
  <c r="AD148" i="7"/>
  <c r="AH147" i="7"/>
  <c r="AE147" i="7"/>
  <c r="AF147" i="7"/>
  <c r="AG147" i="7"/>
  <c r="AI147" i="7"/>
  <c r="AJ147" i="7"/>
  <c r="AK147" i="7"/>
  <c r="AK150" i="22"/>
  <c r="AI150" i="22"/>
  <c r="AG150" i="22"/>
  <c r="AE150" i="22"/>
  <c r="AJ150" i="22"/>
  <c r="AF150" i="22"/>
  <c r="AH150" i="22"/>
  <c r="AO146" i="7"/>
  <c r="AS146" i="7"/>
  <c r="AM147" i="7"/>
  <c r="AT146" i="7"/>
  <c r="AN146" i="7"/>
  <c r="AR146" i="7"/>
  <c r="AQ146" i="7"/>
  <c r="AP146" i="7"/>
  <c r="AB18" i="7"/>
  <c r="AA18" i="7"/>
  <c r="N40" i="3"/>
  <c r="O47" i="3"/>
  <c r="O46" i="3"/>
  <c r="O42" i="3"/>
  <c r="O43" i="3" s="1"/>
  <c r="O48" i="3"/>
  <c r="O41" i="3"/>
  <c r="Q18" i="7"/>
  <c r="O12" i="3"/>
  <c r="P17" i="3"/>
  <c r="P15" i="3"/>
  <c r="P14" i="3"/>
  <c r="P13" i="3"/>
  <c r="Q11" i="3"/>
  <c r="P94" i="3"/>
  <c r="H149" i="23"/>
  <c r="I149" i="23"/>
  <c r="I150" i="22"/>
  <c r="R18" i="7"/>
  <c r="J149" i="23"/>
  <c r="J150" i="22"/>
  <c r="AB150" i="23"/>
  <c r="W150" i="23"/>
  <c r="U151" i="23"/>
  <c r="X150" i="23"/>
  <c r="Z150" i="23"/>
  <c r="V150" i="23"/>
  <c r="AA150" i="23"/>
  <c r="Y150" i="23"/>
  <c r="S152" i="23"/>
  <c r="R152" i="23"/>
  <c r="N152" i="23"/>
  <c r="Q152" i="23"/>
  <c r="L153" i="23"/>
  <c r="O152" i="23"/>
  <c r="M152" i="23"/>
  <c r="P152" i="23"/>
  <c r="C151" i="23"/>
  <c r="F150" i="23"/>
  <c r="E150" i="23"/>
  <c r="D150" i="23"/>
  <c r="G150" i="23"/>
  <c r="H150" i="22"/>
  <c r="AD151" i="22"/>
  <c r="L151" i="22"/>
  <c r="O150" i="22"/>
  <c r="N150" i="22"/>
  <c r="M150" i="22"/>
  <c r="P150" i="22"/>
  <c r="U152" i="22"/>
  <c r="X151" i="22"/>
  <c r="V151" i="22"/>
  <c r="W151" i="22"/>
  <c r="AA151" i="22" s="1"/>
  <c r="Y151" i="22"/>
  <c r="D151" i="22"/>
  <c r="F151" i="22"/>
  <c r="E151" i="22"/>
  <c r="C152" i="22"/>
  <c r="G151" i="22"/>
  <c r="S18" i="7"/>
  <c r="Z18" i="7"/>
  <c r="O19" i="7"/>
  <c r="M19" i="7"/>
  <c r="N19" i="7"/>
  <c r="P19" i="7"/>
  <c r="L21" i="3" s="1"/>
  <c r="R8" i="3"/>
  <c r="Q7" i="3"/>
  <c r="Q9" i="3" s="1"/>
  <c r="R6" i="3"/>
  <c r="H19" i="7"/>
  <c r="I19" i="7"/>
  <c r="J19" i="7"/>
  <c r="G20" i="7"/>
  <c r="F20" i="7"/>
  <c r="M35" i="3" s="1"/>
  <c r="E20" i="7"/>
  <c r="M36" i="3" s="1"/>
  <c r="D20" i="7"/>
  <c r="Y19" i="7"/>
  <c r="X19" i="7"/>
  <c r="W19" i="7"/>
  <c r="V19" i="7"/>
  <c r="U20" i="7"/>
  <c r="R150" i="22" l="1"/>
  <c r="S150" i="22"/>
  <c r="Q150" i="22"/>
  <c r="AB151" i="22"/>
  <c r="Z151" i="22"/>
  <c r="P75" i="3"/>
  <c r="P60" i="3"/>
  <c r="P50" i="3" s="1"/>
  <c r="R76" i="3"/>
  <c r="R78" i="3"/>
  <c r="R77" i="3"/>
  <c r="R80" i="3"/>
  <c r="R79" i="3"/>
  <c r="Q68" i="3"/>
  <c r="Q66" i="3"/>
  <c r="Q65" i="3"/>
  <c r="Q64" i="3"/>
  <c r="Q62" i="3"/>
  <c r="Q51" i="3"/>
  <c r="Q88" i="3"/>
  <c r="Q87" i="3"/>
  <c r="Q86" i="3"/>
  <c r="Q85" i="3"/>
  <c r="Q84" i="3"/>
  <c r="Q83" i="3"/>
  <c r="Q82" i="3"/>
  <c r="Q81" i="3"/>
  <c r="Q67" i="3"/>
  <c r="Q63" i="3"/>
  <c r="Q61" i="3"/>
  <c r="Q58" i="3"/>
  <c r="Q56" i="3"/>
  <c r="Q55" i="3"/>
  <c r="Q53" i="3"/>
  <c r="Q44" i="3"/>
  <c r="Q45" i="3" s="1"/>
  <c r="Q70" i="3"/>
  <c r="Q69" i="3"/>
  <c r="Q59" i="3"/>
  <c r="Q57" i="3"/>
  <c r="Q52" i="3"/>
  <c r="Q54" i="3"/>
  <c r="AM153" i="22"/>
  <c r="AT152" i="22"/>
  <c r="AS152" i="22"/>
  <c r="AN152" i="22"/>
  <c r="AR152" i="22"/>
  <c r="AQ152" i="22"/>
  <c r="AP152" i="22"/>
  <c r="AO152" i="22"/>
  <c r="AD153" i="23"/>
  <c r="AK152" i="23"/>
  <c r="AJ152" i="23"/>
  <c r="AI152" i="23"/>
  <c r="AH152" i="23"/>
  <c r="AG152" i="23"/>
  <c r="AF152" i="23"/>
  <c r="AE152" i="23"/>
  <c r="AM153" i="23"/>
  <c r="AT152" i="23"/>
  <c r="AS152" i="23"/>
  <c r="AR152" i="23"/>
  <c r="AQ152" i="23"/>
  <c r="AP152" i="23"/>
  <c r="AO152" i="23"/>
  <c r="AN152" i="23"/>
  <c r="AD149" i="7"/>
  <c r="AH148" i="7"/>
  <c r="AE148" i="7"/>
  <c r="AF148" i="7"/>
  <c r="AG148" i="7"/>
  <c r="AI148" i="7"/>
  <c r="AJ148" i="7"/>
  <c r="AK148" i="7"/>
  <c r="AJ151" i="22"/>
  <c r="AF151" i="22"/>
  <c r="AK151" i="22"/>
  <c r="AI151" i="22"/>
  <c r="AG151" i="22"/>
  <c r="AE151" i="22"/>
  <c r="AH151" i="22"/>
  <c r="AQ147" i="7"/>
  <c r="AM148" i="7"/>
  <c r="AT147" i="7"/>
  <c r="AS147" i="7"/>
  <c r="AP147" i="7"/>
  <c r="AN147" i="7"/>
  <c r="AO147" i="7"/>
  <c r="AR147" i="7"/>
  <c r="AA19" i="7"/>
  <c r="Z19" i="7"/>
  <c r="O40" i="3"/>
  <c r="P41" i="3"/>
  <c r="P48" i="3"/>
  <c r="P47" i="3"/>
  <c r="P46" i="3"/>
  <c r="P42" i="3"/>
  <c r="P43" i="3" s="1"/>
  <c r="P12" i="3"/>
  <c r="Q17" i="3"/>
  <c r="Q15" i="3"/>
  <c r="Q14" i="3"/>
  <c r="Q13" i="3"/>
  <c r="R11" i="3"/>
  <c r="Q94" i="3"/>
  <c r="I150" i="23"/>
  <c r="J150" i="23"/>
  <c r="I151" i="22"/>
  <c r="J151" i="22"/>
  <c r="R19" i="7"/>
  <c r="Q19" i="7"/>
  <c r="U152" i="23"/>
  <c r="X151" i="23"/>
  <c r="W151" i="23"/>
  <c r="V151" i="23"/>
  <c r="AB151" i="23"/>
  <c r="AA151" i="23"/>
  <c r="Z151" i="23"/>
  <c r="Y151" i="23"/>
  <c r="H150" i="23"/>
  <c r="L154" i="23"/>
  <c r="O153" i="23"/>
  <c r="N153" i="23"/>
  <c r="M153" i="23"/>
  <c r="R153" i="23"/>
  <c r="S153" i="23"/>
  <c r="Q153" i="23"/>
  <c r="P153" i="23"/>
  <c r="E151" i="23"/>
  <c r="F151" i="23"/>
  <c r="D151" i="23"/>
  <c r="C152" i="23"/>
  <c r="G151" i="23"/>
  <c r="U153" i="22"/>
  <c r="W152" i="22"/>
  <c r="X152" i="22"/>
  <c r="V152" i="22"/>
  <c r="Y152" i="22"/>
  <c r="L152" i="22"/>
  <c r="O151" i="22"/>
  <c r="N151" i="22"/>
  <c r="M151" i="22"/>
  <c r="P151" i="22"/>
  <c r="C153" i="22"/>
  <c r="D152" i="22"/>
  <c r="E152" i="22"/>
  <c r="F152" i="22"/>
  <c r="G152" i="22"/>
  <c r="H151" i="22"/>
  <c r="AD152" i="22"/>
  <c r="S19" i="7"/>
  <c r="AB19" i="7"/>
  <c r="N20" i="7"/>
  <c r="O20" i="7"/>
  <c r="M20" i="7"/>
  <c r="P20" i="7"/>
  <c r="M21" i="3" s="1"/>
  <c r="S8" i="3"/>
  <c r="R7" i="3"/>
  <c r="R9" i="3" s="1"/>
  <c r="S6" i="3"/>
  <c r="I20" i="7"/>
  <c r="J20" i="7"/>
  <c r="H20" i="7"/>
  <c r="Y20" i="7"/>
  <c r="X20" i="7"/>
  <c r="W20" i="7"/>
  <c r="V20" i="7"/>
  <c r="U21" i="7"/>
  <c r="G21" i="7"/>
  <c r="F21" i="7"/>
  <c r="N35" i="3" s="1"/>
  <c r="E21" i="7"/>
  <c r="N36" i="3" s="1"/>
  <c r="D21" i="7"/>
  <c r="Q151" i="22" l="1"/>
  <c r="R151" i="22"/>
  <c r="S151" i="22"/>
  <c r="Q75" i="3"/>
  <c r="AA152" i="22"/>
  <c r="AB152" i="22"/>
  <c r="Z152" i="22"/>
  <c r="Q60" i="3"/>
  <c r="Q50" i="3" s="1"/>
  <c r="S78" i="3"/>
  <c r="S77" i="3"/>
  <c r="S76" i="3"/>
  <c r="S79" i="3"/>
  <c r="S80" i="3"/>
  <c r="R63" i="3"/>
  <c r="R61" i="3"/>
  <c r="R59" i="3"/>
  <c r="R53" i="3"/>
  <c r="R88" i="3"/>
  <c r="R87" i="3"/>
  <c r="R86" i="3"/>
  <c r="R85" i="3"/>
  <c r="R84" i="3"/>
  <c r="R83" i="3"/>
  <c r="R69" i="3"/>
  <c r="R66" i="3"/>
  <c r="R65" i="3"/>
  <c r="R64" i="3"/>
  <c r="R62" i="3"/>
  <c r="R57" i="3"/>
  <c r="R54" i="3"/>
  <c r="R51" i="3"/>
  <c r="R82" i="3"/>
  <c r="R81" i="3"/>
  <c r="R67" i="3"/>
  <c r="R70" i="3"/>
  <c r="R68" i="3"/>
  <c r="R58" i="3"/>
  <c r="R56" i="3"/>
  <c r="R55" i="3"/>
  <c r="R52" i="3"/>
  <c r="R44" i="3"/>
  <c r="R45" i="3" s="1"/>
  <c r="AM154" i="22"/>
  <c r="AT153" i="22"/>
  <c r="AS153" i="22"/>
  <c r="AR153" i="22"/>
  <c r="AQ153" i="22"/>
  <c r="AP153" i="22"/>
  <c r="AO153" i="22"/>
  <c r="AN153" i="22"/>
  <c r="AD154" i="23"/>
  <c r="AK153" i="23"/>
  <c r="AJ153" i="23"/>
  <c r="AI153" i="23"/>
  <c r="AH153" i="23"/>
  <c r="AG153" i="23"/>
  <c r="AF153" i="23"/>
  <c r="AE153" i="23"/>
  <c r="AM154" i="23"/>
  <c r="AT153" i="23"/>
  <c r="AS153" i="23"/>
  <c r="AR153" i="23"/>
  <c r="AQ153" i="23"/>
  <c r="AP153" i="23"/>
  <c r="AO153" i="23"/>
  <c r="AN153" i="23"/>
  <c r="AD150" i="7"/>
  <c r="AH149" i="7"/>
  <c r="AE149" i="7"/>
  <c r="AF149" i="7"/>
  <c r="AG149" i="7"/>
  <c r="AI149" i="7"/>
  <c r="AJ149" i="7"/>
  <c r="AK149" i="7"/>
  <c r="AK152" i="22"/>
  <c r="AI152" i="22"/>
  <c r="AG152" i="22"/>
  <c r="AF152" i="22"/>
  <c r="AE152" i="22"/>
  <c r="AJ152" i="22"/>
  <c r="AH152" i="22"/>
  <c r="AM149" i="7"/>
  <c r="AP148" i="7"/>
  <c r="AR148" i="7"/>
  <c r="AS148" i="7"/>
  <c r="AO148" i="7"/>
  <c r="AT148" i="7"/>
  <c r="AN148" i="7"/>
  <c r="AQ148" i="7"/>
  <c r="AB20" i="7"/>
  <c r="Z20" i="7"/>
  <c r="AA20" i="7"/>
  <c r="P40" i="3"/>
  <c r="Q47" i="3"/>
  <c r="Q46" i="3"/>
  <c r="Q42" i="3"/>
  <c r="Q43" i="3" s="1"/>
  <c r="Q48" i="3"/>
  <c r="Q41" i="3"/>
  <c r="R17" i="3"/>
  <c r="Q12" i="3"/>
  <c r="S11" i="3"/>
  <c r="R15" i="3"/>
  <c r="R14" i="3"/>
  <c r="R13" i="3"/>
  <c r="R94" i="3"/>
  <c r="I152" i="22"/>
  <c r="J151" i="23"/>
  <c r="I151" i="23"/>
  <c r="H151" i="23"/>
  <c r="H152" i="22"/>
  <c r="Q20" i="7"/>
  <c r="R20" i="7"/>
  <c r="R154" i="23"/>
  <c r="S154" i="23"/>
  <c r="Q154" i="23"/>
  <c r="O154" i="23"/>
  <c r="L155" i="23"/>
  <c r="M154" i="23"/>
  <c r="N154" i="23"/>
  <c r="P154" i="23"/>
  <c r="C153" i="23"/>
  <c r="F152" i="23"/>
  <c r="E152" i="23"/>
  <c r="D152" i="23"/>
  <c r="G152" i="23"/>
  <c r="AA152" i="23"/>
  <c r="AB152" i="23"/>
  <c r="X152" i="23"/>
  <c r="W152" i="23"/>
  <c r="V152" i="23"/>
  <c r="U153" i="23"/>
  <c r="Z152" i="23"/>
  <c r="Y152" i="23"/>
  <c r="N152" i="22"/>
  <c r="M152" i="22"/>
  <c r="L153" i="22"/>
  <c r="O152" i="22"/>
  <c r="P152" i="22"/>
  <c r="AD153" i="22"/>
  <c r="J152" i="22"/>
  <c r="C154" i="22"/>
  <c r="F153" i="22"/>
  <c r="E153" i="22"/>
  <c r="D153" i="22"/>
  <c r="G153" i="22"/>
  <c r="U154" i="22"/>
  <c r="V153" i="22"/>
  <c r="X153" i="22"/>
  <c r="W153" i="22"/>
  <c r="Y153" i="22"/>
  <c r="S20" i="7"/>
  <c r="M21" i="7"/>
  <c r="N21" i="7"/>
  <c r="O21" i="7"/>
  <c r="P21" i="7"/>
  <c r="N21" i="3" s="1"/>
  <c r="T8" i="3"/>
  <c r="S7" i="3"/>
  <c r="S9" i="3" s="1"/>
  <c r="T6" i="3"/>
  <c r="I21" i="7"/>
  <c r="H21" i="7"/>
  <c r="J21" i="7"/>
  <c r="G22" i="7"/>
  <c r="F22" i="7"/>
  <c r="O35" i="3" s="1"/>
  <c r="E22" i="7"/>
  <c r="O36" i="3" s="1"/>
  <c r="D22" i="7"/>
  <c r="Y21" i="7"/>
  <c r="X21" i="7"/>
  <c r="W21" i="7"/>
  <c r="V21" i="7"/>
  <c r="U22" i="7"/>
  <c r="R152" i="22" l="1"/>
  <c r="Q152" i="22"/>
  <c r="S152" i="22"/>
  <c r="R75" i="3"/>
  <c r="Z153" i="22"/>
  <c r="AB153" i="22"/>
  <c r="AA153" i="22"/>
  <c r="R60" i="3"/>
  <c r="R50" i="3" s="1"/>
  <c r="T76" i="3"/>
  <c r="T78" i="3"/>
  <c r="T80" i="3"/>
  <c r="T79" i="3"/>
  <c r="T77" i="3"/>
  <c r="S54" i="3"/>
  <c r="S52" i="3"/>
  <c r="S44" i="3"/>
  <c r="S45" i="3" s="1"/>
  <c r="S88" i="3"/>
  <c r="S87" i="3"/>
  <c r="S86" i="3"/>
  <c r="S85" i="3"/>
  <c r="S84" i="3"/>
  <c r="S83" i="3"/>
  <c r="S82" i="3"/>
  <c r="S81" i="3"/>
  <c r="S70" i="3"/>
  <c r="S68" i="3"/>
  <c r="S67" i="3"/>
  <c r="S63" i="3"/>
  <c r="S59" i="3"/>
  <c r="S58" i="3"/>
  <c r="S56" i="3"/>
  <c r="S69" i="3"/>
  <c r="S57" i="3"/>
  <c r="S66" i="3"/>
  <c r="S65" i="3"/>
  <c r="S64" i="3"/>
  <c r="S62" i="3"/>
  <c r="S61" i="3"/>
  <c r="S51" i="3"/>
  <c r="S55" i="3"/>
  <c r="S53" i="3"/>
  <c r="AM155" i="22"/>
  <c r="AT154" i="22"/>
  <c r="AS154" i="22"/>
  <c r="AQ154" i="22"/>
  <c r="AO154" i="22"/>
  <c r="AR154" i="22"/>
  <c r="AP154" i="22"/>
  <c r="AN154" i="22"/>
  <c r="AH154" i="23"/>
  <c r="AD155" i="23"/>
  <c r="AK154" i="23"/>
  <c r="AJ154" i="23"/>
  <c r="AI154" i="23"/>
  <c r="AG154" i="23"/>
  <c r="AF154" i="23"/>
  <c r="AE154" i="23"/>
  <c r="AM155" i="23"/>
  <c r="AT154" i="23"/>
  <c r="AS154" i="23"/>
  <c r="AR154" i="23"/>
  <c r="AQ154" i="23"/>
  <c r="AP154" i="23"/>
  <c r="AO154" i="23"/>
  <c r="AN154" i="23"/>
  <c r="AD151" i="7"/>
  <c r="AH150" i="7"/>
  <c r="AE150" i="7"/>
  <c r="AF150" i="7"/>
  <c r="AG150" i="7"/>
  <c r="AI150" i="7"/>
  <c r="AJ150" i="7"/>
  <c r="AK150" i="7"/>
  <c r="AK153" i="22"/>
  <c r="AI153" i="22"/>
  <c r="AG153" i="22"/>
  <c r="AF153" i="22"/>
  <c r="AJ153" i="22"/>
  <c r="AE153" i="22"/>
  <c r="AH153" i="22"/>
  <c r="AM150" i="7"/>
  <c r="AO149" i="7"/>
  <c r="AR149" i="7"/>
  <c r="AS149" i="7"/>
  <c r="AT149" i="7"/>
  <c r="AQ149" i="7"/>
  <c r="AN149" i="7"/>
  <c r="AP149" i="7"/>
  <c r="AB21" i="7"/>
  <c r="AA21" i="7"/>
  <c r="Q40" i="3"/>
  <c r="R41" i="3"/>
  <c r="R48" i="3"/>
  <c r="R47" i="3"/>
  <c r="R46" i="3"/>
  <c r="R42" i="3"/>
  <c r="R43" i="3" s="1"/>
  <c r="S17" i="3"/>
  <c r="R12" i="3"/>
  <c r="S15" i="3"/>
  <c r="S14" i="3"/>
  <c r="S13" i="3"/>
  <c r="T11" i="3"/>
  <c r="S94" i="3"/>
  <c r="H153" i="22"/>
  <c r="H152" i="23"/>
  <c r="I153" i="22"/>
  <c r="I152" i="23"/>
  <c r="R21" i="7"/>
  <c r="Q21" i="7"/>
  <c r="J152" i="23"/>
  <c r="AB153" i="23"/>
  <c r="AA153" i="23"/>
  <c r="W153" i="23"/>
  <c r="X153" i="23"/>
  <c r="U154" i="23"/>
  <c r="Z153" i="23"/>
  <c r="V153" i="23"/>
  <c r="Y153" i="23"/>
  <c r="E153" i="23"/>
  <c r="F153" i="23"/>
  <c r="D153" i="23"/>
  <c r="C154" i="23"/>
  <c r="G153" i="23"/>
  <c r="S155" i="23"/>
  <c r="R155" i="23"/>
  <c r="N155" i="23"/>
  <c r="O155" i="23"/>
  <c r="L156" i="23"/>
  <c r="M155" i="23"/>
  <c r="Q155" i="23"/>
  <c r="P155" i="23"/>
  <c r="AD154" i="22"/>
  <c r="J153" i="22"/>
  <c r="E154" i="22"/>
  <c r="D154" i="22"/>
  <c r="F154" i="22"/>
  <c r="C155" i="22"/>
  <c r="G154" i="22"/>
  <c r="U155" i="22"/>
  <c r="X154" i="22"/>
  <c r="W154" i="22"/>
  <c r="V154" i="22"/>
  <c r="Y154" i="22"/>
  <c r="L154" i="22"/>
  <c r="O153" i="22"/>
  <c r="N153" i="22"/>
  <c r="M153" i="22"/>
  <c r="P153" i="22"/>
  <c r="S21" i="7"/>
  <c r="Z21" i="7"/>
  <c r="P22" i="7"/>
  <c r="O21" i="3" s="1"/>
  <c r="O22" i="7"/>
  <c r="N22" i="7"/>
  <c r="M22" i="7"/>
  <c r="U8" i="3"/>
  <c r="T7" i="3"/>
  <c r="T9" i="3" s="1"/>
  <c r="U6" i="3"/>
  <c r="H22" i="7"/>
  <c r="I22" i="7"/>
  <c r="G23" i="7"/>
  <c r="F23" i="7"/>
  <c r="P35" i="3" s="1"/>
  <c r="E23" i="7"/>
  <c r="P36" i="3" s="1"/>
  <c r="D23" i="7"/>
  <c r="Y22" i="7"/>
  <c r="X22" i="7"/>
  <c r="W22" i="7"/>
  <c r="V22" i="7"/>
  <c r="U23" i="7"/>
  <c r="J22" i="7"/>
  <c r="S153" i="22" l="1"/>
  <c r="Q153" i="22"/>
  <c r="R153" i="22"/>
  <c r="AB154" i="22"/>
  <c r="Z154" i="22"/>
  <c r="AA154" i="22"/>
  <c r="S75" i="3"/>
  <c r="S60" i="3"/>
  <c r="S50" i="3" s="1"/>
  <c r="U79" i="3"/>
  <c r="U77" i="3"/>
  <c r="U76" i="3"/>
  <c r="U80" i="3"/>
  <c r="U78" i="3"/>
  <c r="T58" i="3"/>
  <c r="T56" i="3"/>
  <c r="T88" i="3"/>
  <c r="T87" i="3"/>
  <c r="T86" i="3"/>
  <c r="T85" i="3"/>
  <c r="T84" i="3"/>
  <c r="T83" i="3"/>
  <c r="T82" i="3"/>
  <c r="T81" i="3"/>
  <c r="T70" i="3"/>
  <c r="T69" i="3"/>
  <c r="T66" i="3"/>
  <c r="T65" i="3"/>
  <c r="T64" i="3"/>
  <c r="T62" i="3"/>
  <c r="T57" i="3"/>
  <c r="T55" i="3"/>
  <c r="T44" i="3"/>
  <c r="T45" i="3" s="1"/>
  <c r="T68" i="3"/>
  <c r="T61" i="3"/>
  <c r="T67" i="3"/>
  <c r="T63" i="3"/>
  <c r="T59" i="3"/>
  <c r="T54" i="3"/>
  <c r="T53" i="3"/>
  <c r="T52" i="3"/>
  <c r="T51" i="3"/>
  <c r="AM156" i="22"/>
  <c r="AT155" i="22"/>
  <c r="AS155" i="22"/>
  <c r="AR155" i="22"/>
  <c r="AQ155" i="22"/>
  <c r="AP155" i="22"/>
  <c r="AO155" i="22"/>
  <c r="AN155" i="22"/>
  <c r="AD156" i="23"/>
  <c r="AK155" i="23"/>
  <c r="AJ155" i="23"/>
  <c r="AI155" i="23"/>
  <c r="AH155" i="23"/>
  <c r="AG155" i="23"/>
  <c r="AF155" i="23"/>
  <c r="AE155" i="23"/>
  <c r="AN155" i="23"/>
  <c r="AM156" i="23"/>
  <c r="AT155" i="23"/>
  <c r="AS155" i="23"/>
  <c r="AR155" i="23"/>
  <c r="AQ155" i="23"/>
  <c r="AP155" i="23"/>
  <c r="AO155" i="23"/>
  <c r="AD152" i="7"/>
  <c r="AH151" i="7"/>
  <c r="AE151" i="7"/>
  <c r="AF151" i="7"/>
  <c r="AG151" i="7"/>
  <c r="AI151" i="7"/>
  <c r="AJ151" i="7"/>
  <c r="AK151" i="7"/>
  <c r="AJ154" i="22"/>
  <c r="AI154" i="22"/>
  <c r="AG154" i="22"/>
  <c r="AK154" i="22"/>
  <c r="AF154" i="22"/>
  <c r="AE154" i="22"/>
  <c r="AH154" i="22"/>
  <c r="AP150" i="7"/>
  <c r="AQ150" i="7"/>
  <c r="AT150" i="7"/>
  <c r="AN150" i="7"/>
  <c r="AM151" i="7"/>
  <c r="AS150" i="7"/>
  <c r="AR150" i="7"/>
  <c r="AO150" i="7"/>
  <c r="AB22" i="7"/>
  <c r="AA22" i="7"/>
  <c r="R40" i="3"/>
  <c r="S47" i="3"/>
  <c r="S46" i="3"/>
  <c r="S48" i="3"/>
  <c r="S42" i="3"/>
  <c r="S43" i="3" s="1"/>
  <c r="S41" i="3"/>
  <c r="S12" i="3"/>
  <c r="T17" i="3"/>
  <c r="U11" i="3"/>
  <c r="T15" i="3"/>
  <c r="T14" i="3"/>
  <c r="T13" i="3"/>
  <c r="T94" i="3"/>
  <c r="H154" i="22"/>
  <c r="H153" i="23"/>
  <c r="J153" i="23"/>
  <c r="I153" i="23"/>
  <c r="J154" i="22"/>
  <c r="I154" i="22"/>
  <c r="Q22" i="7"/>
  <c r="E154" i="23"/>
  <c r="C155" i="23"/>
  <c r="F154" i="23"/>
  <c r="D154" i="23"/>
  <c r="G154" i="23"/>
  <c r="L157" i="23"/>
  <c r="O156" i="23"/>
  <c r="N156" i="23"/>
  <c r="S156" i="23"/>
  <c r="R156" i="23"/>
  <c r="Q156" i="23"/>
  <c r="M156" i="23"/>
  <c r="P156" i="23"/>
  <c r="U155" i="23"/>
  <c r="X154" i="23"/>
  <c r="W154" i="23"/>
  <c r="AB154" i="23"/>
  <c r="AA154" i="23"/>
  <c r="V154" i="23"/>
  <c r="Z154" i="23"/>
  <c r="Y154" i="23"/>
  <c r="U156" i="22"/>
  <c r="X155" i="22"/>
  <c r="W155" i="22"/>
  <c r="V155" i="22"/>
  <c r="Y155" i="22"/>
  <c r="L155" i="22"/>
  <c r="O154" i="22"/>
  <c r="N154" i="22"/>
  <c r="M154" i="22"/>
  <c r="P154" i="22"/>
  <c r="C156" i="22"/>
  <c r="F155" i="22"/>
  <c r="D155" i="22"/>
  <c r="E155" i="22"/>
  <c r="G155" i="22"/>
  <c r="AD155" i="22"/>
  <c r="Z22" i="7"/>
  <c r="R22" i="7"/>
  <c r="S22" i="7"/>
  <c r="N23" i="7"/>
  <c r="M23" i="7"/>
  <c r="P23" i="7"/>
  <c r="P21" i="3" s="1"/>
  <c r="O23" i="7"/>
  <c r="V8" i="3"/>
  <c r="V6" i="3"/>
  <c r="U7" i="3"/>
  <c r="U9" i="3" s="1"/>
  <c r="J23" i="7"/>
  <c r="I23" i="7"/>
  <c r="H23" i="7"/>
  <c r="Y23" i="7"/>
  <c r="X23" i="7"/>
  <c r="W23" i="7"/>
  <c r="V23" i="7"/>
  <c r="U24" i="7"/>
  <c r="G24" i="7"/>
  <c r="F24" i="7"/>
  <c r="Q35" i="3" s="1"/>
  <c r="E24" i="7"/>
  <c r="Q36" i="3" s="1"/>
  <c r="D24" i="7"/>
  <c r="R154" i="22" l="1"/>
  <c r="Q154" i="22"/>
  <c r="S154" i="22"/>
  <c r="Z155" i="22"/>
  <c r="AA155" i="22"/>
  <c r="AB155" i="22"/>
  <c r="T75" i="3"/>
  <c r="T60" i="3"/>
  <c r="T50" i="3" s="1"/>
  <c r="V76" i="3"/>
  <c r="V80" i="3"/>
  <c r="V79" i="3"/>
  <c r="V78" i="3"/>
  <c r="V77" i="3"/>
  <c r="U66" i="3"/>
  <c r="U65" i="3"/>
  <c r="U64" i="3"/>
  <c r="U55" i="3"/>
  <c r="U51" i="3"/>
  <c r="U88" i="3"/>
  <c r="U87" i="3"/>
  <c r="U86" i="3"/>
  <c r="U85" i="3"/>
  <c r="U84" i="3"/>
  <c r="U83" i="3"/>
  <c r="U68" i="3"/>
  <c r="U67" i="3"/>
  <c r="U63" i="3"/>
  <c r="U61" i="3"/>
  <c r="U59" i="3"/>
  <c r="U56" i="3"/>
  <c r="U53" i="3"/>
  <c r="U52" i="3"/>
  <c r="U44" i="3"/>
  <c r="U45" i="3" s="1"/>
  <c r="U82" i="3"/>
  <c r="U81" i="3"/>
  <c r="U70" i="3"/>
  <c r="U69" i="3"/>
  <c r="U62" i="3"/>
  <c r="U58" i="3"/>
  <c r="U57" i="3"/>
  <c r="U54" i="3"/>
  <c r="AM157" i="22"/>
  <c r="AT156" i="22"/>
  <c r="AS156" i="22"/>
  <c r="AR156" i="22"/>
  <c r="AP156" i="22"/>
  <c r="AN156" i="22"/>
  <c r="AQ156" i="22"/>
  <c r="AO156" i="22"/>
  <c r="AK156" i="23"/>
  <c r="AJ156" i="23"/>
  <c r="AI156" i="23"/>
  <c r="AH156" i="23"/>
  <c r="AD157" i="23"/>
  <c r="AG156" i="23"/>
  <c r="AF156" i="23"/>
  <c r="AE156" i="23"/>
  <c r="AN156" i="23"/>
  <c r="AM157" i="23"/>
  <c r="AT156" i="23"/>
  <c r="AS156" i="23"/>
  <c r="AR156" i="23"/>
  <c r="AQ156" i="23"/>
  <c r="AP156" i="23"/>
  <c r="AO156" i="23"/>
  <c r="AD153" i="7"/>
  <c r="AH152" i="7"/>
  <c r="AE152" i="7"/>
  <c r="AF152" i="7"/>
  <c r="AG152" i="7"/>
  <c r="AI152" i="7"/>
  <c r="AJ152" i="7"/>
  <c r="AK152" i="7"/>
  <c r="AB23" i="7"/>
  <c r="AK155" i="22"/>
  <c r="AE155" i="22"/>
  <c r="AJ155" i="22"/>
  <c r="AI155" i="22"/>
  <c r="AG155" i="22"/>
  <c r="AF155" i="22"/>
  <c r="AH155" i="22"/>
  <c r="AQ151" i="7"/>
  <c r="AT151" i="7"/>
  <c r="AM152" i="7"/>
  <c r="AS151" i="7"/>
  <c r="AR151" i="7"/>
  <c r="AP151" i="7"/>
  <c r="AO151" i="7"/>
  <c r="AN151" i="7"/>
  <c r="Z23" i="7"/>
  <c r="AA23" i="7"/>
  <c r="S40" i="3"/>
  <c r="T42" i="3"/>
  <c r="T43" i="3" s="1"/>
  <c r="T41" i="3"/>
  <c r="T48" i="3"/>
  <c r="T47" i="3"/>
  <c r="T46" i="3"/>
  <c r="U17" i="3"/>
  <c r="T12" i="3"/>
  <c r="V11" i="3"/>
  <c r="U15" i="3"/>
  <c r="U14" i="3"/>
  <c r="U13" i="3"/>
  <c r="H155" i="22"/>
  <c r="U94" i="3"/>
  <c r="I155" i="22"/>
  <c r="J154" i="23"/>
  <c r="I154" i="23"/>
  <c r="J155" i="22"/>
  <c r="Q23" i="7"/>
  <c r="H154" i="23"/>
  <c r="AA155" i="23"/>
  <c r="U156" i="23"/>
  <c r="X155" i="23"/>
  <c r="W155" i="23"/>
  <c r="AB155" i="23"/>
  <c r="V155" i="23"/>
  <c r="Z155" i="23"/>
  <c r="Y155" i="23"/>
  <c r="C156" i="23"/>
  <c r="F155" i="23"/>
  <c r="E155" i="23"/>
  <c r="D155" i="23"/>
  <c r="G155" i="23"/>
  <c r="R157" i="23"/>
  <c r="L158" i="23"/>
  <c r="O157" i="23"/>
  <c r="N157" i="23"/>
  <c r="S157" i="23"/>
  <c r="M157" i="23"/>
  <c r="Q157" i="23"/>
  <c r="P157" i="23"/>
  <c r="AD156" i="22"/>
  <c r="C157" i="22"/>
  <c r="E156" i="22"/>
  <c r="D156" i="22"/>
  <c r="F156" i="22"/>
  <c r="G156" i="22"/>
  <c r="L156" i="22"/>
  <c r="O155" i="22"/>
  <c r="N155" i="22"/>
  <c r="M155" i="22"/>
  <c r="P155" i="22"/>
  <c r="U157" i="22"/>
  <c r="X156" i="22"/>
  <c r="W156" i="22"/>
  <c r="V156" i="22"/>
  <c r="Y156" i="22"/>
  <c r="S23" i="7"/>
  <c r="R23" i="7"/>
  <c r="N24" i="7"/>
  <c r="M24" i="7"/>
  <c r="O24" i="7"/>
  <c r="P24" i="7"/>
  <c r="Q21" i="3" s="1"/>
  <c r="W8" i="3"/>
  <c r="W6" i="3"/>
  <c r="V7" i="3"/>
  <c r="V9" i="3" s="1"/>
  <c r="I24" i="7"/>
  <c r="J24" i="7"/>
  <c r="H24" i="7"/>
  <c r="Y24" i="7"/>
  <c r="X24" i="7"/>
  <c r="W24" i="7"/>
  <c r="V24" i="7"/>
  <c r="U25" i="7"/>
  <c r="G25" i="7"/>
  <c r="F25" i="7"/>
  <c r="R35" i="3" s="1"/>
  <c r="E25" i="7"/>
  <c r="R36" i="3" s="1"/>
  <c r="D25" i="7"/>
  <c r="Q155" i="22" l="1"/>
  <c r="S155" i="22"/>
  <c r="R155" i="22"/>
  <c r="U75" i="3"/>
  <c r="AA156" i="22"/>
  <c r="Z156" i="22"/>
  <c r="AB156" i="22"/>
  <c r="U60" i="3"/>
  <c r="U50" i="3" s="1"/>
  <c r="W80" i="3"/>
  <c r="W78" i="3"/>
  <c r="W76" i="3"/>
  <c r="W79" i="3"/>
  <c r="W77" i="3"/>
  <c r="V57" i="3"/>
  <c r="V53" i="3"/>
  <c r="V88" i="3"/>
  <c r="V87" i="3"/>
  <c r="V86" i="3"/>
  <c r="V85" i="3"/>
  <c r="V84" i="3"/>
  <c r="V83" i="3"/>
  <c r="V82" i="3"/>
  <c r="V81" i="3"/>
  <c r="V70" i="3"/>
  <c r="V69" i="3"/>
  <c r="V66" i="3"/>
  <c r="V65" i="3"/>
  <c r="V64" i="3"/>
  <c r="V63" i="3"/>
  <c r="V62" i="3"/>
  <c r="V58" i="3"/>
  <c r="V54" i="3"/>
  <c r="V51" i="3"/>
  <c r="V44" i="3"/>
  <c r="V45" i="3" s="1"/>
  <c r="V67" i="3"/>
  <c r="V59" i="3"/>
  <c r="V68" i="3"/>
  <c r="V61" i="3"/>
  <c r="V55" i="3"/>
  <c r="V56" i="3"/>
  <c r="V52" i="3"/>
  <c r="AM158" i="22"/>
  <c r="AT157" i="22"/>
  <c r="AS157" i="22"/>
  <c r="AR157" i="22"/>
  <c r="AQ157" i="22"/>
  <c r="AP157" i="22"/>
  <c r="AO157" i="22"/>
  <c r="AN157" i="22"/>
  <c r="AD158" i="23"/>
  <c r="AK157" i="23"/>
  <c r="AJ157" i="23"/>
  <c r="AI157" i="23"/>
  <c r="AH157" i="23"/>
  <c r="AG157" i="23"/>
  <c r="AF157" i="23"/>
  <c r="AE157" i="23"/>
  <c r="AM158" i="23"/>
  <c r="AT157" i="23"/>
  <c r="AS157" i="23"/>
  <c r="AR157" i="23"/>
  <c r="AQ157" i="23"/>
  <c r="AP157" i="23"/>
  <c r="AO157" i="23"/>
  <c r="AN157" i="23"/>
  <c r="AD154" i="7"/>
  <c r="AH153" i="7"/>
  <c r="AE153" i="7"/>
  <c r="AF153" i="7"/>
  <c r="AG153" i="7"/>
  <c r="AI153" i="7"/>
  <c r="AJ153" i="7"/>
  <c r="AK153" i="7"/>
  <c r="AB24" i="7"/>
  <c r="AA24" i="7"/>
  <c r="AK156" i="22"/>
  <c r="AI156" i="22"/>
  <c r="AG156" i="22"/>
  <c r="AF156" i="22"/>
  <c r="AJ156" i="22"/>
  <c r="AE156" i="22"/>
  <c r="AH156" i="22"/>
  <c r="AO152" i="7"/>
  <c r="AN152" i="7"/>
  <c r="AT152" i="7"/>
  <c r="AQ152" i="7"/>
  <c r="AM153" i="7"/>
  <c r="AP152" i="7"/>
  <c r="AS152" i="7"/>
  <c r="AR152" i="7"/>
  <c r="Z24" i="7"/>
  <c r="T40" i="3"/>
  <c r="U47" i="3"/>
  <c r="U46" i="3"/>
  <c r="U48" i="3"/>
  <c r="U42" i="3"/>
  <c r="U43" i="3" s="1"/>
  <c r="U41" i="3"/>
  <c r="H156" i="22"/>
  <c r="V17" i="3"/>
  <c r="U12" i="3"/>
  <c r="W11" i="3"/>
  <c r="V15" i="3"/>
  <c r="V14" i="3"/>
  <c r="V13" i="3"/>
  <c r="V94" i="3"/>
  <c r="I156" i="22"/>
  <c r="I155" i="23"/>
  <c r="J155" i="23"/>
  <c r="J156" i="22"/>
  <c r="Q24" i="7"/>
  <c r="H155" i="23"/>
  <c r="S158" i="23"/>
  <c r="R158" i="23"/>
  <c r="N158" i="23"/>
  <c r="L159" i="23"/>
  <c r="Q158" i="23"/>
  <c r="O158" i="23"/>
  <c r="M158" i="23"/>
  <c r="P158" i="23"/>
  <c r="AB156" i="23"/>
  <c r="AA156" i="23"/>
  <c r="W156" i="23"/>
  <c r="X156" i="23"/>
  <c r="V156" i="23"/>
  <c r="U157" i="23"/>
  <c r="Z156" i="23"/>
  <c r="Y156" i="23"/>
  <c r="C157" i="23"/>
  <c r="D156" i="23"/>
  <c r="F156" i="23"/>
  <c r="E156" i="23"/>
  <c r="G156" i="23"/>
  <c r="U158" i="22"/>
  <c r="X157" i="22"/>
  <c r="W157" i="22"/>
  <c r="V157" i="22"/>
  <c r="AB157" i="22" s="1"/>
  <c r="Y157" i="22"/>
  <c r="L157" i="22"/>
  <c r="M156" i="22"/>
  <c r="O156" i="22"/>
  <c r="N156" i="22"/>
  <c r="R156" i="22" s="1"/>
  <c r="P156" i="22"/>
  <c r="C158" i="22"/>
  <c r="F157" i="22"/>
  <c r="E157" i="22"/>
  <c r="G157" i="22"/>
  <c r="D157" i="22"/>
  <c r="AD157" i="22"/>
  <c r="S24" i="7"/>
  <c r="R24" i="7"/>
  <c r="N25" i="7"/>
  <c r="P25" i="7"/>
  <c r="R21" i="3" s="1"/>
  <c r="O25" i="7"/>
  <c r="M25" i="7"/>
  <c r="X8" i="3"/>
  <c r="X6" i="3"/>
  <c r="W7" i="3"/>
  <c r="W9" i="3" s="1"/>
  <c r="I25" i="7"/>
  <c r="J25" i="7"/>
  <c r="H25" i="7"/>
  <c r="U26" i="7"/>
  <c r="Y25" i="7"/>
  <c r="X25" i="7"/>
  <c r="W25" i="7"/>
  <c r="V25" i="7"/>
  <c r="G26" i="7"/>
  <c r="F26" i="7"/>
  <c r="S35" i="3" s="1"/>
  <c r="E26" i="7"/>
  <c r="S36" i="3" s="1"/>
  <c r="D26" i="7"/>
  <c r="Q156" i="22" l="1"/>
  <c r="S156" i="22"/>
  <c r="Z157" i="22"/>
  <c r="AA157" i="22"/>
  <c r="V75" i="3"/>
  <c r="V60" i="3"/>
  <c r="V50" i="3" s="1"/>
  <c r="X76" i="3"/>
  <c r="X79" i="3"/>
  <c r="X77" i="3"/>
  <c r="X80" i="3"/>
  <c r="X78" i="3"/>
  <c r="W62" i="3"/>
  <c r="W58" i="3"/>
  <c r="W54" i="3"/>
  <c r="W88" i="3"/>
  <c r="W87" i="3"/>
  <c r="W86" i="3"/>
  <c r="W85" i="3"/>
  <c r="W84" i="3"/>
  <c r="W83" i="3"/>
  <c r="W82" i="3"/>
  <c r="W81" i="3"/>
  <c r="W68" i="3"/>
  <c r="W67" i="3"/>
  <c r="W66" i="3"/>
  <c r="W61" i="3"/>
  <c r="W57" i="3"/>
  <c r="W56" i="3"/>
  <c r="W55" i="3"/>
  <c r="W53" i="3"/>
  <c r="W70" i="3"/>
  <c r="W69" i="3"/>
  <c r="W65" i="3"/>
  <c r="W64" i="3"/>
  <c r="W63" i="3"/>
  <c r="W59" i="3"/>
  <c r="W52" i="3"/>
  <c r="W51" i="3"/>
  <c r="W44" i="3"/>
  <c r="W45" i="3" s="1"/>
  <c r="AM159" i="22"/>
  <c r="AT158" i="22"/>
  <c r="AS158" i="22"/>
  <c r="AR158" i="22"/>
  <c r="AP158" i="22"/>
  <c r="AN158" i="22"/>
  <c r="AQ158" i="22"/>
  <c r="AO158" i="22"/>
  <c r="AD159" i="23"/>
  <c r="AK158" i="23"/>
  <c r="AJ158" i="23"/>
  <c r="AI158" i="23"/>
  <c r="AG158" i="23"/>
  <c r="AF158" i="23"/>
  <c r="AE158" i="23"/>
  <c r="AH158" i="23"/>
  <c r="AM159" i="23"/>
  <c r="AT158" i="23"/>
  <c r="AS158" i="23"/>
  <c r="AR158" i="23"/>
  <c r="AQ158" i="23"/>
  <c r="AP158" i="23"/>
  <c r="AO158" i="23"/>
  <c r="AN158" i="23"/>
  <c r="AD155" i="7"/>
  <c r="AH154" i="7"/>
  <c r="AE154" i="7"/>
  <c r="AF154" i="7"/>
  <c r="AG154" i="7"/>
  <c r="AI154" i="7"/>
  <c r="AJ154" i="7"/>
  <c r="AK154" i="7"/>
  <c r="AJ157" i="22"/>
  <c r="AF157" i="22"/>
  <c r="AK157" i="22"/>
  <c r="AI157" i="22"/>
  <c r="AG157" i="22"/>
  <c r="AE157" i="22"/>
  <c r="AH157" i="22"/>
  <c r="AP153" i="7"/>
  <c r="AO153" i="7"/>
  <c r="AS153" i="7"/>
  <c r="AR153" i="7"/>
  <c r="AQ153" i="7"/>
  <c r="AN153" i="7"/>
  <c r="AM154" i="7"/>
  <c r="AT153" i="7"/>
  <c r="Z25" i="7"/>
  <c r="AB25" i="7"/>
  <c r="AA25" i="7"/>
  <c r="U40" i="3"/>
  <c r="V42" i="3"/>
  <c r="V43" i="3" s="1"/>
  <c r="V41" i="3"/>
  <c r="V48" i="3"/>
  <c r="V47" i="3"/>
  <c r="V46" i="3"/>
  <c r="W17" i="3"/>
  <c r="V12" i="3"/>
  <c r="X11" i="3"/>
  <c r="W15" i="3"/>
  <c r="W14" i="3"/>
  <c r="W13" i="3"/>
  <c r="W94" i="3"/>
  <c r="S25" i="7"/>
  <c r="J157" i="22"/>
  <c r="H156" i="23"/>
  <c r="I156" i="23"/>
  <c r="I157" i="22"/>
  <c r="H157" i="22"/>
  <c r="Q25" i="7"/>
  <c r="R25" i="7"/>
  <c r="E157" i="23"/>
  <c r="F157" i="23"/>
  <c r="D157" i="23"/>
  <c r="C158" i="23"/>
  <c r="G157" i="23"/>
  <c r="L160" i="23"/>
  <c r="O159" i="23"/>
  <c r="N159" i="23"/>
  <c r="R159" i="23"/>
  <c r="Q159" i="23"/>
  <c r="S159" i="23"/>
  <c r="M159" i="23"/>
  <c r="P159" i="23"/>
  <c r="J156" i="23"/>
  <c r="U158" i="23"/>
  <c r="X157" i="23"/>
  <c r="W157" i="23"/>
  <c r="AA157" i="23"/>
  <c r="V157" i="23"/>
  <c r="AB157" i="23"/>
  <c r="Z157" i="23"/>
  <c r="Y157" i="23"/>
  <c r="L158" i="22"/>
  <c r="O157" i="22"/>
  <c r="Q157" i="22" s="1"/>
  <c r="N157" i="22"/>
  <c r="M157" i="22"/>
  <c r="P157" i="22"/>
  <c r="C159" i="22"/>
  <c r="F158" i="22"/>
  <c r="D158" i="22"/>
  <c r="E158" i="22"/>
  <c r="G158" i="22"/>
  <c r="AD158" i="22"/>
  <c r="U159" i="22"/>
  <c r="X158" i="22"/>
  <c r="V158" i="22"/>
  <c r="W158" i="22"/>
  <c r="Y158" i="22"/>
  <c r="M26" i="7"/>
  <c r="P26" i="7"/>
  <c r="S21" i="3" s="1"/>
  <c r="N26" i="7"/>
  <c r="O26" i="7"/>
  <c r="Y8" i="3"/>
  <c r="Y6" i="3"/>
  <c r="X7" i="3"/>
  <c r="X9" i="3" s="1"/>
  <c r="I26" i="7"/>
  <c r="J26" i="7"/>
  <c r="H26" i="7"/>
  <c r="U27" i="7"/>
  <c r="Y26" i="7"/>
  <c r="X26" i="7"/>
  <c r="W26" i="7"/>
  <c r="V26" i="7"/>
  <c r="G27" i="7"/>
  <c r="F27" i="7"/>
  <c r="T35" i="3" s="1"/>
  <c r="E27" i="7"/>
  <c r="T36" i="3" s="1"/>
  <c r="D27" i="7"/>
  <c r="S157" i="22" l="1"/>
  <c r="R157" i="22"/>
  <c r="AA158" i="22"/>
  <c r="Z158" i="22"/>
  <c r="AB158" i="22"/>
  <c r="W75" i="3"/>
  <c r="W60" i="3"/>
  <c r="W50" i="3" s="1"/>
  <c r="Y76" i="3"/>
  <c r="Y80" i="3"/>
  <c r="Y78" i="3"/>
  <c r="Y77" i="3"/>
  <c r="Y79" i="3"/>
  <c r="X65" i="3"/>
  <c r="X63" i="3"/>
  <c r="X61" i="3"/>
  <c r="X51" i="3"/>
  <c r="X88" i="3"/>
  <c r="X87" i="3"/>
  <c r="X86" i="3"/>
  <c r="X85" i="3"/>
  <c r="X84" i="3"/>
  <c r="X83" i="3"/>
  <c r="X82" i="3"/>
  <c r="X68" i="3"/>
  <c r="X70" i="3"/>
  <c r="X69" i="3"/>
  <c r="X64" i="3"/>
  <c r="X62" i="3"/>
  <c r="X59" i="3"/>
  <c r="X52" i="3"/>
  <c r="X44" i="3"/>
  <c r="X45" i="3" s="1"/>
  <c r="X81" i="3"/>
  <c r="X66" i="3"/>
  <c r="X67" i="3"/>
  <c r="X58" i="3"/>
  <c r="X57" i="3"/>
  <c r="X56" i="3"/>
  <c r="X54" i="3"/>
  <c r="X55" i="3"/>
  <c r="X53" i="3"/>
  <c r="AM160" i="22"/>
  <c r="AT159" i="22"/>
  <c r="AS159" i="22"/>
  <c r="AR159" i="22"/>
  <c r="AQ159" i="22"/>
  <c r="AP159" i="22"/>
  <c r="AO159" i="22"/>
  <c r="AN159" i="22"/>
  <c r="AD160" i="23"/>
  <c r="AK159" i="23"/>
  <c r="AJ159" i="23"/>
  <c r="AI159" i="23"/>
  <c r="AH159" i="23"/>
  <c r="AG159" i="23"/>
  <c r="AF159" i="23"/>
  <c r="AE159" i="23"/>
  <c r="AM160" i="23"/>
  <c r="AT159" i="23"/>
  <c r="AS159" i="23"/>
  <c r="AR159" i="23"/>
  <c r="AQ159" i="23"/>
  <c r="AP159" i="23"/>
  <c r="AO159" i="23"/>
  <c r="AN159" i="23"/>
  <c r="AD156" i="7"/>
  <c r="AH155" i="7"/>
  <c r="AE155" i="7"/>
  <c r="AF155" i="7"/>
  <c r="AG155" i="7"/>
  <c r="AI155" i="7"/>
  <c r="AJ155" i="7"/>
  <c r="AK155" i="7"/>
  <c r="AK158" i="22"/>
  <c r="AI158" i="22"/>
  <c r="AG158" i="22"/>
  <c r="AE158" i="22"/>
  <c r="AJ158" i="22"/>
  <c r="AF158" i="22"/>
  <c r="AH158" i="22"/>
  <c r="AQ154" i="7"/>
  <c r="AS154" i="7"/>
  <c r="AO154" i="7"/>
  <c r="AM155" i="7"/>
  <c r="AT154" i="7"/>
  <c r="AR154" i="7"/>
  <c r="AP154" i="7"/>
  <c r="AN154" i="7"/>
  <c r="AB26" i="7"/>
  <c r="AA26" i="7"/>
  <c r="V40" i="3"/>
  <c r="W47" i="3"/>
  <c r="W46" i="3"/>
  <c r="W48" i="3"/>
  <c r="W42" i="3"/>
  <c r="W43" i="3" s="1"/>
  <c r="W41" i="3"/>
  <c r="Q26" i="7"/>
  <c r="X17" i="3"/>
  <c r="W12" i="3"/>
  <c r="Y11" i="3"/>
  <c r="X15" i="3"/>
  <c r="X14" i="3"/>
  <c r="X13" i="3"/>
  <c r="X94" i="3"/>
  <c r="H158" i="22"/>
  <c r="I158" i="22"/>
  <c r="H157" i="23"/>
  <c r="I157" i="23"/>
  <c r="R26" i="7"/>
  <c r="J157" i="23"/>
  <c r="R160" i="23"/>
  <c r="S160" i="23"/>
  <c r="N160" i="23"/>
  <c r="L161" i="23"/>
  <c r="Q160" i="23"/>
  <c r="O160" i="23"/>
  <c r="M160" i="23"/>
  <c r="P160" i="23"/>
  <c r="C159" i="23"/>
  <c r="F158" i="23"/>
  <c r="E158" i="23"/>
  <c r="D158" i="23"/>
  <c r="G158" i="23"/>
  <c r="AA158" i="23"/>
  <c r="AB158" i="23"/>
  <c r="W158" i="23"/>
  <c r="X158" i="23"/>
  <c r="V158" i="23"/>
  <c r="Z158" i="23"/>
  <c r="U159" i="23"/>
  <c r="Y158" i="23"/>
  <c r="J158" i="22"/>
  <c r="C160" i="22"/>
  <c r="F159" i="22"/>
  <c r="E159" i="22"/>
  <c r="D159" i="22"/>
  <c r="G159" i="22"/>
  <c r="AD159" i="22"/>
  <c r="W159" i="22"/>
  <c r="V159" i="22"/>
  <c r="X159" i="22"/>
  <c r="U160" i="22"/>
  <c r="Y159" i="22"/>
  <c r="L159" i="22"/>
  <c r="O158" i="22"/>
  <c r="N158" i="22"/>
  <c r="M158" i="22"/>
  <c r="P158" i="22"/>
  <c r="S26" i="7"/>
  <c r="Z26" i="7"/>
  <c r="P27" i="7"/>
  <c r="T21" i="3" s="1"/>
  <c r="O27" i="7"/>
  <c r="M27" i="7"/>
  <c r="N27" i="7"/>
  <c r="Z8" i="3"/>
  <c r="Z6" i="3"/>
  <c r="Y7" i="3"/>
  <c r="Y9" i="3" s="1"/>
  <c r="I27" i="7"/>
  <c r="J27" i="7"/>
  <c r="U28" i="7"/>
  <c r="Y27" i="7"/>
  <c r="X27" i="7"/>
  <c r="W27" i="7"/>
  <c r="V27" i="7"/>
  <c r="G28" i="7"/>
  <c r="D28" i="7"/>
  <c r="F28" i="7"/>
  <c r="U35" i="3" s="1"/>
  <c r="E28" i="7"/>
  <c r="U36" i="3" s="1"/>
  <c r="H27" i="7"/>
  <c r="R158" i="22" l="1"/>
  <c r="Q158" i="22"/>
  <c r="S158" i="22"/>
  <c r="X75" i="3"/>
  <c r="AA159" i="22"/>
  <c r="Z159" i="22"/>
  <c r="AB159" i="22"/>
  <c r="W40" i="3"/>
  <c r="X60" i="3"/>
  <c r="X50" i="3" s="1"/>
  <c r="Z76" i="3"/>
  <c r="Z79" i="3"/>
  <c r="Z78" i="3"/>
  <c r="Z80" i="3"/>
  <c r="Z77" i="3"/>
  <c r="Y88" i="3"/>
  <c r="Y87" i="3"/>
  <c r="Y86" i="3"/>
  <c r="Y85" i="3"/>
  <c r="Y84" i="3"/>
  <c r="Y83" i="3"/>
  <c r="Y82" i="3"/>
  <c r="Y81" i="3"/>
  <c r="Y68" i="3"/>
  <c r="Y67" i="3"/>
  <c r="Y65" i="3"/>
  <c r="Y63" i="3"/>
  <c r="Y61" i="3"/>
  <c r="Y58" i="3"/>
  <c r="Y57" i="3"/>
  <c r="Y56" i="3"/>
  <c r="Y55" i="3"/>
  <c r="Y54" i="3"/>
  <c r="Y53" i="3"/>
  <c r="Y51" i="3"/>
  <c r="Y64" i="3"/>
  <c r="Y52" i="3"/>
  <c r="Y70" i="3"/>
  <c r="Y69" i="3"/>
  <c r="Y66" i="3"/>
  <c r="Y62" i="3"/>
  <c r="Y59" i="3"/>
  <c r="Y44" i="3"/>
  <c r="Y45" i="3" s="1"/>
  <c r="AQ160" i="22"/>
  <c r="AO160" i="22"/>
  <c r="AM161" i="22"/>
  <c r="AT160" i="22"/>
  <c r="AS160" i="22"/>
  <c r="AR160" i="22"/>
  <c r="AP160" i="22"/>
  <c r="AN160" i="22"/>
  <c r="AD161" i="23"/>
  <c r="AK160" i="23"/>
  <c r="AJ160" i="23"/>
  <c r="AI160" i="23"/>
  <c r="AH160" i="23"/>
  <c r="AG160" i="23"/>
  <c r="AF160" i="23"/>
  <c r="AE160" i="23"/>
  <c r="AM161" i="23"/>
  <c r="AT160" i="23"/>
  <c r="AS160" i="23"/>
  <c r="AR160" i="23"/>
  <c r="AQ160" i="23"/>
  <c r="AP160" i="23"/>
  <c r="AO160" i="23"/>
  <c r="AN160" i="23"/>
  <c r="AD157" i="7"/>
  <c r="AH156" i="7"/>
  <c r="AE156" i="7"/>
  <c r="AF156" i="7"/>
  <c r="AG156" i="7"/>
  <c r="AI156" i="7"/>
  <c r="AJ156" i="7"/>
  <c r="AK156" i="7"/>
  <c r="Z27" i="7"/>
  <c r="AK159" i="22"/>
  <c r="AI159" i="22"/>
  <c r="AG159" i="22"/>
  <c r="AF159" i="22"/>
  <c r="AJ159" i="22"/>
  <c r="AE159" i="22"/>
  <c r="AH159" i="22"/>
  <c r="AR155" i="7"/>
  <c r="AN155" i="7"/>
  <c r="AP155" i="7"/>
  <c r="AM156" i="7"/>
  <c r="AT155" i="7"/>
  <c r="AS155" i="7"/>
  <c r="AQ155" i="7"/>
  <c r="AO155" i="7"/>
  <c r="AB27" i="7"/>
  <c r="AA27" i="7"/>
  <c r="X42" i="3"/>
  <c r="X43" i="3" s="1"/>
  <c r="X41" i="3"/>
  <c r="X48" i="3"/>
  <c r="X47" i="3"/>
  <c r="X46" i="3"/>
  <c r="H159" i="22"/>
  <c r="X12" i="3"/>
  <c r="Y17" i="3"/>
  <c r="Z11" i="3"/>
  <c r="Y15" i="3"/>
  <c r="Y14" i="3"/>
  <c r="Y13" i="3"/>
  <c r="Y94" i="3"/>
  <c r="H158" i="23"/>
  <c r="J158" i="23"/>
  <c r="I159" i="22"/>
  <c r="J159" i="22"/>
  <c r="Q27" i="7"/>
  <c r="I158" i="23"/>
  <c r="AB159" i="23"/>
  <c r="AA159" i="23"/>
  <c r="W159" i="23"/>
  <c r="Z159" i="23"/>
  <c r="U160" i="23"/>
  <c r="X159" i="23"/>
  <c r="V159" i="23"/>
  <c r="Y159" i="23"/>
  <c r="C160" i="23"/>
  <c r="F159" i="23"/>
  <c r="E159" i="23"/>
  <c r="D159" i="23"/>
  <c r="G159" i="23"/>
  <c r="S161" i="23"/>
  <c r="R161" i="23"/>
  <c r="N161" i="23"/>
  <c r="Q161" i="23"/>
  <c r="L162" i="23"/>
  <c r="O161" i="23"/>
  <c r="M161" i="23"/>
  <c r="P161" i="23"/>
  <c r="AD160" i="22"/>
  <c r="U161" i="22"/>
  <c r="X160" i="22"/>
  <c r="W160" i="22"/>
  <c r="V160" i="22"/>
  <c r="Y160" i="22"/>
  <c r="F160" i="22"/>
  <c r="E160" i="22"/>
  <c r="D160" i="22"/>
  <c r="C161" i="22"/>
  <c r="G160" i="22"/>
  <c r="L160" i="22"/>
  <c r="M159" i="22"/>
  <c r="N159" i="22"/>
  <c r="O159" i="22"/>
  <c r="S159" i="22" s="1"/>
  <c r="P159" i="22"/>
  <c r="R27" i="7"/>
  <c r="S27" i="7"/>
  <c r="P28" i="7"/>
  <c r="U21" i="3" s="1"/>
  <c r="N28" i="7"/>
  <c r="M28" i="7"/>
  <c r="O28" i="7"/>
  <c r="AA8" i="3"/>
  <c r="AA6" i="3"/>
  <c r="Z7" i="3"/>
  <c r="Z9" i="3" s="1"/>
  <c r="J28" i="7"/>
  <c r="I28" i="7"/>
  <c r="H28" i="7"/>
  <c r="G29" i="7"/>
  <c r="F29" i="7"/>
  <c r="V35" i="3" s="1"/>
  <c r="E29" i="7"/>
  <c r="V36" i="3" s="1"/>
  <c r="D29" i="7"/>
  <c r="U29" i="7"/>
  <c r="Y28" i="7"/>
  <c r="X28" i="7"/>
  <c r="W28" i="7"/>
  <c r="V28" i="7"/>
  <c r="R159" i="22" l="1"/>
  <c r="Q159" i="22"/>
  <c r="AB160" i="22"/>
  <c r="Z160" i="22"/>
  <c r="AA160" i="22"/>
  <c r="Y75" i="3"/>
  <c r="Y60" i="3"/>
  <c r="Y50" i="3" s="1"/>
  <c r="AA77" i="3"/>
  <c r="AA76" i="3"/>
  <c r="AA80" i="3"/>
  <c r="AA79" i="3"/>
  <c r="AA78" i="3"/>
  <c r="Z67" i="3"/>
  <c r="Z58" i="3"/>
  <c r="Z57" i="3"/>
  <c r="Z88" i="3"/>
  <c r="Z87" i="3"/>
  <c r="Z86" i="3"/>
  <c r="Z85" i="3"/>
  <c r="Z84" i="3"/>
  <c r="Z83" i="3"/>
  <c r="Z66" i="3"/>
  <c r="Z64" i="3"/>
  <c r="Z62" i="3"/>
  <c r="Z59" i="3"/>
  <c r="Z52" i="3"/>
  <c r="Z44" i="3"/>
  <c r="Z45" i="3" s="1"/>
  <c r="Z82" i="3"/>
  <c r="Z81" i="3"/>
  <c r="Z70" i="3"/>
  <c r="Z69" i="3"/>
  <c r="Z68" i="3"/>
  <c r="Z65" i="3"/>
  <c r="Z63" i="3"/>
  <c r="Z61" i="3"/>
  <c r="Z55" i="3"/>
  <c r="Z53" i="3"/>
  <c r="Z56" i="3"/>
  <c r="Z54" i="3"/>
  <c r="Z51" i="3"/>
  <c r="AM162" i="22"/>
  <c r="AT161" i="22"/>
  <c r="AS161" i="22"/>
  <c r="AR161" i="22"/>
  <c r="AQ161" i="22"/>
  <c r="AP161" i="22"/>
  <c r="AO161" i="22"/>
  <c r="AN161" i="22"/>
  <c r="AD162" i="23"/>
  <c r="AK161" i="23"/>
  <c r="AJ161" i="23"/>
  <c r="AI161" i="23"/>
  <c r="AH161" i="23"/>
  <c r="AG161" i="23"/>
  <c r="AF161" i="23"/>
  <c r="AE161" i="23"/>
  <c r="AM162" i="23"/>
  <c r="AT161" i="23"/>
  <c r="AS161" i="23"/>
  <c r="AR161" i="23"/>
  <c r="AQ161" i="23"/>
  <c r="AP161" i="23"/>
  <c r="AO161" i="23"/>
  <c r="AN161" i="23"/>
  <c r="AD158" i="7"/>
  <c r="AH157" i="7"/>
  <c r="AE157" i="7"/>
  <c r="AF157" i="7"/>
  <c r="AG157" i="7"/>
  <c r="AI157" i="7"/>
  <c r="AJ157" i="7"/>
  <c r="AK157" i="7"/>
  <c r="AB28" i="7"/>
  <c r="AA28" i="7"/>
  <c r="AK160" i="22"/>
  <c r="AF160" i="22"/>
  <c r="AJ160" i="22"/>
  <c r="AI160" i="22"/>
  <c r="AG160" i="22"/>
  <c r="AE160" i="22"/>
  <c r="AH160" i="22"/>
  <c r="AO156" i="7"/>
  <c r="AP156" i="7"/>
  <c r="AQ156" i="7"/>
  <c r="AS156" i="7"/>
  <c r="AM157" i="7"/>
  <c r="AT156" i="7"/>
  <c r="AR156" i="7"/>
  <c r="AN156" i="7"/>
  <c r="Z28" i="7"/>
  <c r="X40" i="3"/>
  <c r="Y48" i="3"/>
  <c r="Y47" i="3"/>
  <c r="Y46" i="3"/>
  <c r="Y42" i="3"/>
  <c r="Y43" i="3" s="1"/>
  <c r="Y41" i="3"/>
  <c r="H160" i="22"/>
  <c r="Z17" i="3"/>
  <c r="Y12" i="3"/>
  <c r="AA11" i="3"/>
  <c r="Z15" i="3"/>
  <c r="Z14" i="3"/>
  <c r="Z13" i="3"/>
  <c r="Z94" i="3"/>
  <c r="H159" i="23"/>
  <c r="J160" i="22"/>
  <c r="J159" i="23"/>
  <c r="I160" i="22"/>
  <c r="I159" i="23"/>
  <c r="R28" i="7"/>
  <c r="S28" i="7"/>
  <c r="U161" i="23"/>
  <c r="X160" i="23"/>
  <c r="W160" i="23"/>
  <c r="V160" i="23"/>
  <c r="AB160" i="23"/>
  <c r="AA160" i="23"/>
  <c r="Z160" i="23"/>
  <c r="Y160" i="23"/>
  <c r="E160" i="23"/>
  <c r="C161" i="23"/>
  <c r="F160" i="23"/>
  <c r="D160" i="23"/>
  <c r="G160" i="23"/>
  <c r="L163" i="23"/>
  <c r="O162" i="23"/>
  <c r="N162" i="23"/>
  <c r="M162" i="23"/>
  <c r="S162" i="23"/>
  <c r="R162" i="23"/>
  <c r="Q162" i="23"/>
  <c r="P162" i="23"/>
  <c r="L161" i="22"/>
  <c r="N160" i="22"/>
  <c r="O160" i="22"/>
  <c r="M160" i="22"/>
  <c r="P160" i="22"/>
  <c r="C162" i="22"/>
  <c r="F161" i="22"/>
  <c r="E161" i="22"/>
  <c r="D161" i="22"/>
  <c r="G161" i="22"/>
  <c r="U162" i="22"/>
  <c r="W161" i="22"/>
  <c r="V161" i="22"/>
  <c r="X161" i="22"/>
  <c r="Y161" i="22"/>
  <c r="AD161" i="22"/>
  <c r="Q28" i="7"/>
  <c r="N29" i="7"/>
  <c r="O29" i="7"/>
  <c r="M29" i="7"/>
  <c r="P29" i="7"/>
  <c r="V21" i="3" s="1"/>
  <c r="AB8" i="3"/>
  <c r="AB6" i="3"/>
  <c r="AA7" i="3"/>
  <c r="AA9" i="3" s="1"/>
  <c r="H29" i="7"/>
  <c r="I29" i="7"/>
  <c r="J29" i="7"/>
  <c r="G30" i="7"/>
  <c r="F30" i="7"/>
  <c r="W35" i="3" s="1"/>
  <c r="E30" i="7"/>
  <c r="W36" i="3" s="1"/>
  <c r="D30" i="7"/>
  <c r="U30" i="7"/>
  <c r="V29" i="7"/>
  <c r="Y29" i="7"/>
  <c r="X29" i="7"/>
  <c r="W29" i="7"/>
  <c r="Q160" i="22" l="1"/>
  <c r="S160" i="22"/>
  <c r="R160" i="22"/>
  <c r="Z75" i="3"/>
  <c r="Z60" i="3"/>
  <c r="Z50" i="3" s="1"/>
  <c r="AA161" i="22"/>
  <c r="Z161" i="22"/>
  <c r="AB161" i="22"/>
  <c r="AB76" i="3"/>
  <c r="AB80" i="3"/>
  <c r="AB79" i="3"/>
  <c r="AB78" i="3"/>
  <c r="AB77" i="3"/>
  <c r="AA66" i="3"/>
  <c r="AA62" i="3"/>
  <c r="AA59" i="3"/>
  <c r="AA53" i="3"/>
  <c r="AA88" i="3"/>
  <c r="AA87" i="3"/>
  <c r="AA86" i="3"/>
  <c r="AA85" i="3"/>
  <c r="AA84" i="3"/>
  <c r="AA83" i="3"/>
  <c r="AA82" i="3"/>
  <c r="AA81" i="3"/>
  <c r="AA69" i="3"/>
  <c r="AA68" i="3"/>
  <c r="AA67" i="3"/>
  <c r="AA65" i="3"/>
  <c r="AA63" i="3"/>
  <c r="AA58" i="3"/>
  <c r="AA56" i="3"/>
  <c r="AA55" i="3"/>
  <c r="AA54" i="3"/>
  <c r="AA52" i="3"/>
  <c r="AA51" i="3"/>
  <c r="AA70" i="3"/>
  <c r="AA64" i="3"/>
  <c r="AA57" i="3"/>
  <c r="AM163" i="22"/>
  <c r="AT162" i="22"/>
  <c r="AS162" i="22"/>
  <c r="AR162" i="22"/>
  <c r="AQ162" i="22"/>
  <c r="AP162" i="22"/>
  <c r="AO162" i="22"/>
  <c r="AN162" i="22"/>
  <c r="AD163" i="23"/>
  <c r="AK162" i="23"/>
  <c r="AJ162" i="23"/>
  <c r="AI162" i="23"/>
  <c r="AH162" i="23"/>
  <c r="AG162" i="23"/>
  <c r="AF162" i="23"/>
  <c r="AE162" i="23"/>
  <c r="AM163" i="23"/>
  <c r="AT162" i="23"/>
  <c r="AS162" i="23"/>
  <c r="AR162" i="23"/>
  <c r="AQ162" i="23"/>
  <c r="AP162" i="23"/>
  <c r="AO162" i="23"/>
  <c r="AN162" i="23"/>
  <c r="AD159" i="7"/>
  <c r="AH158" i="7"/>
  <c r="AE158" i="7"/>
  <c r="AF158" i="7"/>
  <c r="AG158" i="7"/>
  <c r="AI158" i="7"/>
  <c r="AJ158" i="7"/>
  <c r="AK158" i="7"/>
  <c r="AJ161" i="22"/>
  <c r="AF161" i="22"/>
  <c r="AK161" i="22"/>
  <c r="AI161" i="22"/>
  <c r="AG161" i="22"/>
  <c r="AE161" i="22"/>
  <c r="AH161" i="22"/>
  <c r="AS157" i="7"/>
  <c r="AQ157" i="7"/>
  <c r="AM158" i="7"/>
  <c r="AR157" i="7"/>
  <c r="AN157" i="7"/>
  <c r="AP157" i="7"/>
  <c r="AT157" i="7"/>
  <c r="AO157" i="7"/>
  <c r="Z29" i="7"/>
  <c r="AA29" i="7"/>
  <c r="Y40" i="3"/>
  <c r="Z42" i="3"/>
  <c r="Z43" i="3" s="1"/>
  <c r="Z48" i="3"/>
  <c r="Z47" i="3"/>
  <c r="Z46" i="3"/>
  <c r="Z41" i="3"/>
  <c r="H161" i="22"/>
  <c r="AA17" i="3"/>
  <c r="Z12" i="3"/>
  <c r="AB11" i="3"/>
  <c r="AA14" i="3"/>
  <c r="AA13" i="3"/>
  <c r="AA15" i="3"/>
  <c r="AA94" i="3"/>
  <c r="I160" i="23"/>
  <c r="I161" i="22"/>
  <c r="J160" i="23"/>
  <c r="R163" i="23"/>
  <c r="S163" i="23"/>
  <c r="O163" i="23"/>
  <c r="N163" i="23"/>
  <c r="M163" i="23"/>
  <c r="Q163" i="23"/>
  <c r="L164" i="23"/>
  <c r="P163" i="23"/>
  <c r="H160" i="23"/>
  <c r="C162" i="23"/>
  <c r="F161" i="23"/>
  <c r="E161" i="23"/>
  <c r="D161" i="23"/>
  <c r="G161" i="23"/>
  <c r="AA161" i="23"/>
  <c r="AB161" i="23"/>
  <c r="U162" i="23"/>
  <c r="Z161" i="23"/>
  <c r="V161" i="23"/>
  <c r="W161" i="23"/>
  <c r="X161" i="23"/>
  <c r="Y161" i="23"/>
  <c r="J161" i="22"/>
  <c r="AD162" i="22"/>
  <c r="U163" i="22"/>
  <c r="V162" i="22"/>
  <c r="W162" i="22"/>
  <c r="X162" i="22"/>
  <c r="Y162" i="22"/>
  <c r="C163" i="22"/>
  <c r="E162" i="22"/>
  <c r="D162" i="22"/>
  <c r="F162" i="22"/>
  <c r="G162" i="22"/>
  <c r="N161" i="22"/>
  <c r="M161" i="22"/>
  <c r="L162" i="22"/>
  <c r="O161" i="22"/>
  <c r="P161" i="22"/>
  <c r="AB29" i="7"/>
  <c r="R29" i="7"/>
  <c r="S29" i="7"/>
  <c r="Q29" i="7"/>
  <c r="P30" i="7"/>
  <c r="W21" i="3" s="1"/>
  <c r="M30" i="7"/>
  <c r="N30" i="7"/>
  <c r="O30" i="7"/>
  <c r="AC8" i="3"/>
  <c r="AC6" i="3"/>
  <c r="AB7" i="3"/>
  <c r="AB9" i="3" s="1"/>
  <c r="H30" i="7"/>
  <c r="I30" i="7"/>
  <c r="U31" i="7"/>
  <c r="Y30" i="7"/>
  <c r="X30" i="7"/>
  <c r="W30" i="7"/>
  <c r="V30" i="7"/>
  <c r="J30" i="7"/>
  <c r="G31" i="7"/>
  <c r="D31" i="7"/>
  <c r="F31" i="7"/>
  <c r="X35" i="3" s="1"/>
  <c r="E31" i="7"/>
  <c r="X36" i="3" s="1"/>
  <c r="R161" i="22" l="1"/>
  <c r="S161" i="22"/>
  <c r="Q161" i="22"/>
  <c r="AA75" i="3"/>
  <c r="AB162" i="22"/>
  <c r="AA162" i="22"/>
  <c r="Z162" i="22"/>
  <c r="AA60" i="3"/>
  <c r="AC80" i="3"/>
  <c r="AC78" i="3"/>
  <c r="AC76" i="3"/>
  <c r="AC79" i="3"/>
  <c r="AC77" i="3"/>
  <c r="AB68" i="3"/>
  <c r="AB63" i="3"/>
  <c r="AB56" i="3"/>
  <c r="AB55" i="3"/>
  <c r="AB54" i="3"/>
  <c r="AB52" i="3"/>
  <c r="AB88" i="3"/>
  <c r="AB87" i="3"/>
  <c r="AB86" i="3"/>
  <c r="AB85" i="3"/>
  <c r="AB84" i="3"/>
  <c r="AB83" i="3"/>
  <c r="AB82" i="3"/>
  <c r="AB81" i="3"/>
  <c r="AB64" i="3"/>
  <c r="AB62" i="3"/>
  <c r="AB57" i="3"/>
  <c r="AB53" i="3"/>
  <c r="AB67" i="3"/>
  <c r="AB66" i="3"/>
  <c r="AB70" i="3"/>
  <c r="AB69" i="3"/>
  <c r="AB65" i="3"/>
  <c r="AB59" i="3"/>
  <c r="AB58" i="3"/>
  <c r="AB51" i="3"/>
  <c r="AM164" i="22"/>
  <c r="AQ163" i="22"/>
  <c r="AO163" i="22"/>
  <c r="AT163" i="22"/>
  <c r="AS163" i="22"/>
  <c r="AR163" i="22"/>
  <c r="AP163" i="22"/>
  <c r="AN163" i="22"/>
  <c r="AD164" i="23"/>
  <c r="AK163" i="23"/>
  <c r="AJ163" i="23"/>
  <c r="AI163" i="23"/>
  <c r="AG163" i="23"/>
  <c r="AE163" i="23"/>
  <c r="AH163" i="23"/>
  <c r="AF163" i="23"/>
  <c r="AQ163" i="23"/>
  <c r="AN163" i="23"/>
  <c r="AM164" i="23"/>
  <c r="AT163" i="23"/>
  <c r="AS163" i="23"/>
  <c r="AR163" i="23"/>
  <c r="AP163" i="23"/>
  <c r="AO163" i="23"/>
  <c r="AD160" i="7"/>
  <c r="AH159" i="7"/>
  <c r="AE159" i="7"/>
  <c r="AF159" i="7"/>
  <c r="AG159" i="7"/>
  <c r="AI159" i="7"/>
  <c r="AJ159" i="7"/>
  <c r="AK159" i="7"/>
  <c r="AK162" i="22"/>
  <c r="AI162" i="22"/>
  <c r="AG162" i="22"/>
  <c r="AE162" i="22"/>
  <c r="AJ162" i="22"/>
  <c r="AF162" i="22"/>
  <c r="AH162" i="22"/>
  <c r="AP158" i="7"/>
  <c r="AM159" i="7"/>
  <c r="AQ158" i="7"/>
  <c r="AT158" i="7"/>
  <c r="AS158" i="7"/>
  <c r="AN158" i="7"/>
  <c r="AR158" i="7"/>
  <c r="AO158" i="7"/>
  <c r="AB30" i="7"/>
  <c r="AA30" i="7"/>
  <c r="Z40" i="3"/>
  <c r="AA47" i="3"/>
  <c r="AA46" i="3"/>
  <c r="AA41" i="3"/>
  <c r="AA48" i="3"/>
  <c r="AA42" i="3"/>
  <c r="AA43" i="3" s="1"/>
  <c r="AA12" i="3"/>
  <c r="AB17" i="3"/>
  <c r="AC11" i="3"/>
  <c r="AB15" i="3"/>
  <c r="AB14" i="3"/>
  <c r="AB13" i="3"/>
  <c r="AB94" i="3"/>
  <c r="J162" i="22"/>
  <c r="S30" i="7"/>
  <c r="J161" i="23"/>
  <c r="H161" i="23"/>
  <c r="I162" i="22"/>
  <c r="I161" i="23"/>
  <c r="Q30" i="7"/>
  <c r="S164" i="23"/>
  <c r="R164" i="23"/>
  <c r="N164" i="23"/>
  <c r="O164" i="23"/>
  <c r="L165" i="23"/>
  <c r="Q164" i="23"/>
  <c r="M164" i="23"/>
  <c r="P164" i="23"/>
  <c r="AB162" i="23"/>
  <c r="AA162" i="23"/>
  <c r="W162" i="23"/>
  <c r="X162" i="23"/>
  <c r="Z162" i="23"/>
  <c r="V162" i="23"/>
  <c r="U163" i="23"/>
  <c r="Y162" i="23"/>
  <c r="E162" i="23"/>
  <c r="C163" i="23"/>
  <c r="F162" i="23"/>
  <c r="D162" i="23"/>
  <c r="G162" i="23"/>
  <c r="U164" i="22"/>
  <c r="X163" i="22"/>
  <c r="W163" i="22"/>
  <c r="V163" i="22"/>
  <c r="Y163" i="22"/>
  <c r="E163" i="22"/>
  <c r="D163" i="22"/>
  <c r="F163" i="22"/>
  <c r="C164" i="22"/>
  <c r="G163" i="22"/>
  <c r="AD163" i="22"/>
  <c r="H162" i="22"/>
  <c r="L163" i="22"/>
  <c r="O162" i="22"/>
  <c r="M162" i="22"/>
  <c r="N162" i="22"/>
  <c r="P162" i="22"/>
  <c r="R30" i="7"/>
  <c r="Z30" i="7"/>
  <c r="P31" i="7"/>
  <c r="X21" i="3" s="1"/>
  <c r="M31" i="7"/>
  <c r="O31" i="7"/>
  <c r="N31" i="7"/>
  <c r="AD8" i="3"/>
  <c r="AC7" i="3"/>
  <c r="AC9" i="3" s="1"/>
  <c r="AD6" i="3"/>
  <c r="I31" i="7"/>
  <c r="J31" i="7"/>
  <c r="G32" i="7"/>
  <c r="F32" i="7"/>
  <c r="Y35" i="3" s="1"/>
  <c r="E32" i="7"/>
  <c r="Y36" i="3" s="1"/>
  <c r="D32" i="7"/>
  <c r="H31" i="7"/>
  <c r="U32" i="7"/>
  <c r="V31" i="7"/>
  <c r="Y31" i="7"/>
  <c r="X31" i="7"/>
  <c r="W31" i="7"/>
  <c r="S162" i="22" l="1"/>
  <c r="Q162" i="22"/>
  <c r="R162" i="22"/>
  <c r="AB75" i="3"/>
  <c r="AB60" i="3"/>
  <c r="AA163" i="22"/>
  <c r="Z163" i="22"/>
  <c r="AB163" i="22"/>
  <c r="AD79" i="3"/>
  <c r="AD78" i="3"/>
  <c r="AD77" i="3"/>
  <c r="AD76" i="3"/>
  <c r="AD80" i="3"/>
  <c r="AC67" i="3"/>
  <c r="AC59" i="3"/>
  <c r="AC51" i="3"/>
  <c r="AC88" i="3"/>
  <c r="AC87" i="3"/>
  <c r="AC86" i="3"/>
  <c r="AC85" i="3"/>
  <c r="AC84" i="3"/>
  <c r="AC83" i="3"/>
  <c r="AC70" i="3"/>
  <c r="AC69" i="3"/>
  <c r="AC68" i="3"/>
  <c r="AC65" i="3"/>
  <c r="AC64" i="3"/>
  <c r="AC58" i="3"/>
  <c r="AC56" i="3"/>
  <c r="AC55" i="3"/>
  <c r="AC54" i="3"/>
  <c r="AC52" i="3"/>
  <c r="AC82" i="3"/>
  <c r="AC81" i="3"/>
  <c r="AC66" i="3"/>
  <c r="AC63" i="3"/>
  <c r="AC62" i="3"/>
  <c r="AC57" i="3"/>
  <c r="AC53" i="3"/>
  <c r="AM165" i="22"/>
  <c r="AT164" i="22"/>
  <c r="AS164" i="22"/>
  <c r="AR164" i="22"/>
  <c r="AQ164" i="22"/>
  <c r="AP164" i="22"/>
  <c r="AO164" i="22"/>
  <c r="AN164" i="22"/>
  <c r="AD165" i="23"/>
  <c r="AK164" i="23"/>
  <c r="AJ164" i="23"/>
  <c r="AI164" i="23"/>
  <c r="AH164" i="23"/>
  <c r="AG164" i="23"/>
  <c r="AF164" i="23"/>
  <c r="AE164" i="23"/>
  <c r="AN164" i="23"/>
  <c r="AM165" i="23"/>
  <c r="AT164" i="23"/>
  <c r="AS164" i="23"/>
  <c r="AR164" i="23"/>
  <c r="AQ164" i="23"/>
  <c r="AP164" i="23"/>
  <c r="AO164" i="23"/>
  <c r="AD161" i="7"/>
  <c r="AH160" i="7"/>
  <c r="AE160" i="7"/>
  <c r="AF160" i="7"/>
  <c r="AG160" i="7"/>
  <c r="AI160" i="7"/>
  <c r="AJ160" i="7"/>
  <c r="AK160" i="7"/>
  <c r="AJ163" i="22"/>
  <c r="AF163" i="22"/>
  <c r="AK163" i="22"/>
  <c r="AI163" i="22"/>
  <c r="AG163" i="22"/>
  <c r="AE163" i="22"/>
  <c r="AH163" i="22"/>
  <c r="AM160" i="7"/>
  <c r="AQ159" i="7"/>
  <c r="AS159" i="7"/>
  <c r="AO159" i="7"/>
  <c r="AT159" i="7"/>
  <c r="AR159" i="7"/>
  <c r="AP159" i="7"/>
  <c r="AN159" i="7"/>
  <c r="AA31" i="7"/>
  <c r="Z31" i="7"/>
  <c r="AB46" i="3"/>
  <c r="AB42" i="3"/>
  <c r="AB43" i="3" s="1"/>
  <c r="AB48" i="3"/>
  <c r="AB47" i="3"/>
  <c r="AB41" i="3"/>
  <c r="AC17" i="3"/>
  <c r="AB12" i="3"/>
  <c r="AD11" i="3"/>
  <c r="AC15" i="3"/>
  <c r="AC14" i="3"/>
  <c r="AC13" i="3"/>
  <c r="AC94" i="3"/>
  <c r="J163" i="22"/>
  <c r="H163" i="22"/>
  <c r="J162" i="23"/>
  <c r="I162" i="23"/>
  <c r="I163" i="22"/>
  <c r="Q31" i="7"/>
  <c r="H162" i="23"/>
  <c r="U164" i="23"/>
  <c r="X163" i="23"/>
  <c r="W163" i="23"/>
  <c r="AB163" i="23"/>
  <c r="AA163" i="23"/>
  <c r="V163" i="23"/>
  <c r="Z163" i="23"/>
  <c r="Y163" i="23"/>
  <c r="E163" i="23"/>
  <c r="C164" i="23"/>
  <c r="F163" i="23"/>
  <c r="D163" i="23"/>
  <c r="G163" i="23"/>
  <c r="L166" i="23"/>
  <c r="O165" i="23"/>
  <c r="N165" i="23"/>
  <c r="S165" i="23"/>
  <c r="R165" i="23"/>
  <c r="M165" i="23"/>
  <c r="Q165" i="23"/>
  <c r="P165" i="23"/>
  <c r="C165" i="22"/>
  <c r="F164" i="22"/>
  <c r="E164" i="22"/>
  <c r="D164" i="22"/>
  <c r="G164" i="22"/>
  <c r="L164" i="22"/>
  <c r="N163" i="22"/>
  <c r="M163" i="22"/>
  <c r="O163" i="22"/>
  <c r="P163" i="22"/>
  <c r="AD164" i="22"/>
  <c r="U165" i="22"/>
  <c r="X164" i="22"/>
  <c r="W164" i="22"/>
  <c r="V164" i="22"/>
  <c r="Y164" i="22"/>
  <c r="S31" i="7"/>
  <c r="AB31" i="7"/>
  <c r="R31" i="7"/>
  <c r="N32" i="7"/>
  <c r="O32" i="7"/>
  <c r="P32" i="7"/>
  <c r="Y21" i="3" s="1"/>
  <c r="M32" i="7"/>
  <c r="AE8" i="3"/>
  <c r="AD7" i="3"/>
  <c r="AD9" i="3" s="1"/>
  <c r="AE6" i="3"/>
  <c r="J32" i="7"/>
  <c r="H32" i="7"/>
  <c r="I32" i="7"/>
  <c r="X32" i="7"/>
  <c r="U33" i="7"/>
  <c r="W33" i="7" s="1"/>
  <c r="Y32" i="7"/>
  <c r="W32" i="7"/>
  <c r="V32" i="7"/>
  <c r="G33" i="7"/>
  <c r="E33" i="7"/>
  <c r="Z36" i="3" s="1"/>
  <c r="D33" i="7"/>
  <c r="F33" i="7"/>
  <c r="Z35" i="3" s="1"/>
  <c r="R163" i="22" l="1"/>
  <c r="S163" i="22"/>
  <c r="Q163" i="22"/>
  <c r="Z164" i="22"/>
  <c r="AB164" i="22"/>
  <c r="AA164" i="22"/>
  <c r="AC60" i="3"/>
  <c r="AC75" i="3"/>
  <c r="AE80" i="3"/>
  <c r="AE76" i="3"/>
  <c r="AE79" i="3"/>
  <c r="AE78" i="3"/>
  <c r="AE77" i="3"/>
  <c r="AD62" i="3"/>
  <c r="AD58" i="3"/>
  <c r="AD88" i="3"/>
  <c r="AD87" i="3"/>
  <c r="AD86" i="3"/>
  <c r="AD85" i="3"/>
  <c r="AD84" i="3"/>
  <c r="AD83" i="3"/>
  <c r="AD82" i="3"/>
  <c r="AD81" i="3"/>
  <c r="AD66" i="3"/>
  <c r="AD65" i="3"/>
  <c r="AD63" i="3"/>
  <c r="AD59" i="3"/>
  <c r="AD57" i="3"/>
  <c r="AD53" i="3"/>
  <c r="AD51" i="3"/>
  <c r="AD70" i="3"/>
  <c r="AD69" i="3"/>
  <c r="AD64" i="3"/>
  <c r="AD68" i="3"/>
  <c r="AD67" i="3"/>
  <c r="AD56" i="3"/>
  <c r="AD54" i="3"/>
  <c r="AD55" i="3"/>
  <c r="AD52" i="3"/>
  <c r="AQ165" i="22"/>
  <c r="AR165" i="22"/>
  <c r="AP165" i="22"/>
  <c r="AN165" i="22"/>
  <c r="AO165" i="22"/>
  <c r="AM166" i="22"/>
  <c r="AT165" i="22"/>
  <c r="AS165" i="22"/>
  <c r="AD166" i="23"/>
  <c r="AK165" i="23"/>
  <c r="AJ165" i="23"/>
  <c r="AI165" i="23"/>
  <c r="AH165" i="23"/>
  <c r="AG165" i="23"/>
  <c r="AF165" i="23"/>
  <c r="AE165" i="23"/>
  <c r="AM166" i="23"/>
  <c r="AT165" i="23"/>
  <c r="AS165" i="23"/>
  <c r="AR165" i="23"/>
  <c r="AQ165" i="23"/>
  <c r="AP165" i="23"/>
  <c r="AO165" i="23"/>
  <c r="AN165" i="23"/>
  <c r="AD162" i="7"/>
  <c r="AH161" i="7"/>
  <c r="AE161" i="7"/>
  <c r="AF161" i="7"/>
  <c r="AG161" i="7"/>
  <c r="AI161" i="7"/>
  <c r="AJ161" i="7"/>
  <c r="AK161" i="7"/>
  <c r="Z32" i="7"/>
  <c r="AB32" i="7"/>
  <c r="AK164" i="22"/>
  <c r="AE164" i="22"/>
  <c r="AJ164" i="22"/>
  <c r="AI164" i="22"/>
  <c r="AG164" i="22"/>
  <c r="AF164" i="22"/>
  <c r="AH164" i="22"/>
  <c r="AM161" i="7"/>
  <c r="AN160" i="7"/>
  <c r="AO160" i="7"/>
  <c r="AQ160" i="7"/>
  <c r="AT160" i="7"/>
  <c r="AR160" i="7"/>
  <c r="AP160" i="7"/>
  <c r="AS160" i="7"/>
  <c r="AA32" i="7"/>
  <c r="AC47" i="3"/>
  <c r="AC48" i="3"/>
  <c r="AC46" i="3"/>
  <c r="AC42" i="3"/>
  <c r="AC43" i="3" s="1"/>
  <c r="AC41" i="3"/>
  <c r="AD17" i="3"/>
  <c r="AC12" i="3"/>
  <c r="AE11" i="3"/>
  <c r="AD15" i="3"/>
  <c r="AD14" i="3"/>
  <c r="AD13" i="3"/>
  <c r="AD94" i="3"/>
  <c r="H164" i="22"/>
  <c r="J164" i="22"/>
  <c r="I164" i="22"/>
  <c r="H163" i="23"/>
  <c r="I163" i="23"/>
  <c r="J163" i="23"/>
  <c r="Q32" i="7"/>
  <c r="R32" i="7"/>
  <c r="R166" i="23"/>
  <c r="L167" i="23"/>
  <c r="O166" i="23"/>
  <c r="N166" i="23"/>
  <c r="M166" i="23"/>
  <c r="S166" i="23"/>
  <c r="Q166" i="23"/>
  <c r="P166" i="23"/>
  <c r="C165" i="23"/>
  <c r="F164" i="23"/>
  <c r="E164" i="23"/>
  <c r="D164" i="23"/>
  <c r="G164" i="23"/>
  <c r="AA164" i="23"/>
  <c r="U165" i="23"/>
  <c r="X164" i="23"/>
  <c r="W164" i="23"/>
  <c r="AB164" i="23"/>
  <c r="Z164" i="23"/>
  <c r="V164" i="23"/>
  <c r="Y164" i="23"/>
  <c r="V165" i="22"/>
  <c r="X165" i="22"/>
  <c r="W165" i="22"/>
  <c r="U166" i="22"/>
  <c r="Y165" i="22"/>
  <c r="AD165" i="22"/>
  <c r="L165" i="22"/>
  <c r="O164" i="22"/>
  <c r="N164" i="22"/>
  <c r="M164" i="22"/>
  <c r="P164" i="22"/>
  <c r="C166" i="22"/>
  <c r="F165" i="22"/>
  <c r="E165" i="22"/>
  <c r="D165" i="22"/>
  <c r="G165" i="22"/>
  <c r="S32" i="7"/>
  <c r="P33" i="7"/>
  <c r="Z21" i="3" s="1"/>
  <c r="N33" i="7"/>
  <c r="O33" i="7"/>
  <c r="M33" i="7"/>
  <c r="AF8" i="3"/>
  <c r="AE7" i="3"/>
  <c r="AE9" i="3" s="1"/>
  <c r="AF6" i="3"/>
  <c r="I33" i="7"/>
  <c r="J33" i="7"/>
  <c r="G34" i="7"/>
  <c r="E34" i="7"/>
  <c r="AA36" i="3" s="1"/>
  <c r="F34" i="7"/>
  <c r="AA35" i="3" s="1"/>
  <c r="D34" i="7"/>
  <c r="H33" i="7"/>
  <c r="X33" i="7"/>
  <c r="U34" i="7"/>
  <c r="Y33" i="7"/>
  <c r="V33" i="7"/>
  <c r="Q164" i="22" l="1"/>
  <c r="S164" i="22"/>
  <c r="R164" i="22"/>
  <c r="AD75" i="3"/>
  <c r="AA165" i="22"/>
  <c r="Z165" i="22"/>
  <c r="AB165" i="22"/>
  <c r="AB33" i="7"/>
  <c r="AD60" i="3"/>
  <c r="AF77" i="3"/>
  <c r="AF76" i="3"/>
  <c r="AF79" i="3"/>
  <c r="AF78" i="3"/>
  <c r="AF80" i="3"/>
  <c r="AE63" i="3"/>
  <c r="AE57" i="3"/>
  <c r="AE88" i="3"/>
  <c r="AE87" i="3"/>
  <c r="AE86" i="3"/>
  <c r="AE85" i="3"/>
  <c r="AE84" i="3"/>
  <c r="AE83" i="3"/>
  <c r="AE81" i="3"/>
  <c r="AE69" i="3"/>
  <c r="AE68" i="3"/>
  <c r="AE67" i="3"/>
  <c r="AE62" i="3"/>
  <c r="AE58" i="3"/>
  <c r="AE56" i="3"/>
  <c r="AE54" i="3"/>
  <c r="AE52" i="3"/>
  <c r="AE82" i="3"/>
  <c r="AE66" i="3"/>
  <c r="AE70" i="3"/>
  <c r="AE65" i="3"/>
  <c r="AE64" i="3"/>
  <c r="AE59" i="3"/>
  <c r="AE55" i="3"/>
  <c r="AE53" i="3"/>
  <c r="AE51" i="3"/>
  <c r="AM167" i="22"/>
  <c r="AT166" i="22"/>
  <c r="AS166" i="22"/>
  <c r="AR166" i="22"/>
  <c r="AQ166" i="22"/>
  <c r="AP166" i="22"/>
  <c r="AO166" i="22"/>
  <c r="AN166" i="22"/>
  <c r="AD167" i="23"/>
  <c r="AK166" i="23"/>
  <c r="AJ166" i="23"/>
  <c r="AI166" i="23"/>
  <c r="AH166" i="23"/>
  <c r="AG166" i="23"/>
  <c r="AF166" i="23"/>
  <c r="AE166" i="23"/>
  <c r="AM167" i="23"/>
  <c r="AT166" i="23"/>
  <c r="AS166" i="23"/>
  <c r="AR166" i="23"/>
  <c r="AQ166" i="23"/>
  <c r="AP166" i="23"/>
  <c r="AO166" i="23"/>
  <c r="AN166" i="23"/>
  <c r="AD163" i="7"/>
  <c r="AH162" i="7"/>
  <c r="AE162" i="7"/>
  <c r="AF162" i="7"/>
  <c r="AG162" i="7"/>
  <c r="AI162" i="7"/>
  <c r="AJ162" i="7"/>
  <c r="AK162" i="7"/>
  <c r="AK165" i="22"/>
  <c r="AI165" i="22"/>
  <c r="AG165" i="22"/>
  <c r="AF165" i="22"/>
  <c r="AJ165" i="22"/>
  <c r="AE165" i="22"/>
  <c r="AH165" i="22"/>
  <c r="AS161" i="7"/>
  <c r="AQ161" i="7"/>
  <c r="AM162" i="7"/>
  <c r="AP161" i="7"/>
  <c r="AR161" i="7"/>
  <c r="AN161" i="7"/>
  <c r="AT161" i="7"/>
  <c r="AO161" i="7"/>
  <c r="Z33" i="7"/>
  <c r="AA33" i="7"/>
  <c r="AD46" i="3"/>
  <c r="AD41" i="3"/>
  <c r="AD48" i="3"/>
  <c r="AD47" i="3"/>
  <c r="AD42" i="3"/>
  <c r="AD43" i="3" s="1"/>
  <c r="R33" i="7"/>
  <c r="AE17" i="3"/>
  <c r="AD12" i="3"/>
  <c r="AF11" i="3"/>
  <c r="AE15" i="3"/>
  <c r="AE14" i="3"/>
  <c r="AE13" i="3"/>
  <c r="AE94" i="3"/>
  <c r="H164" i="23"/>
  <c r="I164" i="23"/>
  <c r="J165" i="22"/>
  <c r="J164" i="23"/>
  <c r="I165" i="22"/>
  <c r="H165" i="22"/>
  <c r="Q33" i="7"/>
  <c r="AB165" i="23"/>
  <c r="AA165" i="23"/>
  <c r="W165" i="23"/>
  <c r="U166" i="23"/>
  <c r="Z165" i="23"/>
  <c r="X165" i="23"/>
  <c r="V165" i="23"/>
  <c r="Y165" i="23"/>
  <c r="S167" i="23"/>
  <c r="R167" i="23"/>
  <c r="N167" i="23"/>
  <c r="O167" i="23"/>
  <c r="M167" i="23"/>
  <c r="L168" i="23"/>
  <c r="Q167" i="23"/>
  <c r="P167" i="23"/>
  <c r="F165" i="23"/>
  <c r="D165" i="23"/>
  <c r="C166" i="23"/>
  <c r="E165" i="23"/>
  <c r="G165" i="23"/>
  <c r="U167" i="22"/>
  <c r="X166" i="22"/>
  <c r="V166" i="22"/>
  <c r="W166" i="22"/>
  <c r="AA166" i="22" s="1"/>
  <c r="Y166" i="22"/>
  <c r="C167" i="22"/>
  <c r="E166" i="22"/>
  <c r="D166" i="22"/>
  <c r="F166" i="22"/>
  <c r="G166" i="22"/>
  <c r="AD166" i="22"/>
  <c r="L166" i="22"/>
  <c r="O165" i="22"/>
  <c r="Q165" i="22" s="1"/>
  <c r="N165" i="22"/>
  <c r="M165" i="22"/>
  <c r="P165" i="22"/>
  <c r="S33" i="7"/>
  <c r="P34" i="7"/>
  <c r="AA21" i="3" s="1"/>
  <c r="M34" i="7"/>
  <c r="N34" i="7"/>
  <c r="O34" i="7"/>
  <c r="AG8" i="3"/>
  <c r="AG6" i="3"/>
  <c r="AF7" i="3"/>
  <c r="AF9" i="3" s="1"/>
  <c r="J34" i="7"/>
  <c r="H34" i="7"/>
  <c r="I34" i="7"/>
  <c r="X34" i="7"/>
  <c r="U35" i="7"/>
  <c r="V34" i="7"/>
  <c r="Y34" i="7"/>
  <c r="W34" i="7"/>
  <c r="G35" i="7"/>
  <c r="E35" i="7"/>
  <c r="AB36" i="3" s="1"/>
  <c r="F35" i="7"/>
  <c r="AB35" i="3" s="1"/>
  <c r="D35" i="7"/>
  <c r="S165" i="22" l="1"/>
  <c r="R165" i="22"/>
  <c r="AE60" i="3"/>
  <c r="Z166" i="22"/>
  <c r="AB166" i="22"/>
  <c r="AE75" i="3"/>
  <c r="AG78" i="3"/>
  <c r="AG77" i="3"/>
  <c r="AG76" i="3"/>
  <c r="AG80" i="3"/>
  <c r="AG79" i="3"/>
  <c r="AF67" i="3"/>
  <c r="AF88" i="3"/>
  <c r="AF87" i="3"/>
  <c r="AF86" i="3"/>
  <c r="AF85" i="3"/>
  <c r="AF84" i="3"/>
  <c r="AF83" i="3"/>
  <c r="AF82" i="3"/>
  <c r="AF70" i="3"/>
  <c r="AF68" i="3"/>
  <c r="AF66" i="3"/>
  <c r="AF65" i="3"/>
  <c r="AF64" i="3"/>
  <c r="AF63" i="3"/>
  <c r="AF59" i="3"/>
  <c r="AF57" i="3"/>
  <c r="AF55" i="3"/>
  <c r="AF53" i="3"/>
  <c r="AF81" i="3"/>
  <c r="AF69" i="3"/>
  <c r="AF62" i="3"/>
  <c r="AF58" i="3"/>
  <c r="AF56" i="3"/>
  <c r="AF52" i="3"/>
  <c r="AF54" i="3"/>
  <c r="AF51" i="3"/>
  <c r="AM168" i="22"/>
  <c r="AT167" i="22"/>
  <c r="AS167" i="22"/>
  <c r="AR167" i="22"/>
  <c r="AQ167" i="22"/>
  <c r="AP167" i="22"/>
  <c r="AO167" i="22"/>
  <c r="AN167" i="22"/>
  <c r="AD168" i="23"/>
  <c r="AK167" i="23"/>
  <c r="AJ167" i="23"/>
  <c r="AI167" i="23"/>
  <c r="AH167" i="23"/>
  <c r="AF167" i="23"/>
  <c r="AG167" i="23"/>
  <c r="AE167" i="23"/>
  <c r="AM168" i="23"/>
  <c r="AS167" i="23"/>
  <c r="AR167" i="23"/>
  <c r="AO167" i="23"/>
  <c r="AT167" i="23"/>
  <c r="AQ167" i="23"/>
  <c r="AP167" i="23"/>
  <c r="AN167" i="23"/>
  <c r="AD164" i="7"/>
  <c r="AH163" i="7"/>
  <c r="AE163" i="7"/>
  <c r="AF163" i="7"/>
  <c r="AG163" i="7"/>
  <c r="AI163" i="7"/>
  <c r="AJ163" i="7"/>
  <c r="AK163" i="7"/>
  <c r="AJ166" i="22"/>
  <c r="AI166" i="22"/>
  <c r="AG166" i="22"/>
  <c r="AF166" i="22"/>
  <c r="AK166" i="22"/>
  <c r="AE166" i="22"/>
  <c r="AH166" i="22"/>
  <c r="AP162" i="7"/>
  <c r="AM163" i="7"/>
  <c r="AT162" i="7"/>
  <c r="AR162" i="7"/>
  <c r="AQ162" i="7"/>
  <c r="AO162" i="7"/>
  <c r="AN162" i="7"/>
  <c r="AS162" i="7"/>
  <c r="AB34" i="7"/>
  <c r="Z34" i="7"/>
  <c r="AA34" i="7"/>
  <c r="AE47" i="3"/>
  <c r="AE42" i="3"/>
  <c r="AE43" i="3" s="1"/>
  <c r="AE48" i="3"/>
  <c r="AE46" i="3"/>
  <c r="AE41" i="3"/>
  <c r="H165" i="23"/>
  <c r="AE12" i="3"/>
  <c r="AF17" i="3"/>
  <c r="AG11" i="3"/>
  <c r="AF15" i="3"/>
  <c r="AF14" i="3"/>
  <c r="AF13" i="3"/>
  <c r="AF94" i="3"/>
  <c r="J166" i="22"/>
  <c r="I165" i="23"/>
  <c r="I166" i="22"/>
  <c r="H166" i="22"/>
  <c r="S34" i="7"/>
  <c r="J165" i="23"/>
  <c r="L169" i="23"/>
  <c r="O168" i="23"/>
  <c r="N168" i="23"/>
  <c r="R168" i="23"/>
  <c r="S168" i="23"/>
  <c r="Q168" i="23"/>
  <c r="M168" i="23"/>
  <c r="P168" i="23"/>
  <c r="U167" i="23"/>
  <c r="X166" i="23"/>
  <c r="W166" i="23"/>
  <c r="AA166" i="23"/>
  <c r="AB166" i="23"/>
  <c r="Z166" i="23"/>
  <c r="V166" i="23"/>
  <c r="Y166" i="23"/>
  <c r="E166" i="23"/>
  <c r="F166" i="23"/>
  <c r="C167" i="23"/>
  <c r="D166" i="23"/>
  <c r="G166" i="23"/>
  <c r="L167" i="22"/>
  <c r="O166" i="22"/>
  <c r="Q166" i="22" s="1"/>
  <c r="N166" i="22"/>
  <c r="M166" i="22"/>
  <c r="P166" i="22"/>
  <c r="C168" i="22"/>
  <c r="D167" i="22"/>
  <c r="E167" i="22"/>
  <c r="F167" i="22"/>
  <c r="G167" i="22"/>
  <c r="AD167" i="22"/>
  <c r="U168" i="22"/>
  <c r="W167" i="22"/>
  <c r="V167" i="22"/>
  <c r="X167" i="22"/>
  <c r="Y167" i="22"/>
  <c r="Q34" i="7"/>
  <c r="R34" i="7"/>
  <c r="M35" i="7"/>
  <c r="O35" i="7"/>
  <c r="N35" i="7"/>
  <c r="P35" i="7"/>
  <c r="AB21" i="3" s="1"/>
  <c r="AH8" i="3"/>
  <c r="AH6" i="3"/>
  <c r="AG7" i="3"/>
  <c r="AG9" i="3" s="1"/>
  <c r="H35" i="7"/>
  <c r="J35" i="7"/>
  <c r="I35" i="7"/>
  <c r="X35" i="7"/>
  <c r="U36" i="7"/>
  <c r="Y35" i="7"/>
  <c r="W35" i="7"/>
  <c r="V35" i="7"/>
  <c r="AB35" i="7" s="1"/>
  <c r="G36" i="7"/>
  <c r="E36" i="7"/>
  <c r="AC36" i="3" s="1"/>
  <c r="F36" i="7"/>
  <c r="AC35" i="3" s="1"/>
  <c r="D36" i="7"/>
  <c r="S166" i="22" l="1"/>
  <c r="R166" i="22"/>
  <c r="AF60" i="3"/>
  <c r="AF75" i="3"/>
  <c r="AA167" i="22"/>
  <c r="AB167" i="22"/>
  <c r="Z167" i="22"/>
  <c r="Z35" i="7"/>
  <c r="AH76" i="3"/>
  <c r="AH80" i="3"/>
  <c r="AH79" i="3"/>
  <c r="AH78" i="3"/>
  <c r="AH77" i="3"/>
  <c r="AG69" i="3"/>
  <c r="AG68" i="3"/>
  <c r="AG64" i="3"/>
  <c r="AG59" i="3"/>
  <c r="AG58" i="3"/>
  <c r="AG55" i="3"/>
  <c r="AG88" i="3"/>
  <c r="AG87" i="3"/>
  <c r="AG86" i="3"/>
  <c r="AG85" i="3"/>
  <c r="AG84" i="3"/>
  <c r="AG83" i="3"/>
  <c r="AG82" i="3"/>
  <c r="AG81" i="3"/>
  <c r="AG62" i="3"/>
  <c r="AG56" i="3"/>
  <c r="AG54" i="3"/>
  <c r="AG52" i="3"/>
  <c r="AG51" i="3"/>
  <c r="AG70" i="3"/>
  <c r="AG67" i="3"/>
  <c r="AG65" i="3"/>
  <c r="AG66" i="3"/>
  <c r="AG63" i="3"/>
  <c r="AG57" i="3"/>
  <c r="AG53" i="3"/>
  <c r="AM169" i="22"/>
  <c r="AT168" i="22"/>
  <c r="AS168" i="22"/>
  <c r="AR168" i="22"/>
  <c r="AQ168" i="22"/>
  <c r="AP168" i="22"/>
  <c r="AO168" i="22"/>
  <c r="AN168" i="22"/>
  <c r="AD169" i="23"/>
  <c r="AK168" i="23"/>
  <c r="AJ168" i="23"/>
  <c r="AI168" i="23"/>
  <c r="AH168" i="23"/>
  <c r="AG168" i="23"/>
  <c r="AF168" i="23"/>
  <c r="AE168" i="23"/>
  <c r="AM169" i="23"/>
  <c r="AT168" i="23"/>
  <c r="AS168" i="23"/>
  <c r="AR168" i="23"/>
  <c r="AQ168" i="23"/>
  <c r="AP168" i="23"/>
  <c r="AO168" i="23"/>
  <c r="AN168" i="23"/>
  <c r="AD165" i="7"/>
  <c r="AH164" i="7"/>
  <c r="AE164" i="7"/>
  <c r="AF164" i="7"/>
  <c r="AG164" i="7"/>
  <c r="AI164" i="7"/>
  <c r="AJ164" i="7"/>
  <c r="AK164" i="7"/>
  <c r="AJ167" i="22"/>
  <c r="AE167" i="22"/>
  <c r="AK167" i="22"/>
  <c r="AI167" i="22"/>
  <c r="AG167" i="22"/>
  <c r="AF167" i="22"/>
  <c r="AH167" i="22"/>
  <c r="AM164" i="7"/>
  <c r="AS163" i="7"/>
  <c r="AP163" i="7"/>
  <c r="AT163" i="7"/>
  <c r="AR163" i="7"/>
  <c r="AQ163" i="7"/>
  <c r="AO163" i="7"/>
  <c r="AN163" i="7"/>
  <c r="AA35" i="7"/>
  <c r="AF46" i="3"/>
  <c r="AF48" i="3"/>
  <c r="AF47" i="3"/>
  <c r="AF42" i="3"/>
  <c r="AF43" i="3" s="1"/>
  <c r="AF41" i="3"/>
  <c r="H166" i="23"/>
  <c r="AG17" i="3"/>
  <c r="AF12" i="3"/>
  <c r="AG15" i="3"/>
  <c r="AG14" i="3"/>
  <c r="AG13" i="3"/>
  <c r="AH11" i="3"/>
  <c r="AG94" i="3"/>
  <c r="J166" i="23"/>
  <c r="I166" i="23"/>
  <c r="J167" i="22"/>
  <c r="I167" i="22"/>
  <c r="R35" i="7"/>
  <c r="R169" i="23"/>
  <c r="S169" i="23"/>
  <c r="N169" i="23"/>
  <c r="O169" i="23"/>
  <c r="M169" i="23"/>
  <c r="L170" i="23"/>
  <c r="Q169" i="23"/>
  <c r="P169" i="23"/>
  <c r="C168" i="23"/>
  <c r="F167" i="23"/>
  <c r="E167" i="23"/>
  <c r="D167" i="23"/>
  <c r="G167" i="23"/>
  <c r="AA167" i="23"/>
  <c r="AB167" i="23"/>
  <c r="W167" i="23"/>
  <c r="U168" i="23"/>
  <c r="V167" i="23"/>
  <c r="X167" i="23"/>
  <c r="Z167" i="23"/>
  <c r="Y167" i="23"/>
  <c r="H167" i="22"/>
  <c r="C169" i="22"/>
  <c r="F168" i="22"/>
  <c r="E168" i="22"/>
  <c r="D168" i="22"/>
  <c r="G168" i="22"/>
  <c r="W168" i="22"/>
  <c r="V168" i="22"/>
  <c r="X168" i="22"/>
  <c r="AB168" i="22" s="1"/>
  <c r="U169" i="22"/>
  <c r="Y168" i="22"/>
  <c r="AD168" i="22"/>
  <c r="M167" i="22"/>
  <c r="L168" i="22"/>
  <c r="O167" i="22"/>
  <c r="N167" i="22"/>
  <c r="R167" i="22" s="1"/>
  <c r="P167" i="22"/>
  <c r="S35" i="7"/>
  <c r="Q35" i="7"/>
  <c r="P36" i="7"/>
  <c r="AC21" i="3" s="1"/>
  <c r="N36" i="7"/>
  <c r="M36" i="7"/>
  <c r="O36" i="7"/>
  <c r="AI8" i="3"/>
  <c r="AI6" i="3"/>
  <c r="AH7" i="3"/>
  <c r="AH9" i="3" s="1"/>
  <c r="H36" i="7"/>
  <c r="J36" i="7"/>
  <c r="I36" i="7"/>
  <c r="G37" i="7"/>
  <c r="E37" i="7"/>
  <c r="AD36" i="3" s="1"/>
  <c r="F37" i="7"/>
  <c r="AD35" i="3" s="1"/>
  <c r="D37" i="7"/>
  <c r="X36" i="7"/>
  <c r="U37" i="7"/>
  <c r="Y36" i="7"/>
  <c r="W36" i="7"/>
  <c r="V36" i="7"/>
  <c r="Q167" i="22" l="1"/>
  <c r="S167" i="22"/>
  <c r="AG75" i="3"/>
  <c r="AA168" i="22"/>
  <c r="Z168" i="22"/>
  <c r="AG60" i="3"/>
  <c r="AI80" i="3"/>
  <c r="AI78" i="3"/>
  <c r="AI77" i="3"/>
  <c r="AI76" i="3"/>
  <c r="AI79" i="3"/>
  <c r="AH56" i="3"/>
  <c r="AH54" i="3"/>
  <c r="AH52" i="3"/>
  <c r="AH51" i="3"/>
  <c r="AH88" i="3"/>
  <c r="AH87" i="3"/>
  <c r="AH86" i="3"/>
  <c r="AH85" i="3"/>
  <c r="AH84" i="3"/>
  <c r="AH83" i="3"/>
  <c r="AH82" i="3"/>
  <c r="AH69" i="3"/>
  <c r="AH66" i="3"/>
  <c r="AH63" i="3"/>
  <c r="AH57" i="3"/>
  <c r="AH55" i="3"/>
  <c r="AH53" i="3"/>
  <c r="AH81" i="3"/>
  <c r="AH62" i="3"/>
  <c r="AH70" i="3"/>
  <c r="AH68" i="3"/>
  <c r="AH67" i="3"/>
  <c r="AH65" i="3"/>
  <c r="AH64" i="3"/>
  <c r="AH59" i="3"/>
  <c r="AH58" i="3"/>
  <c r="AM170" i="22"/>
  <c r="AT169" i="22"/>
  <c r="AS169" i="22"/>
  <c r="AR169" i="22"/>
  <c r="AQ169" i="22"/>
  <c r="AP169" i="22"/>
  <c r="AO169" i="22"/>
  <c r="AN169" i="22"/>
  <c r="AE169" i="23"/>
  <c r="AG169" i="23"/>
  <c r="AD170" i="23"/>
  <c r="AK169" i="23"/>
  <c r="AJ169" i="23"/>
  <c r="AI169" i="23"/>
  <c r="AH169" i="23"/>
  <c r="AF169" i="23"/>
  <c r="AT169" i="23"/>
  <c r="AN169" i="23"/>
  <c r="AP169" i="23"/>
  <c r="AM170" i="23"/>
  <c r="AQ169" i="23"/>
  <c r="AO169" i="23"/>
  <c r="AR169" i="23"/>
  <c r="AS169" i="23"/>
  <c r="AD166" i="7"/>
  <c r="AH165" i="7"/>
  <c r="AE165" i="7"/>
  <c r="AF165" i="7"/>
  <c r="AG165" i="7"/>
  <c r="AI165" i="7"/>
  <c r="AJ165" i="7"/>
  <c r="AK165" i="7"/>
  <c r="AK168" i="22"/>
  <c r="AE168" i="22"/>
  <c r="AJ168" i="22"/>
  <c r="AI168" i="22"/>
  <c r="AG168" i="22"/>
  <c r="AF168" i="22"/>
  <c r="AH168" i="22"/>
  <c r="AT164" i="7"/>
  <c r="AS164" i="7"/>
  <c r="AR164" i="7"/>
  <c r="AM165" i="7"/>
  <c r="AQ164" i="7"/>
  <c r="AO164" i="7"/>
  <c r="AN164" i="7"/>
  <c r="AP164" i="7"/>
  <c r="AB36" i="7"/>
  <c r="AA36" i="7"/>
  <c r="AG47" i="3"/>
  <c r="AG42" i="3"/>
  <c r="AG43" i="3" s="1"/>
  <c r="AG41" i="3"/>
  <c r="AG48" i="3"/>
  <c r="AG46" i="3"/>
  <c r="H167" i="23"/>
  <c r="AH17" i="3"/>
  <c r="AG12" i="3"/>
  <c r="AI11" i="3"/>
  <c r="AH14" i="3"/>
  <c r="AH13" i="3"/>
  <c r="AH15" i="3"/>
  <c r="AH94" i="3"/>
  <c r="I167" i="23"/>
  <c r="H168" i="22"/>
  <c r="J168" i="22"/>
  <c r="J167" i="23"/>
  <c r="I168" i="22"/>
  <c r="S36" i="7"/>
  <c r="R36" i="7"/>
  <c r="Q36" i="7"/>
  <c r="AB168" i="23"/>
  <c r="AA168" i="23"/>
  <c r="W168" i="23"/>
  <c r="Z168" i="23"/>
  <c r="U169" i="23"/>
  <c r="X168" i="23"/>
  <c r="V168" i="23"/>
  <c r="Y168" i="23"/>
  <c r="S170" i="23"/>
  <c r="R170" i="23"/>
  <c r="N170" i="23"/>
  <c r="Q170" i="23"/>
  <c r="L171" i="23"/>
  <c r="O170" i="23"/>
  <c r="M170" i="23"/>
  <c r="P170" i="23"/>
  <c r="C169" i="23"/>
  <c r="F168" i="23"/>
  <c r="E168" i="23"/>
  <c r="D168" i="23"/>
  <c r="G168" i="23"/>
  <c r="AD169" i="22"/>
  <c r="L169" i="22"/>
  <c r="O168" i="22"/>
  <c r="N168" i="22"/>
  <c r="M168" i="22"/>
  <c r="P168" i="22"/>
  <c r="C170" i="22"/>
  <c r="F169" i="22"/>
  <c r="D169" i="22"/>
  <c r="E169" i="22"/>
  <c r="G169" i="22"/>
  <c r="U170" i="22"/>
  <c r="X169" i="22"/>
  <c r="W169" i="22"/>
  <c r="V169" i="22"/>
  <c r="Y169" i="22"/>
  <c r="Z36" i="7"/>
  <c r="M37" i="7"/>
  <c r="O37" i="7"/>
  <c r="N37" i="7"/>
  <c r="P37" i="7"/>
  <c r="AD21" i="3" s="1"/>
  <c r="AJ8" i="3"/>
  <c r="AJ6" i="3"/>
  <c r="AI7" i="3"/>
  <c r="AI9" i="3" s="1"/>
  <c r="J37" i="7"/>
  <c r="I37" i="7"/>
  <c r="G38" i="7"/>
  <c r="E38" i="7"/>
  <c r="AE36" i="3" s="1"/>
  <c r="F38" i="7"/>
  <c r="AE35" i="3" s="1"/>
  <c r="D38" i="7"/>
  <c r="H37" i="7"/>
  <c r="X37" i="7"/>
  <c r="U38" i="7"/>
  <c r="Y37" i="7"/>
  <c r="W37" i="7"/>
  <c r="V37" i="7"/>
  <c r="S168" i="22" l="1"/>
  <c r="Q168" i="22"/>
  <c r="R168" i="22"/>
  <c r="Z169" i="22"/>
  <c r="AB169" i="22"/>
  <c r="AA169" i="22"/>
  <c r="AH75" i="3"/>
  <c r="AH60" i="3"/>
  <c r="AJ79" i="3"/>
  <c r="AJ77" i="3"/>
  <c r="AJ78" i="3"/>
  <c r="AJ76" i="3"/>
  <c r="AJ80" i="3"/>
  <c r="AI67" i="3"/>
  <c r="AI66" i="3"/>
  <c r="AI63" i="3"/>
  <c r="AI57" i="3"/>
  <c r="AI53" i="3"/>
  <c r="AI88" i="3"/>
  <c r="AI87" i="3"/>
  <c r="AI86" i="3"/>
  <c r="AI85" i="3"/>
  <c r="AI84" i="3"/>
  <c r="AI83" i="3"/>
  <c r="AI81" i="3"/>
  <c r="AI65" i="3"/>
  <c r="AI64" i="3"/>
  <c r="AI62" i="3"/>
  <c r="AI59" i="3"/>
  <c r="AI58" i="3"/>
  <c r="AI56" i="3"/>
  <c r="AI54" i="3"/>
  <c r="AI52" i="3"/>
  <c r="AI51" i="3"/>
  <c r="AI82" i="3"/>
  <c r="AI70" i="3"/>
  <c r="AI68" i="3"/>
  <c r="AI69" i="3"/>
  <c r="AI55" i="3"/>
  <c r="AM171" i="22"/>
  <c r="AT170" i="22"/>
  <c r="AS170" i="22"/>
  <c r="AR170" i="22"/>
  <c r="AQ170" i="22"/>
  <c r="AP170" i="22"/>
  <c r="AO170" i="22"/>
  <c r="AN170" i="22"/>
  <c r="AD171" i="23"/>
  <c r="AK170" i="23"/>
  <c r="AJ170" i="23"/>
  <c r="AI170" i="23"/>
  <c r="AH170" i="23"/>
  <c r="AG170" i="23"/>
  <c r="AF170" i="23"/>
  <c r="AE170" i="23"/>
  <c r="AM171" i="23"/>
  <c r="AT170" i="23"/>
  <c r="AS170" i="23"/>
  <c r="AR170" i="23"/>
  <c r="AQ170" i="23"/>
  <c r="AP170" i="23"/>
  <c r="AO170" i="23"/>
  <c r="AN170" i="23"/>
  <c r="AD167" i="7"/>
  <c r="AH166" i="7"/>
  <c r="AE166" i="7"/>
  <c r="AF166" i="7"/>
  <c r="AG166" i="7"/>
  <c r="AI166" i="7"/>
  <c r="AJ166" i="7"/>
  <c r="AK166" i="7"/>
  <c r="AA37" i="7"/>
  <c r="AJ169" i="22"/>
  <c r="AF169" i="22"/>
  <c r="AK169" i="22"/>
  <c r="AI169" i="22"/>
  <c r="AG169" i="22"/>
  <c r="AE169" i="22"/>
  <c r="AH169" i="22"/>
  <c r="AR165" i="7"/>
  <c r="AN165" i="7"/>
  <c r="AT165" i="7"/>
  <c r="AQ165" i="7"/>
  <c r="AM166" i="7"/>
  <c r="AS165" i="7"/>
  <c r="AP165" i="7"/>
  <c r="AO165" i="7"/>
  <c r="AB37" i="7"/>
  <c r="Z37" i="7"/>
  <c r="AH46" i="3"/>
  <c r="AH48" i="3"/>
  <c r="AH47" i="3"/>
  <c r="AH42" i="3"/>
  <c r="AH43" i="3" s="1"/>
  <c r="AH41" i="3"/>
  <c r="R37" i="7"/>
  <c r="AH12" i="3"/>
  <c r="AI17" i="3"/>
  <c r="AJ11" i="3"/>
  <c r="AI15" i="3"/>
  <c r="AI14" i="3"/>
  <c r="AI13" i="3"/>
  <c r="AI94" i="3"/>
  <c r="H169" i="22"/>
  <c r="I169" i="22"/>
  <c r="I168" i="23"/>
  <c r="J168" i="23"/>
  <c r="Q37" i="7"/>
  <c r="E169" i="23"/>
  <c r="C170" i="23"/>
  <c r="D169" i="23"/>
  <c r="F169" i="23"/>
  <c r="G169" i="23"/>
  <c r="U170" i="23"/>
  <c r="X169" i="23"/>
  <c r="W169" i="23"/>
  <c r="V169" i="23"/>
  <c r="AB169" i="23"/>
  <c r="Z169" i="23"/>
  <c r="AA169" i="23"/>
  <c r="Y169" i="23"/>
  <c r="H168" i="23"/>
  <c r="L172" i="23"/>
  <c r="O171" i="23"/>
  <c r="N171" i="23"/>
  <c r="M171" i="23"/>
  <c r="S171" i="23"/>
  <c r="R171" i="23"/>
  <c r="Q171" i="23"/>
  <c r="P171" i="23"/>
  <c r="U171" i="22"/>
  <c r="W170" i="22"/>
  <c r="V170" i="22"/>
  <c r="X170" i="22"/>
  <c r="Y170" i="22"/>
  <c r="J169" i="22"/>
  <c r="L170" i="22"/>
  <c r="O169" i="22"/>
  <c r="N169" i="22"/>
  <c r="M169" i="22"/>
  <c r="P169" i="22"/>
  <c r="C171" i="22"/>
  <c r="D170" i="22"/>
  <c r="F170" i="22"/>
  <c r="E170" i="22"/>
  <c r="G170" i="22"/>
  <c r="AD170" i="22"/>
  <c r="S37" i="7"/>
  <c r="M38" i="7"/>
  <c r="O38" i="7"/>
  <c r="N38" i="7"/>
  <c r="P38" i="7"/>
  <c r="AE21" i="3" s="1"/>
  <c r="AK8" i="3"/>
  <c r="AK6" i="3"/>
  <c r="AJ7" i="3"/>
  <c r="AJ9" i="3" s="1"/>
  <c r="J38" i="7"/>
  <c r="I38" i="7"/>
  <c r="H38" i="7"/>
  <c r="G39" i="7"/>
  <c r="E39" i="7"/>
  <c r="AF36" i="3" s="1"/>
  <c r="D39" i="7"/>
  <c r="F39" i="7"/>
  <c r="AF35" i="3" s="1"/>
  <c r="X38" i="7"/>
  <c r="U39" i="7"/>
  <c r="Y38" i="7"/>
  <c r="W38" i="7"/>
  <c r="V38" i="7"/>
  <c r="R169" i="22" l="1"/>
  <c r="Q169" i="22"/>
  <c r="S169" i="22"/>
  <c r="AA170" i="22"/>
  <c r="Z170" i="22"/>
  <c r="AB170" i="22"/>
  <c r="AI75" i="3"/>
  <c r="AI60" i="3"/>
  <c r="AK78" i="3"/>
  <c r="AK79" i="3"/>
  <c r="AK80" i="3"/>
  <c r="AK77" i="3"/>
  <c r="AK76" i="3"/>
  <c r="AJ59" i="3"/>
  <c r="AJ58" i="3"/>
  <c r="AJ88" i="3"/>
  <c r="AJ87" i="3"/>
  <c r="AJ86" i="3"/>
  <c r="AJ85" i="3"/>
  <c r="AJ84" i="3"/>
  <c r="AJ83" i="3"/>
  <c r="AJ82" i="3"/>
  <c r="AJ81" i="3"/>
  <c r="AJ70" i="3"/>
  <c r="AJ69" i="3"/>
  <c r="AJ66" i="3"/>
  <c r="AJ65" i="3"/>
  <c r="AJ62" i="3"/>
  <c r="AJ55" i="3"/>
  <c r="AJ53" i="3"/>
  <c r="AJ52" i="3"/>
  <c r="AJ68" i="3"/>
  <c r="AJ64" i="3"/>
  <c r="AJ67" i="3"/>
  <c r="AJ63" i="3"/>
  <c r="AJ57" i="3"/>
  <c r="AJ51" i="3"/>
  <c r="AJ56" i="3"/>
  <c r="AJ54" i="3"/>
  <c r="AM172" i="22"/>
  <c r="AT171" i="22"/>
  <c r="AS171" i="22"/>
  <c r="AR171" i="22"/>
  <c r="AQ171" i="22"/>
  <c r="AP171" i="22"/>
  <c r="AO171" i="22"/>
  <c r="AN171" i="22"/>
  <c r="AD172" i="23"/>
  <c r="AK171" i="23"/>
  <c r="AJ171" i="23"/>
  <c r="AI171" i="23"/>
  <c r="AH171" i="23"/>
  <c r="AG171" i="23"/>
  <c r="AF171" i="23"/>
  <c r="AE171" i="23"/>
  <c r="AM172" i="23"/>
  <c r="AT171" i="23"/>
  <c r="AS171" i="23"/>
  <c r="AR171" i="23"/>
  <c r="AQ171" i="23"/>
  <c r="AP171" i="23"/>
  <c r="AO171" i="23"/>
  <c r="AN171" i="23"/>
  <c r="AD168" i="7"/>
  <c r="AH167" i="7"/>
  <c r="AE167" i="7"/>
  <c r="AF167" i="7"/>
  <c r="AG167" i="7"/>
  <c r="AI167" i="7"/>
  <c r="AJ167" i="7"/>
  <c r="AK167" i="7"/>
  <c r="AI170" i="22"/>
  <c r="AG170" i="22"/>
  <c r="AE170" i="22"/>
  <c r="AK170" i="22"/>
  <c r="AJ170" i="22"/>
  <c r="AF170" i="22"/>
  <c r="AH170" i="22"/>
  <c r="AQ166" i="7"/>
  <c r="AS166" i="7"/>
  <c r="AN166" i="7"/>
  <c r="AT166" i="7"/>
  <c r="AR166" i="7"/>
  <c r="AM167" i="7"/>
  <c r="AP166" i="7"/>
  <c r="AO166" i="7"/>
  <c r="AA38" i="7"/>
  <c r="Z38" i="7"/>
  <c r="AI47" i="3"/>
  <c r="AI42" i="3"/>
  <c r="AI43" i="3" s="1"/>
  <c r="AI48" i="3"/>
  <c r="AI46" i="3"/>
  <c r="AI41" i="3"/>
  <c r="AJ17" i="3"/>
  <c r="AI12" i="3"/>
  <c r="AJ15" i="3"/>
  <c r="AJ14" i="3"/>
  <c r="AJ13" i="3"/>
  <c r="AK11" i="3"/>
  <c r="AJ94" i="3"/>
  <c r="J170" i="22"/>
  <c r="I170" i="22"/>
  <c r="J169" i="23"/>
  <c r="H169" i="23"/>
  <c r="I169" i="23"/>
  <c r="R38" i="7"/>
  <c r="S38" i="7"/>
  <c r="R172" i="23"/>
  <c r="S172" i="23"/>
  <c r="L173" i="23"/>
  <c r="Q172" i="23"/>
  <c r="O172" i="23"/>
  <c r="M172" i="23"/>
  <c r="N172" i="23"/>
  <c r="P172" i="23"/>
  <c r="C171" i="23"/>
  <c r="F170" i="23"/>
  <c r="E170" i="23"/>
  <c r="D170" i="23"/>
  <c r="G170" i="23"/>
  <c r="AA170" i="23"/>
  <c r="AB170" i="23"/>
  <c r="Z170" i="23"/>
  <c r="X170" i="23"/>
  <c r="U171" i="23"/>
  <c r="V170" i="23"/>
  <c r="W170" i="23"/>
  <c r="Y170" i="23"/>
  <c r="H170" i="22"/>
  <c r="N170" i="22"/>
  <c r="M170" i="22"/>
  <c r="L171" i="22"/>
  <c r="O170" i="22"/>
  <c r="P170" i="22"/>
  <c r="AD171" i="22"/>
  <c r="C172" i="22"/>
  <c r="E171" i="22"/>
  <c r="F171" i="22"/>
  <c r="D171" i="22"/>
  <c r="G171" i="22"/>
  <c r="U172" i="22"/>
  <c r="X171" i="22"/>
  <c r="W171" i="22"/>
  <c r="V171" i="22"/>
  <c r="Y171" i="22"/>
  <c r="Q38" i="7"/>
  <c r="AB38" i="7"/>
  <c r="P39" i="7"/>
  <c r="AF21" i="3" s="1"/>
  <c r="O39" i="7"/>
  <c r="M39" i="7"/>
  <c r="N39" i="7"/>
  <c r="AL8" i="3"/>
  <c r="AL6" i="3"/>
  <c r="AK7" i="3"/>
  <c r="AK9" i="3" s="1"/>
  <c r="H39" i="7"/>
  <c r="I39" i="7"/>
  <c r="J39" i="7"/>
  <c r="G40" i="7"/>
  <c r="E40" i="7"/>
  <c r="AG36" i="3" s="1"/>
  <c r="D40" i="7"/>
  <c r="F40" i="7"/>
  <c r="AG35" i="3" s="1"/>
  <c r="X39" i="7"/>
  <c r="U40" i="7"/>
  <c r="Y39" i="7"/>
  <c r="W39" i="7"/>
  <c r="V39" i="7"/>
  <c r="R170" i="22" l="1"/>
  <c r="S170" i="22"/>
  <c r="Q170" i="22"/>
  <c r="Z171" i="22"/>
  <c r="AB171" i="22"/>
  <c r="AA171" i="22"/>
  <c r="AJ60" i="3"/>
  <c r="AJ75" i="3"/>
  <c r="AL80" i="3"/>
  <c r="AL79" i="3"/>
  <c r="AL77" i="3"/>
  <c r="AL78" i="3"/>
  <c r="AL76" i="3"/>
  <c r="AK88" i="3"/>
  <c r="AK87" i="3"/>
  <c r="AK86" i="3"/>
  <c r="AK85" i="3"/>
  <c r="AK84" i="3"/>
  <c r="AK83" i="3"/>
  <c r="AK82" i="3"/>
  <c r="AK70" i="3"/>
  <c r="AK68" i="3"/>
  <c r="AK67" i="3"/>
  <c r="AK64" i="3"/>
  <c r="AK63" i="3"/>
  <c r="AK62" i="3"/>
  <c r="AK59" i="3"/>
  <c r="AK58" i="3"/>
  <c r="AK57" i="3"/>
  <c r="AK56" i="3"/>
  <c r="AK51" i="3"/>
  <c r="AK81" i="3"/>
  <c r="AK69" i="3"/>
  <c r="AK55" i="3"/>
  <c r="AK66" i="3"/>
  <c r="AK65" i="3"/>
  <c r="AK54" i="3"/>
  <c r="AK52" i="3"/>
  <c r="AK53" i="3"/>
  <c r="AM173" i="22"/>
  <c r="AT172" i="22"/>
  <c r="AS172" i="22"/>
  <c r="AQ172" i="22"/>
  <c r="AO172" i="22"/>
  <c r="AR172" i="22"/>
  <c r="AP172" i="22"/>
  <c r="AN172" i="22"/>
  <c r="AH172" i="23"/>
  <c r="AD173" i="23"/>
  <c r="AI172" i="23"/>
  <c r="AG172" i="23"/>
  <c r="AE172" i="23"/>
  <c r="AK172" i="23"/>
  <c r="AJ172" i="23"/>
  <c r="AF172" i="23"/>
  <c r="AT172" i="23"/>
  <c r="AS172" i="23"/>
  <c r="AR172" i="23"/>
  <c r="AO172" i="23"/>
  <c r="AM173" i="23"/>
  <c r="AQ172" i="23"/>
  <c r="AP172" i="23"/>
  <c r="AN172" i="23"/>
  <c r="AD169" i="7"/>
  <c r="AH168" i="7"/>
  <c r="AE168" i="7"/>
  <c r="AF168" i="7"/>
  <c r="AG168" i="7"/>
  <c r="AI168" i="7"/>
  <c r="AJ168" i="7"/>
  <c r="AK168" i="7"/>
  <c r="AJ171" i="22"/>
  <c r="AE171" i="22"/>
  <c r="AK171" i="22"/>
  <c r="AI171" i="22"/>
  <c r="AG171" i="22"/>
  <c r="AF171" i="22"/>
  <c r="AH171" i="22"/>
  <c r="AS167" i="7"/>
  <c r="AO167" i="7"/>
  <c r="AQ167" i="7"/>
  <c r="AP167" i="7"/>
  <c r="AN167" i="7"/>
  <c r="AM168" i="7"/>
  <c r="AR167" i="7"/>
  <c r="AT167" i="7"/>
  <c r="Z39" i="7"/>
  <c r="AA39" i="7"/>
  <c r="AJ46" i="3"/>
  <c r="AJ41" i="3"/>
  <c r="AJ48" i="3"/>
  <c r="AJ47" i="3"/>
  <c r="AJ42" i="3"/>
  <c r="AJ43" i="3" s="1"/>
  <c r="AJ12" i="3"/>
  <c r="AK17" i="3"/>
  <c r="AK15" i="3"/>
  <c r="AK14" i="3"/>
  <c r="AK13" i="3"/>
  <c r="AL11" i="3"/>
  <c r="AK94" i="3"/>
  <c r="H170" i="23"/>
  <c r="J171" i="22"/>
  <c r="H171" i="22"/>
  <c r="I170" i="23"/>
  <c r="R39" i="7"/>
  <c r="Q39" i="7"/>
  <c r="J170" i="23"/>
  <c r="S173" i="23"/>
  <c r="R173" i="23"/>
  <c r="N173" i="23"/>
  <c r="O173" i="23"/>
  <c r="Q173" i="23"/>
  <c r="M173" i="23"/>
  <c r="L174" i="23"/>
  <c r="P173" i="23"/>
  <c r="AB171" i="23"/>
  <c r="AA171" i="23"/>
  <c r="W171" i="23"/>
  <c r="X171" i="23"/>
  <c r="U172" i="23"/>
  <c r="V171" i="23"/>
  <c r="Z171" i="23"/>
  <c r="Y171" i="23"/>
  <c r="E171" i="23"/>
  <c r="C172" i="23"/>
  <c r="F171" i="23"/>
  <c r="D171" i="23"/>
  <c r="G171" i="23"/>
  <c r="L172" i="22"/>
  <c r="O171" i="22"/>
  <c r="N171" i="22"/>
  <c r="M171" i="22"/>
  <c r="P171" i="22"/>
  <c r="U173" i="22"/>
  <c r="V172" i="22"/>
  <c r="W172" i="22"/>
  <c r="AA172" i="22" s="1"/>
  <c r="X172" i="22"/>
  <c r="Y172" i="22"/>
  <c r="AD172" i="22"/>
  <c r="I171" i="22"/>
  <c r="E172" i="22"/>
  <c r="D172" i="22"/>
  <c r="C173" i="22"/>
  <c r="G172" i="22"/>
  <c r="F172" i="22"/>
  <c r="S39" i="7"/>
  <c r="AB39" i="7"/>
  <c r="P40" i="7"/>
  <c r="AG21" i="3" s="1"/>
  <c r="O40" i="7"/>
  <c r="N40" i="7"/>
  <c r="M40" i="7"/>
  <c r="AM8" i="3"/>
  <c r="AM6" i="3"/>
  <c r="AL7" i="3"/>
  <c r="AL9" i="3" s="1"/>
  <c r="H40" i="7"/>
  <c r="I40" i="7"/>
  <c r="J40" i="7"/>
  <c r="X40" i="7"/>
  <c r="U41" i="7"/>
  <c r="Y40" i="7"/>
  <c r="W40" i="7"/>
  <c r="V40" i="7"/>
  <c r="AB40" i="7" s="1"/>
  <c r="G41" i="7"/>
  <c r="E41" i="7"/>
  <c r="AH36" i="3" s="1"/>
  <c r="D41" i="7"/>
  <c r="F41" i="7"/>
  <c r="AH35" i="3" s="1"/>
  <c r="R171" i="22" l="1"/>
  <c r="Q171" i="22"/>
  <c r="S171" i="22"/>
  <c r="AB172" i="22"/>
  <c r="Z172" i="22"/>
  <c r="AK75" i="3"/>
  <c r="AK60" i="3"/>
  <c r="AM78" i="3"/>
  <c r="AM77" i="3"/>
  <c r="AM80" i="3"/>
  <c r="AM79" i="3"/>
  <c r="AM76" i="3"/>
  <c r="AL57" i="3"/>
  <c r="AL56" i="3"/>
  <c r="AL88" i="3"/>
  <c r="AL87" i="3"/>
  <c r="AL86" i="3"/>
  <c r="AL85" i="3"/>
  <c r="AL84" i="3"/>
  <c r="AL83" i="3"/>
  <c r="AL82" i="3"/>
  <c r="AL81" i="3"/>
  <c r="AL69" i="3"/>
  <c r="AL65" i="3"/>
  <c r="AL55" i="3"/>
  <c r="AL54" i="3"/>
  <c r="AL53" i="3"/>
  <c r="AL67" i="3"/>
  <c r="AL66" i="3"/>
  <c r="AL63" i="3"/>
  <c r="AL70" i="3"/>
  <c r="AL68" i="3"/>
  <c r="AL64" i="3"/>
  <c r="AL62" i="3"/>
  <c r="AL59" i="3"/>
  <c r="AL58" i="3"/>
  <c r="AL52" i="3"/>
  <c r="AL51" i="3"/>
  <c r="AM174" i="22"/>
  <c r="AT173" i="22"/>
  <c r="AS173" i="22"/>
  <c r="AR173" i="22"/>
  <c r="AP173" i="22"/>
  <c r="AQ173" i="22"/>
  <c r="AO173" i="22"/>
  <c r="AN173" i="22"/>
  <c r="AH173" i="23"/>
  <c r="AD174" i="23"/>
  <c r="AK173" i="23"/>
  <c r="AJ173" i="23"/>
  <c r="AI173" i="23"/>
  <c r="AG173" i="23"/>
  <c r="AF173" i="23"/>
  <c r="AE173" i="23"/>
  <c r="AM174" i="23"/>
  <c r="AT173" i="23"/>
  <c r="AS173" i="23"/>
  <c r="AR173" i="23"/>
  <c r="AQ173" i="23"/>
  <c r="AP173" i="23"/>
  <c r="AO173" i="23"/>
  <c r="AN173" i="23"/>
  <c r="AD170" i="7"/>
  <c r="AH169" i="7"/>
  <c r="AE169" i="7"/>
  <c r="AF169" i="7"/>
  <c r="AG169" i="7"/>
  <c r="AI169" i="7"/>
  <c r="AJ169" i="7"/>
  <c r="AK169" i="7"/>
  <c r="Z40" i="7"/>
  <c r="AK172" i="22"/>
  <c r="AI172" i="22"/>
  <c r="AG172" i="22"/>
  <c r="AE172" i="22"/>
  <c r="AJ172" i="22"/>
  <c r="AF172" i="22"/>
  <c r="AH172" i="22"/>
  <c r="AS168" i="7"/>
  <c r="AQ168" i="7"/>
  <c r="AT168" i="7"/>
  <c r="AP168" i="7"/>
  <c r="AN168" i="7"/>
  <c r="AM169" i="7"/>
  <c r="AR168" i="7"/>
  <c r="AO168" i="7"/>
  <c r="AK47" i="3"/>
  <c r="AK42" i="3"/>
  <c r="AK43" i="3" s="1"/>
  <c r="AK48" i="3"/>
  <c r="AK46" i="3"/>
  <c r="AK41" i="3"/>
  <c r="AK12" i="3"/>
  <c r="AL17" i="3"/>
  <c r="AM11" i="3"/>
  <c r="AL15" i="3"/>
  <c r="AL14" i="3"/>
  <c r="AL13" i="3"/>
  <c r="AL94" i="3"/>
  <c r="H171" i="23"/>
  <c r="H172" i="22"/>
  <c r="J171" i="23"/>
  <c r="I171" i="23"/>
  <c r="J172" i="22"/>
  <c r="I172" i="22"/>
  <c r="Q40" i="7"/>
  <c r="U173" i="23"/>
  <c r="X172" i="23"/>
  <c r="W172" i="23"/>
  <c r="AB172" i="23"/>
  <c r="AA172" i="23"/>
  <c r="Z172" i="23"/>
  <c r="V172" i="23"/>
  <c r="Y172" i="23"/>
  <c r="L175" i="23"/>
  <c r="O174" i="23"/>
  <c r="N174" i="23"/>
  <c r="S174" i="23"/>
  <c r="R174" i="23"/>
  <c r="M174" i="23"/>
  <c r="Q174" i="23"/>
  <c r="P174" i="23"/>
  <c r="E172" i="23"/>
  <c r="C173" i="23"/>
  <c r="F172" i="23"/>
  <c r="D172" i="23"/>
  <c r="G172" i="23"/>
  <c r="L173" i="22"/>
  <c r="O172" i="22"/>
  <c r="M172" i="22"/>
  <c r="N172" i="22"/>
  <c r="P172" i="22"/>
  <c r="U174" i="22"/>
  <c r="X173" i="22"/>
  <c r="W173" i="22"/>
  <c r="V173" i="22"/>
  <c r="Y173" i="22"/>
  <c r="C174" i="22"/>
  <c r="F173" i="22"/>
  <c r="D173" i="22"/>
  <c r="E173" i="22"/>
  <c r="G173" i="22"/>
  <c r="AD173" i="22"/>
  <c r="AA40" i="7"/>
  <c r="R40" i="7"/>
  <c r="S40" i="7"/>
  <c r="M41" i="7"/>
  <c r="O41" i="7"/>
  <c r="P41" i="7"/>
  <c r="AH21" i="3" s="1"/>
  <c r="N41" i="7"/>
  <c r="AN8" i="3"/>
  <c r="AN6" i="3"/>
  <c r="F5" i="19" s="1"/>
  <c r="AM7" i="3"/>
  <c r="AM9" i="3" s="1"/>
  <c r="J41" i="7"/>
  <c r="I41" i="7"/>
  <c r="H41" i="7"/>
  <c r="G42" i="7"/>
  <c r="E42" i="7"/>
  <c r="AI36" i="3" s="1"/>
  <c r="F42" i="7"/>
  <c r="AI35" i="3" s="1"/>
  <c r="D42" i="7"/>
  <c r="X41" i="7"/>
  <c r="W41" i="7"/>
  <c r="U42" i="7"/>
  <c r="Y41" i="7"/>
  <c r="V41" i="7"/>
  <c r="R172" i="22" l="1"/>
  <c r="S172" i="22"/>
  <c r="Q172" i="22"/>
  <c r="Z173" i="22"/>
  <c r="AB173" i="22"/>
  <c r="AA173" i="22"/>
  <c r="AL75" i="3"/>
  <c r="AL60" i="3"/>
  <c r="AN79" i="3"/>
  <c r="AN78" i="3"/>
  <c r="AN77" i="3"/>
  <c r="AN80" i="3"/>
  <c r="AN76" i="3"/>
  <c r="AM62" i="3"/>
  <c r="AM58" i="3"/>
  <c r="AM53" i="3"/>
  <c r="AM88" i="3"/>
  <c r="AM87" i="3"/>
  <c r="AM86" i="3"/>
  <c r="AM85" i="3"/>
  <c r="AM84" i="3"/>
  <c r="AM83" i="3"/>
  <c r="AM82" i="3"/>
  <c r="AM68" i="3"/>
  <c r="AM65" i="3"/>
  <c r="AM64" i="3"/>
  <c r="AM63" i="3"/>
  <c r="AM59" i="3"/>
  <c r="AM57" i="3"/>
  <c r="AM52" i="3"/>
  <c r="AM51" i="3"/>
  <c r="AM81" i="3"/>
  <c r="AM70" i="3"/>
  <c r="AM69" i="3"/>
  <c r="AM67" i="3"/>
  <c r="AM66" i="3"/>
  <c r="AM56" i="3"/>
  <c r="AM55" i="3"/>
  <c r="AM54" i="3"/>
  <c r="AM175" i="22"/>
  <c r="AT174" i="22"/>
  <c r="AS174" i="22"/>
  <c r="AR174" i="22"/>
  <c r="AQ174" i="22"/>
  <c r="AP174" i="22"/>
  <c r="AO174" i="22"/>
  <c r="AN174" i="22"/>
  <c r="AD175" i="23"/>
  <c r="AK174" i="23"/>
  <c r="AJ174" i="23"/>
  <c r="AI174" i="23"/>
  <c r="AH174" i="23"/>
  <c r="AG174" i="23"/>
  <c r="AF174" i="23"/>
  <c r="AE174" i="23"/>
  <c r="AM175" i="23"/>
  <c r="AT174" i="23"/>
  <c r="AS174" i="23"/>
  <c r="AR174" i="23"/>
  <c r="AQ174" i="23"/>
  <c r="AP174" i="23"/>
  <c r="AO174" i="23"/>
  <c r="AN174" i="23"/>
  <c r="AD171" i="7"/>
  <c r="AH170" i="7"/>
  <c r="AE170" i="7"/>
  <c r="AF170" i="7"/>
  <c r="AG170" i="7"/>
  <c r="AI170" i="7"/>
  <c r="AJ170" i="7"/>
  <c r="AK170" i="7"/>
  <c r="AJ173" i="22"/>
  <c r="AF173" i="22"/>
  <c r="AK173" i="22"/>
  <c r="AI173" i="22"/>
  <c r="AG173" i="22"/>
  <c r="AE173" i="22"/>
  <c r="AH173" i="22"/>
  <c r="AT169" i="7"/>
  <c r="AQ169" i="7"/>
  <c r="AN169" i="7"/>
  <c r="AM170" i="7"/>
  <c r="AR169" i="7"/>
  <c r="AO169" i="7"/>
  <c r="AS169" i="7"/>
  <c r="AP169" i="7"/>
  <c r="AB41" i="7"/>
  <c r="AA41" i="7"/>
  <c r="AL46" i="3"/>
  <c r="AL41" i="3"/>
  <c r="AL48" i="3"/>
  <c r="AL47" i="3"/>
  <c r="AL42" i="3"/>
  <c r="AL43" i="3" s="1"/>
  <c r="AL12" i="3"/>
  <c r="AM17" i="3"/>
  <c r="AN11" i="3"/>
  <c r="AM14" i="3"/>
  <c r="AM13" i="3"/>
  <c r="AM15" i="3"/>
  <c r="AM94" i="3"/>
  <c r="H173" i="22"/>
  <c r="I173" i="22"/>
  <c r="J173" i="22"/>
  <c r="I172" i="23"/>
  <c r="J172" i="23"/>
  <c r="Q41" i="7"/>
  <c r="C174" i="23"/>
  <c r="F173" i="23"/>
  <c r="E173" i="23"/>
  <c r="D173" i="23"/>
  <c r="G173" i="23"/>
  <c r="R175" i="23"/>
  <c r="L176" i="23"/>
  <c r="O175" i="23"/>
  <c r="N175" i="23"/>
  <c r="S175" i="23"/>
  <c r="Q175" i="23"/>
  <c r="M175" i="23"/>
  <c r="P175" i="23"/>
  <c r="H172" i="23"/>
  <c r="AA173" i="23"/>
  <c r="U174" i="23"/>
  <c r="X173" i="23"/>
  <c r="W173" i="23"/>
  <c r="AB173" i="23"/>
  <c r="Z173" i="23"/>
  <c r="V173" i="23"/>
  <c r="Y173" i="23"/>
  <c r="AD174" i="22"/>
  <c r="L174" i="22"/>
  <c r="M173" i="22"/>
  <c r="O173" i="22"/>
  <c r="N173" i="22"/>
  <c r="P173" i="22"/>
  <c r="X174" i="22"/>
  <c r="W174" i="22"/>
  <c r="V174" i="22"/>
  <c r="U175" i="22"/>
  <c r="Y174" i="22"/>
  <c r="C175" i="22"/>
  <c r="E174" i="22"/>
  <c r="F174" i="22"/>
  <c r="D174" i="22"/>
  <c r="G174" i="22"/>
  <c r="R41" i="7"/>
  <c r="S41" i="7"/>
  <c r="Z41" i="7"/>
  <c r="P42" i="7"/>
  <c r="AI21" i="3" s="1"/>
  <c r="O42" i="7"/>
  <c r="N42" i="7"/>
  <c r="M42" i="7"/>
  <c r="AN7" i="3"/>
  <c r="AN9" i="3" s="1"/>
  <c r="I42" i="7"/>
  <c r="J42" i="7"/>
  <c r="H42" i="7"/>
  <c r="G43" i="7"/>
  <c r="E43" i="7"/>
  <c r="AJ36" i="3" s="1"/>
  <c r="F43" i="7"/>
  <c r="AJ35" i="3" s="1"/>
  <c r="D43" i="7"/>
  <c r="X42" i="7"/>
  <c r="W42" i="7"/>
  <c r="U43" i="7"/>
  <c r="Y42" i="7"/>
  <c r="V42" i="7"/>
  <c r="AB42" i="7" s="1"/>
  <c r="R173" i="22" l="1"/>
  <c r="S173" i="22"/>
  <c r="Q173" i="22"/>
  <c r="AM75" i="3"/>
  <c r="AB174" i="22"/>
  <c r="Z174" i="22"/>
  <c r="AA174" i="22"/>
  <c r="AM60" i="3"/>
  <c r="AN68" i="3"/>
  <c r="AN64" i="3"/>
  <c r="AN59" i="3"/>
  <c r="AN52" i="3"/>
  <c r="AN51" i="3"/>
  <c r="AN88" i="3"/>
  <c r="AN87" i="3"/>
  <c r="AN86" i="3"/>
  <c r="AN85" i="3"/>
  <c r="AN84" i="3"/>
  <c r="AN83" i="3"/>
  <c r="AN81" i="3"/>
  <c r="AN70" i="3"/>
  <c r="AN69" i="3"/>
  <c r="AN67" i="3"/>
  <c r="AN66" i="3"/>
  <c r="AN62" i="3"/>
  <c r="AN58" i="3"/>
  <c r="AN56" i="3"/>
  <c r="AN55" i="3"/>
  <c r="AN54" i="3"/>
  <c r="AN53" i="3"/>
  <c r="AN82" i="3"/>
  <c r="AN65" i="3"/>
  <c r="AN63" i="3"/>
  <c r="AN57" i="3"/>
  <c r="AM176" i="22"/>
  <c r="AT175" i="22"/>
  <c r="AS175" i="22"/>
  <c r="AR175" i="22"/>
  <c r="AQ175" i="22"/>
  <c r="AP175" i="22"/>
  <c r="AO175" i="22"/>
  <c r="AN175" i="22"/>
  <c r="AD176" i="23"/>
  <c r="AK175" i="23"/>
  <c r="AJ175" i="23"/>
  <c r="AI175" i="23"/>
  <c r="AH175" i="23"/>
  <c r="AG175" i="23"/>
  <c r="AF175" i="23"/>
  <c r="AE175" i="23"/>
  <c r="AM176" i="23"/>
  <c r="AT175" i="23"/>
  <c r="AS175" i="23"/>
  <c r="AR175" i="23"/>
  <c r="AQ175" i="23"/>
  <c r="AP175" i="23"/>
  <c r="AO175" i="23"/>
  <c r="AN175" i="23"/>
  <c r="AD172" i="7"/>
  <c r="AH171" i="7"/>
  <c r="AE171" i="7"/>
  <c r="AF171" i="7"/>
  <c r="AG171" i="7"/>
  <c r="AI171" i="7"/>
  <c r="AJ171" i="7"/>
  <c r="AK171" i="7"/>
  <c r="AA42" i="7"/>
  <c r="AJ174" i="22"/>
  <c r="AI174" i="22"/>
  <c r="AG174" i="22"/>
  <c r="AE174" i="22"/>
  <c r="AK174" i="22"/>
  <c r="AF174" i="22"/>
  <c r="AH174" i="22"/>
  <c r="AM171" i="7"/>
  <c r="AQ170" i="7"/>
  <c r="AR170" i="7"/>
  <c r="AO170" i="7"/>
  <c r="AP170" i="7"/>
  <c r="AN170" i="7"/>
  <c r="AS170" i="7"/>
  <c r="AT170" i="7"/>
  <c r="Z42" i="7"/>
  <c r="AM47" i="3"/>
  <c r="AM48" i="3"/>
  <c r="AM46" i="3"/>
  <c r="AM42" i="3"/>
  <c r="AM43" i="3" s="1"/>
  <c r="AM41" i="3"/>
  <c r="AN17" i="3"/>
  <c r="AM12" i="3"/>
  <c r="AN15" i="3"/>
  <c r="AN14" i="3"/>
  <c r="AN13" i="3"/>
  <c r="AN94" i="3"/>
  <c r="H13" i="19" s="1"/>
  <c r="J174" i="22"/>
  <c r="I174" i="22"/>
  <c r="I173" i="23"/>
  <c r="J173" i="23"/>
  <c r="R42" i="7"/>
  <c r="Q42" i="7"/>
  <c r="F174" i="23"/>
  <c r="E174" i="23"/>
  <c r="D174" i="23"/>
  <c r="C175" i="23"/>
  <c r="G174" i="23"/>
  <c r="AB174" i="23"/>
  <c r="AA174" i="23"/>
  <c r="W174" i="23"/>
  <c r="U175" i="23"/>
  <c r="Z174" i="23"/>
  <c r="V174" i="23"/>
  <c r="X174" i="23"/>
  <c r="Y174" i="23"/>
  <c r="S176" i="23"/>
  <c r="R176" i="23"/>
  <c r="N176" i="23"/>
  <c r="L177" i="23"/>
  <c r="M176" i="23"/>
  <c r="Q176" i="23"/>
  <c r="O176" i="23"/>
  <c r="P176" i="23"/>
  <c r="H173" i="23"/>
  <c r="H174" i="22"/>
  <c r="U176" i="22"/>
  <c r="X175" i="22"/>
  <c r="W175" i="22"/>
  <c r="V175" i="22"/>
  <c r="Y175" i="22"/>
  <c r="L175" i="22"/>
  <c r="O174" i="22"/>
  <c r="N174" i="22"/>
  <c r="M174" i="22"/>
  <c r="P174" i="22"/>
  <c r="C176" i="22"/>
  <c r="F175" i="22"/>
  <c r="E175" i="22"/>
  <c r="D175" i="22"/>
  <c r="G175" i="22"/>
  <c r="AD175" i="22"/>
  <c r="S42" i="7"/>
  <c r="N43" i="7"/>
  <c r="M43" i="7"/>
  <c r="P43" i="7"/>
  <c r="AJ21" i="3" s="1"/>
  <c r="O43" i="7"/>
  <c r="H43" i="7"/>
  <c r="I43" i="7"/>
  <c r="G44" i="7"/>
  <c r="E44" i="7"/>
  <c r="AK36" i="3" s="1"/>
  <c r="F44" i="7"/>
  <c r="AK35" i="3" s="1"/>
  <c r="D44" i="7"/>
  <c r="J43" i="7"/>
  <c r="X43" i="7"/>
  <c r="W43" i="7"/>
  <c r="U44" i="7"/>
  <c r="Y43" i="7"/>
  <c r="V43" i="7"/>
  <c r="R174" i="22" l="1"/>
  <c r="Q174" i="22"/>
  <c r="S174" i="22"/>
  <c r="AN75" i="3"/>
  <c r="AA175" i="22"/>
  <c r="AB175" i="22"/>
  <c r="Z175" i="22"/>
  <c r="AN60" i="3"/>
  <c r="AM177" i="22"/>
  <c r="AT176" i="22"/>
  <c r="AS176" i="22"/>
  <c r="AR176" i="22"/>
  <c r="AQ176" i="22"/>
  <c r="AP176" i="22"/>
  <c r="AO176" i="22"/>
  <c r="AN176" i="22"/>
  <c r="AD177" i="23"/>
  <c r="AK176" i="23"/>
  <c r="AJ176" i="23"/>
  <c r="AI176" i="23"/>
  <c r="AH176" i="23"/>
  <c r="AG176" i="23"/>
  <c r="AF176" i="23"/>
  <c r="AE176" i="23"/>
  <c r="AM177" i="23"/>
  <c r="AT176" i="23"/>
  <c r="AS176" i="23"/>
  <c r="AR176" i="23"/>
  <c r="AQ176" i="23"/>
  <c r="AP176" i="23"/>
  <c r="AO176" i="23"/>
  <c r="AN176" i="23"/>
  <c r="AD173" i="7"/>
  <c r="AH172" i="7"/>
  <c r="AE172" i="7"/>
  <c r="AF172" i="7"/>
  <c r="AG172" i="7"/>
  <c r="AI172" i="7"/>
  <c r="AJ172" i="7"/>
  <c r="AK172" i="7"/>
  <c r="AK175" i="22"/>
  <c r="AI175" i="22"/>
  <c r="AG175" i="22"/>
  <c r="AE175" i="22"/>
  <c r="AJ175" i="22"/>
  <c r="AF175" i="22"/>
  <c r="AH175" i="22"/>
  <c r="AS171" i="7"/>
  <c r="AQ171" i="7"/>
  <c r="AM172" i="7"/>
  <c r="AR171" i="7"/>
  <c r="AN171" i="7"/>
  <c r="AO171" i="7"/>
  <c r="AP171" i="7"/>
  <c r="AT171" i="7"/>
  <c r="AB43" i="7"/>
  <c r="AA43" i="7"/>
  <c r="Z43" i="7"/>
  <c r="AN46" i="3"/>
  <c r="AN42" i="3"/>
  <c r="AN43" i="3" s="1"/>
  <c r="AN48" i="3"/>
  <c r="AN47" i="3"/>
  <c r="AN41" i="3"/>
  <c r="AN12" i="3"/>
  <c r="H174" i="23"/>
  <c r="I175" i="22"/>
  <c r="I174" i="23"/>
  <c r="J174" i="23"/>
  <c r="J175" i="22"/>
  <c r="S43" i="7"/>
  <c r="E175" i="23"/>
  <c r="F175" i="23"/>
  <c r="C176" i="23"/>
  <c r="D175" i="23"/>
  <c r="G175" i="23"/>
  <c r="L178" i="23"/>
  <c r="O177" i="23"/>
  <c r="N177" i="23"/>
  <c r="R177" i="23"/>
  <c r="S177" i="23"/>
  <c r="Q177" i="23"/>
  <c r="M177" i="23"/>
  <c r="P177" i="23"/>
  <c r="U176" i="23"/>
  <c r="X175" i="23"/>
  <c r="W175" i="23"/>
  <c r="AA175" i="23"/>
  <c r="Z175" i="23"/>
  <c r="AB175" i="23"/>
  <c r="V175" i="23"/>
  <c r="Y175" i="23"/>
  <c r="H175" i="22"/>
  <c r="C177" i="22"/>
  <c r="F176" i="22"/>
  <c r="E176" i="22"/>
  <c r="D176" i="22"/>
  <c r="G176" i="22"/>
  <c r="U177" i="22"/>
  <c r="X176" i="22"/>
  <c r="V176" i="22"/>
  <c r="W176" i="22"/>
  <c r="Y176" i="22"/>
  <c r="AD176" i="22"/>
  <c r="L176" i="22"/>
  <c r="O175" i="22"/>
  <c r="Q175" i="22" s="1"/>
  <c r="N175" i="22"/>
  <c r="M175" i="22"/>
  <c r="P175" i="22"/>
  <c r="Q43" i="7"/>
  <c r="R43" i="7"/>
  <c r="M44" i="7"/>
  <c r="O44" i="7"/>
  <c r="P44" i="7"/>
  <c r="AK21" i="3" s="1"/>
  <c r="N44" i="7"/>
  <c r="H44" i="7"/>
  <c r="I44" i="7"/>
  <c r="J44" i="7"/>
  <c r="X44" i="7"/>
  <c r="W44" i="7"/>
  <c r="U45" i="7"/>
  <c r="Y44" i="7"/>
  <c r="V44" i="7"/>
  <c r="G45" i="7"/>
  <c r="E45" i="7"/>
  <c r="AL36" i="3" s="1"/>
  <c r="F45" i="7"/>
  <c r="AL35" i="3" s="1"/>
  <c r="D45" i="7"/>
  <c r="S175" i="22" l="1"/>
  <c r="R175" i="22"/>
  <c r="AB44" i="7"/>
  <c r="AB176" i="22"/>
  <c r="Z176" i="22"/>
  <c r="AA176" i="22"/>
  <c r="Z44" i="7"/>
  <c r="AM178" i="22"/>
  <c r="AT177" i="22"/>
  <c r="AS177" i="22"/>
  <c r="AR177" i="22"/>
  <c r="AQ177" i="22"/>
  <c r="AP177" i="22"/>
  <c r="AO177" i="22"/>
  <c r="AN177" i="22"/>
  <c r="AD178" i="23"/>
  <c r="AK177" i="23"/>
  <c r="AJ177" i="23"/>
  <c r="AI177" i="23"/>
  <c r="AH177" i="23"/>
  <c r="AG177" i="23"/>
  <c r="AF177" i="23"/>
  <c r="AE177" i="23"/>
  <c r="AN177" i="23"/>
  <c r="AM178" i="23"/>
  <c r="AT177" i="23"/>
  <c r="AS177" i="23"/>
  <c r="AR177" i="23"/>
  <c r="AQ177" i="23"/>
  <c r="AP177" i="23"/>
  <c r="AO177" i="23"/>
  <c r="AD174" i="7"/>
  <c r="AH173" i="7"/>
  <c r="AE173" i="7"/>
  <c r="AF173" i="7"/>
  <c r="AG173" i="7"/>
  <c r="AI173" i="7"/>
  <c r="AJ173" i="7"/>
  <c r="AK173" i="7"/>
  <c r="AK176" i="22"/>
  <c r="AI176" i="22"/>
  <c r="AG176" i="22"/>
  <c r="AJ176" i="22"/>
  <c r="AF176" i="22"/>
  <c r="AE176" i="22"/>
  <c r="AH176" i="22"/>
  <c r="AQ172" i="7"/>
  <c r="AN172" i="7"/>
  <c r="AM173" i="7"/>
  <c r="AP172" i="7"/>
  <c r="AT172" i="7"/>
  <c r="AS172" i="7"/>
  <c r="AR172" i="7"/>
  <c r="AO172" i="7"/>
  <c r="AA44" i="7"/>
  <c r="H175" i="23"/>
  <c r="H176" i="22"/>
  <c r="I175" i="23"/>
  <c r="I176" i="22"/>
  <c r="J176" i="22"/>
  <c r="J175" i="23"/>
  <c r="R178" i="23"/>
  <c r="S178" i="23"/>
  <c r="N178" i="23"/>
  <c r="L179" i="23"/>
  <c r="O178" i="23"/>
  <c r="M178" i="23"/>
  <c r="Q178" i="23"/>
  <c r="P178" i="23"/>
  <c r="AA176" i="23"/>
  <c r="AB176" i="23"/>
  <c r="W176" i="23"/>
  <c r="U177" i="23"/>
  <c r="Z176" i="23"/>
  <c r="X176" i="23"/>
  <c r="V176" i="23"/>
  <c r="Y176" i="23"/>
  <c r="C177" i="23"/>
  <c r="F176" i="23"/>
  <c r="E176" i="23"/>
  <c r="D176" i="23"/>
  <c r="G176" i="23"/>
  <c r="W177" i="22"/>
  <c r="V177" i="22"/>
  <c r="U178" i="22"/>
  <c r="X177" i="22"/>
  <c r="Y177" i="22"/>
  <c r="C178" i="22"/>
  <c r="F177" i="22"/>
  <c r="E177" i="22"/>
  <c r="D177" i="22"/>
  <c r="G177" i="22"/>
  <c r="M176" i="22"/>
  <c r="N176" i="22"/>
  <c r="L177" i="22"/>
  <c r="O176" i="22"/>
  <c r="P176" i="22"/>
  <c r="AD177" i="22"/>
  <c r="R44" i="7"/>
  <c r="S44" i="7"/>
  <c r="Q44" i="7"/>
  <c r="P45" i="7"/>
  <c r="AL21" i="3" s="1"/>
  <c r="N45" i="7"/>
  <c r="M45" i="7"/>
  <c r="O45" i="7"/>
  <c r="H45" i="7"/>
  <c r="J45" i="7"/>
  <c r="I45" i="7"/>
  <c r="X45" i="7"/>
  <c r="W45" i="7"/>
  <c r="U46" i="7"/>
  <c r="Y45" i="7"/>
  <c r="V45" i="7"/>
  <c r="G46" i="7"/>
  <c r="E46" i="7"/>
  <c r="AM36" i="3" s="1"/>
  <c r="F46" i="7"/>
  <c r="AM35" i="3" s="1"/>
  <c r="D46" i="7"/>
  <c r="R176" i="22" l="1"/>
  <c r="Q176" i="22"/>
  <c r="S176" i="22"/>
  <c r="Z45" i="7"/>
  <c r="AA177" i="22"/>
  <c r="Z177" i="22"/>
  <c r="AB177" i="22"/>
  <c r="AM179" i="22"/>
  <c r="AT178" i="22"/>
  <c r="AS178" i="22"/>
  <c r="AR178" i="22"/>
  <c r="AQ178" i="22"/>
  <c r="AP178" i="22"/>
  <c r="AO178" i="22"/>
  <c r="AN178" i="22"/>
  <c r="AD179" i="23"/>
  <c r="AK178" i="23"/>
  <c r="AJ178" i="23"/>
  <c r="AI178" i="23"/>
  <c r="AH178" i="23"/>
  <c r="AG178" i="23"/>
  <c r="AF178" i="23"/>
  <c r="AE178" i="23"/>
  <c r="AM179" i="23"/>
  <c r="AT178" i="23"/>
  <c r="AS178" i="23"/>
  <c r="AR178" i="23"/>
  <c r="AQ178" i="23"/>
  <c r="AP178" i="23"/>
  <c r="AO178" i="23"/>
  <c r="AN178" i="23"/>
  <c r="AD175" i="7"/>
  <c r="AH174" i="7"/>
  <c r="AE174" i="7"/>
  <c r="AF174" i="7"/>
  <c r="AG174" i="7"/>
  <c r="AI174" i="7"/>
  <c r="AJ174" i="7"/>
  <c r="AK174" i="7"/>
  <c r="AJ177" i="22"/>
  <c r="AF177" i="22"/>
  <c r="AK177" i="22"/>
  <c r="AI177" i="22"/>
  <c r="AG177" i="22"/>
  <c r="AE177" i="22"/>
  <c r="AH177" i="22"/>
  <c r="AM174" i="7"/>
  <c r="AQ173" i="7"/>
  <c r="AO173" i="7"/>
  <c r="AS173" i="7"/>
  <c r="AT173" i="7"/>
  <c r="AR173" i="7"/>
  <c r="AN173" i="7"/>
  <c r="AP173" i="7"/>
  <c r="AB45" i="7"/>
  <c r="AA45" i="7"/>
  <c r="H176" i="23"/>
  <c r="S45" i="7"/>
  <c r="I176" i="23"/>
  <c r="H177" i="22"/>
  <c r="I177" i="22"/>
  <c r="J176" i="23"/>
  <c r="J177" i="22"/>
  <c r="Q45" i="7"/>
  <c r="AB177" i="23"/>
  <c r="AA177" i="23"/>
  <c r="W177" i="23"/>
  <c r="Z177" i="23"/>
  <c r="U178" i="23"/>
  <c r="X177" i="23"/>
  <c r="V177" i="23"/>
  <c r="Y177" i="23"/>
  <c r="S179" i="23"/>
  <c r="R179" i="23"/>
  <c r="N179" i="23"/>
  <c r="Q179" i="23"/>
  <c r="L180" i="23"/>
  <c r="O179" i="23"/>
  <c r="M179" i="23"/>
  <c r="P179" i="23"/>
  <c r="C178" i="23"/>
  <c r="F177" i="23"/>
  <c r="E177" i="23"/>
  <c r="D177" i="23"/>
  <c r="G177" i="23"/>
  <c r="X178" i="22"/>
  <c r="W178" i="22"/>
  <c r="V178" i="22"/>
  <c r="U179" i="22"/>
  <c r="Y178" i="22"/>
  <c r="L178" i="22"/>
  <c r="O177" i="22"/>
  <c r="N177" i="22"/>
  <c r="M177" i="22"/>
  <c r="P177" i="22"/>
  <c r="F178" i="22"/>
  <c r="E178" i="22"/>
  <c r="C179" i="22"/>
  <c r="D178" i="22"/>
  <c r="G178" i="22"/>
  <c r="AD178" i="22"/>
  <c r="R45" i="7"/>
  <c r="P46" i="7"/>
  <c r="AM21" i="3" s="1"/>
  <c r="O46" i="7"/>
  <c r="M46" i="7"/>
  <c r="N46" i="7"/>
  <c r="H46" i="7"/>
  <c r="J46" i="7"/>
  <c r="I46" i="7"/>
  <c r="G47" i="7"/>
  <c r="E47" i="7"/>
  <c r="AN36" i="3" s="1"/>
  <c r="D47" i="7"/>
  <c r="F47" i="7"/>
  <c r="AN35" i="3" s="1"/>
  <c r="X46" i="7"/>
  <c r="W46" i="7"/>
  <c r="U47" i="7"/>
  <c r="Y46" i="7"/>
  <c r="V46" i="7"/>
  <c r="S177" i="22" l="1"/>
  <c r="R177" i="22"/>
  <c r="Q177" i="22"/>
  <c r="Z178" i="22"/>
  <c r="AA178" i="22"/>
  <c r="AB178" i="22"/>
  <c r="AM180" i="22"/>
  <c r="AT179" i="22"/>
  <c r="AS179" i="22"/>
  <c r="AR179" i="22"/>
  <c r="AQ179" i="22"/>
  <c r="AP179" i="22"/>
  <c r="AO179" i="22"/>
  <c r="AN179" i="22"/>
  <c r="AJ179" i="23"/>
  <c r="AK179" i="23"/>
  <c r="AD180" i="23"/>
  <c r="AI179" i="23"/>
  <c r="AH179" i="23"/>
  <c r="AG179" i="23"/>
  <c r="AF179" i="23"/>
  <c r="AE179" i="23"/>
  <c r="AT179" i="23"/>
  <c r="AR179" i="23"/>
  <c r="AM180" i="23"/>
  <c r="AS179" i="23"/>
  <c r="AQ179" i="23"/>
  <c r="AP179" i="23"/>
  <c r="AO179" i="23"/>
  <c r="AN179" i="23"/>
  <c r="AD176" i="7"/>
  <c r="AH175" i="7"/>
  <c r="AE175" i="7"/>
  <c r="AF175" i="7"/>
  <c r="AG175" i="7"/>
  <c r="AI175" i="7"/>
  <c r="AJ175" i="7"/>
  <c r="AK175" i="7"/>
  <c r="AB46" i="7"/>
  <c r="AJ178" i="22"/>
  <c r="AE178" i="22"/>
  <c r="AK178" i="22"/>
  <c r="AI178" i="22"/>
  <c r="AG178" i="22"/>
  <c r="AF178" i="22"/>
  <c r="AH178" i="22"/>
  <c r="AP174" i="7"/>
  <c r="AM175" i="7"/>
  <c r="AT174" i="7"/>
  <c r="AS174" i="7"/>
  <c r="AR174" i="7"/>
  <c r="AO174" i="7"/>
  <c r="AQ174" i="7"/>
  <c r="AN174" i="7"/>
  <c r="Z46" i="7"/>
  <c r="AA46" i="7"/>
  <c r="H177" i="23"/>
  <c r="H178" i="22"/>
  <c r="J177" i="23"/>
  <c r="I178" i="22"/>
  <c r="I177" i="23"/>
  <c r="J178" i="22"/>
  <c r="R46" i="7"/>
  <c r="U179" i="23"/>
  <c r="X178" i="23"/>
  <c r="W178" i="23"/>
  <c r="V178" i="23"/>
  <c r="AB178" i="23"/>
  <c r="Z178" i="23"/>
  <c r="AA178" i="23"/>
  <c r="Y178" i="23"/>
  <c r="E178" i="23"/>
  <c r="F178" i="23"/>
  <c r="D178" i="23"/>
  <c r="C179" i="23"/>
  <c r="G178" i="23"/>
  <c r="L181" i="23"/>
  <c r="O180" i="23"/>
  <c r="N180" i="23"/>
  <c r="M180" i="23"/>
  <c r="Q180" i="23"/>
  <c r="S180" i="23"/>
  <c r="R180" i="23"/>
  <c r="P180" i="23"/>
  <c r="N178" i="22"/>
  <c r="M178" i="22"/>
  <c r="L179" i="22"/>
  <c r="O178" i="22"/>
  <c r="Q178" i="22" s="1"/>
  <c r="P178" i="22"/>
  <c r="F179" i="22"/>
  <c r="E179" i="22"/>
  <c r="D179" i="22"/>
  <c r="C180" i="22"/>
  <c r="G179" i="22"/>
  <c r="AD179" i="22"/>
  <c r="U180" i="22"/>
  <c r="V179" i="22"/>
  <c r="W179" i="22"/>
  <c r="X179" i="22"/>
  <c r="Y179" i="22"/>
  <c r="S46" i="7"/>
  <c r="Q46" i="7"/>
  <c r="M47" i="7"/>
  <c r="N47" i="7"/>
  <c r="O47" i="7"/>
  <c r="P47" i="7"/>
  <c r="AN21" i="3" s="1"/>
  <c r="J47" i="7"/>
  <c r="I47" i="7"/>
  <c r="G48" i="7"/>
  <c r="E48" i="7"/>
  <c r="F48" i="7"/>
  <c r="D48" i="7"/>
  <c r="H47" i="7"/>
  <c r="X47" i="7"/>
  <c r="W47" i="7"/>
  <c r="U48" i="7"/>
  <c r="Y47" i="7"/>
  <c r="V47" i="7"/>
  <c r="R178" i="22" l="1"/>
  <c r="S178" i="22"/>
  <c r="AA179" i="22"/>
  <c r="AB179" i="22"/>
  <c r="Z179" i="22"/>
  <c r="AS180" i="22"/>
  <c r="AP180" i="22"/>
  <c r="AM181" i="22"/>
  <c r="AQ180" i="22"/>
  <c r="AT180" i="22"/>
  <c r="AR180" i="22"/>
  <c r="AO180" i="22"/>
  <c r="AN180" i="22"/>
  <c r="AI180" i="23"/>
  <c r="AK180" i="23"/>
  <c r="AD181" i="23"/>
  <c r="AF180" i="23"/>
  <c r="AG180" i="23"/>
  <c r="AH180" i="23"/>
  <c r="AJ180" i="23"/>
  <c r="AE180" i="23"/>
  <c r="AT180" i="23"/>
  <c r="AQ180" i="23"/>
  <c r="AM181" i="23"/>
  <c r="AR180" i="23"/>
  <c r="AP180" i="23"/>
  <c r="AN180" i="23"/>
  <c r="AO180" i="23"/>
  <c r="AS180" i="23"/>
  <c r="AD177" i="7"/>
  <c r="AH176" i="7"/>
  <c r="AE176" i="7"/>
  <c r="AF176" i="7"/>
  <c r="AG176" i="7"/>
  <c r="AI176" i="7"/>
  <c r="AJ176" i="7"/>
  <c r="AK176" i="7"/>
  <c r="AK179" i="22"/>
  <c r="AI179" i="22"/>
  <c r="AG179" i="22"/>
  <c r="AF179" i="22"/>
  <c r="AE179" i="22"/>
  <c r="AJ179" i="22"/>
  <c r="AH179" i="22"/>
  <c r="AT175" i="7"/>
  <c r="AR175" i="7"/>
  <c r="AM176" i="7"/>
  <c r="AN175" i="7"/>
  <c r="AS175" i="7"/>
  <c r="AO175" i="7"/>
  <c r="AP175" i="7"/>
  <c r="AQ175" i="7"/>
  <c r="AA47" i="7"/>
  <c r="AB47" i="7"/>
  <c r="Z47" i="7"/>
  <c r="H178" i="23"/>
  <c r="R47" i="7"/>
  <c r="J179" i="22"/>
  <c r="J178" i="23"/>
  <c r="I178" i="23"/>
  <c r="I179" i="22"/>
  <c r="H179" i="22"/>
  <c r="S47" i="7"/>
  <c r="Q47" i="7"/>
  <c r="C180" i="23"/>
  <c r="F179" i="23"/>
  <c r="E179" i="23"/>
  <c r="D179" i="23"/>
  <c r="G179" i="23"/>
  <c r="R181" i="23"/>
  <c r="S181" i="23"/>
  <c r="Q181" i="23"/>
  <c r="O181" i="23"/>
  <c r="M181" i="23"/>
  <c r="L182" i="23"/>
  <c r="N181" i="23"/>
  <c r="P181" i="23"/>
  <c r="AA179" i="23"/>
  <c r="AB179" i="23"/>
  <c r="X179" i="23"/>
  <c r="W179" i="23"/>
  <c r="V179" i="23"/>
  <c r="Z179" i="23"/>
  <c r="U180" i="23"/>
  <c r="Y179" i="23"/>
  <c r="V180" i="22"/>
  <c r="U181" i="22"/>
  <c r="X180" i="22"/>
  <c r="W180" i="22"/>
  <c r="Y180" i="22"/>
  <c r="C181" i="22"/>
  <c r="D180" i="22"/>
  <c r="F180" i="22"/>
  <c r="E180" i="22"/>
  <c r="G180" i="22"/>
  <c r="M179" i="22"/>
  <c r="O179" i="22"/>
  <c r="N179" i="22"/>
  <c r="L180" i="22"/>
  <c r="P179" i="22"/>
  <c r="AD180" i="22"/>
  <c r="P48" i="7"/>
  <c r="O48" i="7"/>
  <c r="M48" i="7"/>
  <c r="N48" i="7"/>
  <c r="I48" i="7"/>
  <c r="J48" i="7"/>
  <c r="X48" i="7"/>
  <c r="W48" i="7"/>
  <c r="U49" i="7"/>
  <c r="Y48" i="7"/>
  <c r="V48" i="7"/>
  <c r="H48" i="7"/>
  <c r="G49" i="7"/>
  <c r="E49" i="7"/>
  <c r="F49" i="7"/>
  <c r="D49" i="7"/>
  <c r="R179" i="22" l="1"/>
  <c r="S179" i="22"/>
  <c r="Q179" i="22"/>
  <c r="AA180" i="22"/>
  <c r="AB180" i="22"/>
  <c r="Z180" i="22"/>
  <c r="AB48" i="7"/>
  <c r="AM182" i="22"/>
  <c r="AS181" i="22"/>
  <c r="AQ181" i="22"/>
  <c r="AT181" i="22"/>
  <c r="AP181" i="22"/>
  <c r="AN181" i="22"/>
  <c r="AR181" i="22"/>
  <c r="AO181" i="22"/>
  <c r="AD182" i="23"/>
  <c r="AI181" i="23"/>
  <c r="AE181" i="23"/>
  <c r="AH181" i="23"/>
  <c r="AJ181" i="23"/>
  <c r="AF181" i="23"/>
  <c r="AK181" i="23"/>
  <c r="AG181" i="23"/>
  <c r="AM182" i="23"/>
  <c r="AP181" i="23"/>
  <c r="AQ181" i="23"/>
  <c r="AS181" i="23"/>
  <c r="AT181" i="23"/>
  <c r="AN181" i="23"/>
  <c r="AR181" i="23"/>
  <c r="AO181" i="23"/>
  <c r="AD178" i="7"/>
  <c r="AH177" i="7"/>
  <c r="AE177" i="7"/>
  <c r="AF177" i="7"/>
  <c r="AG177" i="7"/>
  <c r="AI177" i="7"/>
  <c r="AJ177" i="7"/>
  <c r="AK177" i="7"/>
  <c r="Z48" i="7"/>
  <c r="AJ180" i="22"/>
  <c r="AI180" i="22"/>
  <c r="AG180" i="22"/>
  <c r="AE180" i="22"/>
  <c r="AK180" i="22"/>
  <c r="AF180" i="22"/>
  <c r="AH180" i="22"/>
  <c r="AR176" i="7"/>
  <c r="AO176" i="7"/>
  <c r="AP176" i="7"/>
  <c r="AM177" i="7"/>
  <c r="AN176" i="7"/>
  <c r="AS176" i="7"/>
  <c r="AQ176" i="7"/>
  <c r="AT176" i="7"/>
  <c r="AA48" i="7"/>
  <c r="H179" i="23"/>
  <c r="Q48" i="7"/>
  <c r="J179" i="23"/>
  <c r="I179" i="23"/>
  <c r="I180" i="22"/>
  <c r="H180" i="22"/>
  <c r="AB180" i="23"/>
  <c r="AA180" i="23"/>
  <c r="W180" i="23"/>
  <c r="X180" i="23"/>
  <c r="U181" i="23"/>
  <c r="Z180" i="23"/>
  <c r="V180" i="23"/>
  <c r="Y180" i="23"/>
  <c r="S182" i="23"/>
  <c r="R182" i="23"/>
  <c r="N182" i="23"/>
  <c r="O182" i="23"/>
  <c r="Q182" i="23"/>
  <c r="L183" i="23"/>
  <c r="M182" i="23"/>
  <c r="P182" i="23"/>
  <c r="E180" i="23"/>
  <c r="F180" i="23"/>
  <c r="D180" i="23"/>
  <c r="C181" i="23"/>
  <c r="G180" i="23"/>
  <c r="J180" i="22"/>
  <c r="D181" i="22"/>
  <c r="F181" i="22"/>
  <c r="C182" i="22"/>
  <c r="E181" i="22"/>
  <c r="G181" i="22"/>
  <c r="O180" i="22"/>
  <c r="L181" i="22"/>
  <c r="N180" i="22"/>
  <c r="M180" i="22"/>
  <c r="P180" i="22"/>
  <c r="AD181" i="22"/>
  <c r="X181" i="22"/>
  <c r="V181" i="22"/>
  <c r="W181" i="22"/>
  <c r="U182" i="22"/>
  <c r="Y181" i="22"/>
  <c r="R48" i="7"/>
  <c r="S48" i="7"/>
  <c r="M49" i="7"/>
  <c r="N49" i="7"/>
  <c r="O49" i="7"/>
  <c r="P49" i="7"/>
  <c r="H49" i="7"/>
  <c r="J49" i="7"/>
  <c r="I49" i="7"/>
  <c r="G50" i="7"/>
  <c r="E50" i="7"/>
  <c r="F50" i="7"/>
  <c r="D50" i="7"/>
  <c r="X49" i="7"/>
  <c r="W49" i="7"/>
  <c r="U50" i="7"/>
  <c r="Y49" i="7"/>
  <c r="V49" i="7"/>
  <c r="R180" i="22" l="1"/>
  <c r="Q180" i="22"/>
  <c r="S180" i="22"/>
  <c r="AB181" i="22"/>
  <c r="Z181" i="22"/>
  <c r="AA181" i="22"/>
  <c r="AM183" i="22"/>
  <c r="AQ182" i="22"/>
  <c r="AR182" i="22"/>
  <c r="AN182" i="22"/>
  <c r="AT182" i="22"/>
  <c r="AS182" i="22"/>
  <c r="AP182" i="22"/>
  <c r="AO182" i="22"/>
  <c r="AI182" i="23"/>
  <c r="AD183" i="23"/>
  <c r="AH182" i="23"/>
  <c r="AE182" i="23"/>
  <c r="AK182" i="23"/>
  <c r="AF182" i="23"/>
  <c r="AJ182" i="23"/>
  <c r="AG182" i="23"/>
  <c r="AQ182" i="23"/>
  <c r="AN182" i="23"/>
  <c r="AM183" i="23"/>
  <c r="AT182" i="23"/>
  <c r="AP182" i="23"/>
  <c r="AS182" i="23"/>
  <c r="AR182" i="23"/>
  <c r="AO182" i="23"/>
  <c r="AD179" i="7"/>
  <c r="AH178" i="7"/>
  <c r="AE178" i="7"/>
  <c r="AF178" i="7"/>
  <c r="AG178" i="7"/>
  <c r="AI178" i="7"/>
  <c r="AJ178" i="7"/>
  <c r="AK178" i="7"/>
  <c r="AK181" i="22"/>
  <c r="AI181" i="22"/>
  <c r="AG181" i="22"/>
  <c r="AF181" i="22"/>
  <c r="AE181" i="22"/>
  <c r="AJ181" i="22"/>
  <c r="AH181" i="22"/>
  <c r="AQ177" i="7"/>
  <c r="AM178" i="7"/>
  <c r="AO177" i="7"/>
  <c r="AT177" i="7"/>
  <c r="AS177" i="7"/>
  <c r="AN177" i="7"/>
  <c r="AR177" i="7"/>
  <c r="AP177" i="7"/>
  <c r="AA49" i="7"/>
  <c r="AB49" i="7"/>
  <c r="Z49" i="7"/>
  <c r="H180" i="23"/>
  <c r="J181" i="22"/>
  <c r="H181" i="22"/>
  <c r="I180" i="23"/>
  <c r="I181" i="22"/>
  <c r="R49" i="7"/>
  <c r="S49" i="7"/>
  <c r="J180" i="23"/>
  <c r="L184" i="23"/>
  <c r="O183" i="23"/>
  <c r="N183" i="23"/>
  <c r="S183" i="23"/>
  <c r="R183" i="23"/>
  <c r="Q183" i="23"/>
  <c r="M183" i="23"/>
  <c r="P183" i="23"/>
  <c r="E181" i="23"/>
  <c r="C182" i="23"/>
  <c r="F181" i="23"/>
  <c r="D181" i="23"/>
  <c r="G181" i="23"/>
  <c r="U182" i="23"/>
  <c r="X181" i="23"/>
  <c r="W181" i="23"/>
  <c r="AB181" i="23"/>
  <c r="AA181" i="23"/>
  <c r="V181" i="23"/>
  <c r="Z181" i="23"/>
  <c r="Y181" i="23"/>
  <c r="U183" i="22"/>
  <c r="V182" i="22"/>
  <c r="X182" i="22"/>
  <c r="W182" i="22"/>
  <c r="Y182" i="22"/>
  <c r="D182" i="22"/>
  <c r="E182" i="22"/>
  <c r="C183" i="22"/>
  <c r="F182" i="22"/>
  <c r="G182" i="22"/>
  <c r="AD182" i="22"/>
  <c r="L182" i="22"/>
  <c r="M181" i="22"/>
  <c r="N181" i="22"/>
  <c r="O181" i="22"/>
  <c r="S181" i="22" s="1"/>
  <c r="P181" i="22"/>
  <c r="Q49" i="7"/>
  <c r="N50" i="7"/>
  <c r="O50" i="7"/>
  <c r="P50" i="7"/>
  <c r="M50" i="7"/>
  <c r="I50" i="7"/>
  <c r="J50" i="7"/>
  <c r="G51" i="7"/>
  <c r="E51" i="7"/>
  <c r="F51" i="7"/>
  <c r="D51" i="7"/>
  <c r="H50" i="7"/>
  <c r="X50" i="7"/>
  <c r="W50" i="7"/>
  <c r="U51" i="7"/>
  <c r="V50" i="7"/>
  <c r="Y50" i="7"/>
  <c r="Q181" i="22" l="1"/>
  <c r="R181" i="22"/>
  <c r="AA50" i="7"/>
  <c r="AA182" i="22"/>
  <c r="Z182" i="22"/>
  <c r="AB182" i="22"/>
  <c r="AM184" i="22"/>
  <c r="AP183" i="22"/>
  <c r="AT183" i="22"/>
  <c r="AR183" i="22"/>
  <c r="AQ183" i="22"/>
  <c r="AN183" i="22"/>
  <c r="AS183" i="22"/>
  <c r="AO183" i="22"/>
  <c r="AK183" i="23"/>
  <c r="AH183" i="23"/>
  <c r="AD184" i="23"/>
  <c r="AF183" i="23"/>
  <c r="AE183" i="23"/>
  <c r="AI183" i="23"/>
  <c r="AJ183" i="23"/>
  <c r="AG183" i="23"/>
  <c r="AM184" i="23"/>
  <c r="AP183" i="23"/>
  <c r="AT183" i="23"/>
  <c r="AN183" i="23"/>
  <c r="AS183" i="23"/>
  <c r="AO183" i="23"/>
  <c r="AR183" i="23"/>
  <c r="AQ183" i="23"/>
  <c r="AD180" i="7"/>
  <c r="AH179" i="7"/>
  <c r="AE179" i="7"/>
  <c r="AF179" i="7"/>
  <c r="AG179" i="7"/>
  <c r="AI179" i="7"/>
  <c r="AJ179" i="7"/>
  <c r="AK179" i="7"/>
  <c r="AK182" i="22"/>
  <c r="AF182" i="22"/>
  <c r="AJ182" i="22"/>
  <c r="AI182" i="22"/>
  <c r="AG182" i="22"/>
  <c r="AE182" i="22"/>
  <c r="AH182" i="22"/>
  <c r="AT178" i="7"/>
  <c r="AS178" i="7"/>
  <c r="AP178" i="7"/>
  <c r="AR178" i="7"/>
  <c r="AN178" i="7"/>
  <c r="AM179" i="7"/>
  <c r="AQ178" i="7"/>
  <c r="AO178" i="7"/>
  <c r="AB50" i="7"/>
  <c r="Z50" i="7"/>
  <c r="I182" i="22"/>
  <c r="H182" i="22"/>
  <c r="I181" i="23"/>
  <c r="J181" i="23"/>
  <c r="R50" i="7"/>
  <c r="Q50" i="7"/>
  <c r="AA182" i="23"/>
  <c r="U183" i="23"/>
  <c r="X182" i="23"/>
  <c r="W182" i="23"/>
  <c r="AB182" i="23"/>
  <c r="V182" i="23"/>
  <c r="Z182" i="23"/>
  <c r="Y182" i="23"/>
  <c r="C183" i="23"/>
  <c r="F182" i="23"/>
  <c r="E182" i="23"/>
  <c r="D182" i="23"/>
  <c r="G182" i="23"/>
  <c r="H181" i="23"/>
  <c r="R184" i="23"/>
  <c r="L185" i="23"/>
  <c r="O184" i="23"/>
  <c r="N184" i="23"/>
  <c r="M184" i="23"/>
  <c r="S184" i="23"/>
  <c r="Q184" i="23"/>
  <c r="P184" i="23"/>
  <c r="J182" i="22"/>
  <c r="C184" i="22"/>
  <c r="D183" i="22"/>
  <c r="F183" i="22"/>
  <c r="E183" i="22"/>
  <c r="G183" i="22"/>
  <c r="V183" i="22"/>
  <c r="X183" i="22"/>
  <c r="U184" i="22"/>
  <c r="W183" i="22"/>
  <c r="Y183" i="22"/>
  <c r="AD183" i="22"/>
  <c r="M182" i="22"/>
  <c r="L183" i="22"/>
  <c r="O182" i="22"/>
  <c r="N182" i="22"/>
  <c r="P182" i="22"/>
  <c r="S50" i="7"/>
  <c r="P51" i="7"/>
  <c r="M51" i="7"/>
  <c r="N51" i="7"/>
  <c r="O51" i="7"/>
  <c r="H51" i="7"/>
  <c r="J51" i="7"/>
  <c r="I51" i="7"/>
  <c r="X51" i="7"/>
  <c r="W51" i="7"/>
  <c r="U52" i="7"/>
  <c r="Y51" i="7"/>
  <c r="V51" i="7"/>
  <c r="AB51" i="7" s="1"/>
  <c r="G52" i="7"/>
  <c r="E52" i="7"/>
  <c r="F52" i="7"/>
  <c r="D52" i="7"/>
  <c r="R182" i="22" l="1"/>
  <c r="S182" i="22"/>
  <c r="Q182" i="22"/>
  <c r="AA183" i="22"/>
  <c r="AB183" i="22"/>
  <c r="Z183" i="22"/>
  <c r="AM185" i="22"/>
  <c r="AR184" i="22"/>
  <c r="AP184" i="22"/>
  <c r="AN184" i="22"/>
  <c r="AT184" i="22"/>
  <c r="AQ184" i="22"/>
  <c r="AS184" i="22"/>
  <c r="AO184" i="22"/>
  <c r="AG184" i="23"/>
  <c r="AF184" i="23"/>
  <c r="AH184" i="23"/>
  <c r="AJ184" i="23"/>
  <c r="AD185" i="23"/>
  <c r="AE184" i="23"/>
  <c r="AK184" i="23"/>
  <c r="AI184" i="23"/>
  <c r="AM185" i="23"/>
  <c r="AT184" i="23"/>
  <c r="AS184" i="23"/>
  <c r="AQ184" i="23"/>
  <c r="AR184" i="23"/>
  <c r="AN184" i="23"/>
  <c r="AO184" i="23"/>
  <c r="AP184" i="23"/>
  <c r="AD181" i="7"/>
  <c r="AH180" i="7"/>
  <c r="AE180" i="7"/>
  <c r="AF180" i="7"/>
  <c r="AG180" i="7"/>
  <c r="AI180" i="7"/>
  <c r="AJ180" i="7"/>
  <c r="AK180" i="7"/>
  <c r="AK183" i="22"/>
  <c r="AJ183" i="22"/>
  <c r="AI183" i="22"/>
  <c r="AG183" i="22"/>
  <c r="AF183" i="22"/>
  <c r="AE183" i="22"/>
  <c r="AH183" i="22"/>
  <c r="AP179" i="7"/>
  <c r="AS179" i="7"/>
  <c r="AT179" i="7"/>
  <c r="AO179" i="7"/>
  <c r="AN179" i="7"/>
  <c r="AM180" i="7"/>
  <c r="AQ179" i="7"/>
  <c r="AR179" i="7"/>
  <c r="Z51" i="7"/>
  <c r="AA51" i="7"/>
  <c r="H183" i="22"/>
  <c r="I182" i="23"/>
  <c r="J182" i="23"/>
  <c r="I183" i="22"/>
  <c r="J183" i="22"/>
  <c r="Q51" i="7"/>
  <c r="S185" i="23"/>
  <c r="R185" i="23"/>
  <c r="N185" i="23"/>
  <c r="L186" i="23"/>
  <c r="Q185" i="23"/>
  <c r="M185" i="23"/>
  <c r="O185" i="23"/>
  <c r="P185" i="23"/>
  <c r="C184" i="23"/>
  <c r="E183" i="23"/>
  <c r="D183" i="23"/>
  <c r="F183" i="23"/>
  <c r="G183" i="23"/>
  <c r="H182" i="23"/>
  <c r="AB183" i="23"/>
  <c r="AA183" i="23"/>
  <c r="W183" i="23"/>
  <c r="X183" i="23"/>
  <c r="V183" i="23"/>
  <c r="Z183" i="23"/>
  <c r="U184" i="23"/>
  <c r="Y183" i="23"/>
  <c r="V184" i="22"/>
  <c r="U185" i="22"/>
  <c r="X184" i="22"/>
  <c r="W184" i="22"/>
  <c r="Y184" i="22"/>
  <c r="L184" i="22"/>
  <c r="O183" i="22"/>
  <c r="M183" i="22"/>
  <c r="N183" i="22"/>
  <c r="R183" i="22" s="1"/>
  <c r="P183" i="22"/>
  <c r="AD184" i="22"/>
  <c r="D184" i="22"/>
  <c r="C185" i="22"/>
  <c r="F184" i="22"/>
  <c r="E184" i="22"/>
  <c r="G184" i="22"/>
  <c r="R51" i="7"/>
  <c r="S51" i="7"/>
  <c r="O52" i="7"/>
  <c r="N52" i="7"/>
  <c r="P52" i="7"/>
  <c r="M52" i="7"/>
  <c r="J52" i="7"/>
  <c r="I52" i="7"/>
  <c r="X52" i="7"/>
  <c r="W52" i="7"/>
  <c r="U53" i="7"/>
  <c r="Y52" i="7"/>
  <c r="V52" i="7"/>
  <c r="H52" i="7"/>
  <c r="G53" i="7"/>
  <c r="E53" i="7"/>
  <c r="F53" i="7"/>
  <c r="D53" i="7"/>
  <c r="S183" i="22" l="1"/>
  <c r="Q183" i="22"/>
  <c r="AB184" i="22"/>
  <c r="AA184" i="22"/>
  <c r="Z184" i="22"/>
  <c r="AB52" i="7"/>
  <c r="AS185" i="22"/>
  <c r="AN185" i="22"/>
  <c r="AR185" i="22"/>
  <c r="AQ185" i="22"/>
  <c r="AT185" i="22"/>
  <c r="AP185" i="22"/>
  <c r="AM186" i="22"/>
  <c r="AO185" i="22"/>
  <c r="AF185" i="23"/>
  <c r="AK185" i="23"/>
  <c r="AE185" i="23"/>
  <c r="AI185" i="23"/>
  <c r="AG185" i="23"/>
  <c r="AD186" i="23"/>
  <c r="AJ185" i="23"/>
  <c r="AH185" i="23"/>
  <c r="AS185" i="23"/>
  <c r="AM186" i="23"/>
  <c r="AR185" i="23"/>
  <c r="AP185" i="23"/>
  <c r="AO185" i="23"/>
  <c r="AT185" i="23"/>
  <c r="AQ185" i="23"/>
  <c r="AN185" i="23"/>
  <c r="AD182" i="7"/>
  <c r="AH181" i="7"/>
  <c r="AE181" i="7"/>
  <c r="AF181" i="7"/>
  <c r="AG181" i="7"/>
  <c r="AI181" i="7"/>
  <c r="AJ181" i="7"/>
  <c r="AK181" i="7"/>
  <c r="AE184" i="22"/>
  <c r="AK184" i="22"/>
  <c r="AJ184" i="22"/>
  <c r="AI184" i="22"/>
  <c r="AG184" i="22"/>
  <c r="AF184" i="22"/>
  <c r="AH184" i="22"/>
  <c r="AN180" i="7"/>
  <c r="AP180" i="7"/>
  <c r="AM181" i="7"/>
  <c r="AT180" i="7"/>
  <c r="AR180" i="7"/>
  <c r="AO180" i="7"/>
  <c r="AS180" i="7"/>
  <c r="AQ180" i="7"/>
  <c r="Z52" i="7"/>
  <c r="S52" i="7"/>
  <c r="J184" i="22"/>
  <c r="J183" i="23"/>
  <c r="I184" i="22"/>
  <c r="H183" i="23"/>
  <c r="I183" i="23"/>
  <c r="H184" i="22"/>
  <c r="Q52" i="7"/>
  <c r="E184" i="23"/>
  <c r="F184" i="23"/>
  <c r="D184" i="23"/>
  <c r="C185" i="23"/>
  <c r="G184" i="23"/>
  <c r="U185" i="23"/>
  <c r="X184" i="23"/>
  <c r="W184" i="23"/>
  <c r="AA184" i="23"/>
  <c r="AB184" i="23"/>
  <c r="V184" i="23"/>
  <c r="Z184" i="23"/>
  <c r="Y184" i="23"/>
  <c r="L187" i="23"/>
  <c r="O186" i="23"/>
  <c r="N186" i="23"/>
  <c r="R186" i="23"/>
  <c r="S186" i="23"/>
  <c r="Q186" i="23"/>
  <c r="M186" i="23"/>
  <c r="P186" i="23"/>
  <c r="F185" i="22"/>
  <c r="C186" i="22"/>
  <c r="E185" i="22"/>
  <c r="D185" i="22"/>
  <c r="G185" i="22"/>
  <c r="U186" i="22"/>
  <c r="V185" i="22"/>
  <c r="X185" i="22"/>
  <c r="W185" i="22"/>
  <c r="Y185" i="22"/>
  <c r="L185" i="22"/>
  <c r="M184" i="22"/>
  <c r="O184" i="22"/>
  <c r="N184" i="22"/>
  <c r="P184" i="22"/>
  <c r="AD185" i="22"/>
  <c r="R52" i="7"/>
  <c r="AA52" i="7"/>
  <c r="N53" i="7"/>
  <c r="O53" i="7"/>
  <c r="M53" i="7"/>
  <c r="P53" i="7"/>
  <c r="H53" i="7"/>
  <c r="J53" i="7"/>
  <c r="I53" i="7"/>
  <c r="X53" i="7"/>
  <c r="W53" i="7"/>
  <c r="U54" i="7"/>
  <c r="V53" i="7"/>
  <c r="Y53" i="7"/>
  <c r="G54" i="7"/>
  <c r="E54" i="7"/>
  <c r="F54" i="7"/>
  <c r="D54" i="7"/>
  <c r="R184" i="22" l="1"/>
  <c r="S184" i="22"/>
  <c r="Q184" i="22"/>
  <c r="AA185" i="22"/>
  <c r="Z185" i="22"/>
  <c r="AB185" i="22"/>
  <c r="AM187" i="22"/>
  <c r="AS186" i="22"/>
  <c r="AR186" i="22"/>
  <c r="AP186" i="22"/>
  <c r="AO186" i="22"/>
  <c r="AN186" i="22"/>
  <c r="AT186" i="22"/>
  <c r="AQ186" i="22"/>
  <c r="AI186" i="23"/>
  <c r="AK186" i="23"/>
  <c r="AD187" i="23"/>
  <c r="AH186" i="23"/>
  <c r="AE186" i="23"/>
  <c r="AF186" i="23"/>
  <c r="AJ186" i="23"/>
  <c r="AG186" i="23"/>
  <c r="AS186" i="23"/>
  <c r="AN186" i="23"/>
  <c r="AP186" i="23"/>
  <c r="AM187" i="23"/>
  <c r="AR186" i="23"/>
  <c r="AO186" i="23"/>
  <c r="AT186" i="23"/>
  <c r="AQ186" i="23"/>
  <c r="AD183" i="7"/>
  <c r="AH182" i="7"/>
  <c r="AE182" i="7"/>
  <c r="AF182" i="7"/>
  <c r="AG182" i="7"/>
  <c r="AI182" i="7"/>
  <c r="AJ182" i="7"/>
  <c r="AK182" i="7"/>
  <c r="AK185" i="22"/>
  <c r="AI185" i="22"/>
  <c r="AG185" i="22"/>
  <c r="AJ185" i="22"/>
  <c r="AF185" i="22"/>
  <c r="AE185" i="22"/>
  <c r="AH185" i="22"/>
  <c r="AM182" i="7"/>
  <c r="AT181" i="7"/>
  <c r="AS181" i="7"/>
  <c r="AR181" i="7"/>
  <c r="AQ181" i="7"/>
  <c r="AO181" i="7"/>
  <c r="AN181" i="7"/>
  <c r="AP181" i="7"/>
  <c r="Z53" i="7"/>
  <c r="AA53" i="7"/>
  <c r="H184" i="23"/>
  <c r="H185" i="22"/>
  <c r="I184" i="23"/>
  <c r="I185" i="22"/>
  <c r="Q53" i="7"/>
  <c r="R187" i="23"/>
  <c r="S187" i="23"/>
  <c r="N187" i="23"/>
  <c r="L188" i="23"/>
  <c r="Q187" i="23"/>
  <c r="O187" i="23"/>
  <c r="M187" i="23"/>
  <c r="P187" i="23"/>
  <c r="J184" i="23"/>
  <c r="C186" i="23"/>
  <c r="F185" i="23"/>
  <c r="E185" i="23"/>
  <c r="D185" i="23"/>
  <c r="G185" i="23"/>
  <c r="AA185" i="23"/>
  <c r="AB185" i="23"/>
  <c r="W185" i="23"/>
  <c r="X185" i="23"/>
  <c r="V185" i="23"/>
  <c r="U186" i="23"/>
  <c r="Z185" i="23"/>
  <c r="Y185" i="23"/>
  <c r="V186" i="22"/>
  <c r="X186" i="22"/>
  <c r="W186" i="22"/>
  <c r="U187" i="22"/>
  <c r="Y186" i="22"/>
  <c r="J185" i="22"/>
  <c r="AD186" i="22"/>
  <c r="C187" i="22"/>
  <c r="D186" i="22"/>
  <c r="E186" i="22"/>
  <c r="F186" i="22"/>
  <c r="G186" i="22"/>
  <c r="M185" i="22"/>
  <c r="O185" i="22"/>
  <c r="N185" i="22"/>
  <c r="L186" i="22"/>
  <c r="P185" i="22"/>
  <c r="R53" i="7"/>
  <c r="AB53" i="7"/>
  <c r="S53" i="7"/>
  <c r="N54" i="7"/>
  <c r="P54" i="7"/>
  <c r="O54" i="7"/>
  <c r="M54" i="7"/>
  <c r="J54" i="7"/>
  <c r="I54" i="7"/>
  <c r="H54" i="7"/>
  <c r="G55" i="7"/>
  <c r="E55" i="7"/>
  <c r="F55" i="7"/>
  <c r="D55" i="7"/>
  <c r="X54" i="7"/>
  <c r="W54" i="7"/>
  <c r="U55" i="7"/>
  <c r="Y54" i="7"/>
  <c r="V54" i="7"/>
  <c r="AB54" i="7" s="1"/>
  <c r="R185" i="22" l="1"/>
  <c r="Q185" i="22"/>
  <c r="S185" i="22"/>
  <c r="AA186" i="22"/>
  <c r="AB186" i="22"/>
  <c r="Z186" i="22"/>
  <c r="AS187" i="22"/>
  <c r="AQ187" i="22"/>
  <c r="AR187" i="22"/>
  <c r="AN187" i="22"/>
  <c r="AT187" i="22"/>
  <c r="AO187" i="22"/>
  <c r="AM188" i="22"/>
  <c r="AP187" i="22"/>
  <c r="AJ187" i="23"/>
  <c r="AG187" i="23"/>
  <c r="AE187" i="23"/>
  <c r="AD188" i="23"/>
  <c r="AH187" i="23"/>
  <c r="AK187" i="23"/>
  <c r="AF187" i="23"/>
  <c r="AI187" i="23"/>
  <c r="AT187" i="23"/>
  <c r="AO187" i="23"/>
  <c r="AP187" i="23"/>
  <c r="AS187" i="23"/>
  <c r="AR187" i="23"/>
  <c r="AN187" i="23"/>
  <c r="AM188" i="23"/>
  <c r="AQ187" i="23"/>
  <c r="AD184" i="7"/>
  <c r="AH183" i="7"/>
  <c r="AE183" i="7"/>
  <c r="AF183" i="7"/>
  <c r="AG183" i="7"/>
  <c r="AI183" i="7"/>
  <c r="AJ183" i="7"/>
  <c r="AK183" i="7"/>
  <c r="AK186" i="22"/>
  <c r="AF186" i="22"/>
  <c r="AJ186" i="22"/>
  <c r="AI186" i="22"/>
  <c r="AG186" i="22"/>
  <c r="AE186" i="22"/>
  <c r="AH186" i="22"/>
  <c r="AM183" i="7"/>
  <c r="AT182" i="7"/>
  <c r="AS182" i="7"/>
  <c r="AQ182" i="7"/>
  <c r="AP182" i="7"/>
  <c r="AO182" i="7"/>
  <c r="AN182" i="7"/>
  <c r="AR182" i="7"/>
  <c r="Z54" i="7"/>
  <c r="AA54" i="7"/>
  <c r="H185" i="23"/>
  <c r="H186" i="22"/>
  <c r="I186" i="22"/>
  <c r="J185" i="23"/>
  <c r="Q54" i="7"/>
  <c r="I185" i="23"/>
  <c r="S188" i="23"/>
  <c r="R188" i="23"/>
  <c r="L189" i="23"/>
  <c r="N188" i="23"/>
  <c r="Q188" i="23"/>
  <c r="M188" i="23"/>
  <c r="O188" i="23"/>
  <c r="P188" i="23"/>
  <c r="AB186" i="23"/>
  <c r="AA186" i="23"/>
  <c r="W186" i="23"/>
  <c r="Z186" i="23"/>
  <c r="U187" i="23"/>
  <c r="X186" i="23"/>
  <c r="V186" i="23"/>
  <c r="Y186" i="23"/>
  <c r="C187" i="23"/>
  <c r="F186" i="23"/>
  <c r="E186" i="23"/>
  <c r="D186" i="23"/>
  <c r="G186" i="23"/>
  <c r="J186" i="22"/>
  <c r="X187" i="22"/>
  <c r="U188" i="22"/>
  <c r="V187" i="22"/>
  <c r="W187" i="22"/>
  <c r="AA187" i="22" s="1"/>
  <c r="Y187" i="22"/>
  <c r="AD187" i="22"/>
  <c r="O186" i="22"/>
  <c r="L187" i="22"/>
  <c r="N186" i="22"/>
  <c r="M186" i="22"/>
  <c r="P186" i="22"/>
  <c r="D187" i="22"/>
  <c r="E187" i="22"/>
  <c r="C188" i="22"/>
  <c r="F187" i="22"/>
  <c r="G187" i="22"/>
  <c r="R54" i="7"/>
  <c r="S54" i="7"/>
  <c r="M55" i="7"/>
  <c r="P55" i="7"/>
  <c r="N55" i="7"/>
  <c r="O55" i="7"/>
  <c r="J55" i="7"/>
  <c r="I55" i="7"/>
  <c r="H55" i="7"/>
  <c r="G56" i="7"/>
  <c r="E56" i="7"/>
  <c r="F56" i="7"/>
  <c r="D56" i="7"/>
  <c r="X55" i="7"/>
  <c r="W55" i="7"/>
  <c r="U56" i="7"/>
  <c r="Y55" i="7"/>
  <c r="V55" i="7"/>
  <c r="R186" i="22" l="1"/>
  <c r="Q186" i="22"/>
  <c r="S186" i="22"/>
  <c r="AB187" i="22"/>
  <c r="Z187" i="22"/>
  <c r="AT188" i="22"/>
  <c r="AQ188" i="22"/>
  <c r="AR188" i="22"/>
  <c r="AN188" i="22"/>
  <c r="AS188" i="22"/>
  <c r="AO188" i="22"/>
  <c r="AM189" i="22"/>
  <c r="AP188" i="22"/>
  <c r="AI188" i="23"/>
  <c r="AE188" i="23"/>
  <c r="AK188" i="23"/>
  <c r="AH188" i="23"/>
  <c r="AF188" i="23"/>
  <c r="AD189" i="23"/>
  <c r="AJ188" i="23"/>
  <c r="AG188" i="23"/>
  <c r="AM189" i="23"/>
  <c r="AR188" i="23"/>
  <c r="AP188" i="23"/>
  <c r="AN188" i="23"/>
  <c r="AO188" i="23"/>
  <c r="AS188" i="23"/>
  <c r="AT188" i="23"/>
  <c r="AQ188" i="23"/>
  <c r="AD185" i="7"/>
  <c r="AH184" i="7"/>
  <c r="AE184" i="7"/>
  <c r="AF184" i="7"/>
  <c r="AG184" i="7"/>
  <c r="AI184" i="7"/>
  <c r="AJ184" i="7"/>
  <c r="AK184" i="7"/>
  <c r="AJ187" i="22"/>
  <c r="AF187" i="22"/>
  <c r="AK187" i="22"/>
  <c r="AI187" i="22"/>
  <c r="AG187" i="22"/>
  <c r="AE187" i="22"/>
  <c r="AH187" i="22"/>
  <c r="AQ183" i="7"/>
  <c r="AP183" i="7"/>
  <c r="AO183" i="7"/>
  <c r="AS183" i="7"/>
  <c r="AM184" i="7"/>
  <c r="AT183" i="7"/>
  <c r="AR183" i="7"/>
  <c r="AN183" i="7"/>
  <c r="AA55" i="7"/>
  <c r="AB55" i="7"/>
  <c r="H186" i="23"/>
  <c r="H187" i="22"/>
  <c r="J186" i="23"/>
  <c r="I187" i="22"/>
  <c r="I186" i="23"/>
  <c r="J187" i="22"/>
  <c r="Q55" i="7"/>
  <c r="R55" i="7"/>
  <c r="L190" i="23"/>
  <c r="O189" i="23"/>
  <c r="N189" i="23"/>
  <c r="M189" i="23"/>
  <c r="S189" i="23"/>
  <c r="R189" i="23"/>
  <c r="Q189" i="23"/>
  <c r="P189" i="23"/>
  <c r="U188" i="23"/>
  <c r="X187" i="23"/>
  <c r="W187" i="23"/>
  <c r="V187" i="23"/>
  <c r="AB187" i="23"/>
  <c r="AA187" i="23"/>
  <c r="Z187" i="23"/>
  <c r="Y187" i="23"/>
  <c r="C188" i="23"/>
  <c r="E187" i="23"/>
  <c r="F187" i="23"/>
  <c r="D187" i="23"/>
  <c r="G187" i="23"/>
  <c r="U189" i="22"/>
  <c r="V188" i="22"/>
  <c r="W188" i="22"/>
  <c r="X188" i="22"/>
  <c r="Y188" i="22"/>
  <c r="AD188" i="22"/>
  <c r="L188" i="22"/>
  <c r="M187" i="22"/>
  <c r="O187" i="22"/>
  <c r="N187" i="22"/>
  <c r="R187" i="22" s="1"/>
  <c r="P187" i="22"/>
  <c r="F188" i="22"/>
  <c r="E188" i="22"/>
  <c r="D188" i="22"/>
  <c r="C189" i="22"/>
  <c r="G188" i="22"/>
  <c r="S55" i="7"/>
  <c r="Z55" i="7"/>
  <c r="M56" i="7"/>
  <c r="O56" i="7"/>
  <c r="P56" i="7"/>
  <c r="N56" i="7"/>
  <c r="I56" i="7"/>
  <c r="J56" i="7"/>
  <c r="H56" i="7"/>
  <c r="X56" i="7"/>
  <c r="W56" i="7"/>
  <c r="U57" i="7"/>
  <c r="V56" i="7"/>
  <c r="Y56" i="7"/>
  <c r="G57" i="7"/>
  <c r="E57" i="7"/>
  <c r="F57" i="7"/>
  <c r="D57" i="7"/>
  <c r="Q187" i="22" l="1"/>
  <c r="S187" i="22"/>
  <c r="Z56" i="7"/>
  <c r="AA188" i="22"/>
  <c r="AB188" i="22"/>
  <c r="Z188" i="22"/>
  <c r="AB56" i="7"/>
  <c r="AM190" i="22"/>
  <c r="AS189" i="22"/>
  <c r="AP189" i="22"/>
  <c r="AN189" i="22"/>
  <c r="AO189" i="22"/>
  <c r="AT189" i="22"/>
  <c r="AQ189" i="22"/>
  <c r="AR189" i="22"/>
  <c r="AJ189" i="23"/>
  <c r="AH189" i="23"/>
  <c r="AD190" i="23"/>
  <c r="AI189" i="23"/>
  <c r="AG189" i="23"/>
  <c r="AE189" i="23"/>
  <c r="AK189" i="23"/>
  <c r="AF189" i="23"/>
  <c r="AT189" i="23"/>
  <c r="AR189" i="23"/>
  <c r="AP189" i="23"/>
  <c r="AN189" i="23"/>
  <c r="AM190" i="23"/>
  <c r="AQ189" i="23"/>
  <c r="AS189" i="23"/>
  <c r="AO189" i="23"/>
  <c r="AD186" i="7"/>
  <c r="AH185" i="7"/>
  <c r="AE185" i="7"/>
  <c r="AF185" i="7"/>
  <c r="AG185" i="7"/>
  <c r="AI185" i="7"/>
  <c r="AJ185" i="7"/>
  <c r="AK185" i="7"/>
  <c r="AK188" i="22"/>
  <c r="AI188" i="22"/>
  <c r="AG188" i="22"/>
  <c r="AE188" i="22"/>
  <c r="AJ188" i="22"/>
  <c r="AF188" i="22"/>
  <c r="AH188" i="22"/>
  <c r="AQ184" i="7"/>
  <c r="AO184" i="7"/>
  <c r="AM185" i="7"/>
  <c r="AT184" i="7"/>
  <c r="AS184" i="7"/>
  <c r="AR184" i="7"/>
  <c r="AP184" i="7"/>
  <c r="AN184" i="7"/>
  <c r="AA56" i="7"/>
  <c r="S56" i="7"/>
  <c r="H187" i="23"/>
  <c r="H188" i="22"/>
  <c r="I187" i="23"/>
  <c r="J187" i="23"/>
  <c r="J188" i="22"/>
  <c r="I188" i="22"/>
  <c r="Q56" i="7"/>
  <c r="C189" i="23"/>
  <c r="F188" i="23"/>
  <c r="E188" i="23"/>
  <c r="D188" i="23"/>
  <c r="G188" i="23"/>
  <c r="AA188" i="23"/>
  <c r="W188" i="23"/>
  <c r="V188" i="23"/>
  <c r="U189" i="23"/>
  <c r="AB188" i="23"/>
  <c r="Z188" i="23"/>
  <c r="X188" i="23"/>
  <c r="Y188" i="23"/>
  <c r="R190" i="23"/>
  <c r="L191" i="23"/>
  <c r="S190" i="23"/>
  <c r="O190" i="23"/>
  <c r="N190" i="23"/>
  <c r="M190" i="23"/>
  <c r="Q190" i="23"/>
  <c r="P190" i="23"/>
  <c r="AD189" i="22"/>
  <c r="M188" i="22"/>
  <c r="O188" i="22"/>
  <c r="L189" i="22"/>
  <c r="N188" i="22"/>
  <c r="R188" i="22" s="1"/>
  <c r="P188" i="22"/>
  <c r="V189" i="22"/>
  <c r="U190" i="22"/>
  <c r="X189" i="22"/>
  <c r="W189" i="22"/>
  <c r="Y189" i="22"/>
  <c r="C190" i="22"/>
  <c r="D189" i="22"/>
  <c r="F189" i="22"/>
  <c r="E189" i="22"/>
  <c r="G189" i="22"/>
  <c r="R56" i="7"/>
  <c r="O57" i="7"/>
  <c r="N57" i="7"/>
  <c r="P57" i="7"/>
  <c r="M57" i="7"/>
  <c r="H57" i="7"/>
  <c r="J57" i="7"/>
  <c r="I57" i="7"/>
  <c r="X57" i="7"/>
  <c r="W57" i="7"/>
  <c r="U58" i="7"/>
  <c r="Y57" i="7"/>
  <c r="V57" i="7"/>
  <c r="G58" i="7"/>
  <c r="E58" i="7"/>
  <c r="F58" i="7"/>
  <c r="D58" i="7"/>
  <c r="Q188" i="22" l="1"/>
  <c r="S188" i="22"/>
  <c r="AN21" i="28"/>
  <c r="AL21" i="28"/>
  <c r="AJ21" i="28"/>
  <c r="AH21" i="28"/>
  <c r="AF21" i="28"/>
  <c r="AD21" i="28"/>
  <c r="AB21" i="28"/>
  <c r="Z21" i="28"/>
  <c r="X21" i="28"/>
  <c r="V21" i="28"/>
  <c r="T21" i="28"/>
  <c r="R21" i="28"/>
  <c r="P21" i="28"/>
  <c r="N21" i="28"/>
  <c r="L21" i="28"/>
  <c r="J21" i="28"/>
  <c r="H21" i="28"/>
  <c r="F21" i="28"/>
  <c r="AM21" i="28"/>
  <c r="AK21" i="28"/>
  <c r="AI21" i="28"/>
  <c r="AG21" i="28"/>
  <c r="AE21" i="28"/>
  <c r="AC21" i="28"/>
  <c r="AA21" i="28"/>
  <c r="Y21" i="28"/>
  <c r="W21" i="28"/>
  <c r="U21" i="28"/>
  <c r="S21" i="28"/>
  <c r="Q21" i="28"/>
  <c r="O21" i="28"/>
  <c r="M21" i="28"/>
  <c r="K21" i="28"/>
  <c r="I21" i="28"/>
  <c r="G21" i="28"/>
  <c r="E21" i="28"/>
  <c r="Z57" i="7"/>
  <c r="AB189" i="22"/>
  <c r="AA189" i="22"/>
  <c r="Z189" i="22"/>
  <c r="AB57" i="7"/>
  <c r="AP190" i="22"/>
  <c r="AM191" i="22"/>
  <c r="AR190" i="22"/>
  <c r="AN190" i="22"/>
  <c r="AS190" i="22"/>
  <c r="AO190" i="22"/>
  <c r="AT190" i="22"/>
  <c r="AQ190" i="22"/>
  <c r="AE190" i="23"/>
  <c r="AD191" i="23"/>
  <c r="AK190" i="23"/>
  <c r="AJ190" i="23"/>
  <c r="AI190" i="23"/>
  <c r="AH190" i="23"/>
  <c r="AF190" i="23"/>
  <c r="AG190" i="23"/>
  <c r="AS190" i="23"/>
  <c r="AP190" i="23"/>
  <c r="AT190" i="23"/>
  <c r="AR190" i="23"/>
  <c r="AO190" i="23"/>
  <c r="AN190" i="23"/>
  <c r="AM191" i="23"/>
  <c r="AQ190" i="23"/>
  <c r="AD187" i="7"/>
  <c r="AH186" i="7"/>
  <c r="AE186" i="7"/>
  <c r="AF186" i="7"/>
  <c r="AG186" i="7"/>
  <c r="AI186" i="7"/>
  <c r="AJ186" i="7"/>
  <c r="AK186" i="7"/>
  <c r="AJ189" i="22"/>
  <c r="AF189" i="22"/>
  <c r="AK189" i="22"/>
  <c r="AI189" i="22"/>
  <c r="AG189" i="22"/>
  <c r="AE189" i="22"/>
  <c r="AH189" i="22"/>
  <c r="AM186" i="7"/>
  <c r="AT185" i="7"/>
  <c r="AS185" i="7"/>
  <c r="AR185" i="7"/>
  <c r="AQ185" i="7"/>
  <c r="AP185" i="7"/>
  <c r="AO185" i="7"/>
  <c r="AN185" i="7"/>
  <c r="H188" i="23"/>
  <c r="Q57" i="7"/>
  <c r="J189" i="22"/>
  <c r="I189" i="22"/>
  <c r="J188" i="23"/>
  <c r="R57" i="7"/>
  <c r="S57" i="7"/>
  <c r="S191" i="23"/>
  <c r="R191" i="23"/>
  <c r="Q191" i="23"/>
  <c r="L192" i="23"/>
  <c r="N191" i="23"/>
  <c r="O191" i="23"/>
  <c r="M191" i="23"/>
  <c r="P191" i="23"/>
  <c r="AB189" i="23"/>
  <c r="AA189" i="23"/>
  <c r="Z189" i="23"/>
  <c r="U190" i="23"/>
  <c r="W189" i="23"/>
  <c r="X189" i="23"/>
  <c r="V189" i="23"/>
  <c r="Y189" i="23"/>
  <c r="I188" i="23"/>
  <c r="C190" i="23"/>
  <c r="F189" i="23"/>
  <c r="E189" i="23"/>
  <c r="D189" i="23"/>
  <c r="G189" i="23"/>
  <c r="M189" i="22"/>
  <c r="O189" i="22"/>
  <c r="N189" i="22"/>
  <c r="L190" i="22"/>
  <c r="P189" i="22"/>
  <c r="H189" i="22"/>
  <c r="AD190" i="22"/>
  <c r="W190" i="22"/>
  <c r="V190" i="22"/>
  <c r="U191" i="22"/>
  <c r="X190" i="22"/>
  <c r="Y190" i="22"/>
  <c r="D190" i="22"/>
  <c r="F190" i="22"/>
  <c r="C191" i="22"/>
  <c r="E190" i="22"/>
  <c r="G190" i="22"/>
  <c r="AA57" i="7"/>
  <c r="O58" i="7"/>
  <c r="P58" i="7"/>
  <c r="N58" i="7"/>
  <c r="M58" i="7"/>
  <c r="I58" i="7"/>
  <c r="J58" i="7"/>
  <c r="H58" i="7"/>
  <c r="G59" i="7"/>
  <c r="E59" i="7"/>
  <c r="F59" i="7"/>
  <c r="D59" i="7"/>
  <c r="X58" i="7"/>
  <c r="W58" i="7"/>
  <c r="U59" i="7"/>
  <c r="Y58" i="7"/>
  <c r="V58" i="7"/>
  <c r="R189" i="22" l="1"/>
  <c r="Q189" i="22"/>
  <c r="S189" i="22"/>
  <c r="M23" i="28"/>
  <c r="D23" i="28"/>
  <c r="E23" i="28"/>
  <c r="R23" i="28"/>
  <c r="F23" i="28"/>
  <c r="T23" i="28"/>
  <c r="G23" i="28"/>
  <c r="N23" i="28"/>
  <c r="H23" i="28"/>
  <c r="O23" i="28"/>
  <c r="S23" i="28"/>
  <c r="I23" i="28"/>
  <c r="J23" i="28"/>
  <c r="V23" i="28"/>
  <c r="K23" i="28"/>
  <c r="P23" i="28"/>
  <c r="L23" i="28"/>
  <c r="Q23" i="28"/>
  <c r="U23" i="28"/>
  <c r="W23" i="28"/>
  <c r="X23" i="28"/>
  <c r="Y23" i="28"/>
  <c r="Z23" i="28"/>
  <c r="AA23" i="28"/>
  <c r="AB23" i="28"/>
  <c r="AC23" i="28"/>
  <c r="AD23" i="28"/>
  <c r="AE23" i="28"/>
  <c r="AF23" i="28"/>
  <c r="AG23" i="28"/>
  <c r="AH23" i="28"/>
  <c r="AI23" i="28"/>
  <c r="AJ23" i="28"/>
  <c r="AK23" i="28"/>
  <c r="AL23" i="28"/>
  <c r="AM23" i="28"/>
  <c r="AN23" i="28"/>
  <c r="V24" i="28"/>
  <c r="D24" i="28"/>
  <c r="W24" i="28"/>
  <c r="F24" i="28"/>
  <c r="X24" i="28"/>
  <c r="Y24" i="28"/>
  <c r="G24" i="28"/>
  <c r="Z24" i="28"/>
  <c r="E24" i="28"/>
  <c r="AA24" i="28"/>
  <c r="I24" i="28"/>
  <c r="AB24" i="28"/>
  <c r="J24" i="28"/>
  <c r="AC24" i="28"/>
  <c r="K24" i="28"/>
  <c r="AD24" i="28"/>
  <c r="L24" i="28"/>
  <c r="AE24" i="28"/>
  <c r="H24" i="28"/>
  <c r="AF24" i="28"/>
  <c r="M24" i="28"/>
  <c r="N24" i="28"/>
  <c r="AG24" i="28"/>
  <c r="AH24" i="28"/>
  <c r="O24" i="28"/>
  <c r="P24" i="28"/>
  <c r="AI24" i="28"/>
  <c r="AJ24" i="28"/>
  <c r="Q24" i="28"/>
  <c r="AK24" i="28"/>
  <c r="R24" i="28"/>
  <c r="S24" i="28"/>
  <c r="AL24" i="28"/>
  <c r="AM24" i="28"/>
  <c r="T24" i="28"/>
  <c r="U24" i="28"/>
  <c r="AN24" i="28"/>
  <c r="AA190" i="22"/>
  <c r="Z190" i="22"/>
  <c r="AB190" i="22"/>
  <c r="AM192" i="22"/>
  <c r="AR191" i="22"/>
  <c r="AO191" i="22"/>
  <c r="AT191" i="22"/>
  <c r="AQ191" i="22"/>
  <c r="AN191" i="22"/>
  <c r="AS191" i="22"/>
  <c r="AP191" i="22"/>
  <c r="AN24" i="27"/>
  <c r="AM24" i="27"/>
  <c r="AL24" i="27"/>
  <c r="AK24" i="27"/>
  <c r="AJ24" i="27"/>
  <c r="AI24" i="27"/>
  <c r="AH24" i="27"/>
  <c r="AG24" i="27"/>
  <c r="AF24" i="27"/>
  <c r="AE24" i="27"/>
  <c r="AD24" i="27"/>
  <c r="AC24" i="27"/>
  <c r="AB24" i="27"/>
  <c r="AA24" i="27"/>
  <c r="Z24" i="27"/>
  <c r="Y24" i="27"/>
  <c r="X24" i="27"/>
  <c r="W24" i="27"/>
  <c r="V24" i="27"/>
  <c r="U24" i="27"/>
  <c r="T24" i="27"/>
  <c r="S24" i="27"/>
  <c r="R24" i="27"/>
  <c r="Q24" i="27"/>
  <c r="P24" i="27"/>
  <c r="O24" i="27"/>
  <c r="N24" i="27"/>
  <c r="M24" i="27"/>
  <c r="L24" i="27"/>
  <c r="K24" i="27"/>
  <c r="J24" i="27"/>
  <c r="I24" i="27"/>
  <c r="H24" i="27"/>
  <c r="G24" i="27"/>
  <c r="F24" i="27"/>
  <c r="D24" i="27"/>
  <c r="E24" i="27"/>
  <c r="AD192" i="23"/>
  <c r="AK191" i="23"/>
  <c r="AJ191" i="23"/>
  <c r="AI191" i="23"/>
  <c r="AH191" i="23"/>
  <c r="AG191" i="23"/>
  <c r="AF191" i="23"/>
  <c r="AE191" i="23"/>
  <c r="AM192" i="23"/>
  <c r="AS191" i="23"/>
  <c r="AQ191" i="23"/>
  <c r="AT191" i="23"/>
  <c r="AR191" i="23"/>
  <c r="AO191" i="23"/>
  <c r="AN191" i="23"/>
  <c r="AP191" i="23"/>
  <c r="AD188" i="7"/>
  <c r="AH187" i="7"/>
  <c r="AE187" i="7"/>
  <c r="AF187" i="7"/>
  <c r="AG187" i="7"/>
  <c r="AI187" i="7"/>
  <c r="AJ187" i="7"/>
  <c r="AK187" i="7"/>
  <c r="AB58" i="7"/>
  <c r="AF190" i="22"/>
  <c r="AH190" i="22"/>
  <c r="AK190" i="22"/>
  <c r="AI190" i="22"/>
  <c r="AG190" i="22"/>
  <c r="AE190" i="22"/>
  <c r="AJ190" i="22"/>
  <c r="E22" i="27"/>
  <c r="D22" i="27"/>
  <c r="G22" i="27"/>
  <c r="H22" i="27"/>
  <c r="I22" i="27"/>
  <c r="J22" i="27"/>
  <c r="K22" i="27"/>
  <c r="L22" i="27"/>
  <c r="M22" i="27"/>
  <c r="N22" i="27"/>
  <c r="O22" i="27"/>
  <c r="P22" i="27"/>
  <c r="Q22" i="27"/>
  <c r="R22" i="27"/>
  <c r="S22" i="27"/>
  <c r="T22" i="27"/>
  <c r="F22" i="27"/>
  <c r="V22" i="27"/>
  <c r="W22" i="27"/>
  <c r="X22" i="27"/>
  <c r="Y22" i="27"/>
  <c r="Z22" i="27"/>
  <c r="AA22" i="27"/>
  <c r="AB22" i="27"/>
  <c r="AC22" i="27"/>
  <c r="AD22" i="27"/>
  <c r="U22" i="27"/>
  <c r="AF22" i="27"/>
  <c r="AG22" i="27"/>
  <c r="AH22" i="27"/>
  <c r="AI22" i="27"/>
  <c r="AJ22" i="27"/>
  <c r="AK22" i="27"/>
  <c r="AL22" i="27"/>
  <c r="AM22" i="27"/>
  <c r="AN22" i="27"/>
  <c r="AE22" i="27"/>
  <c r="AT186" i="7"/>
  <c r="AS186" i="7"/>
  <c r="AQ186" i="7"/>
  <c r="AP186" i="7"/>
  <c r="AO186" i="7"/>
  <c r="AM187" i="7"/>
  <c r="AR186" i="7"/>
  <c r="AN186" i="7"/>
  <c r="AA58" i="7"/>
  <c r="H189" i="23"/>
  <c r="Q58" i="7"/>
  <c r="I189" i="23"/>
  <c r="I190" i="22"/>
  <c r="J190" i="22"/>
  <c r="J189" i="23"/>
  <c r="H190" i="22"/>
  <c r="R58" i="7"/>
  <c r="S58" i="7"/>
  <c r="U191" i="23"/>
  <c r="X190" i="23"/>
  <c r="W190" i="23"/>
  <c r="V190" i="23"/>
  <c r="AB190" i="23"/>
  <c r="AA190" i="23"/>
  <c r="Z190" i="23"/>
  <c r="Y190" i="23"/>
  <c r="L193" i="23"/>
  <c r="O192" i="23"/>
  <c r="N192" i="23"/>
  <c r="M192" i="23"/>
  <c r="S192" i="23"/>
  <c r="R192" i="23"/>
  <c r="Q192" i="23"/>
  <c r="P192" i="23"/>
  <c r="C191" i="23"/>
  <c r="E190" i="23"/>
  <c r="F190" i="23"/>
  <c r="D190" i="23"/>
  <c r="G190" i="23"/>
  <c r="L191" i="22"/>
  <c r="M190" i="22"/>
  <c r="O190" i="22"/>
  <c r="N190" i="22"/>
  <c r="R190" i="22" s="1"/>
  <c r="P190" i="22"/>
  <c r="AD191" i="22"/>
  <c r="U192" i="22"/>
  <c r="V191" i="22"/>
  <c r="X191" i="22"/>
  <c r="W191" i="22"/>
  <c r="Y191" i="22"/>
  <c r="F191" i="22"/>
  <c r="D191" i="22"/>
  <c r="E191" i="22"/>
  <c r="C192" i="22"/>
  <c r="G191" i="22"/>
  <c r="Z58" i="7"/>
  <c r="M59" i="7"/>
  <c r="O59" i="7"/>
  <c r="P59" i="7"/>
  <c r="N59" i="7"/>
  <c r="J59" i="7"/>
  <c r="I59" i="7"/>
  <c r="H59" i="7"/>
  <c r="G60" i="7"/>
  <c r="E60" i="7"/>
  <c r="F60" i="7"/>
  <c r="D60" i="7"/>
  <c r="Y59" i="7"/>
  <c r="X59" i="7"/>
  <c r="Z59" i="7" s="1"/>
  <c r="W59" i="7"/>
  <c r="U60" i="7"/>
  <c r="V59" i="7"/>
  <c r="S190" i="22" l="1"/>
  <c r="Q190" i="22"/>
  <c r="D22" i="28"/>
  <c r="D19" i="28" s="1"/>
  <c r="E22" i="28"/>
  <c r="E19" i="28" s="1"/>
  <c r="F22" i="28"/>
  <c r="F19" i="28" s="1"/>
  <c r="G22" i="28"/>
  <c r="G19" i="28" s="1"/>
  <c r="H22" i="28"/>
  <c r="H19" i="28" s="1"/>
  <c r="I22" i="28"/>
  <c r="I19" i="28" s="1"/>
  <c r="J22" i="28"/>
  <c r="J19" i="28" s="1"/>
  <c r="K22" i="28"/>
  <c r="K19" i="28" s="1"/>
  <c r="L22" i="28"/>
  <c r="L19" i="28" s="1"/>
  <c r="M22" i="28"/>
  <c r="M19" i="28" s="1"/>
  <c r="N22" i="28"/>
  <c r="N19" i="28" s="1"/>
  <c r="O22" i="28"/>
  <c r="O19" i="28" s="1"/>
  <c r="P22" i="28"/>
  <c r="P19" i="28" s="1"/>
  <c r="Q22" i="28"/>
  <c r="Q19" i="28" s="1"/>
  <c r="R22" i="28"/>
  <c r="R19" i="28" s="1"/>
  <c r="S22" i="28"/>
  <c r="S19" i="28" s="1"/>
  <c r="T22" i="28"/>
  <c r="T19" i="28" s="1"/>
  <c r="U22" i="28"/>
  <c r="U19" i="28" s="1"/>
  <c r="V22" i="28"/>
  <c r="V19" i="28" s="1"/>
  <c r="W22" i="28"/>
  <c r="W19" i="28" s="1"/>
  <c r="X22" i="28"/>
  <c r="X19" i="28" s="1"/>
  <c r="Y22" i="28"/>
  <c r="Y19" i="28" s="1"/>
  <c r="Z22" i="28"/>
  <c r="Z19" i="28" s="1"/>
  <c r="AA22" i="28"/>
  <c r="AA19" i="28" s="1"/>
  <c r="AB22" i="28"/>
  <c r="AB19" i="28" s="1"/>
  <c r="AC22" i="28"/>
  <c r="AC19" i="28" s="1"/>
  <c r="AD22" i="28"/>
  <c r="AD19" i="28" s="1"/>
  <c r="AE22" i="28"/>
  <c r="AE19" i="28" s="1"/>
  <c r="AF22" i="28"/>
  <c r="AF19" i="28" s="1"/>
  <c r="AG22" i="28"/>
  <c r="AG19" i="28" s="1"/>
  <c r="AH22" i="28"/>
  <c r="AH19" i="28" s="1"/>
  <c r="AI22" i="28"/>
  <c r="AI19" i="28" s="1"/>
  <c r="AJ22" i="28"/>
  <c r="AJ19" i="28" s="1"/>
  <c r="AK22" i="28"/>
  <c r="AK19" i="28" s="1"/>
  <c r="AL22" i="28"/>
  <c r="AL19" i="28" s="1"/>
  <c r="AM22" i="28"/>
  <c r="AM19" i="28" s="1"/>
  <c r="AN22" i="28"/>
  <c r="AN19" i="28" s="1"/>
  <c r="W72" i="28"/>
  <c r="X72" i="28"/>
  <c r="X73" i="28"/>
  <c r="Y72" i="28"/>
  <c r="Y73" i="28"/>
  <c r="Z72" i="28"/>
  <c r="Z73" i="28"/>
  <c r="AA72" i="28"/>
  <c r="AA73" i="28"/>
  <c r="AB72" i="28"/>
  <c r="AB73" i="28"/>
  <c r="AC73" i="28"/>
  <c r="AC72" i="28"/>
  <c r="AD72" i="28"/>
  <c r="AD73" i="28"/>
  <c r="AE72" i="28"/>
  <c r="AE73" i="28"/>
  <c r="AF72" i="28"/>
  <c r="AF73" i="28"/>
  <c r="I73" i="28"/>
  <c r="J73" i="28"/>
  <c r="K73" i="28"/>
  <c r="L73" i="28"/>
  <c r="M73" i="28"/>
  <c r="N72" i="28"/>
  <c r="N73" i="28"/>
  <c r="O72" i="28"/>
  <c r="O73" i="28"/>
  <c r="P72" i="28"/>
  <c r="R72" i="28"/>
  <c r="S72" i="28"/>
  <c r="T73" i="28"/>
  <c r="V73" i="28"/>
  <c r="AG73" i="28"/>
  <c r="AG72" i="28"/>
  <c r="AH72" i="28"/>
  <c r="AH73" i="28"/>
  <c r="AI73" i="28"/>
  <c r="AI72" i="28"/>
  <c r="AJ73" i="28"/>
  <c r="AJ72" i="28"/>
  <c r="AK73" i="28"/>
  <c r="AK72" i="28"/>
  <c r="AL73" i="28"/>
  <c r="AL72" i="28"/>
  <c r="AM73" i="28"/>
  <c r="AM72" i="28"/>
  <c r="AN73" i="28"/>
  <c r="AN72" i="28"/>
  <c r="J72" i="28"/>
  <c r="K72" i="28"/>
  <c r="L72" i="28"/>
  <c r="M72" i="28"/>
  <c r="E72" i="28"/>
  <c r="E73" i="28"/>
  <c r="F73" i="28"/>
  <c r="F72" i="28"/>
  <c r="G72" i="28"/>
  <c r="G73" i="28"/>
  <c r="H73" i="28"/>
  <c r="H72" i="28"/>
  <c r="I72" i="28"/>
  <c r="P73" i="28"/>
  <c r="Q72" i="28"/>
  <c r="Q73" i="28"/>
  <c r="R73" i="28"/>
  <c r="S73" i="28"/>
  <c r="T72" i="28"/>
  <c r="U73" i="28"/>
  <c r="U72" i="28"/>
  <c r="V72" i="28"/>
  <c r="W73" i="28"/>
  <c r="E21" i="27"/>
  <c r="J21" i="27"/>
  <c r="AC21" i="27"/>
  <c r="O21" i="27"/>
  <c r="V21" i="27"/>
  <c r="I21" i="27"/>
  <c r="W21" i="27"/>
  <c r="AG21" i="27"/>
  <c r="S21" i="27"/>
  <c r="G21" i="27"/>
  <c r="AM21" i="27"/>
  <c r="K21" i="27"/>
  <c r="AD21" i="27"/>
  <c r="U21" i="27"/>
  <c r="AN21" i="27"/>
  <c r="AF21" i="27"/>
  <c r="T21" i="27"/>
  <c r="F21" i="27"/>
  <c r="X21" i="27"/>
  <c r="AH21" i="27"/>
  <c r="H21" i="27"/>
  <c r="AJ21" i="27"/>
  <c r="AI21" i="27"/>
  <c r="M21" i="27"/>
  <c r="Z21" i="27"/>
  <c r="L21" i="27"/>
  <c r="AA21" i="27"/>
  <c r="Q21" i="27"/>
  <c r="P21" i="27"/>
  <c r="AB21" i="27"/>
  <c r="R21" i="27"/>
  <c r="AL21" i="27"/>
  <c r="N21" i="27"/>
  <c r="Y21" i="27"/>
  <c r="AE21" i="27"/>
  <c r="AK21" i="27"/>
  <c r="Z191" i="22"/>
  <c r="AB191" i="22"/>
  <c r="AA191" i="22"/>
  <c r="AP192" i="22"/>
  <c r="AT192" i="22"/>
  <c r="AM193" i="22"/>
  <c r="AS192" i="22"/>
  <c r="AN192" i="22"/>
  <c r="AR192" i="22"/>
  <c r="AO192" i="22"/>
  <c r="AQ192" i="22"/>
  <c r="AK192" i="23"/>
  <c r="AI192" i="23"/>
  <c r="AF192" i="23"/>
  <c r="AD193" i="23"/>
  <c r="AJ192" i="23"/>
  <c r="AH192" i="23"/>
  <c r="AG192" i="23"/>
  <c r="AE192" i="23"/>
  <c r="AO192" i="23"/>
  <c r="AM193" i="23"/>
  <c r="AR192" i="23"/>
  <c r="AS192" i="23"/>
  <c r="AP192" i="23"/>
  <c r="AQ192" i="23"/>
  <c r="AN192" i="23"/>
  <c r="AT192" i="23"/>
  <c r="AD189" i="7"/>
  <c r="AH188" i="7"/>
  <c r="AE188" i="7"/>
  <c r="AF188" i="7"/>
  <c r="AG188" i="7"/>
  <c r="AI188" i="7"/>
  <c r="AJ188" i="7"/>
  <c r="AK188" i="7"/>
  <c r="S72" i="27"/>
  <c r="S73" i="27"/>
  <c r="T73" i="27"/>
  <c r="T72" i="27"/>
  <c r="U72" i="27"/>
  <c r="U73" i="27"/>
  <c r="V72" i="27"/>
  <c r="W72" i="27"/>
  <c r="V73" i="27"/>
  <c r="W73" i="27"/>
  <c r="X73" i="27"/>
  <c r="X72" i="27"/>
  <c r="Y73" i="27"/>
  <c r="Z73" i="27"/>
  <c r="L72" i="27"/>
  <c r="Y72" i="27"/>
  <c r="Z72" i="27"/>
  <c r="AA72" i="27"/>
  <c r="AA73" i="27"/>
  <c r="AB72" i="27"/>
  <c r="AB73" i="27"/>
  <c r="AC73" i="27"/>
  <c r="AC72" i="27"/>
  <c r="AD73" i="27"/>
  <c r="AD72" i="27"/>
  <c r="AE72" i="27"/>
  <c r="AE73" i="27"/>
  <c r="AF73" i="27"/>
  <c r="AF72" i="27"/>
  <c r="AG72" i="27"/>
  <c r="AH73" i="27"/>
  <c r="AH72" i="27"/>
  <c r="AI72" i="27"/>
  <c r="AI73" i="27"/>
  <c r="AJ73" i="27"/>
  <c r="AK73" i="27"/>
  <c r="AJ72" i="27"/>
  <c r="AK72" i="27"/>
  <c r="AL73" i="27"/>
  <c r="AL72" i="27"/>
  <c r="AM72" i="27"/>
  <c r="AM73" i="27"/>
  <c r="AN72" i="27"/>
  <c r="AN73" i="27"/>
  <c r="E73" i="27"/>
  <c r="E72" i="27"/>
  <c r="F72" i="27"/>
  <c r="F73" i="27"/>
  <c r="G72" i="27"/>
  <c r="G73" i="27"/>
  <c r="H73" i="27"/>
  <c r="H72" i="27"/>
  <c r="I72" i="27"/>
  <c r="I73" i="27"/>
  <c r="J72" i="27"/>
  <c r="J73" i="27"/>
  <c r="K73" i="27"/>
  <c r="K72" i="27"/>
  <c r="AG73" i="27"/>
  <c r="L73" i="27"/>
  <c r="M72" i="27"/>
  <c r="M73" i="27"/>
  <c r="N72" i="27"/>
  <c r="N73" i="27"/>
  <c r="O73" i="27"/>
  <c r="O72" i="27"/>
  <c r="P73" i="27"/>
  <c r="P72" i="27"/>
  <c r="Q73" i="27"/>
  <c r="Q72" i="27"/>
  <c r="R72" i="27"/>
  <c r="R73" i="27"/>
  <c r="E23" i="27"/>
  <c r="D23" i="27"/>
  <c r="D19" i="27" s="1"/>
  <c r="AJ191" i="22"/>
  <c r="AF191" i="22"/>
  <c r="AK191" i="22"/>
  <c r="AI191" i="22"/>
  <c r="AG191" i="22"/>
  <c r="AE191" i="22"/>
  <c r="F23" i="27"/>
  <c r="G23" i="27"/>
  <c r="H23" i="27"/>
  <c r="I23" i="27"/>
  <c r="J23" i="27"/>
  <c r="K23" i="27"/>
  <c r="M23" i="27"/>
  <c r="N23" i="27"/>
  <c r="O23" i="27"/>
  <c r="P23" i="27"/>
  <c r="Q23" i="27"/>
  <c r="R23" i="27"/>
  <c r="S23" i="27"/>
  <c r="T23" i="27"/>
  <c r="U23" i="27"/>
  <c r="V23" i="27"/>
  <c r="W23" i="27"/>
  <c r="X23" i="27"/>
  <c r="Y23" i="27"/>
  <c r="Z23" i="27"/>
  <c r="AA23" i="27"/>
  <c r="AB23" i="27"/>
  <c r="AC23" i="27"/>
  <c r="AD23" i="27"/>
  <c r="AE23" i="27"/>
  <c r="AF23" i="27"/>
  <c r="AG23" i="27"/>
  <c r="AH23" i="27"/>
  <c r="AI23" i="27"/>
  <c r="AJ23" i="27"/>
  <c r="AK23" i="27"/>
  <c r="AL23" i="27"/>
  <c r="AM23" i="27"/>
  <c r="AN23" i="27"/>
  <c r="AH191" i="22"/>
  <c r="L23" i="27"/>
  <c r="AM188" i="7"/>
  <c r="AS187" i="7"/>
  <c r="AR187" i="7"/>
  <c r="AT187" i="7"/>
  <c r="AQ187" i="7"/>
  <c r="AP187" i="7"/>
  <c r="AO187" i="7"/>
  <c r="AN187" i="7"/>
  <c r="AA59" i="7"/>
  <c r="I190" i="23"/>
  <c r="J190" i="23"/>
  <c r="H190" i="23"/>
  <c r="I191" i="22"/>
  <c r="J191" i="22"/>
  <c r="Q59" i="7"/>
  <c r="AA191" i="23"/>
  <c r="U192" i="23"/>
  <c r="AB191" i="23"/>
  <c r="Z191" i="23"/>
  <c r="X191" i="23"/>
  <c r="W191" i="23"/>
  <c r="V191" i="23"/>
  <c r="Y191" i="23"/>
  <c r="C192" i="23"/>
  <c r="F191" i="23"/>
  <c r="E191" i="23"/>
  <c r="D191" i="23"/>
  <c r="G191" i="23"/>
  <c r="R193" i="23"/>
  <c r="L194" i="23"/>
  <c r="S193" i="23"/>
  <c r="Q193" i="23"/>
  <c r="O193" i="23"/>
  <c r="N193" i="23"/>
  <c r="M193" i="23"/>
  <c r="P193" i="23"/>
  <c r="M191" i="22"/>
  <c r="O191" i="22"/>
  <c r="Q191" i="22" s="1"/>
  <c r="L192" i="22"/>
  <c r="N191" i="22"/>
  <c r="P191" i="22"/>
  <c r="H191" i="22"/>
  <c r="AD192" i="22"/>
  <c r="C193" i="22"/>
  <c r="D192" i="22"/>
  <c r="F192" i="22"/>
  <c r="E192" i="22"/>
  <c r="G192" i="22"/>
  <c r="V192" i="22"/>
  <c r="U193" i="22"/>
  <c r="W192" i="22"/>
  <c r="X192" i="22"/>
  <c r="Y192" i="22"/>
  <c r="R59" i="7"/>
  <c r="AB59" i="7"/>
  <c r="S59" i="7"/>
  <c r="P60" i="7"/>
  <c r="M60" i="7"/>
  <c r="N60" i="7"/>
  <c r="O60" i="7"/>
  <c r="J60" i="7"/>
  <c r="I60" i="7"/>
  <c r="H60" i="7"/>
  <c r="Y60" i="7"/>
  <c r="X60" i="7"/>
  <c r="Z60" i="7" s="1"/>
  <c r="W60" i="7"/>
  <c r="U61" i="7"/>
  <c r="V60" i="7"/>
  <c r="G61" i="7"/>
  <c r="E61" i="7"/>
  <c r="D61" i="7"/>
  <c r="F61" i="7"/>
  <c r="S191" i="22" l="1"/>
  <c r="R191" i="22"/>
  <c r="D28" i="28"/>
  <c r="D100" i="28"/>
  <c r="F10" i="19" s="1"/>
  <c r="E100" i="28"/>
  <c r="E28" i="28"/>
  <c r="F100" i="28"/>
  <c r="F28" i="28"/>
  <c r="G100" i="28"/>
  <c r="G28" i="28"/>
  <c r="H100" i="28"/>
  <c r="H28" i="28"/>
  <c r="I100" i="28"/>
  <c r="I28" i="28"/>
  <c r="J100" i="28"/>
  <c r="J28" i="28"/>
  <c r="K100" i="28"/>
  <c r="K28" i="28"/>
  <c r="L100" i="28"/>
  <c r="L28" i="28"/>
  <c r="M100" i="28"/>
  <c r="M28" i="28"/>
  <c r="N100" i="28"/>
  <c r="N28" i="28"/>
  <c r="O100" i="28"/>
  <c r="O28" i="28"/>
  <c r="P100" i="28"/>
  <c r="P28" i="28"/>
  <c r="Q100" i="28"/>
  <c r="Q28" i="28"/>
  <c r="R100" i="28"/>
  <c r="R28" i="28"/>
  <c r="S100" i="28"/>
  <c r="S28" i="28"/>
  <c r="T100" i="28"/>
  <c r="T28" i="28"/>
  <c r="U100" i="28"/>
  <c r="U28" i="28"/>
  <c r="V100" i="28"/>
  <c r="V28" i="28"/>
  <c r="W100" i="28"/>
  <c r="W28" i="28"/>
  <c r="X100" i="28"/>
  <c r="X28" i="28"/>
  <c r="Y100" i="28"/>
  <c r="Y28" i="28"/>
  <c r="Z100" i="28"/>
  <c r="Z28" i="28"/>
  <c r="AA100" i="28"/>
  <c r="AA28" i="28"/>
  <c r="AB100" i="28"/>
  <c r="AB28" i="28"/>
  <c r="AC100" i="28"/>
  <c r="AC28" i="28"/>
  <c r="AD100" i="28"/>
  <c r="AD28" i="28"/>
  <c r="AE100" i="28"/>
  <c r="AE28" i="28"/>
  <c r="AF100" i="28"/>
  <c r="AF28" i="28"/>
  <c r="AG100" i="28"/>
  <c r="AG28" i="28"/>
  <c r="AH100" i="28"/>
  <c r="AH28" i="28"/>
  <c r="AI100" i="28"/>
  <c r="AI28" i="28"/>
  <c r="AJ100" i="28"/>
  <c r="AJ28" i="28"/>
  <c r="AK100" i="28"/>
  <c r="AK28" i="28"/>
  <c r="AL100" i="28"/>
  <c r="AL28" i="28"/>
  <c r="AM100" i="28"/>
  <c r="AM28" i="28"/>
  <c r="AN100" i="28"/>
  <c r="AN28" i="28"/>
  <c r="E19" i="27"/>
  <c r="F19" i="27"/>
  <c r="AC19" i="27"/>
  <c r="G19" i="27"/>
  <c r="H19" i="27"/>
  <c r="I19" i="27"/>
  <c r="J19" i="27"/>
  <c r="K19" i="27"/>
  <c r="M19" i="27"/>
  <c r="N19" i="27"/>
  <c r="O19" i="27"/>
  <c r="P19" i="27"/>
  <c r="Q19" i="27"/>
  <c r="R19" i="27"/>
  <c r="S19" i="27"/>
  <c r="T19" i="27"/>
  <c r="U19" i="27"/>
  <c r="V19" i="27"/>
  <c r="W19" i="27"/>
  <c r="X19" i="27"/>
  <c r="Y19" i="27"/>
  <c r="Z19" i="27"/>
  <c r="AA19" i="27"/>
  <c r="AB19" i="27"/>
  <c r="AD19" i="27"/>
  <c r="AE19" i="27"/>
  <c r="AF19" i="27"/>
  <c r="AG19" i="27"/>
  <c r="AH19" i="27"/>
  <c r="AI19" i="27"/>
  <c r="AJ19" i="27"/>
  <c r="AK19" i="27"/>
  <c r="AL19" i="27"/>
  <c r="AM19" i="27"/>
  <c r="AN19" i="27"/>
  <c r="L19" i="27"/>
  <c r="AA192" i="22"/>
  <c r="AB192" i="22"/>
  <c r="Z192" i="22"/>
  <c r="AM194" i="22"/>
  <c r="AR193" i="22"/>
  <c r="AO193" i="22"/>
  <c r="AT193" i="22"/>
  <c r="AQ193" i="22"/>
  <c r="AS193" i="22"/>
  <c r="AN193" i="22"/>
  <c r="AP193" i="22"/>
  <c r="AD194" i="23"/>
  <c r="AK193" i="23"/>
  <c r="AJ193" i="23"/>
  <c r="AI193" i="23"/>
  <c r="AH193" i="23"/>
  <c r="AG193" i="23"/>
  <c r="AF193" i="23"/>
  <c r="AE193" i="23"/>
  <c r="AS193" i="23"/>
  <c r="AP193" i="23"/>
  <c r="AQ193" i="23"/>
  <c r="AM194" i="23"/>
  <c r="AT193" i="23"/>
  <c r="AN193" i="23"/>
  <c r="AR193" i="23"/>
  <c r="AO193" i="23"/>
  <c r="AD190" i="7"/>
  <c r="AH189" i="7"/>
  <c r="AE189" i="7"/>
  <c r="AF189" i="7"/>
  <c r="AG189" i="7"/>
  <c r="AI189" i="7"/>
  <c r="AJ189" i="7"/>
  <c r="AK189" i="7"/>
  <c r="D28" i="27"/>
  <c r="D100" i="27"/>
  <c r="E10" i="19" s="1"/>
  <c r="AK192" i="22"/>
  <c r="AE192" i="22"/>
  <c r="AJ192" i="22"/>
  <c r="AI192" i="22"/>
  <c r="AG192" i="22"/>
  <c r="AF192" i="22"/>
  <c r="AH192" i="22"/>
  <c r="AQ188" i="7"/>
  <c r="AP188" i="7"/>
  <c r="AO188" i="7"/>
  <c r="AN188" i="7"/>
  <c r="AM189" i="7"/>
  <c r="AR188" i="7"/>
  <c r="AT188" i="7"/>
  <c r="AS188" i="7"/>
  <c r="AA60" i="7"/>
  <c r="I192" i="22"/>
  <c r="J192" i="22"/>
  <c r="S60" i="7"/>
  <c r="J191" i="23"/>
  <c r="I191" i="23"/>
  <c r="H192" i="22"/>
  <c r="Q60" i="7"/>
  <c r="R60" i="7"/>
  <c r="C193" i="23"/>
  <c r="E192" i="23"/>
  <c r="D192" i="23"/>
  <c r="F192" i="23"/>
  <c r="G192" i="23"/>
  <c r="S194" i="23"/>
  <c r="R194" i="23"/>
  <c r="Q194" i="23"/>
  <c r="L195" i="23"/>
  <c r="N194" i="23"/>
  <c r="O194" i="23"/>
  <c r="M194" i="23"/>
  <c r="P194" i="23"/>
  <c r="H191" i="23"/>
  <c r="AB192" i="23"/>
  <c r="AA192" i="23"/>
  <c r="Z192" i="23"/>
  <c r="U193" i="23"/>
  <c r="W192" i="23"/>
  <c r="X192" i="23"/>
  <c r="V192" i="23"/>
  <c r="Y192" i="23"/>
  <c r="O192" i="22"/>
  <c r="M192" i="22"/>
  <c r="N192" i="22"/>
  <c r="L193" i="22"/>
  <c r="P192" i="22"/>
  <c r="D193" i="22"/>
  <c r="F193" i="22"/>
  <c r="C194" i="22"/>
  <c r="E193" i="22"/>
  <c r="G193" i="22"/>
  <c r="AD193" i="22"/>
  <c r="X193" i="22"/>
  <c r="U194" i="22"/>
  <c r="W193" i="22"/>
  <c r="V193" i="22"/>
  <c r="Y193" i="22"/>
  <c r="AB60" i="7"/>
  <c r="O61" i="7"/>
  <c r="N61" i="7"/>
  <c r="M61" i="7"/>
  <c r="P61" i="7"/>
  <c r="H61" i="7"/>
  <c r="J61" i="7"/>
  <c r="I61" i="7"/>
  <c r="G62" i="7"/>
  <c r="F62" i="7"/>
  <c r="E62" i="7"/>
  <c r="D62" i="7"/>
  <c r="Y61" i="7"/>
  <c r="X61" i="7"/>
  <c r="W61" i="7"/>
  <c r="U62" i="7"/>
  <c r="V61" i="7"/>
  <c r="R192" i="22" l="1"/>
  <c r="Q192" i="22"/>
  <c r="S192" i="22"/>
  <c r="D107" i="28"/>
  <c r="D103" i="28"/>
  <c r="E28" i="27"/>
  <c r="E100" i="27"/>
  <c r="F28" i="27"/>
  <c r="F100" i="27"/>
  <c r="AC100" i="27"/>
  <c r="AC28" i="27"/>
  <c r="G28" i="27"/>
  <c r="G100" i="27"/>
  <c r="H28" i="27"/>
  <c r="H100" i="27"/>
  <c r="I28" i="27"/>
  <c r="I100" i="27"/>
  <c r="J28" i="27"/>
  <c r="J100" i="27"/>
  <c r="K28" i="27"/>
  <c r="K100" i="27"/>
  <c r="M28" i="27"/>
  <c r="M100" i="27"/>
  <c r="N28" i="27"/>
  <c r="N100" i="27"/>
  <c r="O28" i="27"/>
  <c r="O100" i="27"/>
  <c r="P28" i="27"/>
  <c r="P100" i="27"/>
  <c r="Q28" i="27"/>
  <c r="Q100" i="27"/>
  <c r="R100" i="27"/>
  <c r="R28" i="27"/>
  <c r="S28" i="27"/>
  <c r="S100" i="27"/>
  <c r="T100" i="27"/>
  <c r="T28" i="27"/>
  <c r="U28" i="27"/>
  <c r="U100" i="27"/>
  <c r="V28" i="27"/>
  <c r="V100" i="27"/>
  <c r="W28" i="27"/>
  <c r="W100" i="27"/>
  <c r="X28" i="27"/>
  <c r="X100" i="27"/>
  <c r="Y28" i="27"/>
  <c r="Y100" i="27"/>
  <c r="Z28" i="27"/>
  <c r="Z100" i="27"/>
  <c r="AA28" i="27"/>
  <c r="AA100" i="27"/>
  <c r="AB28" i="27"/>
  <c r="AB100" i="27"/>
  <c r="AD100" i="27"/>
  <c r="AD28" i="27"/>
  <c r="AE28" i="27"/>
  <c r="AE100" i="27"/>
  <c r="AF28" i="27"/>
  <c r="AF100" i="27"/>
  <c r="AG28" i="27"/>
  <c r="AG100" i="27"/>
  <c r="AH28" i="27"/>
  <c r="AH100" i="27"/>
  <c r="AI28" i="27"/>
  <c r="AI100" i="27"/>
  <c r="AJ28" i="27"/>
  <c r="AJ100" i="27"/>
  <c r="AK28" i="27"/>
  <c r="AK100" i="27"/>
  <c r="AL28" i="27"/>
  <c r="AL100" i="27"/>
  <c r="AM28" i="27"/>
  <c r="AM100" i="27"/>
  <c r="AN28" i="27"/>
  <c r="AN100" i="27"/>
  <c r="L28" i="27"/>
  <c r="L100" i="27"/>
  <c r="AB61" i="7"/>
  <c r="AB193" i="22"/>
  <c r="Z193" i="22"/>
  <c r="AA193" i="22"/>
  <c r="AQ194" i="22"/>
  <c r="AP194" i="22"/>
  <c r="AR194" i="22"/>
  <c r="AM195" i="22"/>
  <c r="AN194" i="22"/>
  <c r="AO194" i="22"/>
  <c r="AS194" i="22"/>
  <c r="AT194" i="22"/>
  <c r="AK194" i="23"/>
  <c r="AG194" i="23"/>
  <c r="AJ194" i="23"/>
  <c r="AE194" i="23"/>
  <c r="AH194" i="23"/>
  <c r="AD195" i="23"/>
  <c r="AI194" i="23"/>
  <c r="AF194" i="23"/>
  <c r="AO194" i="23"/>
  <c r="AT194" i="23"/>
  <c r="AR194" i="23"/>
  <c r="AQ194" i="23"/>
  <c r="AM195" i="23"/>
  <c r="AS194" i="23"/>
  <c r="AP194" i="23"/>
  <c r="AN194" i="23"/>
  <c r="AD191" i="7"/>
  <c r="AH190" i="7"/>
  <c r="AE190" i="7"/>
  <c r="AF190" i="7"/>
  <c r="AG190" i="7"/>
  <c r="AI190" i="7"/>
  <c r="AJ190" i="7"/>
  <c r="AK190" i="7"/>
  <c r="D103" i="27"/>
  <c r="D107" i="27"/>
  <c r="D108" i="27" s="1"/>
  <c r="D20" i="19" s="1"/>
  <c r="AJ193" i="22"/>
  <c r="AI193" i="22"/>
  <c r="AG193" i="22"/>
  <c r="AF193" i="22"/>
  <c r="AK193" i="22"/>
  <c r="AE193" i="22"/>
  <c r="AH193" i="22"/>
  <c r="AM190" i="7"/>
  <c r="AT189" i="7"/>
  <c r="AS189" i="7"/>
  <c r="AR189" i="7"/>
  <c r="AQ189" i="7"/>
  <c r="AP189" i="7"/>
  <c r="AO189" i="7"/>
  <c r="AN189" i="7"/>
  <c r="AA61" i="7"/>
  <c r="S61" i="7"/>
  <c r="F11" i="19"/>
  <c r="J192" i="23"/>
  <c r="H193" i="22"/>
  <c r="I192" i="23"/>
  <c r="H192" i="23"/>
  <c r="J193" i="22"/>
  <c r="I193" i="22"/>
  <c r="Q61" i="7"/>
  <c r="L196" i="23"/>
  <c r="O195" i="23"/>
  <c r="N195" i="23"/>
  <c r="M195" i="23"/>
  <c r="R195" i="23"/>
  <c r="Q195" i="23"/>
  <c r="S195" i="23"/>
  <c r="P195" i="23"/>
  <c r="U194" i="23"/>
  <c r="X193" i="23"/>
  <c r="W193" i="23"/>
  <c r="V193" i="23"/>
  <c r="AA193" i="23"/>
  <c r="Z193" i="23"/>
  <c r="AB193" i="23"/>
  <c r="Y193" i="23"/>
  <c r="C194" i="23"/>
  <c r="E193" i="23"/>
  <c r="F193" i="23"/>
  <c r="D193" i="23"/>
  <c r="G193" i="23"/>
  <c r="D194" i="22"/>
  <c r="C195" i="22"/>
  <c r="F194" i="22"/>
  <c r="E194" i="22"/>
  <c r="G194" i="22"/>
  <c r="L194" i="22"/>
  <c r="M193" i="22"/>
  <c r="O193" i="22"/>
  <c r="N193" i="22"/>
  <c r="P193" i="22"/>
  <c r="AD194" i="22"/>
  <c r="U195" i="22"/>
  <c r="V194" i="22"/>
  <c r="X194" i="22"/>
  <c r="W194" i="22"/>
  <c r="AA194" i="22" s="1"/>
  <c r="Y194" i="22"/>
  <c r="R61" i="7"/>
  <c r="Z61" i="7"/>
  <c r="N62" i="7"/>
  <c r="M62" i="7"/>
  <c r="O62" i="7"/>
  <c r="P62" i="7"/>
  <c r="H62" i="7"/>
  <c r="I62" i="7"/>
  <c r="J62" i="7"/>
  <c r="G63" i="7"/>
  <c r="F63" i="7"/>
  <c r="E63" i="7"/>
  <c r="D63" i="7"/>
  <c r="Y62" i="7"/>
  <c r="X62" i="7"/>
  <c r="W62" i="7"/>
  <c r="V62" i="7"/>
  <c r="U63" i="7"/>
  <c r="R193" i="22" l="1"/>
  <c r="S193" i="22"/>
  <c r="Q193" i="22"/>
  <c r="D108" i="28"/>
  <c r="D23" i="19" s="1"/>
  <c r="Z194" i="22"/>
  <c r="AB194" i="22"/>
  <c r="AN195" i="22"/>
  <c r="AM196" i="22"/>
  <c r="AS195" i="22"/>
  <c r="AR195" i="22"/>
  <c r="AQ195" i="22"/>
  <c r="AT195" i="22"/>
  <c r="AP195" i="22"/>
  <c r="AO195" i="22"/>
  <c r="AD196" i="23"/>
  <c r="AI195" i="23"/>
  <c r="AK195" i="23"/>
  <c r="AJ195" i="23"/>
  <c r="AH195" i="23"/>
  <c r="AG195" i="23"/>
  <c r="AF195" i="23"/>
  <c r="AE195" i="23"/>
  <c r="AQ195" i="23"/>
  <c r="AR195" i="23"/>
  <c r="AM196" i="23"/>
  <c r="AS195" i="23"/>
  <c r="AP195" i="23"/>
  <c r="AN195" i="23"/>
  <c r="AT195" i="23"/>
  <c r="AO195" i="23"/>
  <c r="AD192" i="7"/>
  <c r="AH191" i="7"/>
  <c r="AE191" i="7"/>
  <c r="AF191" i="7"/>
  <c r="AG191" i="7"/>
  <c r="AI191" i="7"/>
  <c r="AJ191" i="7"/>
  <c r="AK191" i="7"/>
  <c r="AA62" i="7"/>
  <c r="AK194" i="22"/>
  <c r="AE194" i="22"/>
  <c r="AJ194" i="22"/>
  <c r="AI194" i="22"/>
  <c r="AG194" i="22"/>
  <c r="AF194" i="22"/>
  <c r="AH194" i="22"/>
  <c r="AP190" i="7"/>
  <c r="AO190" i="7"/>
  <c r="AM191" i="7"/>
  <c r="AT190" i="7"/>
  <c r="AS190" i="7"/>
  <c r="AR190" i="7"/>
  <c r="AQ190" i="7"/>
  <c r="AN190" i="7"/>
  <c r="AB62" i="7"/>
  <c r="S62" i="7"/>
  <c r="E23" i="3"/>
  <c r="F23" i="3"/>
  <c r="G23" i="3"/>
  <c r="H23" i="3"/>
  <c r="J23" i="3"/>
  <c r="I23" i="3"/>
  <c r="K23" i="3"/>
  <c r="L23" i="3"/>
  <c r="M23" i="3"/>
  <c r="N23" i="3"/>
  <c r="O23" i="3"/>
  <c r="P23" i="3"/>
  <c r="Q23" i="3"/>
  <c r="R23" i="3"/>
  <c r="S23" i="3"/>
  <c r="T23" i="3"/>
  <c r="U23" i="3"/>
  <c r="V23" i="3"/>
  <c r="W23" i="3"/>
  <c r="X23" i="3"/>
  <c r="Y23" i="3"/>
  <c r="Z23" i="3"/>
  <c r="AA23" i="3"/>
  <c r="AB23" i="3"/>
  <c r="AC23" i="3"/>
  <c r="AD23" i="3"/>
  <c r="AE23" i="3"/>
  <c r="AF23" i="3"/>
  <c r="AG23" i="3"/>
  <c r="AH23" i="3"/>
  <c r="AI23" i="3"/>
  <c r="AJ23" i="3"/>
  <c r="AK23" i="3"/>
  <c r="AL23" i="3"/>
  <c r="AM23" i="3"/>
  <c r="AN23" i="3"/>
  <c r="D23" i="3"/>
  <c r="I194" i="22"/>
  <c r="J193" i="23"/>
  <c r="I193" i="23"/>
  <c r="H194" i="22"/>
  <c r="H193" i="23"/>
  <c r="J194" i="22"/>
  <c r="Q62" i="7"/>
  <c r="R62" i="7"/>
  <c r="R196" i="23"/>
  <c r="S196" i="23"/>
  <c r="O196" i="23"/>
  <c r="L197" i="23"/>
  <c r="N196" i="23"/>
  <c r="M196" i="23"/>
  <c r="Q196" i="23"/>
  <c r="P196" i="23"/>
  <c r="C195" i="23"/>
  <c r="F194" i="23"/>
  <c r="E194" i="23"/>
  <c r="D194" i="23"/>
  <c r="G194" i="23"/>
  <c r="AA194" i="23"/>
  <c r="U195" i="23"/>
  <c r="AB194" i="23"/>
  <c r="X194" i="23"/>
  <c r="W194" i="23"/>
  <c r="V194" i="23"/>
  <c r="Z194" i="23"/>
  <c r="Y194" i="23"/>
  <c r="M194" i="22"/>
  <c r="O194" i="22"/>
  <c r="N194" i="22"/>
  <c r="R194" i="22" s="1"/>
  <c r="L195" i="22"/>
  <c r="P194" i="22"/>
  <c r="D195" i="22"/>
  <c r="F195" i="22"/>
  <c r="C196" i="22"/>
  <c r="E195" i="22"/>
  <c r="G195" i="22"/>
  <c r="U196" i="22"/>
  <c r="V195" i="22"/>
  <c r="X195" i="22"/>
  <c r="W195" i="22"/>
  <c r="Y195" i="22"/>
  <c r="AD195" i="22"/>
  <c r="Z62" i="7"/>
  <c r="O63" i="7"/>
  <c r="P63" i="7"/>
  <c r="M63" i="7"/>
  <c r="N63" i="7"/>
  <c r="I63" i="7"/>
  <c r="J63" i="7"/>
  <c r="Y63" i="7"/>
  <c r="X63" i="7"/>
  <c r="W63" i="7"/>
  <c r="V63" i="7"/>
  <c r="U64" i="7"/>
  <c r="G64" i="7"/>
  <c r="F64" i="7"/>
  <c r="E64" i="7"/>
  <c r="D64" i="7"/>
  <c r="H63" i="7"/>
  <c r="Q194" i="22" l="1"/>
  <c r="S194" i="22"/>
  <c r="AB63" i="7"/>
  <c r="Z195" i="22"/>
  <c r="AB195" i="22"/>
  <c r="AA195" i="22"/>
  <c r="AA63" i="7"/>
  <c r="AS196" i="22"/>
  <c r="AM197" i="22"/>
  <c r="AN196" i="22"/>
  <c r="AQ196" i="22"/>
  <c r="AR196" i="22"/>
  <c r="AT196" i="22"/>
  <c r="AP196" i="22"/>
  <c r="AO196" i="22"/>
  <c r="AK196" i="23"/>
  <c r="AJ196" i="23"/>
  <c r="AG196" i="23"/>
  <c r="AD197" i="23"/>
  <c r="AI196" i="23"/>
  <c r="AF196" i="23"/>
  <c r="AH196" i="23"/>
  <c r="AE196" i="23"/>
  <c r="AR196" i="23"/>
  <c r="AQ196" i="23"/>
  <c r="AP196" i="23"/>
  <c r="AN196" i="23"/>
  <c r="AO196" i="23"/>
  <c r="AM197" i="23"/>
  <c r="AS196" i="23"/>
  <c r="AT196" i="23"/>
  <c r="AD193" i="7"/>
  <c r="AH192" i="7"/>
  <c r="AE192" i="7"/>
  <c r="AF192" i="7"/>
  <c r="AG192" i="7"/>
  <c r="AI192" i="7"/>
  <c r="AJ192" i="7"/>
  <c r="AK192" i="7"/>
  <c r="AJ195" i="22"/>
  <c r="AI195" i="22"/>
  <c r="AG195" i="22"/>
  <c r="AK195" i="22"/>
  <c r="AF195" i="22"/>
  <c r="AE195" i="22"/>
  <c r="AH195" i="22"/>
  <c r="AT191" i="7"/>
  <c r="AS191" i="7"/>
  <c r="AO191" i="7"/>
  <c r="AM192" i="7"/>
  <c r="AR191" i="7"/>
  <c r="AQ191" i="7"/>
  <c r="AP191" i="7"/>
  <c r="AN191" i="7"/>
  <c r="Z63" i="7"/>
  <c r="Q63" i="7"/>
  <c r="S63" i="7"/>
  <c r="J194" i="23"/>
  <c r="I194" i="23"/>
  <c r="H194" i="23"/>
  <c r="I195" i="22"/>
  <c r="H195" i="22"/>
  <c r="R63" i="7"/>
  <c r="C196" i="23"/>
  <c r="F195" i="23"/>
  <c r="D195" i="23"/>
  <c r="E195" i="23"/>
  <c r="G195" i="23"/>
  <c r="S197" i="23"/>
  <c r="Q197" i="23"/>
  <c r="R197" i="23"/>
  <c r="O197" i="23"/>
  <c r="M197" i="23"/>
  <c r="L198" i="23"/>
  <c r="N197" i="23"/>
  <c r="P197" i="23"/>
  <c r="AB195" i="23"/>
  <c r="AA195" i="23"/>
  <c r="Z195" i="23"/>
  <c r="U196" i="23"/>
  <c r="W195" i="23"/>
  <c r="X195" i="23"/>
  <c r="V195" i="23"/>
  <c r="Y195" i="23"/>
  <c r="N195" i="22"/>
  <c r="O195" i="22"/>
  <c r="M195" i="22"/>
  <c r="L196" i="22"/>
  <c r="P195" i="22"/>
  <c r="AD196" i="22"/>
  <c r="U197" i="22"/>
  <c r="V196" i="22"/>
  <c r="X196" i="22"/>
  <c r="W196" i="22"/>
  <c r="Y196" i="22"/>
  <c r="J195" i="22"/>
  <c r="C197" i="22"/>
  <c r="F196" i="22"/>
  <c r="E196" i="22"/>
  <c r="D196" i="22"/>
  <c r="G196" i="22"/>
  <c r="M64" i="7"/>
  <c r="O64" i="7"/>
  <c r="N64" i="7"/>
  <c r="P64" i="7"/>
  <c r="J64" i="7"/>
  <c r="H64" i="7"/>
  <c r="I64" i="7"/>
  <c r="Y64" i="7"/>
  <c r="X64" i="7"/>
  <c r="W64" i="7"/>
  <c r="V64" i="7"/>
  <c r="U65" i="7"/>
  <c r="G65" i="7"/>
  <c r="F65" i="7"/>
  <c r="E65" i="7"/>
  <c r="D65" i="7"/>
  <c r="R195" i="22" l="1"/>
  <c r="Q195" i="22"/>
  <c r="S195" i="22"/>
  <c r="AA196" i="22"/>
  <c r="Z196" i="22"/>
  <c r="AB196" i="22"/>
  <c r="AA64" i="7"/>
  <c r="AO197" i="22"/>
  <c r="AM198" i="22"/>
  <c r="AS197" i="22"/>
  <c r="AP197" i="22"/>
  <c r="AR197" i="22"/>
  <c r="AN197" i="22"/>
  <c r="AT197" i="22"/>
  <c r="AQ197" i="22"/>
  <c r="AD198" i="23"/>
  <c r="AK197" i="23"/>
  <c r="AJ197" i="23"/>
  <c r="AI197" i="23"/>
  <c r="AH197" i="23"/>
  <c r="AG197" i="23"/>
  <c r="AF197" i="23"/>
  <c r="AE197" i="23"/>
  <c r="AT197" i="23"/>
  <c r="AP197" i="23"/>
  <c r="AN197" i="23"/>
  <c r="AS197" i="23"/>
  <c r="AM198" i="23"/>
  <c r="AQ197" i="23"/>
  <c r="AR197" i="23"/>
  <c r="AO197" i="23"/>
  <c r="AD194" i="7"/>
  <c r="AH193" i="7"/>
  <c r="AE193" i="7"/>
  <c r="AF193" i="7"/>
  <c r="AG193" i="7"/>
  <c r="AI193" i="7"/>
  <c r="AJ193" i="7"/>
  <c r="AK193" i="7"/>
  <c r="AJ196" i="22"/>
  <c r="AG196" i="22"/>
  <c r="AE196" i="22"/>
  <c r="AK196" i="22"/>
  <c r="AI196" i="22"/>
  <c r="AF196" i="22"/>
  <c r="AH196" i="22"/>
  <c r="AP192" i="7"/>
  <c r="AO192" i="7"/>
  <c r="AN192" i="7"/>
  <c r="AM193" i="7"/>
  <c r="AT192" i="7"/>
  <c r="AS192" i="7"/>
  <c r="AR192" i="7"/>
  <c r="AQ192" i="7"/>
  <c r="AB64" i="7"/>
  <c r="Z64" i="7"/>
  <c r="I195" i="23"/>
  <c r="J195" i="23"/>
  <c r="I196" i="22"/>
  <c r="J196" i="22"/>
  <c r="R64" i="7"/>
  <c r="S64" i="7"/>
  <c r="U197" i="23"/>
  <c r="Z196" i="23"/>
  <c r="X196" i="23"/>
  <c r="W196" i="23"/>
  <c r="V196" i="23"/>
  <c r="AB196" i="23"/>
  <c r="AA196" i="23"/>
  <c r="Y196" i="23"/>
  <c r="L199" i="23"/>
  <c r="S198" i="23"/>
  <c r="Q198" i="23"/>
  <c r="R198" i="23"/>
  <c r="M198" i="23"/>
  <c r="O198" i="23"/>
  <c r="N198" i="23"/>
  <c r="P198" i="23"/>
  <c r="H195" i="23"/>
  <c r="C197" i="23"/>
  <c r="E196" i="23"/>
  <c r="F196" i="23"/>
  <c r="D196" i="23"/>
  <c r="G196" i="23"/>
  <c r="AD197" i="22"/>
  <c r="M196" i="22"/>
  <c r="O196" i="22"/>
  <c r="S196" i="22" s="1"/>
  <c r="N196" i="22"/>
  <c r="R196" i="22" s="1"/>
  <c r="L197" i="22"/>
  <c r="P196" i="22"/>
  <c r="F197" i="22"/>
  <c r="E197" i="22"/>
  <c r="D197" i="22"/>
  <c r="C198" i="22"/>
  <c r="G197" i="22"/>
  <c r="H196" i="22"/>
  <c r="U198" i="22"/>
  <c r="X197" i="22"/>
  <c r="W197" i="22"/>
  <c r="V197" i="22"/>
  <c r="Y197" i="22"/>
  <c r="Q64" i="7"/>
  <c r="M65" i="7"/>
  <c r="P65" i="7"/>
  <c r="N65" i="7"/>
  <c r="O65" i="7"/>
  <c r="J65" i="7"/>
  <c r="I65" i="7"/>
  <c r="G66" i="7"/>
  <c r="F66" i="7"/>
  <c r="E66" i="7"/>
  <c r="D66" i="7"/>
  <c r="H65" i="7"/>
  <c r="Y65" i="7"/>
  <c r="X65" i="7"/>
  <c r="W65" i="7"/>
  <c r="V65" i="7"/>
  <c r="U66" i="7"/>
  <c r="Q196" i="22" l="1"/>
  <c r="Z197" i="22"/>
  <c r="AB197" i="22"/>
  <c r="AA197" i="22"/>
  <c r="AA65" i="7"/>
  <c r="AT198" i="22"/>
  <c r="AO198" i="22"/>
  <c r="AM199" i="22"/>
  <c r="AQ198" i="22"/>
  <c r="AR198" i="22"/>
  <c r="AN198" i="22"/>
  <c r="AS198" i="22"/>
  <c r="AP198" i="22"/>
  <c r="AD199" i="23"/>
  <c r="AH198" i="23"/>
  <c r="AG198" i="23"/>
  <c r="AE198" i="23"/>
  <c r="AK198" i="23"/>
  <c r="AJ198" i="23"/>
  <c r="AI198" i="23"/>
  <c r="AF198" i="23"/>
  <c r="AM199" i="23"/>
  <c r="AO198" i="23"/>
  <c r="AN198" i="23"/>
  <c r="AP198" i="23"/>
  <c r="AQ198" i="23"/>
  <c r="AT198" i="23"/>
  <c r="AS198" i="23"/>
  <c r="AR198" i="23"/>
  <c r="AD195" i="7"/>
  <c r="AH194" i="7"/>
  <c r="AE194" i="7"/>
  <c r="AF194" i="7"/>
  <c r="AG194" i="7"/>
  <c r="AI194" i="7"/>
  <c r="AJ194" i="7"/>
  <c r="AK194" i="7"/>
  <c r="AJ197" i="22"/>
  <c r="AE197" i="22"/>
  <c r="AK197" i="22"/>
  <c r="AI197" i="22"/>
  <c r="AG197" i="22"/>
  <c r="AF197" i="22"/>
  <c r="AH197" i="22"/>
  <c r="AM194" i="7"/>
  <c r="AT193" i="7"/>
  <c r="AS193" i="7"/>
  <c r="AR193" i="7"/>
  <c r="AQ193" i="7"/>
  <c r="AP193" i="7"/>
  <c r="AO193" i="7"/>
  <c r="AN193" i="7"/>
  <c r="AB65" i="7"/>
  <c r="H197" i="22"/>
  <c r="J197" i="22"/>
  <c r="I196" i="23"/>
  <c r="J196" i="23"/>
  <c r="H196" i="23"/>
  <c r="I197" i="22"/>
  <c r="Q65" i="7"/>
  <c r="C198" i="23"/>
  <c r="F197" i="23"/>
  <c r="E197" i="23"/>
  <c r="D197" i="23"/>
  <c r="G197" i="23"/>
  <c r="S199" i="23"/>
  <c r="R199" i="23"/>
  <c r="Q199" i="23"/>
  <c r="O199" i="23"/>
  <c r="N199" i="23"/>
  <c r="L200" i="23"/>
  <c r="M199" i="23"/>
  <c r="P199" i="23"/>
  <c r="X197" i="23"/>
  <c r="W197" i="23"/>
  <c r="U198" i="23"/>
  <c r="V197" i="23"/>
  <c r="AA197" i="23"/>
  <c r="AB197" i="23"/>
  <c r="Z197" i="23"/>
  <c r="Y197" i="23"/>
  <c r="U199" i="22"/>
  <c r="V198" i="22"/>
  <c r="X198" i="22"/>
  <c r="W198" i="22"/>
  <c r="AA198" i="22" s="1"/>
  <c r="Y198" i="22"/>
  <c r="E198" i="22"/>
  <c r="C199" i="22"/>
  <c r="D198" i="22"/>
  <c r="F198" i="22"/>
  <c r="G198" i="22"/>
  <c r="L198" i="22"/>
  <c r="O197" i="22"/>
  <c r="M197" i="22"/>
  <c r="N197" i="22"/>
  <c r="R197" i="22" s="1"/>
  <c r="P197" i="22"/>
  <c r="AD198" i="22"/>
  <c r="R65" i="7"/>
  <c r="Z65" i="7"/>
  <c r="S65" i="7"/>
  <c r="O66" i="7"/>
  <c r="P66" i="7"/>
  <c r="M66" i="7"/>
  <c r="N66" i="7"/>
  <c r="H66" i="7"/>
  <c r="J66" i="7"/>
  <c r="I66" i="7"/>
  <c r="Y66" i="7"/>
  <c r="X66" i="7"/>
  <c r="W66" i="7"/>
  <c r="V66" i="7"/>
  <c r="U67" i="7"/>
  <c r="G67" i="7"/>
  <c r="F67" i="7"/>
  <c r="E67" i="7"/>
  <c r="D67" i="7"/>
  <c r="S197" i="22" l="1"/>
  <c r="Q197" i="22"/>
  <c r="Z66" i="7"/>
  <c r="AB198" i="22"/>
  <c r="Z198" i="22"/>
  <c r="AA66" i="7"/>
  <c r="AS199" i="22"/>
  <c r="AN199" i="22"/>
  <c r="AT199" i="22"/>
  <c r="AR199" i="22"/>
  <c r="AO199" i="22"/>
  <c r="AP199" i="22"/>
  <c r="AM200" i="22"/>
  <c r="AQ199" i="22"/>
  <c r="AD200" i="23"/>
  <c r="AK199" i="23"/>
  <c r="AJ199" i="23"/>
  <c r="AI199" i="23"/>
  <c r="AH199" i="23"/>
  <c r="AG199" i="23"/>
  <c r="AF199" i="23"/>
  <c r="AE199" i="23"/>
  <c r="AO199" i="23"/>
  <c r="AN199" i="23"/>
  <c r="AT199" i="23"/>
  <c r="AM200" i="23"/>
  <c r="AR199" i="23"/>
  <c r="AP199" i="23"/>
  <c r="AS199" i="23"/>
  <c r="AQ199" i="23"/>
  <c r="AD196" i="7"/>
  <c r="AH195" i="7"/>
  <c r="AE195" i="7"/>
  <c r="AF195" i="7"/>
  <c r="AG195" i="7"/>
  <c r="AI195" i="7"/>
  <c r="AJ195" i="7"/>
  <c r="AK195" i="7"/>
  <c r="AK198" i="22"/>
  <c r="AI198" i="22"/>
  <c r="AG198" i="22"/>
  <c r="AE198" i="22"/>
  <c r="AJ198" i="22"/>
  <c r="AF198" i="22"/>
  <c r="AH198" i="22"/>
  <c r="AM195" i="7"/>
  <c r="AT194" i="7"/>
  <c r="AS194" i="7"/>
  <c r="AR194" i="7"/>
  <c r="AQ194" i="7"/>
  <c r="AP194" i="7"/>
  <c r="AO194" i="7"/>
  <c r="AN194" i="7"/>
  <c r="H198" i="22"/>
  <c r="Q66" i="7"/>
  <c r="H197" i="23"/>
  <c r="I197" i="23"/>
  <c r="I198" i="22"/>
  <c r="J198" i="22"/>
  <c r="S66" i="7"/>
  <c r="J197" i="23"/>
  <c r="F198" i="23"/>
  <c r="E198" i="23"/>
  <c r="D198" i="23"/>
  <c r="C199" i="23"/>
  <c r="G198" i="23"/>
  <c r="X198" i="23"/>
  <c r="W198" i="23"/>
  <c r="U199" i="23"/>
  <c r="V198" i="23"/>
  <c r="AB198" i="23"/>
  <c r="Z198" i="23"/>
  <c r="AA198" i="23"/>
  <c r="Y198" i="23"/>
  <c r="S200" i="23"/>
  <c r="R200" i="23"/>
  <c r="Q200" i="23"/>
  <c r="O200" i="23"/>
  <c r="L201" i="23"/>
  <c r="N200" i="23"/>
  <c r="M200" i="23"/>
  <c r="P200" i="23"/>
  <c r="AD199" i="22"/>
  <c r="C200" i="22"/>
  <c r="D199" i="22"/>
  <c r="E199" i="22"/>
  <c r="F199" i="22"/>
  <c r="G199" i="22"/>
  <c r="O198" i="22"/>
  <c r="M198" i="22"/>
  <c r="L199" i="22"/>
  <c r="N198" i="22"/>
  <c r="R198" i="22" s="1"/>
  <c r="P198" i="22"/>
  <c r="W199" i="22"/>
  <c r="X199" i="22"/>
  <c r="V199" i="22"/>
  <c r="U200" i="22"/>
  <c r="Y199" i="22"/>
  <c r="R66" i="7"/>
  <c r="AB66" i="7"/>
  <c r="O67" i="7"/>
  <c r="M67" i="7"/>
  <c r="P67" i="7"/>
  <c r="N67" i="7"/>
  <c r="H67" i="7"/>
  <c r="J67" i="7"/>
  <c r="I67" i="7"/>
  <c r="Y67" i="7"/>
  <c r="X67" i="7"/>
  <c r="W67" i="7"/>
  <c r="V67" i="7"/>
  <c r="U68" i="7"/>
  <c r="G68" i="7"/>
  <c r="F68" i="7"/>
  <c r="E68" i="7"/>
  <c r="D68" i="7"/>
  <c r="S198" i="22" l="1"/>
  <c r="Q198" i="22"/>
  <c r="Z199" i="22"/>
  <c r="AA199" i="22"/>
  <c r="AB199" i="22"/>
  <c r="AS200" i="22"/>
  <c r="AO200" i="22"/>
  <c r="AM201" i="22"/>
  <c r="AP200" i="22"/>
  <c r="AR200" i="22"/>
  <c r="AN200" i="22"/>
  <c r="AT200" i="22"/>
  <c r="AQ200" i="22"/>
  <c r="AD201" i="23"/>
  <c r="AK200" i="23"/>
  <c r="AJ200" i="23"/>
  <c r="AI200" i="23"/>
  <c r="AH200" i="23"/>
  <c r="AG200" i="23"/>
  <c r="AF200" i="23"/>
  <c r="AE200" i="23"/>
  <c r="AT200" i="23"/>
  <c r="AR200" i="23"/>
  <c r="AP200" i="23"/>
  <c r="AN200" i="23"/>
  <c r="AS200" i="23"/>
  <c r="AM201" i="23"/>
  <c r="AO200" i="23"/>
  <c r="AQ200" i="23"/>
  <c r="AD197" i="7"/>
  <c r="AH196" i="7"/>
  <c r="AE196" i="7"/>
  <c r="AF196" i="7"/>
  <c r="AG196" i="7"/>
  <c r="AI196" i="7"/>
  <c r="AJ196" i="7"/>
  <c r="AK196" i="7"/>
  <c r="AK199" i="22"/>
  <c r="AI199" i="22"/>
  <c r="AG199" i="22"/>
  <c r="AF199" i="22"/>
  <c r="AJ199" i="22"/>
  <c r="AE199" i="22"/>
  <c r="AH199" i="22"/>
  <c r="AM196" i="7"/>
  <c r="AQ195" i="7"/>
  <c r="AO195" i="7"/>
  <c r="AT195" i="7"/>
  <c r="AS195" i="7"/>
  <c r="AR195" i="7"/>
  <c r="AP195" i="7"/>
  <c r="AN195" i="7"/>
  <c r="AA67" i="7"/>
  <c r="AB67" i="7"/>
  <c r="Z67" i="7"/>
  <c r="J199" i="22"/>
  <c r="I199" i="22"/>
  <c r="J198" i="23"/>
  <c r="S67" i="7"/>
  <c r="H198" i="23"/>
  <c r="I198" i="23"/>
  <c r="H199" i="22"/>
  <c r="Q67" i="7"/>
  <c r="R67" i="7"/>
  <c r="L202" i="23"/>
  <c r="S201" i="23"/>
  <c r="R201" i="23"/>
  <c r="Q201" i="23"/>
  <c r="N201" i="23"/>
  <c r="O201" i="23"/>
  <c r="M201" i="23"/>
  <c r="P201" i="23"/>
  <c r="U200" i="23"/>
  <c r="W199" i="23"/>
  <c r="V199" i="23"/>
  <c r="AB199" i="23"/>
  <c r="AA199" i="23"/>
  <c r="X199" i="23"/>
  <c r="Z199" i="23"/>
  <c r="Y199" i="23"/>
  <c r="F199" i="23"/>
  <c r="E199" i="23"/>
  <c r="C200" i="23"/>
  <c r="D199" i="23"/>
  <c r="G199" i="23"/>
  <c r="C201" i="22"/>
  <c r="D200" i="22"/>
  <c r="F200" i="22"/>
  <c r="E200" i="22"/>
  <c r="G200" i="22"/>
  <c r="N199" i="22"/>
  <c r="O199" i="22"/>
  <c r="M199" i="22"/>
  <c r="R199" i="22" s="1"/>
  <c r="L200" i="22"/>
  <c r="P199" i="22"/>
  <c r="AD200" i="22"/>
  <c r="X200" i="22"/>
  <c r="U201" i="22"/>
  <c r="V200" i="22"/>
  <c r="W200" i="22"/>
  <c r="Y200" i="22"/>
  <c r="M68" i="7"/>
  <c r="N68" i="7"/>
  <c r="O68" i="7"/>
  <c r="P68" i="7"/>
  <c r="I68" i="7"/>
  <c r="J68" i="7"/>
  <c r="H68" i="7"/>
  <c r="Y68" i="7"/>
  <c r="X68" i="7"/>
  <c r="W68" i="7"/>
  <c r="V68" i="7"/>
  <c r="U69" i="7"/>
  <c r="G69" i="7"/>
  <c r="F69" i="7"/>
  <c r="E69" i="7"/>
  <c r="D69" i="7"/>
  <c r="S199" i="22" l="1"/>
  <c r="Q199" i="22"/>
  <c r="Z68" i="7"/>
  <c r="AA200" i="22"/>
  <c r="Z200" i="22"/>
  <c r="AB200" i="22"/>
  <c r="AM202" i="22"/>
  <c r="AO201" i="22"/>
  <c r="AR201" i="22"/>
  <c r="AN201" i="22"/>
  <c r="AS201" i="22"/>
  <c r="AP201" i="22"/>
  <c r="AT201" i="22"/>
  <c r="AQ201" i="22"/>
  <c r="AD202" i="23"/>
  <c r="AK201" i="23"/>
  <c r="AJ201" i="23"/>
  <c r="AI201" i="23"/>
  <c r="AH201" i="23"/>
  <c r="AG201" i="23"/>
  <c r="AF201" i="23"/>
  <c r="AE201" i="23"/>
  <c r="AT201" i="23"/>
  <c r="AN201" i="23"/>
  <c r="AS201" i="23"/>
  <c r="AO201" i="23"/>
  <c r="AP201" i="23"/>
  <c r="AR201" i="23"/>
  <c r="AM202" i="23"/>
  <c r="AQ201" i="23"/>
  <c r="AD198" i="7"/>
  <c r="AH197" i="7"/>
  <c r="AE197" i="7"/>
  <c r="AF197" i="7"/>
  <c r="AG197" i="7"/>
  <c r="AI197" i="7"/>
  <c r="AJ197" i="7"/>
  <c r="AK197" i="7"/>
  <c r="AJ200" i="22"/>
  <c r="AI200" i="22"/>
  <c r="AF200" i="22"/>
  <c r="AK200" i="22"/>
  <c r="AG200" i="22"/>
  <c r="AE200" i="22"/>
  <c r="AH200" i="22"/>
  <c r="AM197" i="7"/>
  <c r="AT196" i="7"/>
  <c r="AS196" i="7"/>
  <c r="AR196" i="7"/>
  <c r="AP196" i="7"/>
  <c r="AO196" i="7"/>
  <c r="AN196" i="7"/>
  <c r="AQ196" i="7"/>
  <c r="AB68" i="7"/>
  <c r="J199" i="23"/>
  <c r="H200" i="22"/>
  <c r="H199" i="23"/>
  <c r="I200" i="22"/>
  <c r="I199" i="23"/>
  <c r="J200" i="22"/>
  <c r="R68" i="7"/>
  <c r="Q68" i="7"/>
  <c r="W200" i="23"/>
  <c r="U201" i="23"/>
  <c r="V200" i="23"/>
  <c r="AB200" i="23"/>
  <c r="AA200" i="23"/>
  <c r="Z200" i="23"/>
  <c r="X200" i="23"/>
  <c r="Y200" i="23"/>
  <c r="C201" i="23"/>
  <c r="F200" i="23"/>
  <c r="E200" i="23"/>
  <c r="D200" i="23"/>
  <c r="G200" i="23"/>
  <c r="S202" i="23"/>
  <c r="R202" i="23"/>
  <c r="Q202" i="23"/>
  <c r="N202" i="23"/>
  <c r="L203" i="23"/>
  <c r="O202" i="23"/>
  <c r="M202" i="23"/>
  <c r="P202" i="23"/>
  <c r="AD201" i="22"/>
  <c r="U202" i="22"/>
  <c r="W201" i="22"/>
  <c r="X201" i="22"/>
  <c r="V201" i="22"/>
  <c r="Y201" i="22"/>
  <c r="L201" i="22"/>
  <c r="M200" i="22"/>
  <c r="O200" i="22"/>
  <c r="N200" i="22"/>
  <c r="R200" i="22" s="1"/>
  <c r="P200" i="22"/>
  <c r="E201" i="22"/>
  <c r="C202" i="22"/>
  <c r="G201" i="22"/>
  <c r="F201" i="22"/>
  <c r="D201" i="22"/>
  <c r="AA68" i="7"/>
  <c r="S68" i="7"/>
  <c r="N69" i="7"/>
  <c r="O69" i="7"/>
  <c r="M69" i="7"/>
  <c r="P69" i="7"/>
  <c r="I69" i="7"/>
  <c r="J69" i="7"/>
  <c r="G70" i="7"/>
  <c r="F70" i="7"/>
  <c r="E70" i="7"/>
  <c r="D70" i="7"/>
  <c r="Y69" i="7"/>
  <c r="X69" i="7"/>
  <c r="W69" i="7"/>
  <c r="V69" i="7"/>
  <c r="U70" i="7"/>
  <c r="H69" i="7"/>
  <c r="S200" i="22" l="1"/>
  <c r="Q200" i="22"/>
  <c r="AA201" i="22"/>
  <c r="Z201" i="22"/>
  <c r="AB201" i="22"/>
  <c r="AM203" i="22"/>
  <c r="AS202" i="22"/>
  <c r="AQ202" i="22"/>
  <c r="AO202" i="22"/>
  <c r="AR202" i="22"/>
  <c r="AP202" i="22"/>
  <c r="AN202" i="22"/>
  <c r="AT202" i="22"/>
  <c r="AD203" i="23"/>
  <c r="AK202" i="23"/>
  <c r="AJ202" i="23"/>
  <c r="AI202" i="23"/>
  <c r="AH202" i="23"/>
  <c r="AG202" i="23"/>
  <c r="AF202" i="23"/>
  <c r="AE202" i="23"/>
  <c r="AQ202" i="23"/>
  <c r="AT202" i="23"/>
  <c r="AR202" i="23"/>
  <c r="AP202" i="23"/>
  <c r="AN202" i="23"/>
  <c r="AS202" i="23"/>
  <c r="AO202" i="23"/>
  <c r="AM203" i="23"/>
  <c r="AD199" i="7"/>
  <c r="AH198" i="7"/>
  <c r="AE198" i="7"/>
  <c r="AF198" i="7"/>
  <c r="AG198" i="7"/>
  <c r="AI198" i="7"/>
  <c r="AJ198" i="7"/>
  <c r="AK198" i="7"/>
  <c r="AA69" i="7"/>
  <c r="AK201" i="22"/>
  <c r="AI201" i="22"/>
  <c r="AG201" i="22"/>
  <c r="AE201" i="22"/>
  <c r="AJ201" i="22"/>
  <c r="AF201" i="22"/>
  <c r="AH201" i="22"/>
  <c r="AT197" i="7"/>
  <c r="AR197" i="7"/>
  <c r="AO197" i="7"/>
  <c r="AM198" i="7"/>
  <c r="AS197" i="7"/>
  <c r="AQ197" i="7"/>
  <c r="AP197" i="7"/>
  <c r="AN197" i="7"/>
  <c r="AB69" i="7"/>
  <c r="H201" i="22"/>
  <c r="H200" i="23"/>
  <c r="I200" i="23"/>
  <c r="I201" i="22"/>
  <c r="J200" i="23"/>
  <c r="J201" i="22"/>
  <c r="Q69" i="7"/>
  <c r="S203" i="23"/>
  <c r="R203" i="23"/>
  <c r="Q203" i="23"/>
  <c r="O203" i="23"/>
  <c r="L204" i="23"/>
  <c r="M203" i="23"/>
  <c r="N203" i="23"/>
  <c r="P203" i="23"/>
  <c r="F201" i="23"/>
  <c r="E201" i="23"/>
  <c r="C202" i="23"/>
  <c r="D201" i="23"/>
  <c r="G201" i="23"/>
  <c r="U202" i="23"/>
  <c r="V201" i="23"/>
  <c r="AB201" i="23"/>
  <c r="Z201" i="23"/>
  <c r="X201" i="23"/>
  <c r="AA201" i="23"/>
  <c r="W201" i="23"/>
  <c r="Y201" i="23"/>
  <c r="AD202" i="22"/>
  <c r="C203" i="22"/>
  <c r="E202" i="22"/>
  <c r="F202" i="22"/>
  <c r="D202" i="22"/>
  <c r="G202" i="22"/>
  <c r="X202" i="22"/>
  <c r="W202" i="22"/>
  <c r="V202" i="22"/>
  <c r="U203" i="22"/>
  <c r="Y202" i="22"/>
  <c r="L202" i="22"/>
  <c r="M201" i="22"/>
  <c r="N201" i="22"/>
  <c r="O201" i="22"/>
  <c r="P201" i="22"/>
  <c r="S69" i="7"/>
  <c r="R69" i="7"/>
  <c r="Z69" i="7"/>
  <c r="N70" i="7"/>
  <c r="P70" i="7"/>
  <c r="O70" i="7"/>
  <c r="M70" i="7"/>
  <c r="I70" i="7"/>
  <c r="H70" i="7"/>
  <c r="J70" i="7"/>
  <c r="G71" i="7"/>
  <c r="F71" i="7"/>
  <c r="E71" i="7"/>
  <c r="D71" i="7"/>
  <c r="Y70" i="7"/>
  <c r="X70" i="7"/>
  <c r="W70" i="7"/>
  <c r="V70" i="7"/>
  <c r="U71" i="7"/>
  <c r="R201" i="22" l="1"/>
  <c r="S201" i="22"/>
  <c r="Q201" i="22"/>
  <c r="Z202" i="22"/>
  <c r="AB202" i="22"/>
  <c r="AA202" i="22"/>
  <c r="Z70" i="7"/>
  <c r="AT203" i="22"/>
  <c r="AO203" i="22"/>
  <c r="AR203" i="22"/>
  <c r="AN203" i="22"/>
  <c r="AP203" i="22"/>
  <c r="AM204" i="22"/>
  <c r="AS203" i="22"/>
  <c r="AQ203" i="22"/>
  <c r="AD204" i="23"/>
  <c r="AK203" i="23"/>
  <c r="AJ203" i="23"/>
  <c r="AI203" i="23"/>
  <c r="AH203" i="23"/>
  <c r="AG203" i="23"/>
  <c r="AF203" i="23"/>
  <c r="AE203" i="23"/>
  <c r="AQ203" i="23"/>
  <c r="AM204" i="23"/>
  <c r="AS203" i="23"/>
  <c r="AP203" i="23"/>
  <c r="AN203" i="23"/>
  <c r="AT203" i="23"/>
  <c r="AR203" i="23"/>
  <c r="AO203" i="23"/>
  <c r="AD200" i="7"/>
  <c r="AH199" i="7"/>
  <c r="AE199" i="7"/>
  <c r="AF199" i="7"/>
  <c r="AG199" i="7"/>
  <c r="AI199" i="7"/>
  <c r="AJ199" i="7"/>
  <c r="AK199" i="7"/>
  <c r="AK202" i="22"/>
  <c r="AF202" i="22"/>
  <c r="AJ202" i="22"/>
  <c r="AI202" i="22"/>
  <c r="AG202" i="22"/>
  <c r="AE202" i="22"/>
  <c r="AH202" i="22"/>
  <c r="AM199" i="7"/>
  <c r="AT198" i="7"/>
  <c r="AS198" i="7"/>
  <c r="AR198" i="7"/>
  <c r="AQ198" i="7"/>
  <c r="AP198" i="7"/>
  <c r="AO198" i="7"/>
  <c r="AN198" i="7"/>
  <c r="AB70" i="7"/>
  <c r="AA70" i="7"/>
  <c r="R70" i="7"/>
  <c r="H202" i="22"/>
  <c r="H201" i="23"/>
  <c r="I202" i="22"/>
  <c r="I201" i="23"/>
  <c r="J202" i="22"/>
  <c r="Q70" i="7"/>
  <c r="F202" i="23"/>
  <c r="E202" i="23"/>
  <c r="C203" i="23"/>
  <c r="D202" i="23"/>
  <c r="G202" i="23"/>
  <c r="L205" i="23"/>
  <c r="S204" i="23"/>
  <c r="R204" i="23"/>
  <c r="Q204" i="23"/>
  <c r="O204" i="23"/>
  <c r="N204" i="23"/>
  <c r="M204" i="23"/>
  <c r="P204" i="23"/>
  <c r="J201" i="23"/>
  <c r="U203" i="23"/>
  <c r="AB202" i="23"/>
  <c r="AA202" i="23"/>
  <c r="Z202" i="23"/>
  <c r="W202" i="23"/>
  <c r="X202" i="23"/>
  <c r="V202" i="23"/>
  <c r="Y202" i="23"/>
  <c r="O202" i="22"/>
  <c r="L203" i="22"/>
  <c r="N202" i="22"/>
  <c r="M202" i="22"/>
  <c r="P202" i="22"/>
  <c r="F203" i="22"/>
  <c r="E203" i="22"/>
  <c r="C204" i="22"/>
  <c r="D203" i="22"/>
  <c r="G203" i="22"/>
  <c r="W203" i="22"/>
  <c r="U204" i="22"/>
  <c r="X203" i="22"/>
  <c r="V203" i="22"/>
  <c r="Y203" i="22"/>
  <c r="AD203" i="22"/>
  <c r="S70" i="7"/>
  <c r="N71" i="7"/>
  <c r="O71" i="7"/>
  <c r="M71" i="7"/>
  <c r="P71" i="7"/>
  <c r="J71" i="7"/>
  <c r="I71" i="7"/>
  <c r="H71" i="7"/>
  <c r="Y71" i="7"/>
  <c r="X71" i="7"/>
  <c r="W71" i="7"/>
  <c r="V71" i="7"/>
  <c r="U72" i="7"/>
  <c r="G72" i="7"/>
  <c r="F72" i="7"/>
  <c r="E72" i="7"/>
  <c r="D72" i="7"/>
  <c r="R202" i="22" l="1"/>
  <c r="S202" i="22"/>
  <c r="Q202" i="22"/>
  <c r="AA203" i="22"/>
  <c r="AB203" i="22"/>
  <c r="Z203" i="22"/>
  <c r="AT204" i="22"/>
  <c r="AR204" i="22"/>
  <c r="AQ204" i="22"/>
  <c r="AN204" i="22"/>
  <c r="AM205" i="22"/>
  <c r="AS204" i="22"/>
  <c r="AP204" i="22"/>
  <c r="AO204" i="22"/>
  <c r="AD205" i="23"/>
  <c r="AK204" i="23"/>
  <c r="AJ204" i="23"/>
  <c r="AI204" i="23"/>
  <c r="AH204" i="23"/>
  <c r="AG204" i="23"/>
  <c r="AF204" i="23"/>
  <c r="AE204" i="23"/>
  <c r="AT204" i="23"/>
  <c r="AN204" i="23"/>
  <c r="AM205" i="23"/>
  <c r="AR204" i="23"/>
  <c r="AO204" i="23"/>
  <c r="AQ204" i="23"/>
  <c r="AS204" i="23"/>
  <c r="AP204" i="23"/>
  <c r="AD201" i="7"/>
  <c r="AH200" i="7"/>
  <c r="AE200" i="7"/>
  <c r="AF200" i="7"/>
  <c r="AG200" i="7"/>
  <c r="AI200" i="7"/>
  <c r="AJ200" i="7"/>
  <c r="AK200" i="7"/>
  <c r="AK203" i="22"/>
  <c r="AJ203" i="22"/>
  <c r="AF203" i="22"/>
  <c r="AI203" i="22"/>
  <c r="AG203" i="22"/>
  <c r="AE203" i="22"/>
  <c r="AH203" i="22"/>
  <c r="AM200" i="7"/>
  <c r="AT199" i="7"/>
  <c r="AS199" i="7"/>
  <c r="AR199" i="7"/>
  <c r="AQ199" i="7"/>
  <c r="AP199" i="7"/>
  <c r="AO199" i="7"/>
  <c r="AN199" i="7"/>
  <c r="AA71" i="7"/>
  <c r="Z71" i="7"/>
  <c r="AB71" i="7"/>
  <c r="H202" i="23"/>
  <c r="J202" i="23"/>
  <c r="I202" i="23"/>
  <c r="J203" i="22"/>
  <c r="I203" i="22"/>
  <c r="Q71" i="7"/>
  <c r="C204" i="23"/>
  <c r="E203" i="23"/>
  <c r="D203" i="23"/>
  <c r="F203" i="23"/>
  <c r="G203" i="23"/>
  <c r="R205" i="23"/>
  <c r="Q205" i="23"/>
  <c r="O205" i="23"/>
  <c r="N205" i="23"/>
  <c r="M205" i="23"/>
  <c r="L206" i="23"/>
  <c r="S205" i="23"/>
  <c r="P205" i="23"/>
  <c r="AA203" i="23"/>
  <c r="AB203" i="23"/>
  <c r="W203" i="23"/>
  <c r="V203" i="23"/>
  <c r="X203" i="23"/>
  <c r="U204" i="23"/>
  <c r="Z203" i="23"/>
  <c r="Y203" i="23"/>
  <c r="H203" i="22"/>
  <c r="AD204" i="22"/>
  <c r="U205" i="22"/>
  <c r="X204" i="22"/>
  <c r="W204" i="22"/>
  <c r="V204" i="22"/>
  <c r="Y204" i="22"/>
  <c r="F204" i="22"/>
  <c r="E204" i="22"/>
  <c r="C205" i="22"/>
  <c r="D204" i="22"/>
  <c r="G204" i="22"/>
  <c r="L204" i="22"/>
  <c r="O203" i="22"/>
  <c r="N203" i="22"/>
  <c r="M203" i="22"/>
  <c r="P203" i="22"/>
  <c r="R71" i="7"/>
  <c r="S71" i="7"/>
  <c r="O72" i="7"/>
  <c r="P72" i="7"/>
  <c r="N72" i="7"/>
  <c r="M72" i="7"/>
  <c r="J72" i="7"/>
  <c r="I72" i="7"/>
  <c r="H72" i="7"/>
  <c r="Y72" i="7"/>
  <c r="X72" i="7"/>
  <c r="AB72" i="7" s="1"/>
  <c r="W72" i="7"/>
  <c r="AA72" i="7" s="1"/>
  <c r="V72" i="7"/>
  <c r="U73" i="7"/>
  <c r="G73" i="7"/>
  <c r="F73" i="7"/>
  <c r="E73" i="7"/>
  <c r="D73" i="7"/>
  <c r="Q203" i="22" l="1"/>
  <c r="S203" i="22"/>
  <c r="R203" i="22"/>
  <c r="Z204" i="22"/>
  <c r="AA204" i="22"/>
  <c r="AB204" i="22"/>
  <c r="AQ205" i="22"/>
  <c r="AS205" i="22"/>
  <c r="AM206" i="22"/>
  <c r="AR205" i="22"/>
  <c r="AP205" i="22"/>
  <c r="AN205" i="22"/>
  <c r="AT205" i="22"/>
  <c r="AO205" i="22"/>
  <c r="AI205" i="23"/>
  <c r="AG205" i="23"/>
  <c r="AE205" i="23"/>
  <c r="AH205" i="23"/>
  <c r="AF205" i="23"/>
  <c r="AD206" i="23"/>
  <c r="AK205" i="23"/>
  <c r="AJ205" i="23"/>
  <c r="AT205" i="23"/>
  <c r="AP205" i="23"/>
  <c r="AS205" i="23"/>
  <c r="AO205" i="23"/>
  <c r="AM206" i="23"/>
  <c r="AQ205" i="23"/>
  <c r="AR205" i="23"/>
  <c r="AN205" i="23"/>
  <c r="AD202" i="7"/>
  <c r="AH201" i="7"/>
  <c r="AE201" i="7"/>
  <c r="AF201" i="7"/>
  <c r="AG201" i="7"/>
  <c r="AI201" i="7"/>
  <c r="AJ201" i="7"/>
  <c r="AK201" i="7"/>
  <c r="AK204" i="22"/>
  <c r="AI204" i="22"/>
  <c r="AF204" i="22"/>
  <c r="AJ204" i="22"/>
  <c r="AG204" i="22"/>
  <c r="AE204" i="22"/>
  <c r="AH204" i="22"/>
  <c r="AR200" i="7"/>
  <c r="AO200" i="7"/>
  <c r="AM201" i="7"/>
  <c r="AT200" i="7"/>
  <c r="AQ200" i="7"/>
  <c r="AP200" i="7"/>
  <c r="AS200" i="7"/>
  <c r="AN200" i="7"/>
  <c r="S72" i="7"/>
  <c r="R72" i="7"/>
  <c r="H203" i="23"/>
  <c r="H204" i="22"/>
  <c r="J204" i="22"/>
  <c r="Q72" i="7"/>
  <c r="J203" i="23"/>
  <c r="I203" i="23"/>
  <c r="I204" i="22"/>
  <c r="E204" i="23"/>
  <c r="C205" i="23"/>
  <c r="D204" i="23"/>
  <c r="F204" i="23"/>
  <c r="G204" i="23"/>
  <c r="Q206" i="23"/>
  <c r="O206" i="23"/>
  <c r="N206" i="23"/>
  <c r="L207" i="23"/>
  <c r="M206" i="23"/>
  <c r="S206" i="23"/>
  <c r="R206" i="23"/>
  <c r="P206" i="23"/>
  <c r="AB204" i="23"/>
  <c r="Z204" i="23"/>
  <c r="AA204" i="23"/>
  <c r="X204" i="23"/>
  <c r="W204" i="23"/>
  <c r="U205" i="23"/>
  <c r="V204" i="23"/>
  <c r="Y204" i="23"/>
  <c r="O204" i="22"/>
  <c r="Q204" i="22" s="1"/>
  <c r="N204" i="22"/>
  <c r="M204" i="22"/>
  <c r="L205" i="22"/>
  <c r="P204" i="22"/>
  <c r="C206" i="22"/>
  <c r="F205" i="22"/>
  <c r="E205" i="22"/>
  <c r="D205" i="22"/>
  <c r="G205" i="22"/>
  <c r="X205" i="22"/>
  <c r="U206" i="22"/>
  <c r="V205" i="22"/>
  <c r="W205" i="22"/>
  <c r="Y205" i="22"/>
  <c r="AD205" i="22"/>
  <c r="H73" i="7"/>
  <c r="Z72" i="7"/>
  <c r="M73" i="7"/>
  <c r="O73" i="7"/>
  <c r="N73" i="7"/>
  <c r="P73" i="7"/>
  <c r="I73" i="7"/>
  <c r="J73" i="7"/>
  <c r="Y73" i="7"/>
  <c r="X73" i="7"/>
  <c r="Z73" i="7" s="1"/>
  <c r="W73" i="7"/>
  <c r="V73" i="7"/>
  <c r="U74" i="7"/>
  <c r="AB73" i="7"/>
  <c r="AA73" i="7"/>
  <c r="G74" i="7"/>
  <c r="F74" i="7"/>
  <c r="E74" i="7"/>
  <c r="D74" i="7"/>
  <c r="S204" i="22" l="1"/>
  <c r="R204" i="22"/>
  <c r="S73" i="7"/>
  <c r="AA205" i="22"/>
  <c r="AB205" i="22"/>
  <c r="Z205" i="22"/>
  <c r="AN206" i="22"/>
  <c r="AR206" i="22"/>
  <c r="AT206" i="22"/>
  <c r="AP206" i="22"/>
  <c r="AM207" i="22"/>
  <c r="AS206" i="22"/>
  <c r="AO206" i="22"/>
  <c r="AQ206" i="22"/>
  <c r="AD207" i="23"/>
  <c r="AK206" i="23"/>
  <c r="AJ206" i="23"/>
  <c r="AI206" i="23"/>
  <c r="AH206" i="23"/>
  <c r="AG206" i="23"/>
  <c r="AF206" i="23"/>
  <c r="AE206" i="23"/>
  <c r="AN206" i="23"/>
  <c r="AM207" i="23"/>
  <c r="AT206" i="23"/>
  <c r="AS206" i="23"/>
  <c r="AR206" i="23"/>
  <c r="AQ206" i="23"/>
  <c r="AP206" i="23"/>
  <c r="AO206" i="23"/>
  <c r="AD203" i="7"/>
  <c r="AH202" i="7"/>
  <c r="AE202" i="7"/>
  <c r="AF202" i="7"/>
  <c r="AG202" i="7"/>
  <c r="AI202" i="7"/>
  <c r="AJ202" i="7"/>
  <c r="AK202" i="7"/>
  <c r="AJ205" i="22"/>
  <c r="AF205" i="22"/>
  <c r="AK205" i="22"/>
  <c r="AI205" i="22"/>
  <c r="AG205" i="22"/>
  <c r="AE205" i="22"/>
  <c r="AH205" i="22"/>
  <c r="AT201" i="7"/>
  <c r="AQ201" i="7"/>
  <c r="AO201" i="7"/>
  <c r="AM202" i="7"/>
  <c r="AS201" i="7"/>
  <c r="AR201" i="7"/>
  <c r="AP201" i="7"/>
  <c r="AN201" i="7"/>
  <c r="Q73" i="7"/>
  <c r="R73" i="7"/>
  <c r="H205" i="22"/>
  <c r="H204" i="23"/>
  <c r="I204" i="23"/>
  <c r="J205" i="22"/>
  <c r="I205" i="22"/>
  <c r="H74" i="7"/>
  <c r="J204" i="23"/>
  <c r="L208" i="23"/>
  <c r="Q207" i="23"/>
  <c r="O207" i="23"/>
  <c r="N207" i="23"/>
  <c r="M207" i="23"/>
  <c r="S207" i="23"/>
  <c r="R207" i="23"/>
  <c r="P207" i="23"/>
  <c r="U206" i="23"/>
  <c r="AB205" i="23"/>
  <c r="Z205" i="23"/>
  <c r="AA205" i="23"/>
  <c r="X205" i="23"/>
  <c r="W205" i="23"/>
  <c r="V205" i="23"/>
  <c r="Y205" i="23"/>
  <c r="C206" i="23"/>
  <c r="D205" i="23"/>
  <c r="F205" i="23"/>
  <c r="E205" i="23"/>
  <c r="G205" i="23"/>
  <c r="N205" i="22"/>
  <c r="L206" i="22"/>
  <c r="M205" i="22"/>
  <c r="O205" i="22"/>
  <c r="P205" i="22"/>
  <c r="C207" i="22"/>
  <c r="D206" i="22"/>
  <c r="F206" i="22"/>
  <c r="E206" i="22"/>
  <c r="G206" i="22"/>
  <c r="AD206" i="22"/>
  <c r="W206" i="22"/>
  <c r="X206" i="22"/>
  <c r="V206" i="22"/>
  <c r="U207" i="22"/>
  <c r="Y206" i="22"/>
  <c r="N74" i="7"/>
  <c r="P74" i="7"/>
  <c r="M74" i="7"/>
  <c r="O74" i="7"/>
  <c r="J74" i="7"/>
  <c r="I74" i="7"/>
  <c r="Y74" i="7"/>
  <c r="X74" i="7"/>
  <c r="Z74" i="7" s="1"/>
  <c r="W74" i="7"/>
  <c r="V74" i="7"/>
  <c r="U75" i="7"/>
  <c r="AB74" i="7"/>
  <c r="AA74" i="7"/>
  <c r="G75" i="7"/>
  <c r="F75" i="7"/>
  <c r="E75" i="7"/>
  <c r="D75" i="7"/>
  <c r="R205" i="22" l="1"/>
  <c r="S205" i="22"/>
  <c r="Q205" i="22"/>
  <c r="AB206" i="22"/>
  <c r="Z206" i="22"/>
  <c r="AA206" i="22"/>
  <c r="AT207" i="22"/>
  <c r="AO207" i="22"/>
  <c r="AP207" i="22"/>
  <c r="AM208" i="22"/>
  <c r="AS207" i="22"/>
  <c r="AQ207" i="22"/>
  <c r="AN207" i="22"/>
  <c r="AR207" i="22"/>
  <c r="AI207" i="23"/>
  <c r="AJ207" i="23"/>
  <c r="AE207" i="23"/>
  <c r="AK207" i="23"/>
  <c r="AG207" i="23"/>
  <c r="AH207" i="23"/>
  <c r="AF207" i="23"/>
  <c r="AD208" i="23"/>
  <c r="AS207" i="23"/>
  <c r="AP207" i="23"/>
  <c r="AM208" i="23"/>
  <c r="AR207" i="23"/>
  <c r="AN207" i="23"/>
  <c r="AT207" i="23"/>
  <c r="AQ207" i="23"/>
  <c r="AO207" i="23"/>
  <c r="AD204" i="7"/>
  <c r="AH203" i="7"/>
  <c r="AE203" i="7"/>
  <c r="AF203" i="7"/>
  <c r="AG203" i="7"/>
  <c r="AI203" i="7"/>
  <c r="AJ203" i="7"/>
  <c r="AK203" i="7"/>
  <c r="AJ206" i="22"/>
  <c r="AI206" i="22"/>
  <c r="AG206" i="22"/>
  <c r="AE206" i="22"/>
  <c r="AK206" i="22"/>
  <c r="AF206" i="22"/>
  <c r="AH206" i="22"/>
  <c r="AM203" i="7"/>
  <c r="AT202" i="7"/>
  <c r="AS202" i="7"/>
  <c r="AR202" i="7"/>
  <c r="AQ202" i="7"/>
  <c r="AP202" i="7"/>
  <c r="AO202" i="7"/>
  <c r="AN202" i="7"/>
  <c r="Q74" i="7"/>
  <c r="R74" i="7"/>
  <c r="H205" i="23"/>
  <c r="I206" i="22"/>
  <c r="I205" i="23"/>
  <c r="J206" i="22"/>
  <c r="H206" i="22"/>
  <c r="J205" i="23"/>
  <c r="AB206" i="23"/>
  <c r="AA206" i="23"/>
  <c r="Z206" i="23"/>
  <c r="X206" i="23"/>
  <c r="W206" i="23"/>
  <c r="V206" i="23"/>
  <c r="U207" i="23"/>
  <c r="Y206" i="23"/>
  <c r="C207" i="23"/>
  <c r="F206" i="23"/>
  <c r="E206" i="23"/>
  <c r="D206" i="23"/>
  <c r="G206" i="23"/>
  <c r="O208" i="23"/>
  <c r="N208" i="23"/>
  <c r="L209" i="23"/>
  <c r="M208" i="23"/>
  <c r="R208" i="23"/>
  <c r="Q208" i="23"/>
  <c r="S208" i="23"/>
  <c r="P208" i="23"/>
  <c r="C208" i="22"/>
  <c r="D207" i="22"/>
  <c r="E207" i="22"/>
  <c r="F207" i="22"/>
  <c r="G207" i="22"/>
  <c r="U208" i="22"/>
  <c r="V207" i="22"/>
  <c r="X207" i="22"/>
  <c r="W207" i="22"/>
  <c r="Y207" i="22"/>
  <c r="AD207" i="22"/>
  <c r="L207" i="22"/>
  <c r="M206" i="22"/>
  <c r="O206" i="22"/>
  <c r="N206" i="22"/>
  <c r="P206" i="22"/>
  <c r="S74" i="7"/>
  <c r="O75" i="7"/>
  <c r="P75" i="7"/>
  <c r="N75" i="7"/>
  <c r="M75" i="7"/>
  <c r="I75" i="7"/>
  <c r="J75" i="7"/>
  <c r="H75" i="7"/>
  <c r="G76" i="7"/>
  <c r="F76" i="7"/>
  <c r="E76" i="7"/>
  <c r="D76" i="7"/>
  <c r="Y75" i="7"/>
  <c r="X75" i="7"/>
  <c r="AB75" i="7" s="1"/>
  <c r="W75" i="7"/>
  <c r="AA75" i="7" s="1"/>
  <c r="V75" i="7"/>
  <c r="U76" i="7"/>
  <c r="S206" i="22" l="1"/>
  <c r="R206" i="22"/>
  <c r="Q206" i="22"/>
  <c r="AA207" i="22"/>
  <c r="Z207" i="22"/>
  <c r="AB207" i="22"/>
  <c r="AS208" i="22"/>
  <c r="AT208" i="22"/>
  <c r="AM209" i="22"/>
  <c r="AQ208" i="22"/>
  <c r="AR208" i="22"/>
  <c r="AP208" i="22"/>
  <c r="AN208" i="22"/>
  <c r="AO208" i="22"/>
  <c r="AD209" i="23"/>
  <c r="AJ208" i="23"/>
  <c r="AE208" i="23"/>
  <c r="AH208" i="23"/>
  <c r="AK208" i="23"/>
  <c r="AI208" i="23"/>
  <c r="AG208" i="23"/>
  <c r="AF208" i="23"/>
  <c r="AT208" i="23"/>
  <c r="AS208" i="23"/>
  <c r="AP208" i="23"/>
  <c r="AO208" i="23"/>
  <c r="AR208" i="23"/>
  <c r="AM209" i="23"/>
  <c r="AQ208" i="23"/>
  <c r="AN208" i="23"/>
  <c r="AD205" i="7"/>
  <c r="AH204" i="7"/>
  <c r="AE204" i="7"/>
  <c r="AF204" i="7"/>
  <c r="AG204" i="7"/>
  <c r="AI204" i="7"/>
  <c r="AJ204" i="7"/>
  <c r="AK204" i="7"/>
  <c r="AK207" i="22"/>
  <c r="AE207" i="22"/>
  <c r="AJ207" i="22"/>
  <c r="AI207" i="22"/>
  <c r="AG207" i="22"/>
  <c r="AF207" i="22"/>
  <c r="AH207" i="22"/>
  <c r="AM204" i="7"/>
  <c r="AT203" i="7"/>
  <c r="AS203" i="7"/>
  <c r="AO203" i="7"/>
  <c r="AQ203" i="7"/>
  <c r="AP203" i="7"/>
  <c r="AN203" i="7"/>
  <c r="AR203" i="7"/>
  <c r="Q75" i="7"/>
  <c r="H206" i="23"/>
  <c r="R75" i="7"/>
  <c r="I206" i="23"/>
  <c r="J207" i="22"/>
  <c r="J206" i="23"/>
  <c r="I207" i="22"/>
  <c r="AB207" i="23"/>
  <c r="AA207" i="23"/>
  <c r="Z207" i="23"/>
  <c r="X207" i="23"/>
  <c r="U208" i="23"/>
  <c r="V207" i="23"/>
  <c r="W207" i="23"/>
  <c r="Y207" i="23"/>
  <c r="O209" i="23"/>
  <c r="N209" i="23"/>
  <c r="L210" i="23"/>
  <c r="M209" i="23"/>
  <c r="Q209" i="23"/>
  <c r="R209" i="23"/>
  <c r="S209" i="23"/>
  <c r="P209" i="23"/>
  <c r="E207" i="23"/>
  <c r="D207" i="23"/>
  <c r="C208" i="23"/>
  <c r="F207" i="23"/>
  <c r="G207" i="23"/>
  <c r="AD208" i="22"/>
  <c r="L208" i="22"/>
  <c r="M207" i="22"/>
  <c r="N207" i="22"/>
  <c r="O207" i="22"/>
  <c r="P207" i="22"/>
  <c r="H207" i="22"/>
  <c r="V208" i="22"/>
  <c r="U209" i="22"/>
  <c r="W208" i="22"/>
  <c r="X208" i="22"/>
  <c r="Y208" i="22"/>
  <c r="F208" i="22"/>
  <c r="D208" i="22"/>
  <c r="E208" i="22"/>
  <c r="C209" i="22"/>
  <c r="G208" i="22"/>
  <c r="Z75" i="7"/>
  <c r="S75" i="7"/>
  <c r="O76" i="7"/>
  <c r="N76" i="7"/>
  <c r="P76" i="7"/>
  <c r="M76" i="7"/>
  <c r="I76" i="7"/>
  <c r="J76" i="7"/>
  <c r="H76" i="7"/>
  <c r="G77" i="7"/>
  <c r="F77" i="7"/>
  <c r="E77" i="7"/>
  <c r="D77" i="7"/>
  <c r="Y76" i="7"/>
  <c r="X76" i="7"/>
  <c r="AB76" i="7" s="1"/>
  <c r="W76" i="7"/>
  <c r="AA76" i="7" s="1"/>
  <c r="V76" i="7"/>
  <c r="U77" i="7"/>
  <c r="R207" i="22" l="1"/>
  <c r="Q207" i="22"/>
  <c r="S207" i="22"/>
  <c r="AA208" i="22"/>
  <c r="AB208" i="22"/>
  <c r="Z208" i="22"/>
  <c r="AS209" i="22"/>
  <c r="AN209" i="22"/>
  <c r="AM210" i="22"/>
  <c r="AT209" i="22"/>
  <c r="AQ209" i="22"/>
  <c r="AO209" i="22"/>
  <c r="AP209" i="22"/>
  <c r="AR209" i="22"/>
  <c r="AD210" i="23"/>
  <c r="AK209" i="23"/>
  <c r="AJ209" i="23"/>
  <c r="AI209" i="23"/>
  <c r="AH209" i="23"/>
  <c r="AG209" i="23"/>
  <c r="AF209" i="23"/>
  <c r="AE209" i="23"/>
  <c r="AM210" i="23"/>
  <c r="AT209" i="23"/>
  <c r="AS209" i="23"/>
  <c r="AR209" i="23"/>
  <c r="AQ209" i="23"/>
  <c r="AP209" i="23"/>
  <c r="AO209" i="23"/>
  <c r="AN209" i="23"/>
  <c r="AD206" i="7"/>
  <c r="AH205" i="7"/>
  <c r="AE205" i="7"/>
  <c r="AF205" i="7"/>
  <c r="AG205" i="7"/>
  <c r="AI205" i="7"/>
  <c r="AJ205" i="7"/>
  <c r="AK205" i="7"/>
  <c r="AJ208" i="22"/>
  <c r="AF208" i="22"/>
  <c r="AK208" i="22"/>
  <c r="AI208" i="22"/>
  <c r="AG208" i="22"/>
  <c r="AE208" i="22"/>
  <c r="AH208" i="22"/>
  <c r="AM205" i="7"/>
  <c r="AT204" i="7"/>
  <c r="AS204" i="7"/>
  <c r="AR204" i="7"/>
  <c r="AQ204" i="7"/>
  <c r="AP204" i="7"/>
  <c r="AO204" i="7"/>
  <c r="AN204" i="7"/>
  <c r="Q76" i="7"/>
  <c r="H207" i="23"/>
  <c r="S76" i="7"/>
  <c r="J207" i="23"/>
  <c r="I208" i="22"/>
  <c r="J77" i="7"/>
  <c r="I207" i="23"/>
  <c r="H208" i="22"/>
  <c r="L211" i="23"/>
  <c r="N210" i="23"/>
  <c r="M210" i="23"/>
  <c r="S210" i="23"/>
  <c r="R210" i="23"/>
  <c r="Q210" i="23"/>
  <c r="O210" i="23"/>
  <c r="P210" i="23"/>
  <c r="U209" i="23"/>
  <c r="AB208" i="23"/>
  <c r="AA208" i="23"/>
  <c r="Z208" i="23"/>
  <c r="W208" i="23"/>
  <c r="X208" i="23"/>
  <c r="V208" i="23"/>
  <c r="Y208" i="23"/>
  <c r="C209" i="23"/>
  <c r="E208" i="23"/>
  <c r="D208" i="23"/>
  <c r="F208" i="23"/>
  <c r="G208" i="23"/>
  <c r="AD209" i="22"/>
  <c r="L209" i="22"/>
  <c r="O208" i="22"/>
  <c r="N208" i="22"/>
  <c r="M208" i="22"/>
  <c r="P208" i="22"/>
  <c r="J208" i="22"/>
  <c r="D209" i="22"/>
  <c r="F209" i="22"/>
  <c r="E209" i="22"/>
  <c r="C210" i="22"/>
  <c r="G209" i="22"/>
  <c r="U210" i="22"/>
  <c r="V209" i="22"/>
  <c r="X209" i="22"/>
  <c r="W209" i="22"/>
  <c r="AA209" i="22" s="1"/>
  <c r="Y209" i="22"/>
  <c r="R76" i="7"/>
  <c r="Z76" i="7"/>
  <c r="P77" i="7"/>
  <c r="M77" i="7"/>
  <c r="N77" i="7"/>
  <c r="O77" i="7"/>
  <c r="H77" i="7"/>
  <c r="I77" i="7"/>
  <c r="Y77" i="7"/>
  <c r="X77" i="7"/>
  <c r="Z77" i="7" s="1"/>
  <c r="W77" i="7"/>
  <c r="V77" i="7"/>
  <c r="U78" i="7"/>
  <c r="AB77" i="7"/>
  <c r="AA77" i="7"/>
  <c r="G78" i="7"/>
  <c r="F78" i="7"/>
  <c r="E78" i="7"/>
  <c r="D78" i="7"/>
  <c r="Q208" i="22" l="1"/>
  <c r="S208" i="22"/>
  <c r="R208" i="22"/>
  <c r="AB209" i="22"/>
  <c r="Z209" i="22"/>
  <c r="AR210" i="22"/>
  <c r="AN210" i="22"/>
  <c r="AT210" i="22"/>
  <c r="AO210" i="22"/>
  <c r="AQ210" i="22"/>
  <c r="AM211" i="22"/>
  <c r="AS210" i="22"/>
  <c r="AP210" i="22"/>
  <c r="AG210" i="23"/>
  <c r="AK210" i="23"/>
  <c r="AI210" i="23"/>
  <c r="AE210" i="23"/>
  <c r="AJ210" i="23"/>
  <c r="AH210" i="23"/>
  <c r="AF210" i="23"/>
  <c r="AD211" i="23"/>
  <c r="AS210" i="23"/>
  <c r="AN210" i="23"/>
  <c r="AQ210" i="23"/>
  <c r="AM211" i="23"/>
  <c r="AP210" i="23"/>
  <c r="AT210" i="23"/>
  <c r="AR210" i="23"/>
  <c r="AO210" i="23"/>
  <c r="AD207" i="7"/>
  <c r="AH206" i="7"/>
  <c r="AE206" i="7"/>
  <c r="AF206" i="7"/>
  <c r="AG206" i="7"/>
  <c r="AI206" i="7"/>
  <c r="AJ206" i="7"/>
  <c r="AK206" i="7"/>
  <c r="AK209" i="22"/>
  <c r="AI209" i="22"/>
  <c r="AG209" i="22"/>
  <c r="AE209" i="22"/>
  <c r="AJ209" i="22"/>
  <c r="AF209" i="22"/>
  <c r="AH209" i="22"/>
  <c r="AT205" i="7"/>
  <c r="AQ205" i="7"/>
  <c r="AN205" i="7"/>
  <c r="AM206" i="7"/>
  <c r="AS205" i="7"/>
  <c r="AR205" i="7"/>
  <c r="AP205" i="7"/>
  <c r="AO205" i="7"/>
  <c r="Q77" i="7"/>
  <c r="R77" i="7"/>
  <c r="H209" i="22"/>
  <c r="H78" i="7"/>
  <c r="I209" i="22"/>
  <c r="J208" i="23"/>
  <c r="J209" i="22"/>
  <c r="I208" i="23"/>
  <c r="C210" i="23"/>
  <c r="F209" i="23"/>
  <c r="E209" i="23"/>
  <c r="D209" i="23"/>
  <c r="G209" i="23"/>
  <c r="H208" i="23"/>
  <c r="AB209" i="23"/>
  <c r="AA209" i="23"/>
  <c r="Z209" i="23"/>
  <c r="W209" i="23"/>
  <c r="U210" i="23"/>
  <c r="X209" i="23"/>
  <c r="V209" i="23"/>
  <c r="Y209" i="23"/>
  <c r="L212" i="23"/>
  <c r="Q211" i="23"/>
  <c r="O211" i="23"/>
  <c r="N211" i="23"/>
  <c r="M211" i="23"/>
  <c r="R211" i="23"/>
  <c r="S211" i="23"/>
  <c r="P211" i="23"/>
  <c r="E210" i="22"/>
  <c r="C211" i="22"/>
  <c r="F210" i="22"/>
  <c r="G210" i="22"/>
  <c r="D210" i="22"/>
  <c r="N209" i="22"/>
  <c r="M209" i="22"/>
  <c r="L210" i="22"/>
  <c r="O209" i="22"/>
  <c r="P209" i="22"/>
  <c r="AD210" i="22"/>
  <c r="U211" i="22"/>
  <c r="V210" i="22"/>
  <c r="W210" i="22"/>
  <c r="AA210" i="22" s="1"/>
  <c r="X210" i="22"/>
  <c r="AB210" i="22" s="1"/>
  <c r="Y210" i="22"/>
  <c r="J78" i="7"/>
  <c r="S77" i="7"/>
  <c r="O78" i="7"/>
  <c r="P78" i="7"/>
  <c r="N78" i="7"/>
  <c r="M78" i="7"/>
  <c r="I78" i="7"/>
  <c r="Y78" i="7"/>
  <c r="X78" i="7"/>
  <c r="Z78" i="7" s="1"/>
  <c r="W78" i="7"/>
  <c r="V78" i="7"/>
  <c r="U79" i="7"/>
  <c r="AB78" i="7"/>
  <c r="AA78" i="7"/>
  <c r="G79" i="7"/>
  <c r="F79" i="7"/>
  <c r="E79" i="7"/>
  <c r="D79" i="7"/>
  <c r="R209" i="22" l="1"/>
  <c r="Q209" i="22"/>
  <c r="S209" i="22"/>
  <c r="Z210" i="22"/>
  <c r="AQ211" i="22"/>
  <c r="AO211" i="22"/>
  <c r="AS211" i="22"/>
  <c r="AN211" i="22"/>
  <c r="AR211" i="22"/>
  <c r="AM212" i="22"/>
  <c r="AT211" i="22"/>
  <c r="AP211" i="22"/>
  <c r="AD212" i="23"/>
  <c r="AH211" i="23"/>
  <c r="AF211" i="23"/>
  <c r="AK211" i="23"/>
  <c r="AJ211" i="23"/>
  <c r="AI211" i="23"/>
  <c r="AG211" i="23"/>
  <c r="AE211" i="23"/>
  <c r="AM212" i="23"/>
  <c r="AS211" i="23"/>
  <c r="AR211" i="23"/>
  <c r="AP211" i="23"/>
  <c r="AN211" i="23"/>
  <c r="AT211" i="23"/>
  <c r="AQ211" i="23"/>
  <c r="AO211" i="23"/>
  <c r="AD208" i="7"/>
  <c r="AH207" i="7"/>
  <c r="AE207" i="7"/>
  <c r="AF207" i="7"/>
  <c r="AG207" i="7"/>
  <c r="AI207" i="7"/>
  <c r="AJ207" i="7"/>
  <c r="AK207" i="7"/>
  <c r="AJ210" i="22"/>
  <c r="AF210" i="22"/>
  <c r="AK210" i="22"/>
  <c r="AI210" i="22"/>
  <c r="AG210" i="22"/>
  <c r="AE210" i="22"/>
  <c r="AH210" i="22"/>
  <c r="AM207" i="7"/>
  <c r="AT206" i="7"/>
  <c r="AS206" i="7"/>
  <c r="AQ206" i="7"/>
  <c r="AP206" i="7"/>
  <c r="AO206" i="7"/>
  <c r="AN206" i="7"/>
  <c r="AR206" i="7"/>
  <c r="Q78" i="7"/>
  <c r="R78" i="7"/>
  <c r="H210" i="22"/>
  <c r="H209" i="23"/>
  <c r="S78" i="7"/>
  <c r="I210" i="22"/>
  <c r="I209" i="23"/>
  <c r="J209" i="23"/>
  <c r="S212" i="23"/>
  <c r="R212" i="23"/>
  <c r="Q212" i="23"/>
  <c r="L213" i="23"/>
  <c r="O212" i="23"/>
  <c r="M212" i="23"/>
  <c r="N212" i="23"/>
  <c r="P212" i="23"/>
  <c r="AB210" i="23"/>
  <c r="AA210" i="23"/>
  <c r="Z210" i="23"/>
  <c r="X210" i="23"/>
  <c r="V210" i="23"/>
  <c r="W210" i="23"/>
  <c r="U211" i="23"/>
  <c r="Y210" i="23"/>
  <c r="C211" i="23"/>
  <c r="D210" i="23"/>
  <c r="F210" i="23"/>
  <c r="E210" i="23"/>
  <c r="G210" i="23"/>
  <c r="AD211" i="22"/>
  <c r="J210" i="22"/>
  <c r="C212" i="22"/>
  <c r="D211" i="22"/>
  <c r="E211" i="22"/>
  <c r="F211" i="22"/>
  <c r="G211" i="22"/>
  <c r="M210" i="22"/>
  <c r="O210" i="22"/>
  <c r="S210" i="22" s="1"/>
  <c r="N210" i="22"/>
  <c r="R210" i="22" s="1"/>
  <c r="L211" i="22"/>
  <c r="P210" i="22"/>
  <c r="V211" i="22"/>
  <c r="X211" i="22"/>
  <c r="W211" i="22"/>
  <c r="U212" i="22"/>
  <c r="Y211" i="22"/>
  <c r="N79" i="7"/>
  <c r="M79" i="7"/>
  <c r="P79" i="7"/>
  <c r="O79" i="7"/>
  <c r="I79" i="7"/>
  <c r="J79" i="7"/>
  <c r="H79" i="7"/>
  <c r="G80" i="7"/>
  <c r="F80" i="7"/>
  <c r="E80" i="7"/>
  <c r="D80" i="7"/>
  <c r="Y79" i="7"/>
  <c r="X79" i="7"/>
  <c r="AB79" i="7" s="1"/>
  <c r="W79" i="7"/>
  <c r="AA79" i="7" s="1"/>
  <c r="V79" i="7"/>
  <c r="U80" i="7"/>
  <c r="Q210" i="22" l="1"/>
  <c r="AB211" i="22"/>
  <c r="AA211" i="22"/>
  <c r="Z211" i="22"/>
  <c r="AR212" i="22"/>
  <c r="AS212" i="22"/>
  <c r="AQ212" i="22"/>
  <c r="AM213" i="22"/>
  <c r="AT212" i="22"/>
  <c r="AP212" i="22"/>
  <c r="AO212" i="22"/>
  <c r="AN212" i="22"/>
  <c r="AD213" i="23"/>
  <c r="AK212" i="23"/>
  <c r="AJ212" i="23"/>
  <c r="AI212" i="23"/>
  <c r="AH212" i="23"/>
  <c r="AG212" i="23"/>
  <c r="AF212" i="23"/>
  <c r="AE212" i="23"/>
  <c r="AM213" i="23"/>
  <c r="AT212" i="23"/>
  <c r="AS212" i="23"/>
  <c r="AR212" i="23"/>
  <c r="AQ212" i="23"/>
  <c r="AP212" i="23"/>
  <c r="AO212" i="23"/>
  <c r="AN212" i="23"/>
  <c r="AD209" i="7"/>
  <c r="AH208" i="7"/>
  <c r="AE208" i="7"/>
  <c r="AF208" i="7"/>
  <c r="AG208" i="7"/>
  <c r="AI208" i="7"/>
  <c r="AJ208" i="7"/>
  <c r="AK208" i="7"/>
  <c r="AJ211" i="22"/>
  <c r="AI211" i="22"/>
  <c r="AG211" i="22"/>
  <c r="AE211" i="22"/>
  <c r="AK211" i="22"/>
  <c r="AF211" i="22"/>
  <c r="AH211" i="22"/>
  <c r="AM208" i="7"/>
  <c r="AT207" i="7"/>
  <c r="AS207" i="7"/>
  <c r="AR207" i="7"/>
  <c r="AQ207" i="7"/>
  <c r="AP207" i="7"/>
  <c r="AO207" i="7"/>
  <c r="AN207" i="7"/>
  <c r="Q79" i="7"/>
  <c r="H211" i="22"/>
  <c r="H210" i="23"/>
  <c r="R79" i="7"/>
  <c r="I210" i="23"/>
  <c r="J210" i="23"/>
  <c r="I211" i="22"/>
  <c r="J211" i="22"/>
  <c r="U212" i="23"/>
  <c r="AB211" i="23"/>
  <c r="AA211" i="23"/>
  <c r="X211" i="23"/>
  <c r="Z211" i="23"/>
  <c r="W211" i="23"/>
  <c r="V211" i="23"/>
  <c r="Y211" i="23"/>
  <c r="C212" i="23"/>
  <c r="F211" i="23"/>
  <c r="D211" i="23"/>
  <c r="E211" i="23"/>
  <c r="G211" i="23"/>
  <c r="S213" i="23"/>
  <c r="L214" i="23"/>
  <c r="O213" i="23"/>
  <c r="N213" i="23"/>
  <c r="M213" i="23"/>
  <c r="R213" i="23"/>
  <c r="Q213" i="23"/>
  <c r="P213" i="23"/>
  <c r="O211" i="22"/>
  <c r="Q211" i="22" s="1"/>
  <c r="N211" i="22"/>
  <c r="L212" i="22"/>
  <c r="M211" i="22"/>
  <c r="P211" i="22"/>
  <c r="AD212" i="22"/>
  <c r="D212" i="22"/>
  <c r="C213" i="22"/>
  <c r="E212" i="22"/>
  <c r="F212" i="22"/>
  <c r="G212" i="22"/>
  <c r="X212" i="22"/>
  <c r="W212" i="22"/>
  <c r="V212" i="22"/>
  <c r="U213" i="22"/>
  <c r="Y212" i="22"/>
  <c r="Z79" i="7"/>
  <c r="S79" i="7"/>
  <c r="N80" i="7"/>
  <c r="O80" i="7"/>
  <c r="P80" i="7"/>
  <c r="M80" i="7"/>
  <c r="J80" i="7"/>
  <c r="I80" i="7"/>
  <c r="H80" i="7"/>
  <c r="G81" i="7"/>
  <c r="F81" i="7"/>
  <c r="E81" i="7"/>
  <c r="D81" i="7"/>
  <c r="Y80" i="7"/>
  <c r="X80" i="7"/>
  <c r="AB80" i="7" s="1"/>
  <c r="W80" i="7"/>
  <c r="AA80" i="7" s="1"/>
  <c r="V80" i="7"/>
  <c r="U81" i="7"/>
  <c r="S211" i="22" l="1"/>
  <c r="R211" i="22"/>
  <c r="Z212" i="22"/>
  <c r="AB212" i="22"/>
  <c r="AA212" i="22"/>
  <c r="AO213" i="22"/>
  <c r="AS213" i="22"/>
  <c r="AQ213" i="22"/>
  <c r="AM214" i="22"/>
  <c r="AT213" i="22"/>
  <c r="AR213" i="22"/>
  <c r="AN213" i="22"/>
  <c r="AP213" i="22"/>
  <c r="AD214" i="23"/>
  <c r="AK213" i="23"/>
  <c r="AJ213" i="23"/>
  <c r="AI213" i="23"/>
  <c r="AH213" i="23"/>
  <c r="AG213" i="23"/>
  <c r="AF213" i="23"/>
  <c r="AE213" i="23"/>
  <c r="AM214" i="23"/>
  <c r="AT213" i="23"/>
  <c r="AS213" i="23"/>
  <c r="AR213" i="23"/>
  <c r="AQ213" i="23"/>
  <c r="AP213" i="23"/>
  <c r="AO213" i="23"/>
  <c r="AN213" i="23"/>
  <c r="AD210" i="7"/>
  <c r="AH209" i="7"/>
  <c r="AE209" i="7"/>
  <c r="AF209" i="7"/>
  <c r="AG209" i="7"/>
  <c r="AI209" i="7"/>
  <c r="AJ209" i="7"/>
  <c r="AK209" i="7"/>
  <c r="AJ212" i="22"/>
  <c r="AF212" i="22"/>
  <c r="AE212" i="22"/>
  <c r="AK212" i="22"/>
  <c r="AI212" i="22"/>
  <c r="AG212" i="22"/>
  <c r="AH212" i="22"/>
  <c r="AM209" i="7"/>
  <c r="AT208" i="7"/>
  <c r="AQ208" i="7"/>
  <c r="AP208" i="7"/>
  <c r="AO208" i="7"/>
  <c r="AN208" i="7"/>
  <c r="AS208" i="7"/>
  <c r="AR208" i="7"/>
  <c r="Q80" i="7"/>
  <c r="H212" i="22"/>
  <c r="H211" i="23"/>
  <c r="I211" i="23"/>
  <c r="J211" i="23"/>
  <c r="I212" i="22"/>
  <c r="C213" i="23"/>
  <c r="D212" i="23"/>
  <c r="F212" i="23"/>
  <c r="E212" i="23"/>
  <c r="G212" i="23"/>
  <c r="R214" i="23"/>
  <c r="L215" i="23"/>
  <c r="O214" i="23"/>
  <c r="S214" i="23"/>
  <c r="Q214" i="23"/>
  <c r="N214" i="23"/>
  <c r="M214" i="23"/>
  <c r="P214" i="23"/>
  <c r="AA212" i="23"/>
  <c r="U213" i="23"/>
  <c r="X212" i="23"/>
  <c r="AB212" i="23"/>
  <c r="W212" i="23"/>
  <c r="Z212" i="23"/>
  <c r="V212" i="23"/>
  <c r="Y212" i="23"/>
  <c r="J212" i="22"/>
  <c r="F213" i="22"/>
  <c r="C214" i="22"/>
  <c r="D213" i="22"/>
  <c r="E213" i="22"/>
  <c r="G213" i="22"/>
  <c r="N212" i="22"/>
  <c r="O212" i="22"/>
  <c r="M212" i="22"/>
  <c r="L213" i="22"/>
  <c r="P212" i="22"/>
  <c r="V213" i="22"/>
  <c r="U214" i="22"/>
  <c r="W213" i="22"/>
  <c r="X213" i="22"/>
  <c r="Y213" i="22"/>
  <c r="AD213" i="22"/>
  <c r="S80" i="7"/>
  <c r="R80" i="7"/>
  <c r="Z80" i="7"/>
  <c r="P81" i="7"/>
  <c r="O81" i="7"/>
  <c r="N81" i="7"/>
  <c r="M81" i="7"/>
  <c r="I81" i="7"/>
  <c r="J81" i="7"/>
  <c r="H81" i="7"/>
  <c r="Y81" i="7"/>
  <c r="X81" i="7"/>
  <c r="Z81" i="7" s="1"/>
  <c r="W81" i="7"/>
  <c r="V81" i="7"/>
  <c r="U82" i="7"/>
  <c r="AB81" i="7"/>
  <c r="AA81" i="7"/>
  <c r="G82" i="7"/>
  <c r="F82" i="7"/>
  <c r="E82" i="7"/>
  <c r="D82" i="7"/>
  <c r="R212" i="22" l="1"/>
  <c r="Q212" i="22"/>
  <c r="S212" i="22"/>
  <c r="AA213" i="22"/>
  <c r="Z213" i="22"/>
  <c r="AB213" i="22"/>
  <c r="AR214" i="22"/>
  <c r="AP214" i="22"/>
  <c r="AM215" i="22"/>
  <c r="AO214" i="22"/>
  <c r="AT214" i="22"/>
  <c r="AS214" i="22"/>
  <c r="AN214" i="22"/>
  <c r="AQ214" i="22"/>
  <c r="AD215" i="23"/>
  <c r="AJ214" i="23"/>
  <c r="AH214" i="23"/>
  <c r="AE214" i="23"/>
  <c r="AK214" i="23"/>
  <c r="AI214" i="23"/>
  <c r="AF214" i="23"/>
  <c r="AG214" i="23"/>
  <c r="AT214" i="23"/>
  <c r="AS214" i="23"/>
  <c r="AR214" i="23"/>
  <c r="AQ214" i="23"/>
  <c r="AP214" i="23"/>
  <c r="AN214" i="23"/>
  <c r="AM215" i="23"/>
  <c r="AO214" i="23"/>
  <c r="AD211" i="7"/>
  <c r="AH210" i="7"/>
  <c r="AE210" i="7"/>
  <c r="AF210" i="7"/>
  <c r="AG210" i="7"/>
  <c r="AI210" i="7"/>
  <c r="AJ210" i="7"/>
  <c r="AK210" i="7"/>
  <c r="AJ213" i="22"/>
  <c r="AI213" i="22"/>
  <c r="AG213" i="22"/>
  <c r="AE213" i="22"/>
  <c r="AK213" i="22"/>
  <c r="AF213" i="22"/>
  <c r="AH213" i="22"/>
  <c r="AP209" i="7"/>
  <c r="AO209" i="7"/>
  <c r="AN209" i="7"/>
  <c r="AM210" i="7"/>
  <c r="AT209" i="7"/>
  <c r="AS209" i="7"/>
  <c r="AR209" i="7"/>
  <c r="AQ209" i="7"/>
  <c r="Q81" i="7"/>
  <c r="H212" i="23"/>
  <c r="I212" i="23"/>
  <c r="J212" i="23"/>
  <c r="R81" i="7"/>
  <c r="I213" i="22"/>
  <c r="J213" i="22"/>
  <c r="W213" i="23"/>
  <c r="AB213" i="23"/>
  <c r="Z213" i="23"/>
  <c r="AA213" i="23"/>
  <c r="U214" i="23"/>
  <c r="X213" i="23"/>
  <c r="V213" i="23"/>
  <c r="Y213" i="23"/>
  <c r="N215" i="23"/>
  <c r="S215" i="23"/>
  <c r="Q215" i="23"/>
  <c r="R215" i="23"/>
  <c r="L216" i="23"/>
  <c r="O215" i="23"/>
  <c r="M215" i="23"/>
  <c r="P215" i="23"/>
  <c r="C214" i="23"/>
  <c r="F213" i="23"/>
  <c r="E213" i="23"/>
  <c r="D213" i="23"/>
  <c r="G213" i="23"/>
  <c r="G214" i="22"/>
  <c r="E214" i="22"/>
  <c r="C215" i="22"/>
  <c r="D214" i="22"/>
  <c r="F214" i="22"/>
  <c r="H213" i="22"/>
  <c r="V214" i="22"/>
  <c r="W214" i="22"/>
  <c r="X214" i="22"/>
  <c r="AB214" i="22" s="1"/>
  <c r="U215" i="22"/>
  <c r="Y214" i="22"/>
  <c r="M213" i="22"/>
  <c r="N213" i="22"/>
  <c r="L214" i="22"/>
  <c r="O213" i="22"/>
  <c r="P213" i="22"/>
  <c r="AD214" i="22"/>
  <c r="S81" i="7"/>
  <c r="N82" i="7"/>
  <c r="P82" i="7"/>
  <c r="O82" i="7"/>
  <c r="M82" i="7"/>
  <c r="I82" i="7"/>
  <c r="J82" i="7"/>
  <c r="H82" i="7"/>
  <c r="G83" i="7"/>
  <c r="F83" i="7"/>
  <c r="E83" i="7"/>
  <c r="D83" i="7"/>
  <c r="Y82" i="7"/>
  <c r="X82" i="7"/>
  <c r="Z82" i="7" s="1"/>
  <c r="W82" i="7"/>
  <c r="AA82" i="7" s="1"/>
  <c r="V82" i="7"/>
  <c r="U83" i="7"/>
  <c r="AB82" i="7"/>
  <c r="R213" i="22" l="1"/>
  <c r="S213" i="22"/>
  <c r="Q213" i="22"/>
  <c r="AA214" i="22"/>
  <c r="Z214" i="22"/>
  <c r="AT215" i="22"/>
  <c r="AQ215" i="22"/>
  <c r="AN215" i="22"/>
  <c r="AO215" i="22"/>
  <c r="AS215" i="22"/>
  <c r="AM216" i="22"/>
  <c r="AR215" i="22"/>
  <c r="AP215" i="22"/>
  <c r="AD216" i="23"/>
  <c r="AK215" i="23"/>
  <c r="AJ215" i="23"/>
  <c r="AI215" i="23"/>
  <c r="AH215" i="23"/>
  <c r="AG215" i="23"/>
  <c r="AF215" i="23"/>
  <c r="AE215" i="23"/>
  <c r="AN215" i="23"/>
  <c r="AM216" i="23"/>
  <c r="AT215" i="23"/>
  <c r="AS215" i="23"/>
  <c r="AR215" i="23"/>
  <c r="AQ215" i="23"/>
  <c r="AP215" i="23"/>
  <c r="AO215" i="23"/>
  <c r="AD212" i="7"/>
  <c r="AH211" i="7"/>
  <c r="AE211" i="7"/>
  <c r="AF211" i="7"/>
  <c r="AG211" i="7"/>
  <c r="AI211" i="7"/>
  <c r="AJ211" i="7"/>
  <c r="AK211" i="7"/>
  <c r="AK214" i="22"/>
  <c r="AF214" i="22"/>
  <c r="AE214" i="22"/>
  <c r="AJ214" i="22"/>
  <c r="AI214" i="22"/>
  <c r="AG214" i="22"/>
  <c r="AH214" i="22"/>
  <c r="AP210" i="7"/>
  <c r="AO210" i="7"/>
  <c r="AN210" i="7"/>
  <c r="AM211" i="7"/>
  <c r="AT210" i="7"/>
  <c r="AS210" i="7"/>
  <c r="AR210" i="7"/>
  <c r="AQ210" i="7"/>
  <c r="Q82" i="7"/>
  <c r="S82" i="7"/>
  <c r="H213" i="23"/>
  <c r="I213" i="23"/>
  <c r="J214" i="22"/>
  <c r="H214" i="22"/>
  <c r="I214" i="22"/>
  <c r="E214" i="23"/>
  <c r="C215" i="23"/>
  <c r="F214" i="23"/>
  <c r="D214" i="23"/>
  <c r="G214" i="23"/>
  <c r="AB214" i="23"/>
  <c r="U215" i="23"/>
  <c r="AA214" i="23"/>
  <c r="Z214" i="23"/>
  <c r="X214" i="23"/>
  <c r="V214" i="23"/>
  <c r="W214" i="23"/>
  <c r="Y214" i="23"/>
  <c r="J213" i="23"/>
  <c r="S216" i="23"/>
  <c r="L217" i="23"/>
  <c r="R216" i="23"/>
  <c r="Q216" i="23"/>
  <c r="O216" i="23"/>
  <c r="M216" i="23"/>
  <c r="N216" i="23"/>
  <c r="P216" i="23"/>
  <c r="N214" i="22"/>
  <c r="M214" i="22"/>
  <c r="R214" i="22" s="1"/>
  <c r="L215" i="22"/>
  <c r="O214" i="22"/>
  <c r="P214" i="22"/>
  <c r="D215" i="22"/>
  <c r="C216" i="22"/>
  <c r="F215" i="22"/>
  <c r="E215" i="22"/>
  <c r="G215" i="22"/>
  <c r="U216" i="22"/>
  <c r="W215" i="22"/>
  <c r="V215" i="22"/>
  <c r="X215" i="22"/>
  <c r="Y215" i="22"/>
  <c r="AD215" i="22"/>
  <c r="R82" i="7"/>
  <c r="N83" i="7"/>
  <c r="O83" i="7"/>
  <c r="M83" i="7"/>
  <c r="P83" i="7"/>
  <c r="H83" i="7"/>
  <c r="I83" i="7"/>
  <c r="J83" i="7"/>
  <c r="G84" i="7"/>
  <c r="F84" i="7"/>
  <c r="E84" i="7"/>
  <c r="D84" i="7"/>
  <c r="Y83" i="7"/>
  <c r="X83" i="7"/>
  <c r="AB83" i="7" s="1"/>
  <c r="W83" i="7"/>
  <c r="AA83" i="7" s="1"/>
  <c r="V83" i="7"/>
  <c r="U84" i="7"/>
  <c r="S214" i="22" l="1"/>
  <c r="Q214" i="22"/>
  <c r="AA215" i="22"/>
  <c r="Z215" i="22"/>
  <c r="AB215" i="22"/>
  <c r="AM217" i="22"/>
  <c r="AQ216" i="22"/>
  <c r="AN216" i="22"/>
  <c r="AR216" i="22"/>
  <c r="AS216" i="22"/>
  <c r="AP216" i="22"/>
  <c r="AT216" i="22"/>
  <c r="AO216" i="22"/>
  <c r="AD217" i="23"/>
  <c r="AK216" i="23"/>
  <c r="AJ216" i="23"/>
  <c r="AI216" i="23"/>
  <c r="AH216" i="23"/>
  <c r="AG216" i="23"/>
  <c r="AF216" i="23"/>
  <c r="AE216" i="23"/>
  <c r="AM217" i="23"/>
  <c r="AT216" i="23"/>
  <c r="AS216" i="23"/>
  <c r="AR216" i="23"/>
  <c r="AQ216" i="23"/>
  <c r="AP216" i="23"/>
  <c r="AO216" i="23"/>
  <c r="AN216" i="23"/>
  <c r="AD213" i="7"/>
  <c r="AH212" i="7"/>
  <c r="AE212" i="7"/>
  <c r="AF212" i="7"/>
  <c r="AG212" i="7"/>
  <c r="AI212" i="7"/>
  <c r="AJ212" i="7"/>
  <c r="AK212" i="7"/>
  <c r="AK215" i="22"/>
  <c r="AI215" i="22"/>
  <c r="AG215" i="22"/>
  <c r="AF215" i="22"/>
  <c r="AJ215" i="22"/>
  <c r="AE215" i="22"/>
  <c r="AH215" i="22"/>
  <c r="AP211" i="7"/>
  <c r="AM212" i="7"/>
  <c r="AT211" i="7"/>
  <c r="AS211" i="7"/>
  <c r="AR211" i="7"/>
  <c r="AQ211" i="7"/>
  <c r="AO211" i="7"/>
  <c r="AN211" i="7"/>
  <c r="Q83" i="7"/>
  <c r="R83" i="7"/>
  <c r="I214" i="23"/>
  <c r="J215" i="22"/>
  <c r="J214" i="23"/>
  <c r="I215" i="22"/>
  <c r="R217" i="23"/>
  <c r="L218" i="23"/>
  <c r="O217" i="23"/>
  <c r="S217" i="23"/>
  <c r="Q217" i="23"/>
  <c r="N217" i="23"/>
  <c r="M217" i="23"/>
  <c r="P217" i="23"/>
  <c r="C216" i="23"/>
  <c r="F215" i="23"/>
  <c r="E215" i="23"/>
  <c r="D215" i="23"/>
  <c r="G215" i="23"/>
  <c r="H214" i="23"/>
  <c r="AA215" i="23"/>
  <c r="U216" i="23"/>
  <c r="X215" i="23"/>
  <c r="AB215" i="23"/>
  <c r="Z215" i="23"/>
  <c r="W215" i="23"/>
  <c r="V215" i="23"/>
  <c r="Y215" i="23"/>
  <c r="E216" i="22"/>
  <c r="D216" i="22"/>
  <c r="C217" i="22"/>
  <c r="F216" i="22"/>
  <c r="G216" i="22"/>
  <c r="H215" i="22"/>
  <c r="W216" i="22"/>
  <c r="V216" i="22"/>
  <c r="X216" i="22"/>
  <c r="AB216" i="22" s="1"/>
  <c r="U217" i="22"/>
  <c r="Y216" i="22"/>
  <c r="O215" i="22"/>
  <c r="L216" i="22"/>
  <c r="N215" i="22"/>
  <c r="M215" i="22"/>
  <c r="S215" i="22" s="1"/>
  <c r="P215" i="22"/>
  <c r="AD216" i="22"/>
  <c r="S83" i="7"/>
  <c r="Z83" i="7"/>
  <c r="P84" i="7"/>
  <c r="M84" i="7"/>
  <c r="N84" i="7"/>
  <c r="O84" i="7"/>
  <c r="I84" i="7"/>
  <c r="J84" i="7"/>
  <c r="H84" i="7"/>
  <c r="G85" i="7"/>
  <c r="F85" i="7"/>
  <c r="E85" i="7"/>
  <c r="D85" i="7"/>
  <c r="Y84" i="7"/>
  <c r="X84" i="7"/>
  <c r="AB84" i="7" s="1"/>
  <c r="W84" i="7"/>
  <c r="AA84" i="7" s="1"/>
  <c r="V84" i="7"/>
  <c r="U85" i="7"/>
  <c r="Q215" i="22" l="1"/>
  <c r="R215" i="22"/>
  <c r="Z216" i="22"/>
  <c r="AA216" i="22"/>
  <c r="AM218" i="22"/>
  <c r="AO217" i="22"/>
  <c r="AT217" i="22"/>
  <c r="AN217" i="22"/>
  <c r="AS217" i="22"/>
  <c r="AR217" i="22"/>
  <c r="AP217" i="22"/>
  <c r="AQ217" i="22"/>
  <c r="AH217" i="23"/>
  <c r="AK217" i="23"/>
  <c r="AF217" i="23"/>
  <c r="AI217" i="23"/>
  <c r="AD218" i="23"/>
  <c r="AJ217" i="23"/>
  <c r="AG217" i="23"/>
  <c r="AE217" i="23"/>
  <c r="AT217" i="23"/>
  <c r="AR217" i="23"/>
  <c r="AP217" i="23"/>
  <c r="AS217" i="23"/>
  <c r="AN217" i="23"/>
  <c r="AM218" i="23"/>
  <c r="AQ217" i="23"/>
  <c r="AO217" i="23"/>
  <c r="AD214" i="7"/>
  <c r="AH213" i="7"/>
  <c r="AE213" i="7"/>
  <c r="AF213" i="7"/>
  <c r="AG213" i="7"/>
  <c r="AI213" i="7"/>
  <c r="AJ213" i="7"/>
  <c r="AK213" i="7"/>
  <c r="AK216" i="22"/>
  <c r="AJ216" i="22"/>
  <c r="AI216" i="22"/>
  <c r="AG216" i="22"/>
  <c r="AF216" i="22"/>
  <c r="AE216" i="22"/>
  <c r="AH216" i="22"/>
  <c r="AS212" i="7"/>
  <c r="AO212" i="7"/>
  <c r="AQ212" i="7"/>
  <c r="AM213" i="7"/>
  <c r="AT212" i="7"/>
  <c r="AR212" i="7"/>
  <c r="AP212" i="7"/>
  <c r="AN212" i="7"/>
  <c r="I216" i="22"/>
  <c r="J216" i="22"/>
  <c r="H216" i="22"/>
  <c r="H215" i="23"/>
  <c r="S84" i="7"/>
  <c r="R84" i="7"/>
  <c r="I215" i="23"/>
  <c r="J215" i="23"/>
  <c r="N218" i="23"/>
  <c r="O218" i="23"/>
  <c r="M218" i="23"/>
  <c r="S218" i="23"/>
  <c r="R218" i="23"/>
  <c r="Q218" i="23"/>
  <c r="L219" i="23"/>
  <c r="P218" i="23"/>
  <c r="W216" i="23"/>
  <c r="X216" i="23"/>
  <c r="V216" i="23"/>
  <c r="U217" i="23"/>
  <c r="Z216" i="23"/>
  <c r="AA216" i="23"/>
  <c r="AB216" i="23"/>
  <c r="Y216" i="23"/>
  <c r="C217" i="23"/>
  <c r="F216" i="23"/>
  <c r="E216" i="23"/>
  <c r="D216" i="23"/>
  <c r="G216" i="23"/>
  <c r="V217" i="22"/>
  <c r="X217" i="22"/>
  <c r="W217" i="22"/>
  <c r="U218" i="22"/>
  <c r="Y217" i="22"/>
  <c r="F217" i="22"/>
  <c r="D217" i="22"/>
  <c r="E217" i="22"/>
  <c r="C218" i="22"/>
  <c r="G217" i="22"/>
  <c r="M216" i="22"/>
  <c r="O216" i="22"/>
  <c r="L217" i="22"/>
  <c r="N216" i="22"/>
  <c r="R216" i="22" s="1"/>
  <c r="P216" i="22"/>
  <c r="AD217" i="22"/>
  <c r="Z84" i="7"/>
  <c r="Q84" i="7"/>
  <c r="M85" i="7"/>
  <c r="P85" i="7"/>
  <c r="O85" i="7"/>
  <c r="N85" i="7"/>
  <c r="J85" i="7"/>
  <c r="H85" i="7"/>
  <c r="I85" i="7"/>
  <c r="Y85" i="7"/>
  <c r="X85" i="7"/>
  <c r="Z85" i="7" s="1"/>
  <c r="W85" i="7"/>
  <c r="V85" i="7"/>
  <c r="AA85" i="7" s="1"/>
  <c r="U86" i="7"/>
  <c r="G86" i="7"/>
  <c r="F86" i="7"/>
  <c r="E86" i="7"/>
  <c r="D86" i="7"/>
  <c r="S216" i="22" l="1"/>
  <c r="Q216" i="22"/>
  <c r="Z217" i="22"/>
  <c r="AB217" i="22"/>
  <c r="AA217" i="22"/>
  <c r="AM219" i="22"/>
  <c r="AR218" i="22"/>
  <c r="AP218" i="22"/>
  <c r="AN218" i="22"/>
  <c r="AS218" i="22"/>
  <c r="AQ218" i="22"/>
  <c r="AO218" i="22"/>
  <c r="AT218" i="22"/>
  <c r="AD219" i="23"/>
  <c r="AK218" i="23"/>
  <c r="AJ218" i="23"/>
  <c r="AI218" i="23"/>
  <c r="AH218" i="23"/>
  <c r="AG218" i="23"/>
  <c r="AF218" i="23"/>
  <c r="AE218" i="23"/>
  <c r="AM219" i="23"/>
  <c r="AT218" i="23"/>
  <c r="AS218" i="23"/>
  <c r="AR218" i="23"/>
  <c r="AQ218" i="23"/>
  <c r="AP218" i="23"/>
  <c r="AO218" i="23"/>
  <c r="AN218" i="23"/>
  <c r="AD215" i="7"/>
  <c r="AH214" i="7"/>
  <c r="AE214" i="7"/>
  <c r="AF214" i="7"/>
  <c r="AG214" i="7"/>
  <c r="AI214" i="7"/>
  <c r="AJ214" i="7"/>
  <c r="AK214" i="7"/>
  <c r="AK217" i="22"/>
  <c r="AI217" i="22"/>
  <c r="AG217" i="22"/>
  <c r="AF217" i="22"/>
  <c r="AJ217" i="22"/>
  <c r="AE217" i="22"/>
  <c r="AH217" i="22"/>
  <c r="AS213" i="7"/>
  <c r="AP213" i="7"/>
  <c r="AT213" i="7"/>
  <c r="AO213" i="7"/>
  <c r="AM214" i="7"/>
  <c r="AR213" i="7"/>
  <c r="AN213" i="7"/>
  <c r="AQ213" i="7"/>
  <c r="H216" i="23"/>
  <c r="H217" i="22"/>
  <c r="R85" i="7"/>
  <c r="S85" i="7"/>
  <c r="J216" i="23"/>
  <c r="I216" i="23"/>
  <c r="I217" i="22"/>
  <c r="J217" i="22"/>
  <c r="AB217" i="23"/>
  <c r="U218" i="23"/>
  <c r="AA217" i="23"/>
  <c r="W217" i="23"/>
  <c r="V217" i="23"/>
  <c r="Z217" i="23"/>
  <c r="X217" i="23"/>
  <c r="Y217" i="23"/>
  <c r="S219" i="23"/>
  <c r="L220" i="23"/>
  <c r="R219" i="23"/>
  <c r="Q219" i="23"/>
  <c r="O219" i="23"/>
  <c r="M219" i="23"/>
  <c r="N219" i="23"/>
  <c r="P219" i="23"/>
  <c r="E217" i="23"/>
  <c r="C218" i="23"/>
  <c r="F217" i="23"/>
  <c r="D217" i="23"/>
  <c r="G217" i="23"/>
  <c r="N217" i="22"/>
  <c r="M217" i="22"/>
  <c r="L218" i="22"/>
  <c r="O217" i="22"/>
  <c r="P217" i="22"/>
  <c r="V218" i="22"/>
  <c r="U219" i="22"/>
  <c r="W218" i="22"/>
  <c r="X218" i="22"/>
  <c r="Y218" i="22"/>
  <c r="D218" i="22"/>
  <c r="F218" i="22"/>
  <c r="E218" i="22"/>
  <c r="C219" i="22"/>
  <c r="G218" i="22"/>
  <c r="AD218" i="22"/>
  <c r="AB85" i="7"/>
  <c r="Q85" i="7"/>
  <c r="N86" i="7"/>
  <c r="P86" i="7"/>
  <c r="M86" i="7"/>
  <c r="O86" i="7"/>
  <c r="H86" i="7"/>
  <c r="J86" i="7"/>
  <c r="I86" i="7"/>
  <c r="Y86" i="7"/>
  <c r="X86" i="7"/>
  <c r="Z86" i="7" s="1"/>
  <c r="W86" i="7"/>
  <c r="V86" i="7"/>
  <c r="AB86" i="7" s="1"/>
  <c r="U87" i="7"/>
  <c r="AA86" i="7"/>
  <c r="G87" i="7"/>
  <c r="F87" i="7"/>
  <c r="E87" i="7"/>
  <c r="D87" i="7"/>
  <c r="R217" i="22" l="1"/>
  <c r="S217" i="22"/>
  <c r="Q217" i="22"/>
  <c r="AA218" i="22"/>
  <c r="Z218" i="22"/>
  <c r="AB218" i="22"/>
  <c r="AQ219" i="22"/>
  <c r="AS219" i="22"/>
  <c r="AO219" i="22"/>
  <c r="AM220" i="22"/>
  <c r="AP219" i="22"/>
  <c r="AT219" i="22"/>
  <c r="AN219" i="22"/>
  <c r="AR219" i="22"/>
  <c r="AD220" i="23"/>
  <c r="AK219" i="23"/>
  <c r="AJ219" i="23"/>
  <c r="AI219" i="23"/>
  <c r="AH219" i="23"/>
  <c r="AG219" i="23"/>
  <c r="AF219" i="23"/>
  <c r="AE219" i="23"/>
  <c r="AM220" i="23"/>
  <c r="AT219" i="23"/>
  <c r="AS219" i="23"/>
  <c r="AR219" i="23"/>
  <c r="AQ219" i="23"/>
  <c r="AP219" i="23"/>
  <c r="AO219" i="23"/>
  <c r="AN219" i="23"/>
  <c r="AD216" i="7"/>
  <c r="AH215" i="7"/>
  <c r="AE215" i="7"/>
  <c r="AF215" i="7"/>
  <c r="AG215" i="7"/>
  <c r="AI215" i="7"/>
  <c r="AJ215" i="7"/>
  <c r="AK215" i="7"/>
  <c r="AJ218" i="22"/>
  <c r="AF218" i="22"/>
  <c r="AK218" i="22"/>
  <c r="AI218" i="22"/>
  <c r="AG218" i="22"/>
  <c r="AE218" i="22"/>
  <c r="AH218" i="22"/>
  <c r="AT214" i="7"/>
  <c r="AS214" i="7"/>
  <c r="AQ214" i="7"/>
  <c r="AP214" i="7"/>
  <c r="AO214" i="7"/>
  <c r="AN214" i="7"/>
  <c r="AM215" i="7"/>
  <c r="AR214" i="7"/>
  <c r="H217" i="23"/>
  <c r="I218" i="22"/>
  <c r="I217" i="23"/>
  <c r="J218" i="22"/>
  <c r="C219" i="23"/>
  <c r="F218" i="23"/>
  <c r="D218" i="23"/>
  <c r="E218" i="23"/>
  <c r="G218" i="23"/>
  <c r="R220" i="23"/>
  <c r="L221" i="23"/>
  <c r="O220" i="23"/>
  <c r="S220" i="23"/>
  <c r="N220" i="23"/>
  <c r="Q220" i="23"/>
  <c r="M220" i="23"/>
  <c r="P220" i="23"/>
  <c r="J217" i="23"/>
  <c r="AA218" i="23"/>
  <c r="U219" i="23"/>
  <c r="X218" i="23"/>
  <c r="AB218" i="23"/>
  <c r="W218" i="23"/>
  <c r="Z218" i="23"/>
  <c r="V218" i="23"/>
  <c r="Y218" i="23"/>
  <c r="F219" i="22"/>
  <c r="C220" i="22"/>
  <c r="E219" i="22"/>
  <c r="D219" i="22"/>
  <c r="G219" i="22"/>
  <c r="L219" i="22"/>
  <c r="M218" i="22"/>
  <c r="O218" i="22"/>
  <c r="S218" i="22" s="1"/>
  <c r="N218" i="22"/>
  <c r="R218" i="22" s="1"/>
  <c r="P218" i="22"/>
  <c r="H218" i="22"/>
  <c r="X219" i="22"/>
  <c r="V219" i="22"/>
  <c r="W219" i="22"/>
  <c r="U220" i="22"/>
  <c r="Y219" i="22"/>
  <c r="AD219" i="22"/>
  <c r="S86" i="7"/>
  <c r="R86" i="7"/>
  <c r="Q86" i="7"/>
  <c r="N87" i="7"/>
  <c r="O87" i="7"/>
  <c r="P87" i="7"/>
  <c r="M87" i="7"/>
  <c r="I87" i="7"/>
  <c r="J87" i="7"/>
  <c r="H87" i="7"/>
  <c r="G88" i="7"/>
  <c r="F88" i="7"/>
  <c r="E88" i="7"/>
  <c r="D88" i="7"/>
  <c r="Y87" i="7"/>
  <c r="X87" i="7"/>
  <c r="AB87" i="7" s="1"/>
  <c r="W87" i="7"/>
  <c r="AA87" i="7" s="1"/>
  <c r="V87" i="7"/>
  <c r="U88" i="7"/>
  <c r="Q218" i="22" l="1"/>
  <c r="AB219" i="22"/>
  <c r="AA219" i="22"/>
  <c r="Z219" i="22"/>
  <c r="AT220" i="22"/>
  <c r="AQ220" i="22"/>
  <c r="AS220" i="22"/>
  <c r="AP220" i="22"/>
  <c r="AR220" i="22"/>
  <c r="AN220" i="22"/>
  <c r="AM221" i="22"/>
  <c r="AO220" i="22"/>
  <c r="AD221" i="23"/>
  <c r="AK220" i="23"/>
  <c r="AJ220" i="23"/>
  <c r="AI220" i="23"/>
  <c r="AH220" i="23"/>
  <c r="AG220" i="23"/>
  <c r="AF220" i="23"/>
  <c r="AE220" i="23"/>
  <c r="AM221" i="23"/>
  <c r="AT220" i="23"/>
  <c r="AS220" i="23"/>
  <c r="AR220" i="23"/>
  <c r="AQ220" i="23"/>
  <c r="AP220" i="23"/>
  <c r="AO220" i="23"/>
  <c r="AN220" i="23"/>
  <c r="AD217" i="7"/>
  <c r="AH216" i="7"/>
  <c r="AE216" i="7"/>
  <c r="AF216" i="7"/>
  <c r="AG216" i="7"/>
  <c r="AI216" i="7"/>
  <c r="AJ216" i="7"/>
  <c r="AK216" i="7"/>
  <c r="AJ219" i="22"/>
  <c r="AI219" i="22"/>
  <c r="AG219" i="22"/>
  <c r="AE219" i="22"/>
  <c r="AK219" i="22"/>
  <c r="AF219" i="22"/>
  <c r="AH219" i="22"/>
  <c r="AQ215" i="7"/>
  <c r="AO215" i="7"/>
  <c r="AS215" i="7"/>
  <c r="AM216" i="7"/>
  <c r="AT215" i="7"/>
  <c r="AR215" i="7"/>
  <c r="AP215" i="7"/>
  <c r="AN215" i="7"/>
  <c r="I219" i="22"/>
  <c r="I218" i="23"/>
  <c r="J218" i="23"/>
  <c r="H219" i="22"/>
  <c r="N221" i="23"/>
  <c r="S221" i="23"/>
  <c r="R221" i="23"/>
  <c r="Q221" i="23"/>
  <c r="L222" i="23"/>
  <c r="O221" i="23"/>
  <c r="M221" i="23"/>
  <c r="P221" i="23"/>
  <c r="H218" i="23"/>
  <c r="W219" i="23"/>
  <c r="AB219" i="23"/>
  <c r="AA219" i="23"/>
  <c r="Z219" i="23"/>
  <c r="U220" i="23"/>
  <c r="X219" i="23"/>
  <c r="V219" i="23"/>
  <c r="Y219" i="23"/>
  <c r="C220" i="23"/>
  <c r="F219" i="23"/>
  <c r="E219" i="23"/>
  <c r="D219" i="23"/>
  <c r="G219" i="23"/>
  <c r="J219" i="22"/>
  <c r="V220" i="22"/>
  <c r="U221" i="22"/>
  <c r="X220" i="22"/>
  <c r="W220" i="22"/>
  <c r="AA220" i="22" s="1"/>
  <c r="Y220" i="22"/>
  <c r="C221" i="22"/>
  <c r="E220" i="22"/>
  <c r="D220" i="22"/>
  <c r="G220" i="22"/>
  <c r="F220" i="22"/>
  <c r="M219" i="22"/>
  <c r="L220" i="22"/>
  <c r="O219" i="22"/>
  <c r="N219" i="22"/>
  <c r="P219" i="22"/>
  <c r="AD220" i="22"/>
  <c r="S87" i="7"/>
  <c r="R87" i="7"/>
  <c r="Z87" i="7"/>
  <c r="Q87" i="7"/>
  <c r="P88" i="7"/>
  <c r="N88" i="7"/>
  <c r="O88" i="7"/>
  <c r="M88" i="7"/>
  <c r="J88" i="7"/>
  <c r="H88" i="7"/>
  <c r="I88" i="7"/>
  <c r="G89" i="7"/>
  <c r="F89" i="7"/>
  <c r="E89" i="7"/>
  <c r="D89" i="7"/>
  <c r="Y88" i="7"/>
  <c r="X88" i="7"/>
  <c r="AB88" i="7" s="1"/>
  <c r="W88" i="7"/>
  <c r="AA88" i="7" s="1"/>
  <c r="V88" i="7"/>
  <c r="U89" i="7"/>
  <c r="Q219" i="22" l="1"/>
  <c r="S219" i="22"/>
  <c r="R219" i="22"/>
  <c r="Z220" i="22"/>
  <c r="AB220" i="22"/>
  <c r="AP221" i="22"/>
  <c r="AQ221" i="22"/>
  <c r="AM222" i="22"/>
  <c r="AN221" i="22"/>
  <c r="AR221" i="22"/>
  <c r="AO221" i="22"/>
  <c r="AT221" i="22"/>
  <c r="AS221" i="22"/>
  <c r="AK221" i="23"/>
  <c r="AH221" i="23"/>
  <c r="AF221" i="23"/>
  <c r="AE221" i="23"/>
  <c r="AD222" i="23"/>
  <c r="AI221" i="23"/>
  <c r="AJ221" i="23"/>
  <c r="AG221" i="23"/>
  <c r="AR221" i="23"/>
  <c r="AT221" i="23"/>
  <c r="AQ221" i="23"/>
  <c r="AP221" i="23"/>
  <c r="AO221" i="23"/>
  <c r="AM222" i="23"/>
  <c r="AS221" i="23"/>
  <c r="AN221" i="23"/>
  <c r="AD218" i="7"/>
  <c r="AH217" i="7"/>
  <c r="AE217" i="7"/>
  <c r="AF217" i="7"/>
  <c r="AG217" i="7"/>
  <c r="AI217" i="7"/>
  <c r="AJ217" i="7"/>
  <c r="AK217" i="7"/>
  <c r="AJ220" i="22"/>
  <c r="AI220" i="22"/>
  <c r="AG220" i="22"/>
  <c r="AE220" i="22"/>
  <c r="AK220" i="22"/>
  <c r="AF220" i="22"/>
  <c r="AH220" i="22"/>
  <c r="AP216" i="7"/>
  <c r="AM217" i="7"/>
  <c r="AT216" i="7"/>
  <c r="AS216" i="7"/>
  <c r="AR216" i="7"/>
  <c r="AQ216" i="7"/>
  <c r="AO216" i="7"/>
  <c r="AN216" i="7"/>
  <c r="Q88" i="7"/>
  <c r="J220" i="22"/>
  <c r="I219" i="23"/>
  <c r="J219" i="23"/>
  <c r="I220" i="22"/>
  <c r="H220" i="22"/>
  <c r="E220" i="23"/>
  <c r="F220" i="23"/>
  <c r="D220" i="23"/>
  <c r="C221" i="23"/>
  <c r="G220" i="23"/>
  <c r="AB220" i="23"/>
  <c r="U221" i="23"/>
  <c r="X220" i="23"/>
  <c r="W220" i="23"/>
  <c r="V220" i="23"/>
  <c r="AA220" i="23"/>
  <c r="Z220" i="23"/>
  <c r="Y220" i="23"/>
  <c r="H219" i="23"/>
  <c r="S222" i="23"/>
  <c r="L223" i="23"/>
  <c r="O222" i="23"/>
  <c r="N222" i="23"/>
  <c r="M222" i="23"/>
  <c r="R222" i="23"/>
  <c r="Q222" i="23"/>
  <c r="P222" i="23"/>
  <c r="D221" i="22"/>
  <c r="E221" i="22"/>
  <c r="C222" i="22"/>
  <c r="F221" i="22"/>
  <c r="G221" i="22"/>
  <c r="X221" i="22"/>
  <c r="W221" i="22"/>
  <c r="U222" i="22"/>
  <c r="V221" i="22"/>
  <c r="AB221" i="22" s="1"/>
  <c r="Y221" i="22"/>
  <c r="M220" i="22"/>
  <c r="L221" i="22"/>
  <c r="N220" i="22"/>
  <c r="O220" i="22"/>
  <c r="P220" i="22"/>
  <c r="AD221" i="22"/>
  <c r="R88" i="7"/>
  <c r="Z88" i="7"/>
  <c r="S88" i="7"/>
  <c r="M89" i="7"/>
  <c r="P89" i="7"/>
  <c r="N89" i="7"/>
  <c r="O89" i="7"/>
  <c r="I89" i="7"/>
  <c r="J89" i="7"/>
  <c r="H89" i="7"/>
  <c r="Y89" i="7"/>
  <c r="X89" i="7"/>
  <c r="Z89" i="7" s="1"/>
  <c r="W89" i="7"/>
  <c r="V89" i="7"/>
  <c r="U90" i="7"/>
  <c r="AB89" i="7"/>
  <c r="AA89" i="7"/>
  <c r="G90" i="7"/>
  <c r="F90" i="7"/>
  <c r="E90" i="7"/>
  <c r="D90" i="7"/>
  <c r="R220" i="22" l="1"/>
  <c r="Q220" i="22"/>
  <c r="S220" i="22"/>
  <c r="AA221" i="22"/>
  <c r="Z221" i="22"/>
  <c r="AQ222" i="22"/>
  <c r="AR222" i="22"/>
  <c r="AM223" i="22"/>
  <c r="AT222" i="22"/>
  <c r="AS222" i="22"/>
  <c r="AN222" i="22"/>
  <c r="AO222" i="22"/>
  <c r="AP222" i="22"/>
  <c r="AD223" i="23"/>
  <c r="AJ222" i="23"/>
  <c r="AH222" i="23"/>
  <c r="AG222" i="23"/>
  <c r="AE222" i="23"/>
  <c r="AK222" i="23"/>
  <c r="AI222" i="23"/>
  <c r="AF222" i="23"/>
  <c r="AT222" i="23"/>
  <c r="AR222" i="23"/>
  <c r="AQ222" i="23"/>
  <c r="AP222" i="23"/>
  <c r="AN222" i="23"/>
  <c r="AM223" i="23"/>
  <c r="AS222" i="23"/>
  <c r="AO222" i="23"/>
  <c r="AD219" i="7"/>
  <c r="AH218" i="7"/>
  <c r="AE218" i="7"/>
  <c r="AF218" i="7"/>
  <c r="AG218" i="7"/>
  <c r="AI218" i="7"/>
  <c r="AJ218" i="7"/>
  <c r="AK218" i="7"/>
  <c r="AJ221" i="22"/>
  <c r="AI221" i="22"/>
  <c r="AG221" i="22"/>
  <c r="AF221" i="22"/>
  <c r="AE221" i="22"/>
  <c r="AK221" i="22"/>
  <c r="AH221" i="22"/>
  <c r="AM218" i="7"/>
  <c r="AT217" i="7"/>
  <c r="AS217" i="7"/>
  <c r="AR217" i="7"/>
  <c r="AQ217" i="7"/>
  <c r="AP217" i="7"/>
  <c r="AO217" i="7"/>
  <c r="AN217" i="7"/>
  <c r="J221" i="22"/>
  <c r="I221" i="22"/>
  <c r="I220" i="23"/>
  <c r="J220" i="23"/>
  <c r="H220" i="23"/>
  <c r="C222" i="23"/>
  <c r="F221" i="23"/>
  <c r="E221" i="23"/>
  <c r="D221" i="23"/>
  <c r="G221" i="23"/>
  <c r="R223" i="23"/>
  <c r="L224" i="23"/>
  <c r="O223" i="23"/>
  <c r="S223" i="23"/>
  <c r="Q223" i="23"/>
  <c r="N223" i="23"/>
  <c r="M223" i="23"/>
  <c r="P223" i="23"/>
  <c r="AA221" i="23"/>
  <c r="U222" i="23"/>
  <c r="X221" i="23"/>
  <c r="AB221" i="23"/>
  <c r="Z221" i="23"/>
  <c r="W221" i="23"/>
  <c r="V221" i="23"/>
  <c r="Y221" i="23"/>
  <c r="O221" i="22"/>
  <c r="N221" i="22"/>
  <c r="M221" i="22"/>
  <c r="L222" i="22"/>
  <c r="P221" i="22"/>
  <c r="H221" i="22"/>
  <c r="F222" i="22"/>
  <c r="C223" i="22"/>
  <c r="E222" i="22"/>
  <c r="D222" i="22"/>
  <c r="G222" i="22"/>
  <c r="AD222" i="22"/>
  <c r="X222" i="22"/>
  <c r="W222" i="22"/>
  <c r="V222" i="22"/>
  <c r="U223" i="22"/>
  <c r="Y222" i="22"/>
  <c r="S89" i="7"/>
  <c r="R89" i="7"/>
  <c r="Q89" i="7"/>
  <c r="P90" i="7"/>
  <c r="O90" i="7"/>
  <c r="N90" i="7"/>
  <c r="M90" i="7"/>
  <c r="I90" i="7"/>
  <c r="J90" i="7"/>
  <c r="H90" i="7"/>
  <c r="G91" i="7"/>
  <c r="F91" i="7"/>
  <c r="E91" i="7"/>
  <c r="D91" i="7"/>
  <c r="Y90" i="7"/>
  <c r="X90" i="7"/>
  <c r="AB90" i="7" s="1"/>
  <c r="W90" i="7"/>
  <c r="AA90" i="7" s="1"/>
  <c r="V90" i="7"/>
  <c r="U91" i="7"/>
  <c r="R221" i="22" l="1"/>
  <c r="Q221" i="22"/>
  <c r="S221" i="22"/>
  <c r="AA222" i="22"/>
  <c r="AB222" i="22"/>
  <c r="Z222" i="22"/>
  <c r="AS223" i="22"/>
  <c r="AP223" i="22"/>
  <c r="AR223" i="22"/>
  <c r="AN223" i="22"/>
  <c r="AM224" i="22"/>
  <c r="AO223" i="22"/>
  <c r="AT223" i="22"/>
  <c r="AQ223" i="22"/>
  <c r="AD224" i="23"/>
  <c r="AK223" i="23"/>
  <c r="AJ223" i="23"/>
  <c r="AI223" i="23"/>
  <c r="AH223" i="23"/>
  <c r="AG223" i="23"/>
  <c r="AF223" i="23"/>
  <c r="AE223" i="23"/>
  <c r="AP223" i="23"/>
  <c r="AR223" i="23"/>
  <c r="AS223" i="23"/>
  <c r="AN223" i="23"/>
  <c r="AT223" i="23"/>
  <c r="AQ223" i="23"/>
  <c r="AO223" i="23"/>
  <c r="AM224" i="23"/>
  <c r="AD220" i="7"/>
  <c r="AH219" i="7"/>
  <c r="AE219" i="7"/>
  <c r="AF219" i="7"/>
  <c r="AG219" i="7"/>
  <c r="AI219" i="7"/>
  <c r="AJ219" i="7"/>
  <c r="AK219" i="7"/>
  <c r="AK222" i="22"/>
  <c r="AI222" i="22"/>
  <c r="AG222" i="22"/>
  <c r="AF222" i="22"/>
  <c r="AE222" i="22"/>
  <c r="AJ222" i="22"/>
  <c r="AH222" i="22"/>
  <c r="AM219" i="7"/>
  <c r="AT218" i="7"/>
  <c r="AS218" i="7"/>
  <c r="AR218" i="7"/>
  <c r="AO218" i="7"/>
  <c r="AQ218" i="7"/>
  <c r="AP218" i="7"/>
  <c r="AN218" i="7"/>
  <c r="S90" i="7"/>
  <c r="R90" i="7"/>
  <c r="Q90" i="7"/>
  <c r="J221" i="23"/>
  <c r="I221" i="23"/>
  <c r="H221" i="23"/>
  <c r="I222" i="22"/>
  <c r="H222" i="22"/>
  <c r="J222" i="22"/>
  <c r="W222" i="23"/>
  <c r="AB222" i="23"/>
  <c r="Z222" i="23"/>
  <c r="AA222" i="23"/>
  <c r="U223" i="23"/>
  <c r="X222" i="23"/>
  <c r="V222" i="23"/>
  <c r="Y222" i="23"/>
  <c r="N224" i="23"/>
  <c r="S224" i="23"/>
  <c r="Q224" i="23"/>
  <c r="R224" i="23"/>
  <c r="L225" i="23"/>
  <c r="O224" i="23"/>
  <c r="M224" i="23"/>
  <c r="P224" i="23"/>
  <c r="C223" i="23"/>
  <c r="F222" i="23"/>
  <c r="E222" i="23"/>
  <c r="D222" i="23"/>
  <c r="G222" i="23"/>
  <c r="L223" i="22"/>
  <c r="M222" i="22"/>
  <c r="O222" i="22"/>
  <c r="N222" i="22"/>
  <c r="R222" i="22" s="1"/>
  <c r="P222" i="22"/>
  <c r="AD223" i="22"/>
  <c r="C224" i="22"/>
  <c r="D223" i="22"/>
  <c r="G223" i="22"/>
  <c r="F223" i="22"/>
  <c r="E223" i="22"/>
  <c r="U224" i="22"/>
  <c r="W223" i="22"/>
  <c r="X223" i="22"/>
  <c r="V223" i="22"/>
  <c r="Y223" i="22"/>
  <c r="Z90" i="7"/>
  <c r="N91" i="7"/>
  <c r="O91" i="7"/>
  <c r="M91" i="7"/>
  <c r="P91" i="7"/>
  <c r="I91" i="7"/>
  <c r="J91" i="7"/>
  <c r="H91" i="7"/>
  <c r="G92" i="7"/>
  <c r="F92" i="7"/>
  <c r="E92" i="7"/>
  <c r="D92" i="7"/>
  <c r="Y91" i="7"/>
  <c r="X91" i="7"/>
  <c r="AB91" i="7" s="1"/>
  <c r="W91" i="7"/>
  <c r="V91" i="7"/>
  <c r="U92" i="7"/>
  <c r="AA91" i="7"/>
  <c r="Q222" i="22" l="1"/>
  <c r="S222" i="22"/>
  <c r="Z223" i="22"/>
  <c r="AA223" i="22"/>
  <c r="AB223" i="22"/>
  <c r="AO224" i="22"/>
  <c r="AR224" i="22"/>
  <c r="AN224" i="22"/>
  <c r="AM225" i="22"/>
  <c r="AQ224" i="22"/>
  <c r="AT224" i="22"/>
  <c r="AP224" i="22"/>
  <c r="AS224" i="22"/>
  <c r="AE224" i="23"/>
  <c r="AD225" i="23"/>
  <c r="AK224" i="23"/>
  <c r="AJ224" i="23"/>
  <c r="AI224" i="23"/>
  <c r="AH224" i="23"/>
  <c r="AG224" i="23"/>
  <c r="AF224" i="23"/>
  <c r="AQ224" i="23"/>
  <c r="AO224" i="23"/>
  <c r="AT224" i="23"/>
  <c r="AR224" i="23"/>
  <c r="AN224" i="23"/>
  <c r="AS224" i="23"/>
  <c r="AM225" i="23"/>
  <c r="AP224" i="23"/>
  <c r="AD221" i="7"/>
  <c r="AH220" i="7"/>
  <c r="AE220" i="7"/>
  <c r="AF220" i="7"/>
  <c r="AG220" i="7"/>
  <c r="AI220" i="7"/>
  <c r="AJ220" i="7"/>
  <c r="AK220" i="7"/>
  <c r="AJ223" i="22"/>
  <c r="AF223" i="22"/>
  <c r="AK223" i="22"/>
  <c r="AI223" i="22"/>
  <c r="AG223" i="22"/>
  <c r="AE223" i="22"/>
  <c r="AH223" i="22"/>
  <c r="AM220" i="7"/>
  <c r="AT219" i="7"/>
  <c r="AS219" i="7"/>
  <c r="AR219" i="7"/>
  <c r="AP219" i="7"/>
  <c r="AN219" i="7"/>
  <c r="AQ219" i="7"/>
  <c r="AO219" i="7"/>
  <c r="R91" i="7"/>
  <c r="H222" i="23"/>
  <c r="I223" i="22"/>
  <c r="H223" i="22"/>
  <c r="Q91" i="7"/>
  <c r="I222" i="23"/>
  <c r="J222" i="23"/>
  <c r="E223" i="23"/>
  <c r="C224" i="23"/>
  <c r="F223" i="23"/>
  <c r="D223" i="23"/>
  <c r="G223" i="23"/>
  <c r="S225" i="23"/>
  <c r="R225" i="23"/>
  <c r="Q225" i="23"/>
  <c r="L226" i="23"/>
  <c r="O225" i="23"/>
  <c r="M225" i="23"/>
  <c r="N225" i="23"/>
  <c r="P225" i="23"/>
  <c r="AB223" i="23"/>
  <c r="U224" i="23"/>
  <c r="AA223" i="23"/>
  <c r="Z223" i="23"/>
  <c r="X223" i="23"/>
  <c r="V223" i="23"/>
  <c r="W223" i="23"/>
  <c r="Y223" i="23"/>
  <c r="V224" i="22"/>
  <c r="W224" i="22"/>
  <c r="AA224" i="22" s="1"/>
  <c r="U225" i="22"/>
  <c r="X224" i="22"/>
  <c r="Y224" i="22"/>
  <c r="AD224" i="22"/>
  <c r="M223" i="22"/>
  <c r="L224" i="22"/>
  <c r="N223" i="22"/>
  <c r="O223" i="22"/>
  <c r="P223" i="22"/>
  <c r="J223" i="22"/>
  <c r="C225" i="22"/>
  <c r="E224" i="22"/>
  <c r="D224" i="22"/>
  <c r="F224" i="22"/>
  <c r="G224" i="22"/>
  <c r="S91" i="7"/>
  <c r="Z91" i="7"/>
  <c r="M92" i="7"/>
  <c r="O92" i="7"/>
  <c r="P92" i="7"/>
  <c r="N92" i="7"/>
  <c r="J92" i="7"/>
  <c r="I92" i="7"/>
  <c r="H92" i="7"/>
  <c r="Y92" i="7"/>
  <c r="X92" i="7"/>
  <c r="Z92" i="7" s="1"/>
  <c r="W92" i="7"/>
  <c r="V92" i="7"/>
  <c r="U93" i="7"/>
  <c r="AB92" i="7"/>
  <c r="AA92" i="7"/>
  <c r="G93" i="7"/>
  <c r="F93" i="7"/>
  <c r="E93" i="7"/>
  <c r="D93" i="7"/>
  <c r="R223" i="22" l="1"/>
  <c r="Q223" i="22"/>
  <c r="S223" i="22"/>
  <c r="Z224" i="22"/>
  <c r="AB224" i="22"/>
  <c r="AQ225" i="22"/>
  <c r="AS225" i="22"/>
  <c r="AM226" i="22"/>
  <c r="AT225" i="22"/>
  <c r="AN225" i="22"/>
  <c r="AR225" i="22"/>
  <c r="AP225" i="22"/>
  <c r="AO225" i="22"/>
  <c r="AD226" i="23"/>
  <c r="AK225" i="23"/>
  <c r="AJ225" i="23"/>
  <c r="AI225" i="23"/>
  <c r="AH225" i="23"/>
  <c r="AG225" i="23"/>
  <c r="AF225" i="23"/>
  <c r="AE225" i="23"/>
  <c r="AS225" i="23"/>
  <c r="AR225" i="23"/>
  <c r="AO225" i="23"/>
  <c r="AT225" i="23"/>
  <c r="AP225" i="23"/>
  <c r="AQ225" i="23"/>
  <c r="AN225" i="23"/>
  <c r="AM226" i="23"/>
  <c r="AD222" i="7"/>
  <c r="AH221" i="7"/>
  <c r="AE221" i="7"/>
  <c r="AF221" i="7"/>
  <c r="AG221" i="7"/>
  <c r="AI221" i="7"/>
  <c r="AJ221" i="7"/>
  <c r="AK221" i="7"/>
  <c r="AK224" i="22"/>
  <c r="AE224" i="22"/>
  <c r="AJ224" i="22"/>
  <c r="AI224" i="22"/>
  <c r="AG224" i="22"/>
  <c r="AF224" i="22"/>
  <c r="AH224" i="22"/>
  <c r="AM221" i="7"/>
  <c r="AS220" i="7"/>
  <c r="AQ220" i="7"/>
  <c r="AP220" i="7"/>
  <c r="AN220" i="7"/>
  <c r="AT220" i="7"/>
  <c r="AR220" i="7"/>
  <c r="AO220" i="7"/>
  <c r="Q92" i="7"/>
  <c r="H223" i="23"/>
  <c r="I223" i="23"/>
  <c r="J223" i="23"/>
  <c r="R92" i="7"/>
  <c r="J224" i="22"/>
  <c r="I224" i="22"/>
  <c r="H224" i="22"/>
  <c r="AA224" i="23"/>
  <c r="U225" i="23"/>
  <c r="X224" i="23"/>
  <c r="AB224" i="23"/>
  <c r="Z224" i="23"/>
  <c r="W224" i="23"/>
  <c r="V224" i="23"/>
  <c r="Y224" i="23"/>
  <c r="N226" i="23"/>
  <c r="L227" i="23"/>
  <c r="R226" i="23"/>
  <c r="Q226" i="23"/>
  <c r="M226" i="23"/>
  <c r="S226" i="23"/>
  <c r="O226" i="23"/>
  <c r="P226" i="23"/>
  <c r="C225" i="23"/>
  <c r="F224" i="23"/>
  <c r="E224" i="23"/>
  <c r="D224" i="23"/>
  <c r="G224" i="23"/>
  <c r="L225" i="22"/>
  <c r="M224" i="22"/>
  <c r="O224" i="22"/>
  <c r="N224" i="22"/>
  <c r="P224" i="22"/>
  <c r="D225" i="22"/>
  <c r="C226" i="22"/>
  <c r="E225" i="22"/>
  <c r="F225" i="22"/>
  <c r="G225" i="22"/>
  <c r="X225" i="22"/>
  <c r="V225" i="22"/>
  <c r="U226" i="22"/>
  <c r="W225" i="22"/>
  <c r="Y225" i="22"/>
  <c r="AD225" i="22"/>
  <c r="S92" i="7"/>
  <c r="P93" i="7"/>
  <c r="M93" i="7"/>
  <c r="O93" i="7"/>
  <c r="N93" i="7"/>
  <c r="J93" i="7"/>
  <c r="I93" i="7"/>
  <c r="H93" i="7"/>
  <c r="G94" i="7"/>
  <c r="F94" i="7"/>
  <c r="E94" i="7"/>
  <c r="D94" i="7"/>
  <c r="Y93" i="7"/>
  <c r="X93" i="7"/>
  <c r="AB93" i="7" s="1"/>
  <c r="W93" i="7"/>
  <c r="AA93" i="7" s="1"/>
  <c r="V93" i="7"/>
  <c r="U94" i="7"/>
  <c r="R224" i="22" l="1"/>
  <c r="Q224" i="22"/>
  <c r="S224" i="22"/>
  <c r="AA225" i="22"/>
  <c r="AB225" i="22"/>
  <c r="Z225" i="22"/>
  <c r="AR226" i="22"/>
  <c r="AO226" i="22"/>
  <c r="AT226" i="22"/>
  <c r="AP226" i="22"/>
  <c r="AN226" i="22"/>
  <c r="AM227" i="22"/>
  <c r="AS226" i="22"/>
  <c r="AQ226" i="22"/>
  <c r="AD227" i="23"/>
  <c r="AK226" i="23"/>
  <c r="AJ226" i="23"/>
  <c r="AI226" i="23"/>
  <c r="AH226" i="23"/>
  <c r="AG226" i="23"/>
  <c r="AF226" i="23"/>
  <c r="AE226" i="23"/>
  <c r="AM227" i="23"/>
  <c r="AT226" i="23"/>
  <c r="AS226" i="23"/>
  <c r="AR226" i="23"/>
  <c r="AQ226" i="23"/>
  <c r="AP226" i="23"/>
  <c r="AO226" i="23"/>
  <c r="AN226" i="23"/>
  <c r="AD223" i="7"/>
  <c r="AH222" i="7"/>
  <c r="AE222" i="7"/>
  <c r="AF222" i="7"/>
  <c r="AG222" i="7"/>
  <c r="AI222" i="7"/>
  <c r="AJ222" i="7"/>
  <c r="AK222" i="7"/>
  <c r="AK225" i="22"/>
  <c r="AF225" i="22"/>
  <c r="AJ225" i="22"/>
  <c r="AI225" i="22"/>
  <c r="AG225" i="22"/>
  <c r="AE225" i="22"/>
  <c r="AH225" i="22"/>
  <c r="AT221" i="7"/>
  <c r="AR221" i="7"/>
  <c r="AQ221" i="7"/>
  <c r="AO221" i="7"/>
  <c r="AN221" i="7"/>
  <c r="AM222" i="7"/>
  <c r="AS221" i="7"/>
  <c r="AP221" i="7"/>
  <c r="Q93" i="7"/>
  <c r="H224" i="23"/>
  <c r="H225" i="22"/>
  <c r="I224" i="23"/>
  <c r="R93" i="7"/>
  <c r="J224" i="23"/>
  <c r="I225" i="22"/>
  <c r="J225" i="22"/>
  <c r="Q227" i="23"/>
  <c r="N227" i="23"/>
  <c r="L228" i="23"/>
  <c r="R227" i="23"/>
  <c r="S227" i="23"/>
  <c r="O227" i="23"/>
  <c r="M227" i="23"/>
  <c r="P227" i="23"/>
  <c r="U226" i="23"/>
  <c r="W225" i="23"/>
  <c r="X225" i="23"/>
  <c r="V225" i="23"/>
  <c r="AB225" i="23"/>
  <c r="AA225" i="23"/>
  <c r="Z225" i="23"/>
  <c r="Y225" i="23"/>
  <c r="C226" i="23"/>
  <c r="F225" i="23"/>
  <c r="E225" i="23"/>
  <c r="D225" i="23"/>
  <c r="G225" i="23"/>
  <c r="X226" i="22"/>
  <c r="V226" i="22"/>
  <c r="U227" i="22"/>
  <c r="W226" i="22"/>
  <c r="AA226" i="22" s="1"/>
  <c r="Y226" i="22"/>
  <c r="F226" i="22"/>
  <c r="E226" i="22"/>
  <c r="D226" i="22"/>
  <c r="C227" i="22"/>
  <c r="G226" i="22"/>
  <c r="AD226" i="22"/>
  <c r="M225" i="22"/>
  <c r="O225" i="22"/>
  <c r="N225" i="22"/>
  <c r="R225" i="22" s="1"/>
  <c r="L226" i="22"/>
  <c r="P225" i="22"/>
  <c r="S93" i="7"/>
  <c r="Z93" i="7"/>
  <c r="N94" i="7"/>
  <c r="O94" i="7"/>
  <c r="M94" i="7"/>
  <c r="P94" i="7"/>
  <c r="J94" i="7"/>
  <c r="I94" i="7"/>
  <c r="H94" i="7"/>
  <c r="G95" i="7"/>
  <c r="F95" i="7"/>
  <c r="E95" i="7"/>
  <c r="D95" i="7"/>
  <c r="Y94" i="7"/>
  <c r="X94" i="7"/>
  <c r="AB94" i="7" s="1"/>
  <c r="W94" i="7"/>
  <c r="AA94" i="7" s="1"/>
  <c r="V94" i="7"/>
  <c r="U95" i="7"/>
  <c r="S225" i="22" l="1"/>
  <c r="Q225" i="22"/>
  <c r="AB226" i="22"/>
  <c r="Z226" i="22"/>
  <c r="AT227" i="22"/>
  <c r="AR227" i="22"/>
  <c r="AP227" i="22"/>
  <c r="AN227" i="22"/>
  <c r="AO227" i="22"/>
  <c r="AM228" i="22"/>
  <c r="AS227" i="22"/>
  <c r="AQ227" i="22"/>
  <c r="AD228" i="23"/>
  <c r="AK227" i="23"/>
  <c r="AJ227" i="23"/>
  <c r="AI227" i="23"/>
  <c r="AH227" i="23"/>
  <c r="AG227" i="23"/>
  <c r="AF227" i="23"/>
  <c r="AE227" i="23"/>
  <c r="AM228" i="23"/>
  <c r="AT227" i="23"/>
  <c r="AS227" i="23"/>
  <c r="AR227" i="23"/>
  <c r="AQ227" i="23"/>
  <c r="AP227" i="23"/>
  <c r="AO227" i="23"/>
  <c r="AN227" i="23"/>
  <c r="AD224" i="7"/>
  <c r="AH223" i="7"/>
  <c r="AE223" i="7"/>
  <c r="AF223" i="7"/>
  <c r="AG223" i="7"/>
  <c r="AI223" i="7"/>
  <c r="AJ223" i="7"/>
  <c r="AK223" i="7"/>
  <c r="AK226" i="22"/>
  <c r="AI226" i="22"/>
  <c r="AG226" i="22"/>
  <c r="AF226" i="22"/>
  <c r="AJ226" i="22"/>
  <c r="AE226" i="22"/>
  <c r="AH226" i="22"/>
  <c r="AM223" i="7"/>
  <c r="AT222" i="7"/>
  <c r="AS222" i="7"/>
  <c r="AR222" i="7"/>
  <c r="AQ222" i="7"/>
  <c r="AP222" i="7"/>
  <c r="AO222" i="7"/>
  <c r="AN222" i="7"/>
  <c r="Q94" i="7"/>
  <c r="H225" i="23"/>
  <c r="I225" i="23"/>
  <c r="R94" i="7"/>
  <c r="I226" i="22"/>
  <c r="J226" i="22"/>
  <c r="S228" i="23"/>
  <c r="R228" i="23"/>
  <c r="Q228" i="23"/>
  <c r="M228" i="23"/>
  <c r="O228" i="23"/>
  <c r="N228" i="23"/>
  <c r="L229" i="23"/>
  <c r="P228" i="23"/>
  <c r="J225" i="23"/>
  <c r="AA226" i="23"/>
  <c r="V226" i="23"/>
  <c r="W226" i="23"/>
  <c r="U227" i="23"/>
  <c r="AB226" i="23"/>
  <c r="Z226" i="23"/>
  <c r="X226" i="23"/>
  <c r="Y226" i="23"/>
  <c r="E226" i="23"/>
  <c r="C227" i="23"/>
  <c r="F226" i="23"/>
  <c r="D226" i="23"/>
  <c r="G226" i="23"/>
  <c r="H226" i="22"/>
  <c r="V227" i="22"/>
  <c r="X227" i="22"/>
  <c r="W227" i="22"/>
  <c r="U228" i="22"/>
  <c r="Y227" i="22"/>
  <c r="M226" i="22"/>
  <c r="L227" i="22"/>
  <c r="O226" i="22"/>
  <c r="N226" i="22"/>
  <c r="R226" i="22" s="1"/>
  <c r="P226" i="22"/>
  <c r="AD227" i="22"/>
  <c r="D227" i="22"/>
  <c r="F227" i="22"/>
  <c r="C228" i="22"/>
  <c r="E227" i="22"/>
  <c r="G227" i="22"/>
  <c r="Z94" i="7"/>
  <c r="S94" i="7"/>
  <c r="N95" i="7"/>
  <c r="M95" i="7"/>
  <c r="O95" i="7"/>
  <c r="P95" i="7"/>
  <c r="J95" i="7"/>
  <c r="I95" i="7"/>
  <c r="H95" i="7"/>
  <c r="Y95" i="7"/>
  <c r="X95" i="7"/>
  <c r="Z95" i="7" s="1"/>
  <c r="W95" i="7"/>
  <c r="V95" i="7"/>
  <c r="AB95" i="7" s="1"/>
  <c r="U96" i="7"/>
  <c r="AA95" i="7"/>
  <c r="G96" i="7"/>
  <c r="F96" i="7"/>
  <c r="E96" i="7"/>
  <c r="D96" i="7"/>
  <c r="S226" i="22" l="1"/>
  <c r="Q226" i="22"/>
  <c r="AA227" i="22"/>
  <c r="Z227" i="22"/>
  <c r="AB227" i="22"/>
  <c r="AM229" i="22"/>
  <c r="AO228" i="22"/>
  <c r="AS228" i="22"/>
  <c r="AT228" i="22"/>
  <c r="AR228" i="22"/>
  <c r="AP228" i="22"/>
  <c r="AQ228" i="22"/>
  <c r="AN228" i="22"/>
  <c r="AD229" i="23"/>
  <c r="AJ228" i="23"/>
  <c r="AE228" i="23"/>
  <c r="AK228" i="23"/>
  <c r="AG228" i="23"/>
  <c r="AH228" i="23"/>
  <c r="AF228" i="23"/>
  <c r="AI228" i="23"/>
  <c r="AS228" i="23"/>
  <c r="AN228" i="23"/>
  <c r="AP228" i="23"/>
  <c r="AM229" i="23"/>
  <c r="AT228" i="23"/>
  <c r="AR228" i="23"/>
  <c r="AO228" i="23"/>
  <c r="AQ228" i="23"/>
  <c r="AD225" i="7"/>
  <c r="AH224" i="7"/>
  <c r="AE224" i="7"/>
  <c r="AF224" i="7"/>
  <c r="AG224" i="7"/>
  <c r="AI224" i="7"/>
  <c r="AJ224" i="7"/>
  <c r="AK224" i="7"/>
  <c r="AK227" i="22"/>
  <c r="AJ227" i="22"/>
  <c r="AI227" i="22"/>
  <c r="AG227" i="22"/>
  <c r="AF227" i="22"/>
  <c r="AE227" i="22"/>
  <c r="AH227" i="22"/>
  <c r="AQ223" i="7"/>
  <c r="AN223" i="7"/>
  <c r="AM224" i="7"/>
  <c r="AT223" i="7"/>
  <c r="AR223" i="7"/>
  <c r="AP223" i="7"/>
  <c r="AS223" i="7"/>
  <c r="AO223" i="7"/>
  <c r="Q95" i="7"/>
  <c r="S95" i="7"/>
  <c r="H226" i="23"/>
  <c r="I227" i="22"/>
  <c r="J226" i="23"/>
  <c r="J227" i="22"/>
  <c r="H227" i="22"/>
  <c r="I226" i="23"/>
  <c r="X227" i="23"/>
  <c r="W227" i="23"/>
  <c r="V227" i="23"/>
  <c r="AB227" i="23"/>
  <c r="U228" i="23"/>
  <c r="AA227" i="23"/>
  <c r="Z227" i="23"/>
  <c r="Y227" i="23"/>
  <c r="O229" i="23"/>
  <c r="N229" i="23"/>
  <c r="M229" i="23"/>
  <c r="S229" i="23"/>
  <c r="L230" i="23"/>
  <c r="R229" i="23"/>
  <c r="Q229" i="23"/>
  <c r="P229" i="23"/>
  <c r="D227" i="23"/>
  <c r="C228" i="23"/>
  <c r="F227" i="23"/>
  <c r="E227" i="23"/>
  <c r="G227" i="23"/>
  <c r="AD228" i="22"/>
  <c r="L228" i="22"/>
  <c r="O227" i="22"/>
  <c r="M227" i="22"/>
  <c r="N227" i="22"/>
  <c r="P227" i="22"/>
  <c r="W228" i="22"/>
  <c r="X228" i="22"/>
  <c r="U229" i="22"/>
  <c r="V228" i="22"/>
  <c r="Y228" i="22"/>
  <c r="D228" i="22"/>
  <c r="C229" i="22"/>
  <c r="G228" i="22"/>
  <c r="E228" i="22"/>
  <c r="F228" i="22"/>
  <c r="R95" i="7"/>
  <c r="N96" i="7"/>
  <c r="P96" i="7"/>
  <c r="M96" i="7"/>
  <c r="O96" i="7"/>
  <c r="I96" i="7"/>
  <c r="J96" i="7"/>
  <c r="H96" i="7"/>
  <c r="G97" i="7"/>
  <c r="F97" i="7"/>
  <c r="E97" i="7"/>
  <c r="D97" i="7"/>
  <c r="Y96" i="7"/>
  <c r="X96" i="7"/>
  <c r="AB96" i="7" s="1"/>
  <c r="W96" i="7"/>
  <c r="AA96" i="7" s="1"/>
  <c r="V96" i="7"/>
  <c r="U97" i="7"/>
  <c r="R227" i="22" l="1"/>
  <c r="S227" i="22"/>
  <c r="Q227" i="22"/>
  <c r="AA228" i="22"/>
  <c r="AB228" i="22"/>
  <c r="Z228" i="22"/>
  <c r="AR229" i="22"/>
  <c r="AN229" i="22"/>
  <c r="AT229" i="22"/>
  <c r="AS229" i="22"/>
  <c r="AQ229" i="22"/>
  <c r="AP229" i="22"/>
  <c r="AO229" i="22"/>
  <c r="AM230" i="22"/>
  <c r="AD230" i="23"/>
  <c r="AI229" i="23"/>
  <c r="AF229" i="23"/>
  <c r="AG229" i="23"/>
  <c r="AK229" i="23"/>
  <c r="AH229" i="23"/>
  <c r="AE229" i="23"/>
  <c r="AJ229" i="23"/>
  <c r="AR229" i="23"/>
  <c r="AM230" i="23"/>
  <c r="AS229" i="23"/>
  <c r="AO229" i="23"/>
  <c r="AT229" i="23"/>
  <c r="AQ229" i="23"/>
  <c r="AN229" i="23"/>
  <c r="AP229" i="23"/>
  <c r="AD226" i="7"/>
  <c r="AH225" i="7"/>
  <c r="AE225" i="7"/>
  <c r="AF225" i="7"/>
  <c r="AG225" i="7"/>
  <c r="AI225" i="7"/>
  <c r="AJ225" i="7"/>
  <c r="AK225" i="7"/>
  <c r="AK228" i="22"/>
  <c r="AI228" i="22"/>
  <c r="AG228" i="22"/>
  <c r="AJ228" i="22"/>
  <c r="AF228" i="22"/>
  <c r="AE228" i="22"/>
  <c r="AH228" i="22"/>
  <c r="AT224" i="7"/>
  <c r="AO224" i="7"/>
  <c r="AM225" i="7"/>
  <c r="AS224" i="7"/>
  <c r="AR224" i="7"/>
  <c r="AP224" i="7"/>
  <c r="AN224" i="7"/>
  <c r="AQ224" i="7"/>
  <c r="Q96" i="7"/>
  <c r="R96" i="7"/>
  <c r="H228" i="22"/>
  <c r="I228" i="22"/>
  <c r="J227" i="23"/>
  <c r="I227" i="23"/>
  <c r="J228" i="22"/>
  <c r="Z228" i="23"/>
  <c r="AB228" i="23"/>
  <c r="U229" i="23"/>
  <c r="X228" i="23"/>
  <c r="AA228" i="23"/>
  <c r="W228" i="23"/>
  <c r="V228" i="23"/>
  <c r="Y228" i="23"/>
  <c r="F228" i="23"/>
  <c r="E228" i="23"/>
  <c r="D228" i="23"/>
  <c r="C229" i="23"/>
  <c r="G228" i="23"/>
  <c r="H227" i="23"/>
  <c r="Q230" i="23"/>
  <c r="S230" i="23"/>
  <c r="L231" i="23"/>
  <c r="O230" i="23"/>
  <c r="R230" i="23"/>
  <c r="N230" i="23"/>
  <c r="M230" i="23"/>
  <c r="P230" i="23"/>
  <c r="C230" i="22"/>
  <c r="F229" i="22"/>
  <c r="D229" i="22"/>
  <c r="E229" i="22"/>
  <c r="G229" i="22"/>
  <c r="AD229" i="22"/>
  <c r="M228" i="22"/>
  <c r="L229" i="22"/>
  <c r="O228" i="22"/>
  <c r="N228" i="22"/>
  <c r="R228" i="22" s="1"/>
  <c r="P228" i="22"/>
  <c r="U230" i="22"/>
  <c r="V229" i="22"/>
  <c r="X229" i="22"/>
  <c r="W229" i="22"/>
  <c r="Y229" i="22"/>
  <c r="Z96" i="7"/>
  <c r="S96" i="7"/>
  <c r="O97" i="7"/>
  <c r="N97" i="7"/>
  <c r="P97" i="7"/>
  <c r="M97" i="7"/>
  <c r="I97" i="7"/>
  <c r="J97" i="7"/>
  <c r="H97" i="7"/>
  <c r="G98" i="7"/>
  <c r="F98" i="7"/>
  <c r="E98" i="7"/>
  <c r="D98" i="7"/>
  <c r="Y97" i="7"/>
  <c r="X97" i="7"/>
  <c r="AB97" i="7" s="1"/>
  <c r="W97" i="7"/>
  <c r="AA97" i="7" s="1"/>
  <c r="V97" i="7"/>
  <c r="U98" i="7"/>
  <c r="Q228" i="22" l="1"/>
  <c r="S228" i="22"/>
  <c r="AA229" i="22"/>
  <c r="AB229" i="22"/>
  <c r="Z229" i="22"/>
  <c r="AR230" i="22"/>
  <c r="AS230" i="22"/>
  <c r="AP230" i="22"/>
  <c r="AN230" i="22"/>
  <c r="AO230" i="22"/>
  <c r="AM231" i="22"/>
  <c r="AQ230" i="22"/>
  <c r="AT230" i="22"/>
  <c r="AK230" i="23"/>
  <c r="AI230" i="23"/>
  <c r="AF230" i="23"/>
  <c r="AD231" i="23"/>
  <c r="AJ230" i="23"/>
  <c r="AH230" i="23"/>
  <c r="AG230" i="23"/>
  <c r="AE230" i="23"/>
  <c r="AP230" i="23"/>
  <c r="AS230" i="23"/>
  <c r="AN230" i="23"/>
  <c r="AM231" i="23"/>
  <c r="AR230" i="23"/>
  <c r="AO230" i="23"/>
  <c r="AT230" i="23"/>
  <c r="AQ230" i="23"/>
  <c r="AD227" i="7"/>
  <c r="AH226" i="7"/>
  <c r="AE226" i="7"/>
  <c r="AF226" i="7"/>
  <c r="AG226" i="7"/>
  <c r="AI226" i="7"/>
  <c r="AJ226" i="7"/>
  <c r="AK226" i="7"/>
  <c r="AJ229" i="22"/>
  <c r="AI229" i="22"/>
  <c r="AG229" i="22"/>
  <c r="AF229" i="22"/>
  <c r="AK229" i="22"/>
  <c r="AE229" i="22"/>
  <c r="AH229" i="22"/>
  <c r="AM226" i="7"/>
  <c r="AT225" i="7"/>
  <c r="AS225" i="7"/>
  <c r="AR225" i="7"/>
  <c r="AO225" i="7"/>
  <c r="AQ225" i="7"/>
  <c r="AP225" i="7"/>
  <c r="AN225" i="7"/>
  <c r="H229" i="22"/>
  <c r="H228" i="23"/>
  <c r="I229" i="22"/>
  <c r="J229" i="22"/>
  <c r="J228" i="23"/>
  <c r="I228" i="23"/>
  <c r="S231" i="23"/>
  <c r="R231" i="23"/>
  <c r="Q231" i="23"/>
  <c r="M231" i="23"/>
  <c r="O231" i="23"/>
  <c r="L232" i="23"/>
  <c r="N231" i="23"/>
  <c r="P231" i="23"/>
  <c r="AB229" i="23"/>
  <c r="AA229" i="23"/>
  <c r="Z229" i="23"/>
  <c r="V229" i="23"/>
  <c r="X229" i="23"/>
  <c r="U230" i="23"/>
  <c r="W229" i="23"/>
  <c r="Y229" i="23"/>
  <c r="E229" i="23"/>
  <c r="F229" i="23"/>
  <c r="D229" i="23"/>
  <c r="C230" i="23"/>
  <c r="G229" i="23"/>
  <c r="V230" i="22"/>
  <c r="U231" i="22"/>
  <c r="W230" i="22"/>
  <c r="AA230" i="22" s="1"/>
  <c r="X230" i="22"/>
  <c r="Y230" i="22"/>
  <c r="AD230" i="22"/>
  <c r="M229" i="22"/>
  <c r="O229" i="22"/>
  <c r="N229" i="22"/>
  <c r="L230" i="22"/>
  <c r="P229" i="22"/>
  <c r="F230" i="22"/>
  <c r="C231" i="22"/>
  <c r="E230" i="22"/>
  <c r="D230" i="22"/>
  <c r="G230" i="22"/>
  <c r="R97" i="7"/>
  <c r="S97" i="7"/>
  <c r="Z97" i="7"/>
  <c r="Q97" i="7"/>
  <c r="N98" i="7"/>
  <c r="P98" i="7"/>
  <c r="M98" i="7"/>
  <c r="O98" i="7"/>
  <c r="I98" i="7"/>
  <c r="J98" i="7"/>
  <c r="H98" i="7"/>
  <c r="Y98" i="7"/>
  <c r="X98" i="7"/>
  <c r="Z98" i="7" s="1"/>
  <c r="W98" i="7"/>
  <c r="V98" i="7"/>
  <c r="U99" i="7"/>
  <c r="AB98" i="7"/>
  <c r="AA98" i="7"/>
  <c r="G99" i="7"/>
  <c r="F99" i="7"/>
  <c r="E99" i="7"/>
  <c r="D99" i="7"/>
  <c r="R229" i="22" l="1"/>
  <c r="S229" i="22"/>
  <c r="Q229" i="22"/>
  <c r="Z230" i="22"/>
  <c r="AB230" i="22"/>
  <c r="AT231" i="22"/>
  <c r="AR231" i="22"/>
  <c r="AO231" i="22"/>
  <c r="AM232" i="22"/>
  <c r="AS231" i="22"/>
  <c r="AP231" i="22"/>
  <c r="AN231" i="22"/>
  <c r="AQ231" i="22"/>
  <c r="AD232" i="23"/>
  <c r="AK231" i="23"/>
  <c r="AJ231" i="23"/>
  <c r="AI231" i="23"/>
  <c r="AH231" i="23"/>
  <c r="AG231" i="23"/>
  <c r="AF231" i="23"/>
  <c r="AE231" i="23"/>
  <c r="AM232" i="23"/>
  <c r="AT231" i="23"/>
  <c r="AS231" i="23"/>
  <c r="AR231" i="23"/>
  <c r="AQ231" i="23"/>
  <c r="AP231" i="23"/>
  <c r="AO231" i="23"/>
  <c r="AN231" i="23"/>
  <c r="AD228" i="7"/>
  <c r="AH227" i="7"/>
  <c r="AE227" i="7"/>
  <c r="AF227" i="7"/>
  <c r="AG227" i="7"/>
  <c r="AI227" i="7"/>
  <c r="AJ227" i="7"/>
  <c r="AK227" i="7"/>
  <c r="AJ230" i="22"/>
  <c r="AI230" i="22"/>
  <c r="AG230" i="22"/>
  <c r="AE230" i="22"/>
  <c r="AK230" i="22"/>
  <c r="AF230" i="22"/>
  <c r="AH230" i="22"/>
  <c r="AQ226" i="7"/>
  <c r="AP226" i="7"/>
  <c r="AN226" i="7"/>
  <c r="AM227" i="7"/>
  <c r="AT226" i="7"/>
  <c r="AR226" i="7"/>
  <c r="AS226" i="7"/>
  <c r="AO226" i="7"/>
  <c r="H230" i="22"/>
  <c r="J229" i="23"/>
  <c r="I229" i="23"/>
  <c r="I230" i="22"/>
  <c r="J230" i="22"/>
  <c r="X230" i="23"/>
  <c r="W230" i="23"/>
  <c r="V230" i="23"/>
  <c r="U231" i="23"/>
  <c r="AB230" i="23"/>
  <c r="AA230" i="23"/>
  <c r="Z230" i="23"/>
  <c r="Y230" i="23"/>
  <c r="H229" i="23"/>
  <c r="O232" i="23"/>
  <c r="N232" i="23"/>
  <c r="M232" i="23"/>
  <c r="S232" i="23"/>
  <c r="R232" i="23"/>
  <c r="Q232" i="23"/>
  <c r="L233" i="23"/>
  <c r="P232" i="23"/>
  <c r="D230" i="23"/>
  <c r="C231" i="23"/>
  <c r="E230" i="23"/>
  <c r="F230" i="23"/>
  <c r="G230" i="23"/>
  <c r="W231" i="22"/>
  <c r="X231" i="22"/>
  <c r="V231" i="22"/>
  <c r="U232" i="22"/>
  <c r="Y231" i="22"/>
  <c r="O230" i="22"/>
  <c r="N230" i="22"/>
  <c r="M230" i="22"/>
  <c r="L231" i="22"/>
  <c r="P230" i="22"/>
  <c r="D231" i="22"/>
  <c r="F231" i="22"/>
  <c r="E231" i="22"/>
  <c r="C232" i="22"/>
  <c r="G231" i="22"/>
  <c r="AD231" i="22"/>
  <c r="S98" i="7"/>
  <c r="R98" i="7"/>
  <c r="Q98" i="7"/>
  <c r="P99" i="7"/>
  <c r="N99" i="7"/>
  <c r="O99" i="7"/>
  <c r="M99" i="7"/>
  <c r="I99" i="7"/>
  <c r="J99" i="7"/>
  <c r="H99" i="7"/>
  <c r="G100" i="7"/>
  <c r="F100" i="7"/>
  <c r="E100" i="7"/>
  <c r="D100" i="7"/>
  <c r="Y99" i="7"/>
  <c r="X99" i="7"/>
  <c r="AB99" i="7" s="1"/>
  <c r="W99" i="7"/>
  <c r="AA99" i="7" s="1"/>
  <c r="V99" i="7"/>
  <c r="U100" i="7"/>
  <c r="R230" i="22" l="1"/>
  <c r="Q230" i="22"/>
  <c r="S230" i="22"/>
  <c r="AA231" i="22"/>
  <c r="AB231" i="22"/>
  <c r="Z231" i="22"/>
  <c r="AT232" i="22"/>
  <c r="AR232" i="22"/>
  <c r="AP232" i="22"/>
  <c r="AO232" i="22"/>
  <c r="AN232" i="22"/>
  <c r="AM233" i="22"/>
  <c r="AS232" i="22"/>
  <c r="AQ232" i="22"/>
  <c r="AD233" i="23"/>
  <c r="AK232" i="23"/>
  <c r="AJ232" i="23"/>
  <c r="AI232" i="23"/>
  <c r="AH232" i="23"/>
  <c r="AG232" i="23"/>
  <c r="AF232" i="23"/>
  <c r="AE232" i="23"/>
  <c r="AM233" i="23"/>
  <c r="AT232" i="23"/>
  <c r="AS232" i="23"/>
  <c r="AR232" i="23"/>
  <c r="AQ232" i="23"/>
  <c r="AP232" i="23"/>
  <c r="AO232" i="23"/>
  <c r="AN232" i="23"/>
  <c r="AD229" i="7"/>
  <c r="AH228" i="7"/>
  <c r="AE228" i="7"/>
  <c r="AF228" i="7"/>
  <c r="AG228" i="7"/>
  <c r="AI228" i="7"/>
  <c r="AJ228" i="7"/>
  <c r="AK228" i="7"/>
  <c r="AK231" i="22"/>
  <c r="AI231" i="22"/>
  <c r="AG231" i="22"/>
  <c r="AE231" i="22"/>
  <c r="AJ231" i="22"/>
  <c r="AF231" i="22"/>
  <c r="AH231" i="22"/>
  <c r="AP227" i="7"/>
  <c r="AM228" i="7"/>
  <c r="AO227" i="7"/>
  <c r="AN227" i="7"/>
  <c r="AR227" i="7"/>
  <c r="AS227" i="7"/>
  <c r="AQ227" i="7"/>
  <c r="AT227" i="7"/>
  <c r="H231" i="22"/>
  <c r="I231" i="22"/>
  <c r="Q99" i="7"/>
  <c r="J231" i="22"/>
  <c r="J230" i="23"/>
  <c r="I230" i="23"/>
  <c r="H230" i="23"/>
  <c r="Z231" i="23"/>
  <c r="U232" i="23"/>
  <c r="AB231" i="23"/>
  <c r="AA231" i="23"/>
  <c r="X231" i="23"/>
  <c r="V231" i="23"/>
  <c r="W231" i="23"/>
  <c r="Y231" i="23"/>
  <c r="Q233" i="23"/>
  <c r="L234" i="23"/>
  <c r="S233" i="23"/>
  <c r="O233" i="23"/>
  <c r="N233" i="23"/>
  <c r="M233" i="23"/>
  <c r="R233" i="23"/>
  <c r="P233" i="23"/>
  <c r="F231" i="23"/>
  <c r="E231" i="23"/>
  <c r="D231" i="23"/>
  <c r="C232" i="23"/>
  <c r="G231" i="23"/>
  <c r="E232" i="22"/>
  <c r="C233" i="22"/>
  <c r="F232" i="22"/>
  <c r="D232" i="22"/>
  <c r="G232" i="22"/>
  <c r="U233" i="22"/>
  <c r="X232" i="22"/>
  <c r="V232" i="22"/>
  <c r="W232" i="22"/>
  <c r="Y232" i="22"/>
  <c r="L232" i="22"/>
  <c r="N231" i="22"/>
  <c r="O231" i="22"/>
  <c r="M231" i="22"/>
  <c r="R231" i="22" s="1"/>
  <c r="P231" i="22"/>
  <c r="AD232" i="22"/>
  <c r="R99" i="7"/>
  <c r="Z99" i="7"/>
  <c r="S99" i="7"/>
  <c r="N100" i="7"/>
  <c r="P100" i="7"/>
  <c r="M100" i="7"/>
  <c r="O100" i="7"/>
  <c r="J100" i="7"/>
  <c r="I100" i="7"/>
  <c r="H100" i="7"/>
  <c r="Y100" i="7"/>
  <c r="X100" i="7"/>
  <c r="Z100" i="7" s="1"/>
  <c r="W100" i="7"/>
  <c r="AA100" i="7" s="1"/>
  <c r="V100" i="7"/>
  <c r="AB100" i="7" s="1"/>
  <c r="U101" i="7"/>
  <c r="D101" i="7"/>
  <c r="G101" i="7"/>
  <c r="F101" i="7"/>
  <c r="E101" i="7"/>
  <c r="Q231" i="22" l="1"/>
  <c r="S231" i="22"/>
  <c r="AA232" i="22"/>
  <c r="AB232" i="22"/>
  <c r="Z232" i="22"/>
  <c r="AT233" i="22"/>
  <c r="AR233" i="22"/>
  <c r="AP233" i="22"/>
  <c r="AN233" i="22"/>
  <c r="AS233" i="22"/>
  <c r="AQ233" i="22"/>
  <c r="AM234" i="22"/>
  <c r="AO233" i="22"/>
  <c r="AD234" i="23"/>
  <c r="AK233" i="23"/>
  <c r="AJ233" i="23"/>
  <c r="AI233" i="23"/>
  <c r="AH233" i="23"/>
  <c r="AG233" i="23"/>
  <c r="AF233" i="23"/>
  <c r="AE233" i="23"/>
  <c r="AM234" i="23"/>
  <c r="AT233" i="23"/>
  <c r="AS233" i="23"/>
  <c r="AR233" i="23"/>
  <c r="AQ233" i="23"/>
  <c r="AP233" i="23"/>
  <c r="AO233" i="23"/>
  <c r="AN233" i="23"/>
  <c r="AD230" i="7"/>
  <c r="AH229" i="7"/>
  <c r="AE229" i="7"/>
  <c r="AF229" i="7"/>
  <c r="AG229" i="7"/>
  <c r="AI229" i="7"/>
  <c r="AJ229" i="7"/>
  <c r="AK229" i="7"/>
  <c r="AJ232" i="22"/>
  <c r="AI232" i="22"/>
  <c r="AF232" i="22"/>
  <c r="AK232" i="22"/>
  <c r="AG232" i="22"/>
  <c r="AE232" i="22"/>
  <c r="AH232" i="22"/>
  <c r="AO228" i="7"/>
  <c r="AS228" i="7"/>
  <c r="AQ228" i="7"/>
  <c r="AM229" i="7"/>
  <c r="AR228" i="7"/>
  <c r="AN228" i="7"/>
  <c r="AT228" i="7"/>
  <c r="AP228" i="7"/>
  <c r="Q100" i="7"/>
  <c r="H231" i="23"/>
  <c r="I231" i="23"/>
  <c r="R100" i="7"/>
  <c r="J231" i="23"/>
  <c r="J232" i="22"/>
  <c r="H232" i="22"/>
  <c r="I232" i="22"/>
  <c r="C233" i="23"/>
  <c r="F232" i="23"/>
  <c r="E232" i="23"/>
  <c r="D232" i="23"/>
  <c r="G232" i="23"/>
  <c r="AB232" i="23"/>
  <c r="AA232" i="23"/>
  <c r="Z232" i="23"/>
  <c r="V232" i="23"/>
  <c r="U233" i="23"/>
  <c r="X232" i="23"/>
  <c r="W232" i="23"/>
  <c r="Y232" i="23"/>
  <c r="S234" i="23"/>
  <c r="R234" i="23"/>
  <c r="Q234" i="23"/>
  <c r="M234" i="23"/>
  <c r="L235" i="23"/>
  <c r="O234" i="23"/>
  <c r="N234" i="23"/>
  <c r="P234" i="23"/>
  <c r="AD233" i="22"/>
  <c r="V233" i="22"/>
  <c r="U234" i="22"/>
  <c r="W233" i="22"/>
  <c r="X233" i="22"/>
  <c r="AB233" i="22" s="1"/>
  <c r="Y233" i="22"/>
  <c r="C234" i="22"/>
  <c r="D233" i="22"/>
  <c r="F233" i="22"/>
  <c r="E233" i="22"/>
  <c r="G233" i="22"/>
  <c r="M232" i="22"/>
  <c r="N232" i="22"/>
  <c r="R232" i="22" s="1"/>
  <c r="O232" i="22"/>
  <c r="L233" i="22"/>
  <c r="P232" i="22"/>
  <c r="S100" i="7"/>
  <c r="H101" i="7"/>
  <c r="M101" i="7"/>
  <c r="N101" i="7"/>
  <c r="O101" i="7"/>
  <c r="P101" i="7"/>
  <c r="I101" i="7"/>
  <c r="J101" i="7"/>
  <c r="U102" i="7"/>
  <c r="Y101" i="7"/>
  <c r="X101" i="7"/>
  <c r="Z101" i="7" s="1"/>
  <c r="W101" i="7"/>
  <c r="AA101" i="7" s="1"/>
  <c r="V101" i="7"/>
  <c r="G102" i="7"/>
  <c r="D102" i="7"/>
  <c r="F102" i="7"/>
  <c r="E102" i="7"/>
  <c r="S232" i="22" l="1"/>
  <c r="Q232" i="22"/>
  <c r="AA233" i="22"/>
  <c r="Z233" i="22"/>
  <c r="AP234" i="22"/>
  <c r="AM235" i="22"/>
  <c r="AR234" i="22"/>
  <c r="AO234" i="22"/>
  <c r="AN234" i="22"/>
  <c r="AT234" i="22"/>
  <c r="AS234" i="22"/>
  <c r="AQ234" i="22"/>
  <c r="AD235" i="23"/>
  <c r="AK234" i="23"/>
  <c r="AJ234" i="23"/>
  <c r="AI234" i="23"/>
  <c r="AH234" i="23"/>
  <c r="AG234" i="23"/>
  <c r="AF234" i="23"/>
  <c r="AE234" i="23"/>
  <c r="AM235" i="23"/>
  <c r="AT234" i="23"/>
  <c r="AS234" i="23"/>
  <c r="AR234" i="23"/>
  <c r="AQ234" i="23"/>
  <c r="AP234" i="23"/>
  <c r="AO234" i="23"/>
  <c r="AN234" i="23"/>
  <c r="AD231" i="7"/>
  <c r="AH230" i="7"/>
  <c r="AE230" i="7"/>
  <c r="AF230" i="7"/>
  <c r="AG230" i="7"/>
  <c r="AI230" i="7"/>
  <c r="AJ230" i="7"/>
  <c r="AK230" i="7"/>
  <c r="AJ233" i="22"/>
  <c r="AI233" i="22"/>
  <c r="AG233" i="22"/>
  <c r="AE233" i="22"/>
  <c r="AK233" i="22"/>
  <c r="AF233" i="22"/>
  <c r="AH233" i="22"/>
  <c r="AT229" i="7"/>
  <c r="AP229" i="7"/>
  <c r="AS229" i="7"/>
  <c r="AQ229" i="7"/>
  <c r="AM230" i="7"/>
  <c r="AR229" i="7"/>
  <c r="AN229" i="7"/>
  <c r="AO229" i="7"/>
  <c r="Q101" i="7"/>
  <c r="R101" i="7"/>
  <c r="H233" i="22"/>
  <c r="I233" i="22"/>
  <c r="S101" i="7"/>
  <c r="H102" i="7"/>
  <c r="I232" i="23"/>
  <c r="J232" i="23"/>
  <c r="X233" i="23"/>
  <c r="W233" i="23"/>
  <c r="V233" i="23"/>
  <c r="AA233" i="23"/>
  <c r="U234" i="23"/>
  <c r="AB233" i="23"/>
  <c r="Z233" i="23"/>
  <c r="Y233" i="23"/>
  <c r="H232" i="23"/>
  <c r="O235" i="23"/>
  <c r="N235" i="23"/>
  <c r="M235" i="23"/>
  <c r="R235" i="23"/>
  <c r="L236" i="23"/>
  <c r="S235" i="23"/>
  <c r="Q235" i="23"/>
  <c r="P235" i="23"/>
  <c r="D233" i="23"/>
  <c r="F233" i="23"/>
  <c r="E233" i="23"/>
  <c r="C234" i="23"/>
  <c r="G233" i="23"/>
  <c r="W234" i="22"/>
  <c r="U235" i="22"/>
  <c r="X234" i="22"/>
  <c r="V234" i="22"/>
  <c r="Y234" i="22"/>
  <c r="AD234" i="22"/>
  <c r="J233" i="22"/>
  <c r="M233" i="22"/>
  <c r="O233" i="22"/>
  <c r="L234" i="22"/>
  <c r="N233" i="22"/>
  <c r="R233" i="22" s="1"/>
  <c r="P233" i="22"/>
  <c r="D234" i="22"/>
  <c r="C235" i="22"/>
  <c r="F234" i="22"/>
  <c r="E234" i="22"/>
  <c r="G234" i="22"/>
  <c r="AB101" i="7"/>
  <c r="M102" i="7"/>
  <c r="O102" i="7"/>
  <c r="N102" i="7"/>
  <c r="P102" i="7"/>
  <c r="I102" i="7"/>
  <c r="J102" i="7"/>
  <c r="G103" i="7"/>
  <c r="D103" i="7"/>
  <c r="F103" i="7"/>
  <c r="E103" i="7"/>
  <c r="U103" i="7"/>
  <c r="AA102" i="7"/>
  <c r="Y102" i="7"/>
  <c r="X102" i="7"/>
  <c r="AB102" i="7" s="1"/>
  <c r="W102" i="7"/>
  <c r="V102" i="7"/>
  <c r="S233" i="22" l="1"/>
  <c r="Q233" i="22"/>
  <c r="AA234" i="22"/>
  <c r="Z234" i="22"/>
  <c r="AB234" i="22"/>
  <c r="AT235" i="22"/>
  <c r="AR235" i="22"/>
  <c r="AP235" i="22"/>
  <c r="AN235" i="22"/>
  <c r="AM236" i="22"/>
  <c r="AS235" i="22"/>
  <c r="AQ235" i="22"/>
  <c r="AO235" i="22"/>
  <c r="AI235" i="23"/>
  <c r="AF235" i="23"/>
  <c r="AH235" i="23"/>
  <c r="AE235" i="23"/>
  <c r="AG235" i="23"/>
  <c r="AD236" i="23"/>
  <c r="AK235" i="23"/>
  <c r="AJ235" i="23"/>
  <c r="AP235" i="23"/>
  <c r="AM236" i="23"/>
  <c r="AT235" i="23"/>
  <c r="AS235" i="23"/>
  <c r="AR235" i="23"/>
  <c r="AO235" i="23"/>
  <c r="AN235" i="23"/>
  <c r="AQ235" i="23"/>
  <c r="AD232" i="7"/>
  <c r="AH231" i="7"/>
  <c r="AE231" i="7"/>
  <c r="AF231" i="7"/>
  <c r="AG231" i="7"/>
  <c r="AI231" i="7"/>
  <c r="AJ231" i="7"/>
  <c r="AK231" i="7"/>
  <c r="AK234" i="22"/>
  <c r="AI234" i="22"/>
  <c r="AG234" i="22"/>
  <c r="AE234" i="22"/>
  <c r="AJ234" i="22"/>
  <c r="AF234" i="22"/>
  <c r="AH234" i="22"/>
  <c r="AN230" i="7"/>
  <c r="AP230" i="7"/>
  <c r="AT230" i="7"/>
  <c r="AQ230" i="7"/>
  <c r="AO230" i="7"/>
  <c r="AM231" i="7"/>
  <c r="AS230" i="7"/>
  <c r="AR230" i="7"/>
  <c r="H103" i="7"/>
  <c r="I234" i="22"/>
  <c r="J234" i="22"/>
  <c r="H233" i="23"/>
  <c r="R102" i="7"/>
  <c r="S102" i="7"/>
  <c r="I233" i="23"/>
  <c r="J233" i="23"/>
  <c r="H234" i="22"/>
  <c r="Z234" i="23"/>
  <c r="W234" i="23"/>
  <c r="X234" i="23"/>
  <c r="V234" i="23"/>
  <c r="U235" i="23"/>
  <c r="AB234" i="23"/>
  <c r="AA234" i="23"/>
  <c r="Y234" i="23"/>
  <c r="Q236" i="23"/>
  <c r="N236" i="23"/>
  <c r="L237" i="23"/>
  <c r="S236" i="23"/>
  <c r="R236" i="23"/>
  <c r="O236" i="23"/>
  <c r="M236" i="23"/>
  <c r="P236" i="23"/>
  <c r="F234" i="23"/>
  <c r="E234" i="23"/>
  <c r="D234" i="23"/>
  <c r="C235" i="23"/>
  <c r="G234" i="23"/>
  <c r="O234" i="22"/>
  <c r="L235" i="22"/>
  <c r="M234" i="22"/>
  <c r="N234" i="22"/>
  <c r="R234" i="22" s="1"/>
  <c r="P234" i="22"/>
  <c r="W235" i="22"/>
  <c r="V235" i="22"/>
  <c r="X235" i="22"/>
  <c r="U236" i="22"/>
  <c r="Y235" i="22"/>
  <c r="D235" i="22"/>
  <c r="C236" i="22"/>
  <c r="F235" i="22"/>
  <c r="E235" i="22"/>
  <c r="G235" i="22"/>
  <c r="AD235" i="22"/>
  <c r="Z102" i="7"/>
  <c r="Q102" i="7"/>
  <c r="N103" i="7"/>
  <c r="P103" i="7"/>
  <c r="O103" i="7"/>
  <c r="M103" i="7"/>
  <c r="I103" i="7"/>
  <c r="J103" i="7"/>
  <c r="U104" i="7"/>
  <c r="Y103" i="7"/>
  <c r="X103" i="7"/>
  <c r="Z103" i="7" s="1"/>
  <c r="W103" i="7"/>
  <c r="AA103" i="7" s="1"/>
  <c r="V103" i="7"/>
  <c r="AB103" i="7" s="1"/>
  <c r="G104" i="7"/>
  <c r="E104" i="7"/>
  <c r="D104" i="7"/>
  <c r="F104" i="7"/>
  <c r="Q234" i="22" l="1"/>
  <c r="S234" i="22"/>
  <c r="AB235" i="22"/>
  <c r="AA235" i="22"/>
  <c r="Z235" i="22"/>
  <c r="AS236" i="22"/>
  <c r="AN236" i="22"/>
  <c r="AM237" i="22"/>
  <c r="AR236" i="22"/>
  <c r="AP236" i="22"/>
  <c r="AO236" i="22"/>
  <c r="AT236" i="22"/>
  <c r="AQ236" i="22"/>
  <c r="AD237" i="23"/>
  <c r="AK236" i="23"/>
  <c r="AJ236" i="23"/>
  <c r="AI236" i="23"/>
  <c r="AH236" i="23"/>
  <c r="AG236" i="23"/>
  <c r="AF236" i="23"/>
  <c r="AE236" i="23"/>
  <c r="AM237" i="23"/>
  <c r="AT236" i="23"/>
  <c r="AS236" i="23"/>
  <c r="AR236" i="23"/>
  <c r="AQ236" i="23"/>
  <c r="AP236" i="23"/>
  <c r="AO236" i="23"/>
  <c r="AN236" i="23"/>
  <c r="AD233" i="7"/>
  <c r="AH232" i="7"/>
  <c r="AE232" i="7"/>
  <c r="AF232" i="7"/>
  <c r="AG232" i="7"/>
  <c r="AI232" i="7"/>
  <c r="AJ232" i="7"/>
  <c r="AK232" i="7"/>
  <c r="AK235" i="22"/>
  <c r="AI235" i="22"/>
  <c r="AG235" i="22"/>
  <c r="AF235" i="22"/>
  <c r="AJ235" i="22"/>
  <c r="AE235" i="22"/>
  <c r="AH235" i="22"/>
  <c r="AR231" i="7"/>
  <c r="AT231" i="7"/>
  <c r="AP231" i="7"/>
  <c r="AN231" i="7"/>
  <c r="AM232" i="7"/>
  <c r="AS231" i="7"/>
  <c r="AO231" i="7"/>
  <c r="AQ231" i="7"/>
  <c r="H234" i="23"/>
  <c r="J234" i="23"/>
  <c r="I234" i="23"/>
  <c r="I235" i="22"/>
  <c r="J235" i="22"/>
  <c r="H235" i="22"/>
  <c r="S237" i="23"/>
  <c r="R237" i="23"/>
  <c r="Q237" i="23"/>
  <c r="M237" i="23"/>
  <c r="L238" i="23"/>
  <c r="O237" i="23"/>
  <c r="N237" i="23"/>
  <c r="P237" i="23"/>
  <c r="AB235" i="23"/>
  <c r="AA235" i="23"/>
  <c r="Z235" i="23"/>
  <c r="V235" i="23"/>
  <c r="U236" i="23"/>
  <c r="W235" i="23"/>
  <c r="X235" i="23"/>
  <c r="Y235" i="23"/>
  <c r="C236" i="23"/>
  <c r="F235" i="23"/>
  <c r="E235" i="23"/>
  <c r="D235" i="23"/>
  <c r="G235" i="23"/>
  <c r="F236" i="22"/>
  <c r="C237" i="22"/>
  <c r="D236" i="22"/>
  <c r="E236" i="22"/>
  <c r="G236" i="22"/>
  <c r="M235" i="22"/>
  <c r="N235" i="22"/>
  <c r="R235" i="22" s="1"/>
  <c r="L236" i="22"/>
  <c r="O235" i="22"/>
  <c r="P235" i="22"/>
  <c r="V236" i="22"/>
  <c r="W236" i="22"/>
  <c r="AA236" i="22" s="1"/>
  <c r="X236" i="22"/>
  <c r="U237" i="22"/>
  <c r="Y236" i="22"/>
  <c r="AD236" i="22"/>
  <c r="S103" i="7"/>
  <c r="R103" i="7"/>
  <c r="Q103" i="7"/>
  <c r="N104" i="7"/>
  <c r="P104" i="7"/>
  <c r="O104" i="7"/>
  <c r="M104" i="7"/>
  <c r="J104" i="7"/>
  <c r="I104" i="7"/>
  <c r="H104" i="7"/>
  <c r="G105" i="7"/>
  <c r="E105" i="7"/>
  <c r="D105" i="7"/>
  <c r="F105" i="7"/>
  <c r="V104" i="7"/>
  <c r="U105" i="7"/>
  <c r="AB104" i="7"/>
  <c r="AA104" i="7"/>
  <c r="Y104" i="7"/>
  <c r="W104" i="7"/>
  <c r="X104" i="7"/>
  <c r="Z104" i="7" s="1"/>
  <c r="Q235" i="22" l="1"/>
  <c r="S235" i="22"/>
  <c r="Z236" i="22"/>
  <c r="AB236" i="22"/>
  <c r="AT237" i="22"/>
  <c r="AS237" i="22"/>
  <c r="AQ237" i="22"/>
  <c r="AN237" i="22"/>
  <c r="AR237" i="22"/>
  <c r="AM238" i="22"/>
  <c r="AP237" i="22"/>
  <c r="AO237" i="22"/>
  <c r="AE237" i="23"/>
  <c r="AD238" i="23"/>
  <c r="AK237" i="23"/>
  <c r="AJ237" i="23"/>
  <c r="AI237" i="23"/>
  <c r="AH237" i="23"/>
  <c r="AG237" i="23"/>
  <c r="AF237" i="23"/>
  <c r="AM238" i="23"/>
  <c r="AT237" i="23"/>
  <c r="AS237" i="23"/>
  <c r="AR237" i="23"/>
  <c r="AQ237" i="23"/>
  <c r="AP237" i="23"/>
  <c r="AO237" i="23"/>
  <c r="AN237" i="23"/>
  <c r="AD234" i="7"/>
  <c r="AH233" i="7"/>
  <c r="AE233" i="7"/>
  <c r="AF233" i="7"/>
  <c r="AG233" i="7"/>
  <c r="AI233" i="7"/>
  <c r="AJ233" i="7"/>
  <c r="AK233" i="7"/>
  <c r="AJ236" i="22"/>
  <c r="AI236" i="22"/>
  <c r="AG236" i="22"/>
  <c r="AK236" i="22"/>
  <c r="AF236" i="22"/>
  <c r="AE236" i="22"/>
  <c r="AH236" i="22"/>
  <c r="AQ232" i="7"/>
  <c r="AR232" i="7"/>
  <c r="AS232" i="7"/>
  <c r="AM233" i="7"/>
  <c r="AO232" i="7"/>
  <c r="AN232" i="7"/>
  <c r="AP232" i="7"/>
  <c r="AT232" i="7"/>
  <c r="Q104" i="7"/>
  <c r="H236" i="22"/>
  <c r="H235" i="23"/>
  <c r="S104" i="7"/>
  <c r="I236" i="22"/>
  <c r="I235" i="23"/>
  <c r="J236" i="22"/>
  <c r="H105" i="7"/>
  <c r="X236" i="23"/>
  <c r="W236" i="23"/>
  <c r="V236" i="23"/>
  <c r="AB236" i="23"/>
  <c r="U237" i="23"/>
  <c r="AA236" i="23"/>
  <c r="Z236" i="23"/>
  <c r="Y236" i="23"/>
  <c r="O238" i="23"/>
  <c r="N238" i="23"/>
  <c r="M238" i="23"/>
  <c r="S238" i="23"/>
  <c r="Q238" i="23"/>
  <c r="L239" i="23"/>
  <c r="R238" i="23"/>
  <c r="P238" i="23"/>
  <c r="J235" i="23"/>
  <c r="D236" i="23"/>
  <c r="C237" i="23"/>
  <c r="F236" i="23"/>
  <c r="E236" i="23"/>
  <c r="G236" i="23"/>
  <c r="AD237" i="22"/>
  <c r="D237" i="22"/>
  <c r="F237" i="22"/>
  <c r="C238" i="22"/>
  <c r="E237" i="22"/>
  <c r="G237" i="22"/>
  <c r="X237" i="22"/>
  <c r="U238" i="22"/>
  <c r="W237" i="22"/>
  <c r="V237" i="22"/>
  <c r="Y237" i="22"/>
  <c r="O236" i="22"/>
  <c r="L237" i="22"/>
  <c r="M236" i="22"/>
  <c r="N236" i="22"/>
  <c r="P236" i="22"/>
  <c r="R104" i="7"/>
  <c r="M105" i="7"/>
  <c r="N105" i="7"/>
  <c r="O105" i="7"/>
  <c r="P105" i="7"/>
  <c r="I105" i="7"/>
  <c r="J105" i="7"/>
  <c r="G106" i="7"/>
  <c r="E106" i="7"/>
  <c r="D106" i="7"/>
  <c r="F106" i="7"/>
  <c r="V105" i="7"/>
  <c r="U106" i="7"/>
  <c r="Y105" i="7"/>
  <c r="X105" i="7"/>
  <c r="AB105" i="7" s="1"/>
  <c r="W105" i="7"/>
  <c r="AA105" i="7" s="1"/>
  <c r="Z105" i="7"/>
  <c r="Q236" i="22" l="1"/>
  <c r="R236" i="22"/>
  <c r="S236" i="22"/>
  <c r="Z237" i="22"/>
  <c r="AB237" i="22"/>
  <c r="AA237" i="22"/>
  <c r="AM239" i="22"/>
  <c r="AS238" i="22"/>
  <c r="AQ238" i="22"/>
  <c r="AN238" i="22"/>
  <c r="AT238" i="22"/>
  <c r="AR238" i="22"/>
  <c r="AP238" i="22"/>
  <c r="AO238" i="22"/>
  <c r="AD239" i="23"/>
  <c r="AK238" i="23"/>
  <c r="AJ238" i="23"/>
  <c r="AI238" i="23"/>
  <c r="AH238" i="23"/>
  <c r="AG238" i="23"/>
  <c r="AF238" i="23"/>
  <c r="AE238" i="23"/>
  <c r="AM239" i="23"/>
  <c r="AT238" i="23"/>
  <c r="AS238" i="23"/>
  <c r="AR238" i="23"/>
  <c r="AQ238" i="23"/>
  <c r="AP238" i="23"/>
  <c r="AO238" i="23"/>
  <c r="AN238" i="23"/>
  <c r="AD235" i="7"/>
  <c r="AH234" i="7"/>
  <c r="AE234" i="7"/>
  <c r="AF234" i="7"/>
  <c r="AG234" i="7"/>
  <c r="AI234" i="7"/>
  <c r="AJ234" i="7"/>
  <c r="AK234" i="7"/>
  <c r="AK237" i="22"/>
  <c r="AI237" i="22"/>
  <c r="AG237" i="22"/>
  <c r="AE237" i="22"/>
  <c r="AJ237" i="22"/>
  <c r="AF237" i="22"/>
  <c r="AH237" i="22"/>
  <c r="AN233" i="7"/>
  <c r="AT233" i="7"/>
  <c r="AS233" i="7"/>
  <c r="AQ233" i="7"/>
  <c r="AM234" i="7"/>
  <c r="AR233" i="7"/>
  <c r="AP233" i="7"/>
  <c r="AO233" i="7"/>
  <c r="Q105" i="7"/>
  <c r="H237" i="22"/>
  <c r="R105" i="7"/>
  <c r="H236" i="23"/>
  <c r="I236" i="23"/>
  <c r="I237" i="22"/>
  <c r="H106" i="7"/>
  <c r="J236" i="23"/>
  <c r="J237" i="22"/>
  <c r="Z237" i="23"/>
  <c r="AB237" i="23"/>
  <c r="U238" i="23"/>
  <c r="X237" i="23"/>
  <c r="V237" i="23"/>
  <c r="W237" i="23"/>
  <c r="AA237" i="23"/>
  <c r="Y237" i="23"/>
  <c r="Q239" i="23"/>
  <c r="S239" i="23"/>
  <c r="L240" i="23"/>
  <c r="O239" i="23"/>
  <c r="M239" i="23"/>
  <c r="R239" i="23"/>
  <c r="N239" i="23"/>
  <c r="P239" i="23"/>
  <c r="F237" i="23"/>
  <c r="E237" i="23"/>
  <c r="D237" i="23"/>
  <c r="C238" i="23"/>
  <c r="G237" i="23"/>
  <c r="O237" i="22"/>
  <c r="Q237" i="22" s="1"/>
  <c r="L238" i="22"/>
  <c r="N237" i="22"/>
  <c r="M237" i="22"/>
  <c r="P237" i="22"/>
  <c r="F238" i="22"/>
  <c r="E238" i="22"/>
  <c r="D238" i="22"/>
  <c r="C239" i="22"/>
  <c r="G238" i="22"/>
  <c r="AD238" i="22"/>
  <c r="W238" i="22"/>
  <c r="V238" i="22"/>
  <c r="U239" i="22"/>
  <c r="X238" i="22"/>
  <c r="Y238" i="22"/>
  <c r="S105" i="7"/>
  <c r="M106" i="7"/>
  <c r="N106" i="7"/>
  <c r="P106" i="7"/>
  <c r="O106" i="7"/>
  <c r="I106" i="7"/>
  <c r="J106" i="7"/>
  <c r="V106" i="7"/>
  <c r="U107" i="7"/>
  <c r="Y106" i="7"/>
  <c r="X106" i="7"/>
  <c r="AB106" i="7" s="1"/>
  <c r="W106" i="7"/>
  <c r="AA106" i="7" s="1"/>
  <c r="G107" i="7"/>
  <c r="F107" i="7"/>
  <c r="E107" i="7"/>
  <c r="D107" i="7"/>
  <c r="S237" i="22" l="1"/>
  <c r="R237" i="22"/>
  <c r="AA238" i="22"/>
  <c r="Z238" i="22"/>
  <c r="AB238" i="22"/>
  <c r="AM240" i="22"/>
  <c r="AS239" i="22"/>
  <c r="AQ239" i="22"/>
  <c r="AN239" i="22"/>
  <c r="AT239" i="22"/>
  <c r="AR239" i="22"/>
  <c r="AP239" i="22"/>
  <c r="AO239" i="22"/>
  <c r="AD240" i="23"/>
  <c r="AK239" i="23"/>
  <c r="AJ239" i="23"/>
  <c r="AI239" i="23"/>
  <c r="AH239" i="23"/>
  <c r="AG239" i="23"/>
  <c r="AF239" i="23"/>
  <c r="AE239" i="23"/>
  <c r="AM240" i="23"/>
  <c r="AT239" i="23"/>
  <c r="AS239" i="23"/>
  <c r="AR239" i="23"/>
  <c r="AQ239" i="23"/>
  <c r="AP239" i="23"/>
  <c r="AO239" i="23"/>
  <c r="AN239" i="23"/>
  <c r="AD236" i="7"/>
  <c r="AH235" i="7"/>
  <c r="AE235" i="7"/>
  <c r="AF235" i="7"/>
  <c r="AG235" i="7"/>
  <c r="AI235" i="7"/>
  <c r="AJ235" i="7"/>
  <c r="AK235" i="7"/>
  <c r="AJ238" i="22"/>
  <c r="AI238" i="22"/>
  <c r="AG238" i="22"/>
  <c r="AF238" i="22"/>
  <c r="AK238" i="22"/>
  <c r="AE238" i="22"/>
  <c r="AH238" i="22"/>
  <c r="AQ234" i="7"/>
  <c r="AP234" i="7"/>
  <c r="AN234" i="7"/>
  <c r="AM235" i="7"/>
  <c r="AT234" i="7"/>
  <c r="AR234" i="7"/>
  <c r="AO234" i="7"/>
  <c r="AS234" i="7"/>
  <c r="Q106" i="7"/>
  <c r="H237" i="23"/>
  <c r="H107" i="7"/>
  <c r="J237" i="23"/>
  <c r="R106" i="7"/>
  <c r="I237" i="23"/>
  <c r="J238" i="22"/>
  <c r="I238" i="22"/>
  <c r="H238" i="22"/>
  <c r="S240" i="23"/>
  <c r="R240" i="23"/>
  <c r="Q240" i="23"/>
  <c r="M240" i="23"/>
  <c r="O240" i="23"/>
  <c r="N240" i="23"/>
  <c r="L241" i="23"/>
  <c r="P240" i="23"/>
  <c r="AB238" i="23"/>
  <c r="AA238" i="23"/>
  <c r="Z238" i="23"/>
  <c r="V238" i="23"/>
  <c r="X238" i="23"/>
  <c r="U239" i="23"/>
  <c r="W238" i="23"/>
  <c r="Y238" i="23"/>
  <c r="E238" i="23"/>
  <c r="D238" i="23"/>
  <c r="C239" i="23"/>
  <c r="F238" i="23"/>
  <c r="G238" i="23"/>
  <c r="C240" i="22"/>
  <c r="E239" i="22"/>
  <c r="F239" i="22"/>
  <c r="D239" i="22"/>
  <c r="G239" i="22"/>
  <c r="M238" i="22"/>
  <c r="O238" i="22"/>
  <c r="L239" i="22"/>
  <c r="N238" i="22"/>
  <c r="R238" i="22" s="1"/>
  <c r="P238" i="22"/>
  <c r="V239" i="22"/>
  <c r="U240" i="22"/>
  <c r="W239" i="22"/>
  <c r="AA239" i="22" s="1"/>
  <c r="X239" i="22"/>
  <c r="AB239" i="22" s="1"/>
  <c r="Y239" i="22"/>
  <c r="AD239" i="22"/>
  <c r="Z106" i="7"/>
  <c r="S106" i="7"/>
  <c r="N107" i="7"/>
  <c r="M107" i="7"/>
  <c r="O107" i="7"/>
  <c r="P107" i="7"/>
  <c r="J107" i="7"/>
  <c r="I107" i="7"/>
  <c r="G108" i="7"/>
  <c r="F108" i="7"/>
  <c r="E108" i="7"/>
  <c r="D108" i="7"/>
  <c r="V107" i="7"/>
  <c r="U108" i="7"/>
  <c r="AB107" i="7"/>
  <c r="AA107" i="7"/>
  <c r="Z107" i="7"/>
  <c r="Y107" i="7"/>
  <c r="X107" i="7"/>
  <c r="W107" i="7"/>
  <c r="Q238" i="22" l="1"/>
  <c r="S238" i="22"/>
  <c r="Z239" i="22"/>
  <c r="AM241" i="22"/>
  <c r="AS240" i="22"/>
  <c r="AQ240" i="22"/>
  <c r="AN240" i="22"/>
  <c r="AT240" i="22"/>
  <c r="AR240" i="22"/>
  <c r="AP240" i="22"/>
  <c r="AO240" i="22"/>
  <c r="AD241" i="23"/>
  <c r="AK240" i="23"/>
  <c r="AJ240" i="23"/>
  <c r="AI240" i="23"/>
  <c r="AH240" i="23"/>
  <c r="AG240" i="23"/>
  <c r="AF240" i="23"/>
  <c r="AE240" i="23"/>
  <c r="AM241" i="23"/>
  <c r="AT240" i="23"/>
  <c r="AS240" i="23"/>
  <c r="AR240" i="23"/>
  <c r="AQ240" i="23"/>
  <c r="AP240" i="23"/>
  <c r="AO240" i="23"/>
  <c r="AN240" i="23"/>
  <c r="AD237" i="7"/>
  <c r="AH236" i="7"/>
  <c r="AE236" i="7"/>
  <c r="AF236" i="7"/>
  <c r="AG236" i="7"/>
  <c r="AI236" i="7"/>
  <c r="AJ236" i="7"/>
  <c r="AK236" i="7"/>
  <c r="AK239" i="22"/>
  <c r="AI239" i="22"/>
  <c r="AG239" i="22"/>
  <c r="AE239" i="22"/>
  <c r="AJ239" i="22"/>
  <c r="AF239" i="22"/>
  <c r="AH239" i="22"/>
  <c r="AM236" i="7"/>
  <c r="AT235" i="7"/>
  <c r="AS235" i="7"/>
  <c r="AR235" i="7"/>
  <c r="AQ235" i="7"/>
  <c r="AP235" i="7"/>
  <c r="AN235" i="7"/>
  <c r="AO235" i="7"/>
  <c r="H238" i="23"/>
  <c r="Q107" i="7"/>
  <c r="H108" i="7"/>
  <c r="H239" i="22"/>
  <c r="J239" i="22"/>
  <c r="I238" i="23"/>
  <c r="I239" i="22"/>
  <c r="O241" i="23"/>
  <c r="N241" i="23"/>
  <c r="L242" i="23"/>
  <c r="M241" i="23"/>
  <c r="S241" i="23"/>
  <c r="R241" i="23"/>
  <c r="Q241" i="23"/>
  <c r="P241" i="23"/>
  <c r="X239" i="23"/>
  <c r="W239" i="23"/>
  <c r="V239" i="23"/>
  <c r="Z239" i="23"/>
  <c r="AB239" i="23"/>
  <c r="AA239" i="23"/>
  <c r="U240" i="23"/>
  <c r="Y239" i="23"/>
  <c r="D239" i="23"/>
  <c r="C240" i="23"/>
  <c r="F239" i="23"/>
  <c r="E239" i="23"/>
  <c r="G239" i="23"/>
  <c r="J238" i="23"/>
  <c r="V240" i="22"/>
  <c r="X240" i="22"/>
  <c r="W240" i="22"/>
  <c r="U241" i="22"/>
  <c r="Y240" i="22"/>
  <c r="D240" i="22"/>
  <c r="E240" i="22"/>
  <c r="C241" i="22"/>
  <c r="F240" i="22"/>
  <c r="G240" i="22"/>
  <c r="N239" i="22"/>
  <c r="M239" i="22"/>
  <c r="O239" i="22"/>
  <c r="L240" i="22"/>
  <c r="P239" i="22"/>
  <c r="AD240" i="22"/>
  <c r="R107" i="7"/>
  <c r="S107" i="7"/>
  <c r="N108" i="7"/>
  <c r="P108" i="7"/>
  <c r="M108" i="7"/>
  <c r="O108" i="7"/>
  <c r="J108" i="7"/>
  <c r="I108" i="7"/>
  <c r="G109" i="7"/>
  <c r="F109" i="7"/>
  <c r="E109" i="7"/>
  <c r="D109" i="7"/>
  <c r="V108" i="7"/>
  <c r="U109" i="7"/>
  <c r="AA108" i="7"/>
  <c r="Y108" i="7"/>
  <c r="X108" i="7"/>
  <c r="AB108" i="7" s="1"/>
  <c r="W108" i="7"/>
  <c r="R239" i="22" l="1"/>
  <c r="S239" i="22"/>
  <c r="Q239" i="22"/>
  <c r="AA240" i="22"/>
  <c r="AB240" i="22"/>
  <c r="Z240" i="22"/>
  <c r="AM242" i="22"/>
  <c r="AT241" i="22"/>
  <c r="AS241" i="22"/>
  <c r="AQ241" i="22"/>
  <c r="AN241" i="22"/>
  <c r="AR241" i="22"/>
  <c r="AP241" i="22"/>
  <c r="AO241" i="22"/>
  <c r="AD242" i="23"/>
  <c r="AK241" i="23"/>
  <c r="AJ241" i="23"/>
  <c r="AI241" i="23"/>
  <c r="AH241" i="23"/>
  <c r="AG241" i="23"/>
  <c r="AF241" i="23"/>
  <c r="AE241" i="23"/>
  <c r="AM242" i="23"/>
  <c r="AT241" i="23"/>
  <c r="AS241" i="23"/>
  <c r="AR241" i="23"/>
  <c r="AQ241" i="23"/>
  <c r="AP241" i="23"/>
  <c r="AO241" i="23"/>
  <c r="AN241" i="23"/>
  <c r="AD238" i="7"/>
  <c r="AH237" i="7"/>
  <c r="AE237" i="7"/>
  <c r="AF237" i="7"/>
  <c r="AG237" i="7"/>
  <c r="AI237" i="7"/>
  <c r="AJ237" i="7"/>
  <c r="AK237" i="7"/>
  <c r="AK240" i="22"/>
  <c r="AF240" i="22"/>
  <c r="AJ240" i="22"/>
  <c r="AI240" i="22"/>
  <c r="AG240" i="22"/>
  <c r="AE240" i="22"/>
  <c r="AH240" i="22"/>
  <c r="AT236" i="7"/>
  <c r="AQ236" i="7"/>
  <c r="AP236" i="7"/>
  <c r="AN236" i="7"/>
  <c r="AM237" i="7"/>
  <c r="AS236" i="7"/>
  <c r="AR236" i="7"/>
  <c r="AO236" i="7"/>
  <c r="Q108" i="7"/>
  <c r="H109" i="7"/>
  <c r="H240" i="22"/>
  <c r="I239" i="23"/>
  <c r="R108" i="7"/>
  <c r="J239" i="23"/>
  <c r="J240" i="22"/>
  <c r="I240" i="22"/>
  <c r="Z240" i="23"/>
  <c r="AA240" i="23"/>
  <c r="U241" i="23"/>
  <c r="AB240" i="23"/>
  <c r="W240" i="23"/>
  <c r="X240" i="23"/>
  <c r="V240" i="23"/>
  <c r="Y240" i="23"/>
  <c r="F240" i="23"/>
  <c r="E240" i="23"/>
  <c r="D240" i="23"/>
  <c r="C241" i="23"/>
  <c r="G240" i="23"/>
  <c r="S242" i="23"/>
  <c r="R242" i="23"/>
  <c r="M242" i="23"/>
  <c r="O242" i="23"/>
  <c r="N242" i="23"/>
  <c r="L243" i="23"/>
  <c r="Q242" i="23"/>
  <c r="P242" i="23"/>
  <c r="H239" i="23"/>
  <c r="AD241" i="22"/>
  <c r="V241" i="22"/>
  <c r="W241" i="22"/>
  <c r="AA241" i="22" s="1"/>
  <c r="X241" i="22"/>
  <c r="AB241" i="22" s="1"/>
  <c r="U242" i="22"/>
  <c r="Y241" i="22"/>
  <c r="F241" i="22"/>
  <c r="E241" i="22"/>
  <c r="C242" i="22"/>
  <c r="G241" i="22"/>
  <c r="D241" i="22"/>
  <c r="L241" i="22"/>
  <c r="M240" i="22"/>
  <c r="O240" i="22"/>
  <c r="N240" i="22"/>
  <c r="P240" i="22"/>
  <c r="J109" i="7"/>
  <c r="Z108" i="7"/>
  <c r="S108" i="7"/>
  <c r="N109" i="7"/>
  <c r="M109" i="7"/>
  <c r="O109" i="7"/>
  <c r="P109" i="7"/>
  <c r="I109" i="7"/>
  <c r="V109" i="7"/>
  <c r="U110" i="7"/>
  <c r="Y109" i="7"/>
  <c r="X109" i="7"/>
  <c r="AB109" i="7" s="1"/>
  <c r="W109" i="7"/>
  <c r="AA109" i="7" s="1"/>
  <c r="G110" i="7"/>
  <c r="F110" i="7"/>
  <c r="E110" i="7"/>
  <c r="D110" i="7"/>
  <c r="R240" i="22" l="1"/>
  <c r="Q240" i="22"/>
  <c r="S240" i="22"/>
  <c r="Z241" i="22"/>
  <c r="AR242" i="22"/>
  <c r="AM243" i="22"/>
  <c r="AT242" i="22"/>
  <c r="AQ242" i="22"/>
  <c r="AP242" i="22"/>
  <c r="AO242" i="22"/>
  <c r="AN242" i="22"/>
  <c r="AS242" i="22"/>
  <c r="AD243" i="23"/>
  <c r="AK242" i="23"/>
  <c r="AJ242" i="23"/>
  <c r="AH242" i="23"/>
  <c r="AG242" i="23"/>
  <c r="AF242" i="23"/>
  <c r="AE242" i="23"/>
  <c r="AI242" i="23"/>
  <c r="AM243" i="23"/>
  <c r="AT242" i="23"/>
  <c r="AS242" i="23"/>
  <c r="AR242" i="23"/>
  <c r="AQ242" i="23"/>
  <c r="AP242" i="23"/>
  <c r="AO242" i="23"/>
  <c r="AN242" i="23"/>
  <c r="AD239" i="7"/>
  <c r="AH238" i="7"/>
  <c r="AE238" i="7"/>
  <c r="AF238" i="7"/>
  <c r="AG238" i="7"/>
  <c r="AI238" i="7"/>
  <c r="AJ238" i="7"/>
  <c r="AK238" i="7"/>
  <c r="AJ241" i="22"/>
  <c r="AI241" i="22"/>
  <c r="AG241" i="22"/>
  <c r="AF241" i="22"/>
  <c r="AK241" i="22"/>
  <c r="AE241" i="22"/>
  <c r="AH241" i="22"/>
  <c r="AT237" i="7"/>
  <c r="AR237" i="7"/>
  <c r="AO237" i="7"/>
  <c r="AM238" i="7"/>
  <c r="AS237" i="7"/>
  <c r="AQ237" i="7"/>
  <c r="AP237" i="7"/>
  <c r="AN237" i="7"/>
  <c r="Q109" i="7"/>
  <c r="H110" i="7"/>
  <c r="H241" i="22"/>
  <c r="J241" i="22"/>
  <c r="I240" i="23"/>
  <c r="H240" i="23"/>
  <c r="J240" i="23"/>
  <c r="I241" i="22"/>
  <c r="AB241" i="23"/>
  <c r="AA241" i="23"/>
  <c r="Z241" i="23"/>
  <c r="V241" i="23"/>
  <c r="W241" i="23"/>
  <c r="X241" i="23"/>
  <c r="U242" i="23"/>
  <c r="Y241" i="23"/>
  <c r="O243" i="23"/>
  <c r="N243" i="23"/>
  <c r="R243" i="23"/>
  <c r="M243" i="23"/>
  <c r="S243" i="23"/>
  <c r="Q243" i="23"/>
  <c r="L244" i="23"/>
  <c r="P243" i="23"/>
  <c r="C242" i="23"/>
  <c r="F241" i="23"/>
  <c r="D241" i="23"/>
  <c r="E241" i="23"/>
  <c r="G241" i="23"/>
  <c r="C243" i="22"/>
  <c r="D242" i="22"/>
  <c r="E242" i="22"/>
  <c r="G242" i="22"/>
  <c r="F242" i="22"/>
  <c r="M241" i="22"/>
  <c r="L242" i="22"/>
  <c r="O241" i="22"/>
  <c r="S241" i="22" s="1"/>
  <c r="N241" i="22"/>
  <c r="R241" i="22" s="1"/>
  <c r="P241" i="22"/>
  <c r="V242" i="22"/>
  <c r="U243" i="22"/>
  <c r="W242" i="22"/>
  <c r="AA242" i="22" s="1"/>
  <c r="X242" i="22"/>
  <c r="Y242" i="22"/>
  <c r="AD242" i="22"/>
  <c r="I110" i="7"/>
  <c r="R109" i="7"/>
  <c r="Z109" i="7"/>
  <c r="S109" i="7"/>
  <c r="M110" i="7"/>
  <c r="N110" i="7"/>
  <c r="O110" i="7"/>
  <c r="P110" i="7"/>
  <c r="J110" i="7"/>
  <c r="G111" i="7"/>
  <c r="F111" i="7"/>
  <c r="E111" i="7"/>
  <c r="D111" i="7"/>
  <c r="V110" i="7"/>
  <c r="U111" i="7"/>
  <c r="AB110" i="7"/>
  <c r="AA110" i="7"/>
  <c r="Z110" i="7"/>
  <c r="Y110" i="7"/>
  <c r="X110" i="7"/>
  <c r="W110" i="7"/>
  <c r="Q241" i="22" l="1"/>
  <c r="Z242" i="22"/>
  <c r="AB242" i="22"/>
  <c r="AM244" i="22"/>
  <c r="AR243" i="22"/>
  <c r="AN243" i="22"/>
  <c r="AQ243" i="22"/>
  <c r="AO243" i="22"/>
  <c r="AT243" i="22"/>
  <c r="AS243" i="22"/>
  <c r="AP243" i="22"/>
  <c r="AJ243" i="23"/>
  <c r="AF243" i="23"/>
  <c r="AH243" i="23"/>
  <c r="AK243" i="23"/>
  <c r="AI243" i="23"/>
  <c r="AG243" i="23"/>
  <c r="AE243" i="23"/>
  <c r="AD244" i="23"/>
  <c r="AO243" i="23"/>
  <c r="AM244" i="23"/>
  <c r="AR243" i="23"/>
  <c r="AN243" i="23"/>
  <c r="AT243" i="23"/>
  <c r="AS243" i="23"/>
  <c r="AP243" i="23"/>
  <c r="AQ243" i="23"/>
  <c r="AD240" i="7"/>
  <c r="AH239" i="7"/>
  <c r="AE239" i="7"/>
  <c r="AF239" i="7"/>
  <c r="AG239" i="7"/>
  <c r="AI239" i="7"/>
  <c r="AJ239" i="7"/>
  <c r="AK239" i="7"/>
  <c r="AJ242" i="22"/>
  <c r="AI242" i="22"/>
  <c r="AG242" i="22"/>
  <c r="AF242" i="22"/>
  <c r="AE242" i="22"/>
  <c r="AK242" i="22"/>
  <c r="AH242" i="22"/>
  <c r="AT238" i="7"/>
  <c r="AS238" i="7"/>
  <c r="AR238" i="7"/>
  <c r="AQ238" i="7"/>
  <c r="AP238" i="7"/>
  <c r="AO238" i="7"/>
  <c r="AN238" i="7"/>
  <c r="AM239" i="7"/>
  <c r="Q110" i="7"/>
  <c r="R110" i="7"/>
  <c r="H242" i="22"/>
  <c r="H241" i="23"/>
  <c r="I242" i="22"/>
  <c r="I241" i="23"/>
  <c r="F242" i="23"/>
  <c r="E242" i="23"/>
  <c r="D242" i="23"/>
  <c r="C243" i="23"/>
  <c r="G242" i="23"/>
  <c r="Q244" i="23"/>
  <c r="O244" i="23"/>
  <c r="N244" i="23"/>
  <c r="M244" i="23"/>
  <c r="R244" i="23"/>
  <c r="S244" i="23"/>
  <c r="L245" i="23"/>
  <c r="P244" i="23"/>
  <c r="J241" i="23"/>
  <c r="Z242" i="23"/>
  <c r="U243" i="23"/>
  <c r="X242" i="23"/>
  <c r="AB242" i="23"/>
  <c r="W242" i="23"/>
  <c r="AA242" i="23"/>
  <c r="V242" i="23"/>
  <c r="Y242" i="23"/>
  <c r="N242" i="22"/>
  <c r="O242" i="22"/>
  <c r="Q242" i="22" s="1"/>
  <c r="M242" i="22"/>
  <c r="L243" i="22"/>
  <c r="P242" i="22"/>
  <c r="D243" i="22"/>
  <c r="E243" i="22"/>
  <c r="F243" i="22"/>
  <c r="C244" i="22"/>
  <c r="G243" i="22"/>
  <c r="J242" i="22"/>
  <c r="X243" i="22"/>
  <c r="W243" i="22"/>
  <c r="V243" i="22"/>
  <c r="U244" i="22"/>
  <c r="Y243" i="22"/>
  <c r="AD243" i="22"/>
  <c r="S110" i="7"/>
  <c r="M111" i="7"/>
  <c r="P111" i="7"/>
  <c r="N111" i="7"/>
  <c r="O111" i="7"/>
  <c r="J111" i="7"/>
  <c r="I111" i="7"/>
  <c r="H111" i="7"/>
  <c r="V111" i="7"/>
  <c r="U112" i="7"/>
  <c r="Y111" i="7"/>
  <c r="X111" i="7"/>
  <c r="Z111" i="7" s="1"/>
  <c r="W111" i="7"/>
  <c r="AA111" i="7" s="1"/>
  <c r="G112" i="7"/>
  <c r="F112" i="7"/>
  <c r="E112" i="7"/>
  <c r="D112" i="7"/>
  <c r="R242" i="22" l="1"/>
  <c r="S242" i="22"/>
  <c r="AA243" i="22"/>
  <c r="Z243" i="22"/>
  <c r="AB243" i="22"/>
  <c r="AS244" i="22"/>
  <c r="AR244" i="22"/>
  <c r="AT244" i="22"/>
  <c r="AQ244" i="22"/>
  <c r="AN244" i="22"/>
  <c r="AO244" i="22"/>
  <c r="AP244" i="22"/>
  <c r="AM245" i="22"/>
  <c r="AD245" i="23"/>
  <c r="AK244" i="23"/>
  <c r="AJ244" i="23"/>
  <c r="AI244" i="23"/>
  <c r="AG244" i="23"/>
  <c r="AE244" i="23"/>
  <c r="AH244" i="23"/>
  <c r="AF244" i="23"/>
  <c r="AQ244" i="23"/>
  <c r="AP244" i="23"/>
  <c r="AN244" i="23"/>
  <c r="AM245" i="23"/>
  <c r="AT244" i="23"/>
  <c r="AS244" i="23"/>
  <c r="AR244" i="23"/>
  <c r="AO244" i="23"/>
  <c r="AD241" i="7"/>
  <c r="AH240" i="7"/>
  <c r="AE240" i="7"/>
  <c r="AF240" i="7"/>
  <c r="AG240" i="7"/>
  <c r="AI240" i="7"/>
  <c r="AJ240" i="7"/>
  <c r="AK240" i="7"/>
  <c r="AK243" i="22"/>
  <c r="AI243" i="22"/>
  <c r="AG243" i="22"/>
  <c r="AE243" i="22"/>
  <c r="AJ243" i="22"/>
  <c r="AF243" i="22"/>
  <c r="AH243" i="22"/>
  <c r="AM240" i="7"/>
  <c r="AT239" i="7"/>
  <c r="AR239" i="7"/>
  <c r="AQ239" i="7"/>
  <c r="AO239" i="7"/>
  <c r="AN239" i="7"/>
  <c r="AP239" i="7"/>
  <c r="AS239" i="7"/>
  <c r="H243" i="22"/>
  <c r="H242" i="23"/>
  <c r="R111" i="7"/>
  <c r="I243" i="22"/>
  <c r="J242" i="23"/>
  <c r="S111" i="7"/>
  <c r="I242" i="23"/>
  <c r="F243" i="23"/>
  <c r="E243" i="23"/>
  <c r="D243" i="23"/>
  <c r="C244" i="23"/>
  <c r="G243" i="23"/>
  <c r="AB243" i="23"/>
  <c r="AA243" i="23"/>
  <c r="V243" i="23"/>
  <c r="X243" i="23"/>
  <c r="W243" i="23"/>
  <c r="U244" i="23"/>
  <c r="Z243" i="23"/>
  <c r="Y243" i="23"/>
  <c r="S245" i="23"/>
  <c r="R245" i="23"/>
  <c r="M245" i="23"/>
  <c r="L246" i="23"/>
  <c r="O245" i="23"/>
  <c r="Q245" i="23"/>
  <c r="N245" i="23"/>
  <c r="P245" i="23"/>
  <c r="J243" i="22"/>
  <c r="X244" i="22"/>
  <c r="W244" i="22"/>
  <c r="V244" i="22"/>
  <c r="U245" i="22"/>
  <c r="Y244" i="22"/>
  <c r="C245" i="22"/>
  <c r="F244" i="22"/>
  <c r="E244" i="22"/>
  <c r="D244" i="22"/>
  <c r="G244" i="22"/>
  <c r="M243" i="22"/>
  <c r="N243" i="22"/>
  <c r="L244" i="22"/>
  <c r="O243" i="22"/>
  <c r="P243" i="22"/>
  <c r="AD244" i="22"/>
  <c r="AB111" i="7"/>
  <c r="Q111" i="7"/>
  <c r="M112" i="7"/>
  <c r="O112" i="7"/>
  <c r="N112" i="7"/>
  <c r="P112" i="7"/>
  <c r="H112" i="7"/>
  <c r="J112" i="7"/>
  <c r="I112" i="7"/>
  <c r="G113" i="7"/>
  <c r="F113" i="7"/>
  <c r="E113" i="7"/>
  <c r="D113" i="7"/>
  <c r="V112" i="7"/>
  <c r="AB112" i="7" s="1"/>
  <c r="U113" i="7"/>
  <c r="Z112" i="7"/>
  <c r="Y112" i="7"/>
  <c r="X112" i="7"/>
  <c r="W112" i="7"/>
  <c r="R243" i="22" l="1"/>
  <c r="Q243" i="22"/>
  <c r="S243" i="22"/>
  <c r="AB244" i="22"/>
  <c r="Z244" i="22"/>
  <c r="AA244" i="22"/>
  <c r="H243" i="23"/>
  <c r="AP245" i="22"/>
  <c r="AO245" i="22"/>
  <c r="AQ245" i="22"/>
  <c r="AS245" i="22"/>
  <c r="AR245" i="22"/>
  <c r="AN245" i="22"/>
  <c r="AM246" i="22"/>
  <c r="AT245" i="22"/>
  <c r="AG245" i="23"/>
  <c r="AD246" i="23"/>
  <c r="AJ245" i="23"/>
  <c r="AH245" i="23"/>
  <c r="AF245" i="23"/>
  <c r="AK245" i="23"/>
  <c r="AI245" i="23"/>
  <c r="AE245" i="23"/>
  <c r="AP245" i="23"/>
  <c r="AS245" i="23"/>
  <c r="AT245" i="23"/>
  <c r="AN245" i="23"/>
  <c r="AM246" i="23"/>
  <c r="AR245" i="23"/>
  <c r="AO245" i="23"/>
  <c r="AQ245" i="23"/>
  <c r="AD242" i="7"/>
  <c r="AH241" i="7"/>
  <c r="AE241" i="7"/>
  <c r="AF241" i="7"/>
  <c r="AG241" i="7"/>
  <c r="AI241" i="7"/>
  <c r="AJ241" i="7"/>
  <c r="AK241" i="7"/>
  <c r="AJ244" i="22"/>
  <c r="AF244" i="22"/>
  <c r="AK244" i="22"/>
  <c r="AI244" i="22"/>
  <c r="AG244" i="22"/>
  <c r="AE244" i="22"/>
  <c r="AH244" i="22"/>
  <c r="AM241" i="7"/>
  <c r="AT240" i="7"/>
  <c r="AS240" i="7"/>
  <c r="AR240" i="7"/>
  <c r="AQ240" i="7"/>
  <c r="AP240" i="7"/>
  <c r="AO240" i="7"/>
  <c r="AN240" i="7"/>
  <c r="Q112" i="7"/>
  <c r="R112" i="7"/>
  <c r="J113" i="7"/>
  <c r="J243" i="23"/>
  <c r="I244" i="22"/>
  <c r="I243" i="23"/>
  <c r="J244" i="22"/>
  <c r="H244" i="22"/>
  <c r="D244" i="23"/>
  <c r="C245" i="23"/>
  <c r="F244" i="23"/>
  <c r="E244" i="23"/>
  <c r="G244" i="23"/>
  <c r="O246" i="23"/>
  <c r="N246" i="23"/>
  <c r="M246" i="23"/>
  <c r="S246" i="23"/>
  <c r="Q246" i="23"/>
  <c r="L247" i="23"/>
  <c r="R246" i="23"/>
  <c r="P246" i="23"/>
  <c r="X244" i="23"/>
  <c r="W244" i="23"/>
  <c r="AA244" i="23"/>
  <c r="V244" i="23"/>
  <c r="AB244" i="23"/>
  <c r="U245" i="23"/>
  <c r="Z244" i="23"/>
  <c r="Y244" i="23"/>
  <c r="M244" i="22"/>
  <c r="O244" i="22"/>
  <c r="N244" i="22"/>
  <c r="L245" i="22"/>
  <c r="P244" i="22"/>
  <c r="V245" i="22"/>
  <c r="X245" i="22"/>
  <c r="W245" i="22"/>
  <c r="U246" i="22"/>
  <c r="Y245" i="22"/>
  <c r="F245" i="22"/>
  <c r="E245" i="22"/>
  <c r="D245" i="22"/>
  <c r="C246" i="22"/>
  <c r="G245" i="22"/>
  <c r="AD245" i="22"/>
  <c r="H113" i="7"/>
  <c r="AA112" i="7"/>
  <c r="S112" i="7"/>
  <c r="M113" i="7"/>
  <c r="N113" i="7"/>
  <c r="O113" i="7"/>
  <c r="P113" i="7"/>
  <c r="I113" i="7"/>
  <c r="G114" i="7"/>
  <c r="F114" i="7"/>
  <c r="E114" i="7"/>
  <c r="D114" i="7"/>
  <c r="V113" i="7"/>
  <c r="U114" i="7"/>
  <c r="AA113" i="7"/>
  <c r="Y113" i="7"/>
  <c r="X113" i="7"/>
  <c r="AB113" i="7" s="1"/>
  <c r="W113" i="7"/>
  <c r="S244" i="22" l="1"/>
  <c r="R244" i="22"/>
  <c r="Q244" i="22"/>
  <c r="Z245" i="22"/>
  <c r="AB245" i="22"/>
  <c r="AA245" i="22"/>
  <c r="AM247" i="22"/>
  <c r="AT246" i="22"/>
  <c r="AS246" i="22"/>
  <c r="AQ246" i="22"/>
  <c r="AR246" i="22"/>
  <c r="AO246" i="22"/>
  <c r="AN246" i="22"/>
  <c r="AP246" i="22"/>
  <c r="AD247" i="23"/>
  <c r="AJ246" i="23"/>
  <c r="AH246" i="23"/>
  <c r="AG246" i="23"/>
  <c r="AF246" i="23"/>
  <c r="AE246" i="23"/>
  <c r="AK246" i="23"/>
  <c r="AI246" i="23"/>
  <c r="AM247" i="23"/>
  <c r="AT246" i="23"/>
  <c r="AS246" i="23"/>
  <c r="AR246" i="23"/>
  <c r="AQ246" i="23"/>
  <c r="AP246" i="23"/>
  <c r="AO246" i="23"/>
  <c r="AN246" i="23"/>
  <c r="AD243" i="7"/>
  <c r="AH242" i="7"/>
  <c r="AE242" i="7"/>
  <c r="AF242" i="7"/>
  <c r="AG242" i="7"/>
  <c r="AI242" i="7"/>
  <c r="AJ242" i="7"/>
  <c r="AK242" i="7"/>
  <c r="AJ245" i="22"/>
  <c r="AI245" i="22"/>
  <c r="AG245" i="22"/>
  <c r="AF245" i="22"/>
  <c r="AK245" i="22"/>
  <c r="AE245" i="22"/>
  <c r="AH245" i="22"/>
  <c r="AM242" i="7"/>
  <c r="AT241" i="7"/>
  <c r="AR241" i="7"/>
  <c r="AN241" i="7"/>
  <c r="AQ241" i="7"/>
  <c r="AP241" i="7"/>
  <c r="AO241" i="7"/>
  <c r="AS241" i="7"/>
  <c r="H245" i="22"/>
  <c r="J245" i="22"/>
  <c r="H114" i="7"/>
  <c r="J244" i="23"/>
  <c r="S113" i="7"/>
  <c r="R113" i="7"/>
  <c r="I244" i="23"/>
  <c r="I245" i="22"/>
  <c r="H244" i="23"/>
  <c r="F245" i="23"/>
  <c r="E245" i="23"/>
  <c r="D245" i="23"/>
  <c r="C246" i="23"/>
  <c r="G245" i="23"/>
  <c r="Q247" i="23"/>
  <c r="L248" i="23"/>
  <c r="O247" i="23"/>
  <c r="S247" i="23"/>
  <c r="N247" i="23"/>
  <c r="R247" i="23"/>
  <c r="M247" i="23"/>
  <c r="P247" i="23"/>
  <c r="Z245" i="23"/>
  <c r="X245" i="23"/>
  <c r="W245" i="23"/>
  <c r="V245" i="23"/>
  <c r="AA245" i="23"/>
  <c r="AB245" i="23"/>
  <c r="U246" i="23"/>
  <c r="Y245" i="23"/>
  <c r="W246" i="22"/>
  <c r="V246" i="22"/>
  <c r="U247" i="22"/>
  <c r="X246" i="22"/>
  <c r="Y246" i="22"/>
  <c r="AD246" i="22"/>
  <c r="D246" i="22"/>
  <c r="F246" i="22"/>
  <c r="C247" i="22"/>
  <c r="E246" i="22"/>
  <c r="G246" i="22"/>
  <c r="O245" i="22"/>
  <c r="N245" i="22"/>
  <c r="L246" i="22"/>
  <c r="M245" i="22"/>
  <c r="P245" i="22"/>
  <c r="Z113" i="7"/>
  <c r="Q113" i="7"/>
  <c r="N114" i="7"/>
  <c r="O114" i="7"/>
  <c r="P114" i="7"/>
  <c r="M114" i="7"/>
  <c r="I114" i="7"/>
  <c r="J114" i="7"/>
  <c r="V114" i="7"/>
  <c r="U115" i="7"/>
  <c r="Y114" i="7"/>
  <c r="X114" i="7"/>
  <c r="AB114" i="7" s="1"/>
  <c r="W114" i="7"/>
  <c r="AA114" i="7" s="1"/>
  <c r="G115" i="7"/>
  <c r="F115" i="7"/>
  <c r="E115" i="7"/>
  <c r="D115" i="7"/>
  <c r="R245" i="22" l="1"/>
  <c r="S245" i="22"/>
  <c r="Q245" i="22"/>
  <c r="AA246" i="22"/>
  <c r="Z246" i="22"/>
  <c r="AB246" i="22"/>
  <c r="AM248" i="22"/>
  <c r="AR247" i="22"/>
  <c r="AO247" i="22"/>
  <c r="AS247" i="22"/>
  <c r="AT247" i="22"/>
  <c r="AP247" i="22"/>
  <c r="AQ247" i="22"/>
  <c r="AN247" i="22"/>
  <c r="AE247" i="23"/>
  <c r="AD248" i="23"/>
  <c r="AK247" i="23"/>
  <c r="AJ247" i="23"/>
  <c r="AI247" i="23"/>
  <c r="AH247" i="23"/>
  <c r="AG247" i="23"/>
  <c r="AF247" i="23"/>
  <c r="AM248" i="23"/>
  <c r="AT247" i="23"/>
  <c r="AS247" i="23"/>
  <c r="AR247" i="23"/>
  <c r="AQ247" i="23"/>
  <c r="AP247" i="23"/>
  <c r="AO247" i="23"/>
  <c r="AN247" i="23"/>
  <c r="AD244" i="7"/>
  <c r="AH243" i="7"/>
  <c r="AE243" i="7"/>
  <c r="AF243" i="7"/>
  <c r="AG243" i="7"/>
  <c r="AI243" i="7"/>
  <c r="AJ243" i="7"/>
  <c r="AK243" i="7"/>
  <c r="AK246" i="22"/>
  <c r="AI246" i="22"/>
  <c r="AG246" i="22"/>
  <c r="AE246" i="22"/>
  <c r="AJ246" i="22"/>
  <c r="AF246" i="22"/>
  <c r="AH246" i="22"/>
  <c r="AM243" i="7"/>
  <c r="AT242" i="7"/>
  <c r="AS242" i="7"/>
  <c r="AR242" i="7"/>
  <c r="AP242" i="7"/>
  <c r="AO242" i="7"/>
  <c r="AQ242" i="7"/>
  <c r="AN242" i="7"/>
  <c r="H246" i="22"/>
  <c r="H245" i="23"/>
  <c r="I246" i="22"/>
  <c r="I245" i="23"/>
  <c r="J246" i="22"/>
  <c r="Q114" i="7"/>
  <c r="J245" i="23"/>
  <c r="C247" i="23"/>
  <c r="F246" i="23"/>
  <c r="E246" i="23"/>
  <c r="D246" i="23"/>
  <c r="G246" i="23"/>
  <c r="S248" i="23"/>
  <c r="R248" i="23"/>
  <c r="M248" i="23"/>
  <c r="O248" i="23"/>
  <c r="N248" i="23"/>
  <c r="L249" i="23"/>
  <c r="Q248" i="23"/>
  <c r="P248" i="23"/>
  <c r="AB246" i="23"/>
  <c r="AA246" i="23"/>
  <c r="V246" i="23"/>
  <c r="U247" i="23"/>
  <c r="X246" i="23"/>
  <c r="Z246" i="23"/>
  <c r="W246" i="23"/>
  <c r="Y246" i="23"/>
  <c r="U248" i="22"/>
  <c r="V247" i="22"/>
  <c r="W247" i="22"/>
  <c r="X247" i="22"/>
  <c r="AB247" i="22" s="1"/>
  <c r="Y247" i="22"/>
  <c r="AD247" i="22"/>
  <c r="D247" i="22"/>
  <c r="C248" i="22"/>
  <c r="F247" i="22"/>
  <c r="E247" i="22"/>
  <c r="G247" i="22"/>
  <c r="N246" i="22"/>
  <c r="M246" i="22"/>
  <c r="L247" i="22"/>
  <c r="O246" i="22"/>
  <c r="P246" i="22"/>
  <c r="R114" i="7"/>
  <c r="J115" i="7"/>
  <c r="Z114" i="7"/>
  <c r="S114" i="7"/>
  <c r="P115" i="7"/>
  <c r="N115" i="7"/>
  <c r="M115" i="7"/>
  <c r="O115" i="7"/>
  <c r="I115" i="7"/>
  <c r="H115" i="7"/>
  <c r="G116" i="7"/>
  <c r="F116" i="7"/>
  <c r="E116" i="7"/>
  <c r="D116" i="7"/>
  <c r="V115" i="7"/>
  <c r="U116" i="7"/>
  <c r="AB115" i="7"/>
  <c r="AA115" i="7"/>
  <c r="Z115" i="7"/>
  <c r="Y115" i="7"/>
  <c r="X115" i="7"/>
  <c r="W115" i="7"/>
  <c r="R246" i="22" l="1"/>
  <c r="S246" i="22"/>
  <c r="Q246" i="22"/>
  <c r="AA247" i="22"/>
  <c r="Z247" i="22"/>
  <c r="H246" i="23"/>
  <c r="AR248" i="22"/>
  <c r="AO248" i="22"/>
  <c r="AT248" i="22"/>
  <c r="AQ248" i="22"/>
  <c r="AN248" i="22"/>
  <c r="AM249" i="22"/>
  <c r="AS248" i="22"/>
  <c r="AP248" i="22"/>
  <c r="AD249" i="23"/>
  <c r="AK248" i="23"/>
  <c r="AJ248" i="23"/>
  <c r="AI248" i="23"/>
  <c r="AH248" i="23"/>
  <c r="AG248" i="23"/>
  <c r="AF248" i="23"/>
  <c r="AE248" i="23"/>
  <c r="AM249" i="23"/>
  <c r="AT248" i="23"/>
  <c r="AS248" i="23"/>
  <c r="AR248" i="23"/>
  <c r="AQ248" i="23"/>
  <c r="AP248" i="23"/>
  <c r="AO248" i="23"/>
  <c r="AN248" i="23"/>
  <c r="AD245" i="7"/>
  <c r="AH244" i="7"/>
  <c r="AE244" i="7"/>
  <c r="AF244" i="7"/>
  <c r="AG244" i="7"/>
  <c r="AI244" i="7"/>
  <c r="AJ244" i="7"/>
  <c r="AK244" i="7"/>
  <c r="AJ247" i="22"/>
  <c r="AI247" i="22"/>
  <c r="AG247" i="22"/>
  <c r="AF247" i="22"/>
  <c r="AK247" i="22"/>
  <c r="AE247" i="22"/>
  <c r="AH247" i="22"/>
  <c r="AT243" i="7"/>
  <c r="AS243" i="7"/>
  <c r="AO243" i="7"/>
  <c r="AR243" i="7"/>
  <c r="AM244" i="7"/>
  <c r="AQ243" i="7"/>
  <c r="AP243" i="7"/>
  <c r="AN243" i="7"/>
  <c r="I247" i="22"/>
  <c r="I246" i="23"/>
  <c r="J247" i="22"/>
  <c r="H247" i="22"/>
  <c r="X247" i="23"/>
  <c r="W247" i="23"/>
  <c r="V247" i="23"/>
  <c r="AB247" i="23"/>
  <c r="Z247" i="23"/>
  <c r="AA247" i="23"/>
  <c r="U248" i="23"/>
  <c r="Y247" i="23"/>
  <c r="J246" i="23"/>
  <c r="O249" i="23"/>
  <c r="N249" i="23"/>
  <c r="R249" i="23"/>
  <c r="M249" i="23"/>
  <c r="S249" i="23"/>
  <c r="L250" i="23"/>
  <c r="Q249" i="23"/>
  <c r="P249" i="23"/>
  <c r="D247" i="23"/>
  <c r="F247" i="23"/>
  <c r="E247" i="23"/>
  <c r="C248" i="23"/>
  <c r="G247" i="23"/>
  <c r="AD248" i="22"/>
  <c r="F248" i="22"/>
  <c r="E248" i="22"/>
  <c r="D248" i="22"/>
  <c r="C249" i="22"/>
  <c r="G248" i="22"/>
  <c r="V248" i="22"/>
  <c r="U249" i="22"/>
  <c r="X248" i="22"/>
  <c r="W248" i="22"/>
  <c r="AA248" i="22" s="1"/>
  <c r="Y248" i="22"/>
  <c r="M247" i="22"/>
  <c r="L248" i="22"/>
  <c r="N247" i="22"/>
  <c r="R247" i="22" s="1"/>
  <c r="O247" i="22"/>
  <c r="S247" i="22" s="1"/>
  <c r="P247" i="22"/>
  <c r="S115" i="7"/>
  <c r="R115" i="7"/>
  <c r="Q115" i="7"/>
  <c r="N116" i="7"/>
  <c r="M116" i="7"/>
  <c r="P116" i="7"/>
  <c r="O116" i="7"/>
  <c r="J116" i="7"/>
  <c r="I116" i="7"/>
  <c r="H116" i="7"/>
  <c r="V116" i="7"/>
  <c r="U117" i="7"/>
  <c r="Y116" i="7"/>
  <c r="X116" i="7"/>
  <c r="AB116" i="7" s="1"/>
  <c r="W116" i="7"/>
  <c r="AA116" i="7" s="1"/>
  <c r="G117" i="7"/>
  <c r="F117" i="7"/>
  <c r="E117" i="7"/>
  <c r="D117" i="7"/>
  <c r="Q247" i="22" l="1"/>
  <c r="AB248" i="22"/>
  <c r="Z248" i="22"/>
  <c r="H247" i="23"/>
  <c r="AS249" i="22"/>
  <c r="AN249" i="22"/>
  <c r="AM250" i="22"/>
  <c r="AR249" i="22"/>
  <c r="AO249" i="22"/>
  <c r="AT249" i="22"/>
  <c r="AQ249" i="22"/>
  <c r="AP249" i="22"/>
  <c r="AD250" i="23"/>
  <c r="AK249" i="23"/>
  <c r="AJ249" i="23"/>
  <c r="AI249" i="23"/>
  <c r="AH249" i="23"/>
  <c r="AG249" i="23"/>
  <c r="AF249" i="23"/>
  <c r="AE249" i="23"/>
  <c r="AM250" i="23"/>
  <c r="AT249" i="23"/>
  <c r="AS249" i="23"/>
  <c r="AR249" i="23"/>
  <c r="AQ249" i="23"/>
  <c r="AP249" i="23"/>
  <c r="AO249" i="23"/>
  <c r="AN249" i="23"/>
  <c r="AD246" i="7"/>
  <c r="AH245" i="7"/>
  <c r="AE245" i="7"/>
  <c r="AF245" i="7"/>
  <c r="AG245" i="7"/>
  <c r="AI245" i="7"/>
  <c r="AJ245" i="7"/>
  <c r="AK245" i="7"/>
  <c r="AJ248" i="22"/>
  <c r="AI248" i="22"/>
  <c r="AG248" i="22"/>
  <c r="AE248" i="22"/>
  <c r="AK248" i="22"/>
  <c r="AF248" i="22"/>
  <c r="AH248" i="22"/>
  <c r="AT244" i="7"/>
  <c r="AM245" i="7"/>
  <c r="AS244" i="7"/>
  <c r="AR244" i="7"/>
  <c r="AQ244" i="7"/>
  <c r="AP244" i="7"/>
  <c r="AO244" i="7"/>
  <c r="AN244" i="7"/>
  <c r="I247" i="23"/>
  <c r="S116" i="7"/>
  <c r="H248" i="22"/>
  <c r="J248" i="22"/>
  <c r="J247" i="23"/>
  <c r="I248" i="22"/>
  <c r="Z248" i="23"/>
  <c r="U249" i="23"/>
  <c r="X248" i="23"/>
  <c r="AB248" i="23"/>
  <c r="W248" i="23"/>
  <c r="V248" i="23"/>
  <c r="AA248" i="23"/>
  <c r="Y248" i="23"/>
  <c r="Q250" i="23"/>
  <c r="O250" i="23"/>
  <c r="N250" i="23"/>
  <c r="M250" i="23"/>
  <c r="R250" i="23"/>
  <c r="L251" i="23"/>
  <c r="S250" i="23"/>
  <c r="P250" i="23"/>
  <c r="F248" i="23"/>
  <c r="E248" i="23"/>
  <c r="D248" i="23"/>
  <c r="C249" i="23"/>
  <c r="G248" i="23"/>
  <c r="U250" i="22"/>
  <c r="X249" i="22"/>
  <c r="W249" i="22"/>
  <c r="V249" i="22"/>
  <c r="Y249" i="22"/>
  <c r="M248" i="22"/>
  <c r="O248" i="22"/>
  <c r="N248" i="22"/>
  <c r="L249" i="22"/>
  <c r="P248" i="22"/>
  <c r="D249" i="22"/>
  <c r="F249" i="22"/>
  <c r="C250" i="22"/>
  <c r="E249" i="22"/>
  <c r="G249" i="22"/>
  <c r="AD249" i="22"/>
  <c r="R116" i="7"/>
  <c r="J117" i="7"/>
  <c r="Z116" i="7"/>
  <c r="Q116" i="7"/>
  <c r="P117" i="7"/>
  <c r="O117" i="7"/>
  <c r="N117" i="7"/>
  <c r="M117" i="7"/>
  <c r="H117" i="7"/>
  <c r="I117" i="7"/>
  <c r="V117" i="7"/>
  <c r="U118" i="7"/>
  <c r="Y117" i="7"/>
  <c r="X117" i="7"/>
  <c r="AB117" i="7" s="1"/>
  <c r="W117" i="7"/>
  <c r="AA117" i="7" s="1"/>
  <c r="G118" i="7"/>
  <c r="F118" i="7"/>
  <c r="E118" i="7"/>
  <c r="D118" i="7"/>
  <c r="R248" i="22" l="1"/>
  <c r="S248" i="22"/>
  <c r="Q248" i="22"/>
  <c r="AA249" i="22"/>
  <c r="Z249" i="22"/>
  <c r="AB249" i="22"/>
  <c r="H248" i="23"/>
  <c r="AT250" i="22"/>
  <c r="AQ250" i="22"/>
  <c r="AN250" i="22"/>
  <c r="AS250" i="22"/>
  <c r="AO250" i="22"/>
  <c r="AM251" i="22"/>
  <c r="AR250" i="22"/>
  <c r="AP250" i="22"/>
  <c r="AD251" i="23"/>
  <c r="AK250" i="23"/>
  <c r="AJ250" i="23"/>
  <c r="AI250" i="23"/>
  <c r="AH250" i="23"/>
  <c r="AG250" i="23"/>
  <c r="AF250" i="23"/>
  <c r="AE250" i="23"/>
  <c r="AM251" i="23"/>
  <c r="AT250" i="23"/>
  <c r="AS250" i="23"/>
  <c r="AR250" i="23"/>
  <c r="AQ250" i="23"/>
  <c r="AP250" i="23"/>
  <c r="AO250" i="23"/>
  <c r="AN250" i="23"/>
  <c r="AD247" i="7"/>
  <c r="AH246" i="7"/>
  <c r="AE246" i="7"/>
  <c r="AF246" i="7"/>
  <c r="AG246" i="7"/>
  <c r="AI246" i="7"/>
  <c r="AJ246" i="7"/>
  <c r="AK246" i="7"/>
  <c r="AJ249" i="22"/>
  <c r="AE249" i="22"/>
  <c r="AK249" i="22"/>
  <c r="AI249" i="22"/>
  <c r="AG249" i="22"/>
  <c r="AF249" i="22"/>
  <c r="AH249" i="22"/>
  <c r="AM246" i="7"/>
  <c r="AT245" i="7"/>
  <c r="AS245" i="7"/>
  <c r="AR245" i="7"/>
  <c r="AQ245" i="7"/>
  <c r="AP245" i="7"/>
  <c r="AO245" i="7"/>
  <c r="AN245" i="7"/>
  <c r="S117" i="7"/>
  <c r="Q117" i="7"/>
  <c r="J249" i="22"/>
  <c r="H249" i="22"/>
  <c r="I249" i="22"/>
  <c r="J248" i="23"/>
  <c r="I248" i="23"/>
  <c r="F249" i="23"/>
  <c r="E249" i="23"/>
  <c r="D249" i="23"/>
  <c r="C250" i="23"/>
  <c r="G249" i="23"/>
  <c r="S251" i="23"/>
  <c r="R251" i="23"/>
  <c r="M251" i="23"/>
  <c r="L252" i="23"/>
  <c r="O251" i="23"/>
  <c r="Q251" i="23"/>
  <c r="N251" i="23"/>
  <c r="P251" i="23"/>
  <c r="AB249" i="23"/>
  <c r="AA249" i="23"/>
  <c r="V249" i="23"/>
  <c r="X249" i="23"/>
  <c r="W249" i="23"/>
  <c r="U250" i="23"/>
  <c r="Z249" i="23"/>
  <c r="Y249" i="23"/>
  <c r="AD250" i="22"/>
  <c r="U251" i="22"/>
  <c r="W250" i="22"/>
  <c r="V250" i="22"/>
  <c r="X250" i="22"/>
  <c r="Y250" i="22"/>
  <c r="O249" i="22"/>
  <c r="M249" i="22"/>
  <c r="N249" i="22"/>
  <c r="L250" i="22"/>
  <c r="P249" i="22"/>
  <c r="C251" i="22"/>
  <c r="E250" i="22"/>
  <c r="D250" i="22"/>
  <c r="F250" i="22"/>
  <c r="G250" i="22"/>
  <c r="R117" i="7"/>
  <c r="J118" i="7"/>
  <c r="Z117" i="7"/>
  <c r="N118" i="7"/>
  <c r="M118" i="7"/>
  <c r="O118" i="7"/>
  <c r="P118" i="7"/>
  <c r="I118" i="7"/>
  <c r="H118" i="7"/>
  <c r="G119" i="7"/>
  <c r="F119" i="7"/>
  <c r="E119" i="7"/>
  <c r="D119" i="7"/>
  <c r="V118" i="7"/>
  <c r="U119" i="7"/>
  <c r="AB118" i="7"/>
  <c r="AA118" i="7"/>
  <c r="Z118" i="7"/>
  <c r="Y118" i="7"/>
  <c r="X118" i="7"/>
  <c r="W118" i="7"/>
  <c r="R249" i="22" l="1"/>
  <c r="Q249" i="22"/>
  <c r="S249" i="22"/>
  <c r="AA250" i="22"/>
  <c r="AB250" i="22"/>
  <c r="Z250" i="22"/>
  <c r="Z251" i="22" s="1"/>
  <c r="H249" i="23"/>
  <c r="AM252" i="22"/>
  <c r="AR251" i="22"/>
  <c r="AO251" i="22"/>
  <c r="AT251" i="22"/>
  <c r="AP251" i="22"/>
  <c r="AN251" i="22"/>
  <c r="AQ251" i="22"/>
  <c r="AS251" i="22"/>
  <c r="AD252" i="23"/>
  <c r="AK251" i="23"/>
  <c r="AJ251" i="23"/>
  <c r="AI251" i="23"/>
  <c r="AH251" i="23"/>
  <c r="AG251" i="23"/>
  <c r="AF251" i="23"/>
  <c r="AE251" i="23"/>
  <c r="AQ251" i="23"/>
  <c r="AO251" i="23"/>
  <c r="AM252" i="23"/>
  <c r="AT251" i="23"/>
  <c r="AR251" i="23"/>
  <c r="AP251" i="23"/>
  <c r="AS251" i="23"/>
  <c r="AN251" i="23"/>
  <c r="AD248" i="7"/>
  <c r="AH247" i="7"/>
  <c r="AE247" i="7"/>
  <c r="AF247" i="7"/>
  <c r="AG247" i="7"/>
  <c r="AI247" i="7"/>
  <c r="AJ247" i="7"/>
  <c r="AK247" i="7"/>
  <c r="AK250" i="22"/>
  <c r="AE250" i="22"/>
  <c r="AJ250" i="22"/>
  <c r="AI250" i="22"/>
  <c r="AG250" i="22"/>
  <c r="AF250" i="22"/>
  <c r="AH250" i="22"/>
  <c r="AR246" i="7"/>
  <c r="AM247" i="7"/>
  <c r="AT246" i="7"/>
  <c r="AS246" i="7"/>
  <c r="AQ246" i="7"/>
  <c r="AP246" i="7"/>
  <c r="AO246" i="7"/>
  <c r="AN246" i="7"/>
  <c r="Q118" i="7"/>
  <c r="H250" i="22"/>
  <c r="J249" i="23"/>
  <c r="R118" i="7"/>
  <c r="I249" i="23"/>
  <c r="I250" i="22"/>
  <c r="D250" i="23"/>
  <c r="C251" i="23"/>
  <c r="F250" i="23"/>
  <c r="E250" i="23"/>
  <c r="G250" i="23"/>
  <c r="O252" i="23"/>
  <c r="N252" i="23"/>
  <c r="M252" i="23"/>
  <c r="S252" i="23"/>
  <c r="Q252" i="23"/>
  <c r="L253" i="23"/>
  <c r="R252" i="23"/>
  <c r="P252" i="23"/>
  <c r="X250" i="23"/>
  <c r="W250" i="23"/>
  <c r="AA250" i="23"/>
  <c r="V250" i="23"/>
  <c r="AB250" i="23"/>
  <c r="U251" i="23"/>
  <c r="Z250" i="23"/>
  <c r="Y250" i="23"/>
  <c r="L251" i="22"/>
  <c r="M250" i="22"/>
  <c r="O250" i="22"/>
  <c r="N250" i="22"/>
  <c r="P250" i="22"/>
  <c r="W251" i="22"/>
  <c r="X251" i="22"/>
  <c r="U252" i="22"/>
  <c r="V251" i="22"/>
  <c r="Y251" i="22"/>
  <c r="AD251" i="22"/>
  <c r="J250" i="22"/>
  <c r="F251" i="22"/>
  <c r="E251" i="22"/>
  <c r="D251" i="22"/>
  <c r="C252" i="22"/>
  <c r="G251" i="22"/>
  <c r="S118" i="7"/>
  <c r="M119" i="7"/>
  <c r="N119" i="7"/>
  <c r="P119" i="7"/>
  <c r="O119" i="7"/>
  <c r="I119" i="7"/>
  <c r="J119" i="7"/>
  <c r="H119" i="7"/>
  <c r="V119" i="7"/>
  <c r="U120" i="7"/>
  <c r="Y119" i="7"/>
  <c r="X119" i="7"/>
  <c r="AB119" i="7" s="1"/>
  <c r="W119" i="7"/>
  <c r="AA119" i="7" s="1"/>
  <c r="G120" i="7"/>
  <c r="F120" i="7"/>
  <c r="E120" i="7"/>
  <c r="D120" i="7"/>
  <c r="R250" i="22" l="1"/>
  <c r="S250" i="22"/>
  <c r="Q250" i="22"/>
  <c r="AA251" i="22"/>
  <c r="AB251" i="22"/>
  <c r="AQ252" i="22"/>
  <c r="AR252" i="22"/>
  <c r="AP252" i="22"/>
  <c r="AT252" i="22"/>
  <c r="AO252" i="22"/>
  <c r="AS252" i="22"/>
  <c r="AM253" i="22"/>
  <c r="AN252" i="22"/>
  <c r="AK252" i="23"/>
  <c r="AH252" i="23"/>
  <c r="AG252" i="23"/>
  <c r="AE252" i="23"/>
  <c r="AD253" i="23"/>
  <c r="AJ252" i="23"/>
  <c r="AI252" i="23"/>
  <c r="AF252" i="23"/>
  <c r="AT252" i="23"/>
  <c r="AQ252" i="23"/>
  <c r="AP252" i="23"/>
  <c r="AN252" i="23"/>
  <c r="AM253" i="23"/>
  <c r="AS252" i="23"/>
  <c r="AR252" i="23"/>
  <c r="AO252" i="23"/>
  <c r="AD249" i="7"/>
  <c r="AH248" i="7"/>
  <c r="AE248" i="7"/>
  <c r="AF248" i="7"/>
  <c r="AG248" i="7"/>
  <c r="AI248" i="7"/>
  <c r="AJ248" i="7"/>
  <c r="AK248" i="7"/>
  <c r="AJ251" i="22"/>
  <c r="AI251" i="22"/>
  <c r="AG251" i="22"/>
  <c r="AF251" i="22"/>
  <c r="AK251" i="22"/>
  <c r="AE251" i="22"/>
  <c r="AH251" i="22"/>
  <c r="AM248" i="7"/>
  <c r="AS247" i="7"/>
  <c r="AQ247" i="7"/>
  <c r="AP247" i="7"/>
  <c r="AO247" i="7"/>
  <c r="AN247" i="7"/>
  <c r="AT247" i="7"/>
  <c r="AR247" i="7"/>
  <c r="Q119" i="7"/>
  <c r="I250" i="23"/>
  <c r="J250" i="23"/>
  <c r="R119" i="7"/>
  <c r="J251" i="22"/>
  <c r="H250" i="23"/>
  <c r="I251" i="22"/>
  <c r="F251" i="23"/>
  <c r="E251" i="23"/>
  <c r="D251" i="23"/>
  <c r="C252" i="23"/>
  <c r="G251" i="23"/>
  <c r="Q253" i="23"/>
  <c r="L254" i="23"/>
  <c r="O253" i="23"/>
  <c r="S253" i="23"/>
  <c r="N253" i="23"/>
  <c r="R253" i="23"/>
  <c r="M253" i="23"/>
  <c r="P253" i="23"/>
  <c r="Z251" i="23"/>
  <c r="X251" i="23"/>
  <c r="W251" i="23"/>
  <c r="V251" i="23"/>
  <c r="AA251" i="23"/>
  <c r="AB251" i="23"/>
  <c r="U252" i="23"/>
  <c r="Y251" i="23"/>
  <c r="AD252" i="22"/>
  <c r="D252" i="22"/>
  <c r="C253" i="22"/>
  <c r="F252" i="22"/>
  <c r="E252" i="22"/>
  <c r="G252" i="22"/>
  <c r="H251" i="22"/>
  <c r="U253" i="22"/>
  <c r="Z252" i="22"/>
  <c r="AA252" i="22"/>
  <c r="AB252" i="22"/>
  <c r="X252" i="22"/>
  <c r="W252" i="22"/>
  <c r="V252" i="22"/>
  <c r="Y252" i="22"/>
  <c r="L252" i="22"/>
  <c r="O251" i="22"/>
  <c r="N251" i="22"/>
  <c r="M251" i="22"/>
  <c r="P251" i="22"/>
  <c r="Z119" i="7"/>
  <c r="S119" i="7"/>
  <c r="M120" i="7"/>
  <c r="P120" i="7"/>
  <c r="O120" i="7"/>
  <c r="N120" i="7"/>
  <c r="J120" i="7"/>
  <c r="H120" i="7"/>
  <c r="I120" i="7"/>
  <c r="V120" i="7"/>
  <c r="U121" i="7"/>
  <c r="Y120" i="7"/>
  <c r="X120" i="7"/>
  <c r="AB120" i="7" s="1"/>
  <c r="W120" i="7"/>
  <c r="AA120" i="7" s="1"/>
  <c r="G121" i="7"/>
  <c r="F121" i="7"/>
  <c r="E121" i="7"/>
  <c r="D121" i="7"/>
  <c r="Q251" i="22" l="1"/>
  <c r="S251" i="22"/>
  <c r="R251" i="22"/>
  <c r="AM254" i="22"/>
  <c r="AR253" i="22"/>
  <c r="AP253" i="22"/>
  <c r="AS253" i="22"/>
  <c r="AN253" i="22"/>
  <c r="AO253" i="22"/>
  <c r="AT253" i="22"/>
  <c r="AQ253" i="22"/>
  <c r="AD254" i="23"/>
  <c r="AK253" i="23"/>
  <c r="AJ253" i="23"/>
  <c r="AI253" i="23"/>
  <c r="AH253" i="23"/>
  <c r="AG253" i="23"/>
  <c r="AF253" i="23"/>
  <c r="AE253" i="23"/>
  <c r="AM254" i="23"/>
  <c r="AT253" i="23"/>
  <c r="AS253" i="23"/>
  <c r="AR253" i="23"/>
  <c r="AQ253" i="23"/>
  <c r="AP253" i="23"/>
  <c r="AO253" i="23"/>
  <c r="AN253" i="23"/>
  <c r="AD250" i="7"/>
  <c r="AH249" i="7"/>
  <c r="AE249" i="7"/>
  <c r="AF249" i="7"/>
  <c r="AG249" i="7"/>
  <c r="AI249" i="7"/>
  <c r="AJ249" i="7"/>
  <c r="AK249" i="7"/>
  <c r="AJ252" i="22"/>
  <c r="AI252" i="22"/>
  <c r="AG252" i="22"/>
  <c r="AE252" i="22"/>
  <c r="AK252" i="22"/>
  <c r="AF252" i="22"/>
  <c r="AH252" i="22"/>
  <c r="AT248" i="7"/>
  <c r="AO248" i="7"/>
  <c r="AN248" i="7"/>
  <c r="AM249" i="7"/>
  <c r="AS248" i="7"/>
  <c r="AR248" i="7"/>
  <c r="AQ248" i="7"/>
  <c r="AP248" i="7"/>
  <c r="Q120" i="7"/>
  <c r="H251" i="23"/>
  <c r="R120" i="7"/>
  <c r="S120" i="7"/>
  <c r="I251" i="23"/>
  <c r="H252" i="22"/>
  <c r="J251" i="23"/>
  <c r="I252" i="22"/>
  <c r="C253" i="23"/>
  <c r="F252" i="23"/>
  <c r="E252" i="23"/>
  <c r="D252" i="23"/>
  <c r="G252" i="23"/>
  <c r="S254" i="23"/>
  <c r="R254" i="23"/>
  <c r="M254" i="23"/>
  <c r="O254" i="23"/>
  <c r="N254" i="23"/>
  <c r="L255" i="23"/>
  <c r="Q254" i="23"/>
  <c r="P254" i="23"/>
  <c r="AB252" i="23"/>
  <c r="AA252" i="23"/>
  <c r="V252" i="23"/>
  <c r="U253" i="23"/>
  <c r="X252" i="23"/>
  <c r="Z252" i="23"/>
  <c r="W252" i="23"/>
  <c r="Y252" i="23"/>
  <c r="AD253" i="22"/>
  <c r="C254" i="22"/>
  <c r="F253" i="22"/>
  <c r="E253" i="22"/>
  <c r="D253" i="22"/>
  <c r="G253" i="22"/>
  <c r="J252" i="22"/>
  <c r="Q252" i="22"/>
  <c r="O252" i="22"/>
  <c r="N252" i="22"/>
  <c r="M252" i="22"/>
  <c r="L253" i="22"/>
  <c r="S252" i="22"/>
  <c r="R252" i="22"/>
  <c r="P252" i="22"/>
  <c r="X253" i="22"/>
  <c r="U254" i="22"/>
  <c r="AA253" i="22"/>
  <c r="Z253" i="22"/>
  <c r="AB253" i="22"/>
  <c r="W253" i="22"/>
  <c r="V253" i="22"/>
  <c r="Y253" i="22"/>
  <c r="Z120" i="7"/>
  <c r="N121" i="7"/>
  <c r="M121" i="7"/>
  <c r="O121" i="7"/>
  <c r="P121" i="7"/>
  <c r="J121" i="7"/>
  <c r="I121" i="7"/>
  <c r="H121" i="7"/>
  <c r="G122" i="7"/>
  <c r="F122" i="7"/>
  <c r="E122" i="7"/>
  <c r="D122" i="7"/>
  <c r="V121" i="7"/>
  <c r="U122" i="7"/>
  <c r="AB121" i="7"/>
  <c r="AA121" i="7"/>
  <c r="Z121" i="7"/>
  <c r="Y121" i="7"/>
  <c r="X121" i="7"/>
  <c r="W121" i="7"/>
  <c r="AR254" i="22" l="1"/>
  <c r="AO254" i="22"/>
  <c r="AS254" i="22"/>
  <c r="AN254" i="22"/>
  <c r="AM255" i="22"/>
  <c r="AQ254" i="22"/>
  <c r="AT254" i="22"/>
  <c r="AP254" i="22"/>
  <c r="AD255" i="23"/>
  <c r="AK254" i="23"/>
  <c r="AJ254" i="23"/>
  <c r="AI254" i="23"/>
  <c r="AH254" i="23"/>
  <c r="AG254" i="23"/>
  <c r="AF254" i="23"/>
  <c r="AE254" i="23"/>
  <c r="AM255" i="23"/>
  <c r="AT254" i="23"/>
  <c r="AS254" i="23"/>
  <c r="AR254" i="23"/>
  <c r="AQ254" i="23"/>
  <c r="AP254" i="23"/>
  <c r="AO254" i="23"/>
  <c r="AN254" i="23"/>
  <c r="AD251" i="7"/>
  <c r="AH250" i="7"/>
  <c r="AE250" i="7"/>
  <c r="AF250" i="7"/>
  <c r="AG250" i="7"/>
  <c r="AI250" i="7"/>
  <c r="AJ250" i="7"/>
  <c r="AK250" i="7"/>
  <c r="AJ253" i="22"/>
  <c r="AE253" i="22"/>
  <c r="AK253" i="22"/>
  <c r="AI253" i="22"/>
  <c r="AG253" i="22"/>
  <c r="AF253" i="22"/>
  <c r="AH253" i="22"/>
  <c r="AM250" i="7"/>
  <c r="AT249" i="7"/>
  <c r="AS249" i="7"/>
  <c r="AR249" i="7"/>
  <c r="AP249" i="7"/>
  <c r="AO249" i="7"/>
  <c r="AQ249" i="7"/>
  <c r="AN249" i="7"/>
  <c r="Q121" i="7"/>
  <c r="R121" i="7"/>
  <c r="I253" i="22"/>
  <c r="I252" i="23"/>
  <c r="J252" i="23"/>
  <c r="J253" i="22"/>
  <c r="H252" i="23"/>
  <c r="X253" i="23"/>
  <c r="W253" i="23"/>
  <c r="V253" i="23"/>
  <c r="AB253" i="23"/>
  <c r="Z253" i="23"/>
  <c r="AA253" i="23"/>
  <c r="U254" i="23"/>
  <c r="Y253" i="23"/>
  <c r="O255" i="23"/>
  <c r="N255" i="23"/>
  <c r="R255" i="23"/>
  <c r="M255" i="23"/>
  <c r="L256" i="23"/>
  <c r="S255" i="23"/>
  <c r="Q255" i="23"/>
  <c r="P255" i="23"/>
  <c r="D253" i="23"/>
  <c r="F253" i="23"/>
  <c r="E253" i="23"/>
  <c r="C254" i="23"/>
  <c r="G253" i="23"/>
  <c r="X254" i="22"/>
  <c r="U255" i="22"/>
  <c r="W254" i="22"/>
  <c r="V254" i="22"/>
  <c r="Z254" i="22"/>
  <c r="AB254" i="22"/>
  <c r="AA254" i="22"/>
  <c r="Y254" i="22"/>
  <c r="H253" i="22"/>
  <c r="C255" i="22"/>
  <c r="G254" i="22"/>
  <c r="F254" i="22"/>
  <c r="E254" i="22"/>
  <c r="D254" i="22"/>
  <c r="AD254" i="22"/>
  <c r="N253" i="22"/>
  <c r="S253" i="22"/>
  <c r="Q253" i="22"/>
  <c r="L254" i="22"/>
  <c r="M253" i="22"/>
  <c r="O253" i="22"/>
  <c r="R253" i="22"/>
  <c r="P253" i="22"/>
  <c r="S121" i="7"/>
  <c r="P122" i="7"/>
  <c r="M122" i="7"/>
  <c r="N122" i="7"/>
  <c r="O122" i="7"/>
  <c r="J122" i="7"/>
  <c r="I122" i="7"/>
  <c r="H122" i="7"/>
  <c r="V122" i="7"/>
  <c r="U123" i="7"/>
  <c r="Y122" i="7"/>
  <c r="X122" i="7"/>
  <c r="AB122" i="7" s="1"/>
  <c r="W122" i="7"/>
  <c r="AA122" i="7" s="1"/>
  <c r="G123" i="7"/>
  <c r="F123" i="7"/>
  <c r="E123" i="7"/>
  <c r="D123" i="7"/>
  <c r="AR255" i="22" l="1"/>
  <c r="AP255" i="22"/>
  <c r="AN255" i="22"/>
  <c r="AS255" i="22"/>
  <c r="AT255" i="22"/>
  <c r="AQ255" i="22"/>
  <c r="AM256" i="22"/>
  <c r="AO255" i="22"/>
  <c r="AK255" i="23"/>
  <c r="AI255" i="23"/>
  <c r="AG255" i="23"/>
  <c r="AE255" i="23"/>
  <c r="AD256" i="23"/>
  <c r="AH255" i="23"/>
  <c r="AF255" i="23"/>
  <c r="AJ255" i="23"/>
  <c r="AT255" i="23"/>
  <c r="AP255" i="23"/>
  <c r="AR255" i="23"/>
  <c r="AN255" i="23"/>
  <c r="AM256" i="23"/>
  <c r="AS255" i="23"/>
  <c r="AO255" i="23"/>
  <c r="AQ255" i="23"/>
  <c r="AD252" i="7"/>
  <c r="AH251" i="7"/>
  <c r="AE251" i="7"/>
  <c r="AF251" i="7"/>
  <c r="AG251" i="7"/>
  <c r="AI251" i="7"/>
  <c r="AJ251" i="7"/>
  <c r="AK251" i="7"/>
  <c r="AJ254" i="22"/>
  <c r="AE254" i="22"/>
  <c r="AK254" i="22"/>
  <c r="AI254" i="22"/>
  <c r="AG254" i="22"/>
  <c r="AF254" i="22"/>
  <c r="AH254" i="22"/>
  <c r="AS250" i="7"/>
  <c r="AM251" i="7"/>
  <c r="AT250" i="7"/>
  <c r="AQ250" i="7"/>
  <c r="AP250" i="7"/>
  <c r="AO250" i="7"/>
  <c r="AN250" i="7"/>
  <c r="AR250" i="7"/>
  <c r="Q122" i="7"/>
  <c r="R122" i="7"/>
  <c r="H253" i="23"/>
  <c r="I253" i="23"/>
  <c r="J253" i="23"/>
  <c r="I254" i="22"/>
  <c r="J254" i="22"/>
  <c r="H254" i="22"/>
  <c r="Z254" i="23"/>
  <c r="U255" i="23"/>
  <c r="X254" i="23"/>
  <c r="AB254" i="23"/>
  <c r="W254" i="23"/>
  <c r="V254" i="23"/>
  <c r="AA254" i="23"/>
  <c r="Y254" i="23"/>
  <c r="F254" i="23"/>
  <c r="E254" i="23"/>
  <c r="D254" i="23"/>
  <c r="C255" i="23"/>
  <c r="G254" i="23"/>
  <c r="Q256" i="23"/>
  <c r="O256" i="23"/>
  <c r="N256" i="23"/>
  <c r="M256" i="23"/>
  <c r="R256" i="23"/>
  <c r="L257" i="23"/>
  <c r="S256" i="23"/>
  <c r="P256" i="23"/>
  <c r="AD255" i="22"/>
  <c r="D255" i="22"/>
  <c r="E255" i="22"/>
  <c r="F255" i="22"/>
  <c r="C256" i="22"/>
  <c r="G255" i="22"/>
  <c r="L255" i="22"/>
  <c r="Q254" i="22"/>
  <c r="N254" i="22"/>
  <c r="S254" i="22"/>
  <c r="M254" i="22"/>
  <c r="O254" i="22"/>
  <c r="R254" i="22"/>
  <c r="P254" i="22"/>
  <c r="U256" i="22"/>
  <c r="W255" i="22"/>
  <c r="V255" i="22"/>
  <c r="AA255" i="22"/>
  <c r="X255" i="22"/>
  <c r="AB255" i="22"/>
  <c r="Z255" i="22"/>
  <c r="Y255" i="22"/>
  <c r="Z122" i="7"/>
  <c r="S122" i="7"/>
  <c r="O123" i="7"/>
  <c r="M123" i="7"/>
  <c r="P123" i="7"/>
  <c r="N123" i="7"/>
  <c r="H123" i="7"/>
  <c r="I123" i="7"/>
  <c r="J123" i="7"/>
  <c r="G124" i="7"/>
  <c r="F124" i="7"/>
  <c r="E124" i="7"/>
  <c r="D124" i="7"/>
  <c r="V123" i="7"/>
  <c r="AB123" i="7" s="1"/>
  <c r="U124" i="7"/>
  <c r="Z123" i="7"/>
  <c r="Y123" i="7"/>
  <c r="X123" i="7"/>
  <c r="W123" i="7"/>
  <c r="AS256" i="22" l="1"/>
  <c r="AM257" i="22"/>
  <c r="AR256" i="22"/>
  <c r="AO256" i="22"/>
  <c r="AN256" i="22"/>
  <c r="AQ256" i="22"/>
  <c r="AT256" i="22"/>
  <c r="AP256" i="22"/>
  <c r="AD257" i="23"/>
  <c r="AK256" i="23"/>
  <c r="AJ256" i="23"/>
  <c r="AI256" i="23"/>
  <c r="AH256" i="23"/>
  <c r="AG256" i="23"/>
  <c r="AF256" i="23"/>
  <c r="AE256" i="23"/>
  <c r="AM257" i="23"/>
  <c r="AT256" i="23"/>
  <c r="AS256" i="23"/>
  <c r="AR256" i="23"/>
  <c r="AQ256" i="23"/>
  <c r="AP256" i="23"/>
  <c r="AO256" i="23"/>
  <c r="AN256" i="23"/>
  <c r="AD253" i="7"/>
  <c r="AH252" i="7"/>
  <c r="AE252" i="7"/>
  <c r="AF252" i="7"/>
  <c r="AG252" i="7"/>
  <c r="AI252" i="7"/>
  <c r="AJ252" i="7"/>
  <c r="AK252" i="7"/>
  <c r="AJ255" i="22"/>
  <c r="AE255" i="22"/>
  <c r="AK255" i="22"/>
  <c r="AI255" i="22"/>
  <c r="AG255" i="22"/>
  <c r="AF255" i="22"/>
  <c r="AH255" i="22"/>
  <c r="AN251" i="7"/>
  <c r="AM252" i="7"/>
  <c r="AT251" i="7"/>
  <c r="AS251" i="7"/>
  <c r="AR251" i="7"/>
  <c r="AQ251" i="7"/>
  <c r="AP251" i="7"/>
  <c r="AO251" i="7"/>
  <c r="Q123" i="7"/>
  <c r="R123" i="7"/>
  <c r="H255" i="22"/>
  <c r="J255" i="22"/>
  <c r="I254" i="23"/>
  <c r="J254" i="23"/>
  <c r="I255" i="22"/>
  <c r="S257" i="23"/>
  <c r="R257" i="23"/>
  <c r="M257" i="23"/>
  <c r="L258" i="23"/>
  <c r="O257" i="23"/>
  <c r="N257" i="23"/>
  <c r="Q257" i="23"/>
  <c r="P257" i="23"/>
  <c r="AB255" i="23"/>
  <c r="AA255" i="23"/>
  <c r="V255" i="23"/>
  <c r="X255" i="23"/>
  <c r="W255" i="23"/>
  <c r="U256" i="23"/>
  <c r="Z255" i="23"/>
  <c r="Y255" i="23"/>
  <c r="H254" i="23"/>
  <c r="F255" i="23"/>
  <c r="E255" i="23"/>
  <c r="D255" i="23"/>
  <c r="C256" i="23"/>
  <c r="G255" i="23"/>
  <c r="AD256" i="22"/>
  <c r="S255" i="22"/>
  <c r="N255" i="22"/>
  <c r="M255" i="22"/>
  <c r="L256" i="22"/>
  <c r="O255" i="22"/>
  <c r="R255" i="22"/>
  <c r="Q255" i="22"/>
  <c r="P255" i="22"/>
  <c r="C257" i="22"/>
  <c r="F256" i="22"/>
  <c r="E256" i="22"/>
  <c r="D256" i="22"/>
  <c r="G256" i="22"/>
  <c r="W256" i="22"/>
  <c r="X256" i="22"/>
  <c r="Z256" i="22"/>
  <c r="AB256" i="22"/>
  <c r="V256" i="22"/>
  <c r="AA256" i="22"/>
  <c r="U257" i="22"/>
  <c r="Y256" i="22"/>
  <c r="H124" i="7"/>
  <c r="AA123" i="7"/>
  <c r="S123" i="7"/>
  <c r="N124" i="7"/>
  <c r="O124" i="7"/>
  <c r="M124" i="7"/>
  <c r="P124" i="7"/>
  <c r="I124" i="7"/>
  <c r="J124" i="7"/>
  <c r="V124" i="7"/>
  <c r="U125" i="7"/>
  <c r="Y124" i="7"/>
  <c r="X124" i="7"/>
  <c r="AB124" i="7" s="1"/>
  <c r="W124" i="7"/>
  <c r="AA124" i="7" s="1"/>
  <c r="G125" i="7"/>
  <c r="F125" i="7"/>
  <c r="E125" i="7"/>
  <c r="D125" i="7"/>
  <c r="AM258" i="22" l="1"/>
  <c r="AP257" i="22"/>
  <c r="AN257" i="22"/>
  <c r="AS257" i="22"/>
  <c r="AQ257" i="22"/>
  <c r="AT257" i="22"/>
  <c r="AR257" i="22"/>
  <c r="AO257" i="22"/>
  <c r="AD258" i="23"/>
  <c r="AK257" i="23"/>
  <c r="AJ257" i="23"/>
  <c r="AI257" i="23"/>
  <c r="AH257" i="23"/>
  <c r="AG257" i="23"/>
  <c r="AF257" i="23"/>
  <c r="AE257" i="23"/>
  <c r="AM258" i="23"/>
  <c r="AT257" i="23"/>
  <c r="AS257" i="23"/>
  <c r="AR257" i="23"/>
  <c r="AQ257" i="23"/>
  <c r="AP257" i="23"/>
  <c r="AO257" i="23"/>
  <c r="AN257" i="23"/>
  <c r="AD254" i="7"/>
  <c r="AH253" i="7"/>
  <c r="AE253" i="7"/>
  <c r="AF253" i="7"/>
  <c r="AG253" i="7"/>
  <c r="AI253" i="7"/>
  <c r="AJ253" i="7"/>
  <c r="AK253" i="7"/>
  <c r="AJ256" i="22"/>
  <c r="AE256" i="22"/>
  <c r="AK256" i="22"/>
  <c r="AI256" i="22"/>
  <c r="AG256" i="22"/>
  <c r="AF256" i="22"/>
  <c r="AH256" i="22"/>
  <c r="AQ252" i="7"/>
  <c r="AO252" i="7"/>
  <c r="AM253" i="7"/>
  <c r="AT252" i="7"/>
  <c r="AS252" i="7"/>
  <c r="AR252" i="7"/>
  <c r="AP252" i="7"/>
  <c r="AN252" i="7"/>
  <c r="Q124" i="7"/>
  <c r="H256" i="22"/>
  <c r="J256" i="22"/>
  <c r="I256" i="22"/>
  <c r="I255" i="23"/>
  <c r="J255" i="23"/>
  <c r="X256" i="23"/>
  <c r="W256" i="23"/>
  <c r="AA256" i="23"/>
  <c r="V256" i="23"/>
  <c r="U257" i="23"/>
  <c r="AB256" i="23"/>
  <c r="Z256" i="23"/>
  <c r="Y256" i="23"/>
  <c r="O258" i="23"/>
  <c r="N258" i="23"/>
  <c r="M258" i="23"/>
  <c r="S258" i="23"/>
  <c r="Q258" i="23"/>
  <c r="R258" i="23"/>
  <c r="L259" i="23"/>
  <c r="P258" i="23"/>
  <c r="H255" i="23"/>
  <c r="D256" i="23"/>
  <c r="C257" i="23"/>
  <c r="F256" i="23"/>
  <c r="E256" i="23"/>
  <c r="G256" i="23"/>
  <c r="AD257" i="22"/>
  <c r="M256" i="22"/>
  <c r="R256" i="22"/>
  <c r="S256" i="22"/>
  <c r="O256" i="22"/>
  <c r="N256" i="22"/>
  <c r="Q256" i="22"/>
  <c r="L257" i="22"/>
  <c r="P256" i="22"/>
  <c r="U258" i="22"/>
  <c r="V257" i="22"/>
  <c r="Z257" i="22"/>
  <c r="AB257" i="22"/>
  <c r="AA257" i="22"/>
  <c r="X257" i="22"/>
  <c r="W257" i="22"/>
  <c r="Y257" i="22"/>
  <c r="F257" i="22"/>
  <c r="E257" i="22"/>
  <c r="D257" i="22"/>
  <c r="C258" i="22"/>
  <c r="G257" i="22"/>
  <c r="S124" i="7"/>
  <c r="R124" i="7"/>
  <c r="H125" i="7"/>
  <c r="Z124" i="7"/>
  <c r="N125" i="7"/>
  <c r="M125" i="7"/>
  <c r="O125" i="7"/>
  <c r="P125" i="7"/>
  <c r="J125" i="7"/>
  <c r="I125" i="7"/>
  <c r="G126" i="7"/>
  <c r="F126" i="7"/>
  <c r="E126" i="7"/>
  <c r="D126" i="7"/>
  <c r="V125" i="7"/>
  <c r="U126" i="7"/>
  <c r="AB125" i="7"/>
  <c r="AA125" i="7"/>
  <c r="Z125" i="7"/>
  <c r="Y125" i="7"/>
  <c r="X125" i="7"/>
  <c r="W125" i="7"/>
  <c r="AS258" i="22" l="1"/>
  <c r="AP258" i="22"/>
  <c r="AT258" i="22"/>
  <c r="AQ258" i="22"/>
  <c r="AM259" i="22"/>
  <c r="AR258" i="22"/>
  <c r="AO258" i="22"/>
  <c r="AN258" i="22"/>
  <c r="AD259" i="23"/>
  <c r="AK258" i="23"/>
  <c r="AJ258" i="23"/>
  <c r="AI258" i="23"/>
  <c r="AH258" i="23"/>
  <c r="AG258" i="23"/>
  <c r="AF258" i="23"/>
  <c r="AE258" i="23"/>
  <c r="AM259" i="23"/>
  <c r="AT258" i="23"/>
  <c r="AS258" i="23"/>
  <c r="AR258" i="23"/>
  <c r="AQ258" i="23"/>
  <c r="AP258" i="23"/>
  <c r="AO258" i="23"/>
  <c r="AN258" i="23"/>
  <c r="AD255" i="7"/>
  <c r="AH254" i="7"/>
  <c r="AE254" i="7"/>
  <c r="AF254" i="7"/>
  <c r="AG254" i="7"/>
  <c r="AI254" i="7"/>
  <c r="AJ254" i="7"/>
  <c r="AK254" i="7"/>
  <c r="AK257" i="22"/>
  <c r="AI257" i="22"/>
  <c r="AG257" i="22"/>
  <c r="AE257" i="22"/>
  <c r="AJ257" i="22"/>
  <c r="AF257" i="22"/>
  <c r="AH257" i="22"/>
  <c r="AM254" i="7"/>
  <c r="AT253" i="7"/>
  <c r="AS253" i="7"/>
  <c r="AR253" i="7"/>
  <c r="AQ253" i="7"/>
  <c r="AP253" i="7"/>
  <c r="AO253" i="7"/>
  <c r="AN253" i="7"/>
  <c r="Q125" i="7"/>
  <c r="H257" i="22"/>
  <c r="S125" i="7"/>
  <c r="I256" i="23"/>
  <c r="J256" i="23"/>
  <c r="H126" i="7"/>
  <c r="I257" i="22"/>
  <c r="H256" i="23"/>
  <c r="Q259" i="23"/>
  <c r="L260" i="23"/>
  <c r="O259" i="23"/>
  <c r="S259" i="23"/>
  <c r="N259" i="23"/>
  <c r="M259" i="23"/>
  <c r="R259" i="23"/>
  <c r="P259" i="23"/>
  <c r="Z257" i="23"/>
  <c r="X257" i="23"/>
  <c r="W257" i="23"/>
  <c r="V257" i="23"/>
  <c r="AA257" i="23"/>
  <c r="AB257" i="23"/>
  <c r="U258" i="23"/>
  <c r="Y257" i="23"/>
  <c r="F257" i="23"/>
  <c r="E257" i="23"/>
  <c r="D257" i="23"/>
  <c r="C258" i="23"/>
  <c r="G257" i="23"/>
  <c r="L258" i="22"/>
  <c r="S257" i="22"/>
  <c r="R257" i="22"/>
  <c r="Q257" i="22"/>
  <c r="M257" i="22"/>
  <c r="O257" i="22"/>
  <c r="N257" i="22"/>
  <c r="P257" i="22"/>
  <c r="J257" i="22"/>
  <c r="F258" i="22"/>
  <c r="E258" i="22"/>
  <c r="C259" i="22"/>
  <c r="G258" i="22"/>
  <c r="D258" i="22"/>
  <c r="U259" i="22"/>
  <c r="AA258" i="22"/>
  <c r="X258" i="22"/>
  <c r="V258" i="22"/>
  <c r="Z258" i="22"/>
  <c r="W258" i="22"/>
  <c r="AB258" i="22"/>
  <c r="Y258" i="22"/>
  <c r="AD258" i="22"/>
  <c r="R125" i="7"/>
  <c r="N126" i="7"/>
  <c r="O126" i="7"/>
  <c r="M126" i="7"/>
  <c r="P126" i="7"/>
  <c r="J126" i="7"/>
  <c r="I126" i="7"/>
  <c r="V126" i="7"/>
  <c r="U127" i="7"/>
  <c r="Y126" i="7"/>
  <c r="X126" i="7"/>
  <c r="AB126" i="7" s="1"/>
  <c r="W126" i="7"/>
  <c r="AA126" i="7" s="1"/>
  <c r="G127" i="7"/>
  <c r="F127" i="7"/>
  <c r="E127" i="7"/>
  <c r="D127" i="7"/>
  <c r="AS259" i="22" l="1"/>
  <c r="AT259" i="22"/>
  <c r="AQ259" i="22"/>
  <c r="AO259" i="22"/>
  <c r="AP259" i="22"/>
  <c r="AN259" i="22"/>
  <c r="AM260" i="22"/>
  <c r="AR259" i="22"/>
  <c r="AD260" i="23"/>
  <c r="AI259" i="23"/>
  <c r="AF259" i="23"/>
  <c r="AK259" i="23"/>
  <c r="AH259" i="23"/>
  <c r="AJ259" i="23"/>
  <c r="AG259" i="23"/>
  <c r="AE259" i="23"/>
  <c r="AM260" i="23"/>
  <c r="AO259" i="23"/>
  <c r="AP259" i="23"/>
  <c r="AS259" i="23"/>
  <c r="AQ259" i="23"/>
  <c r="AT259" i="23"/>
  <c r="AR259" i="23"/>
  <c r="AN259" i="23"/>
  <c r="AD256" i="7"/>
  <c r="AH255" i="7"/>
  <c r="AE255" i="7"/>
  <c r="AF255" i="7"/>
  <c r="AG255" i="7"/>
  <c r="AI255" i="7"/>
  <c r="AJ255" i="7"/>
  <c r="AK255" i="7"/>
  <c r="AK258" i="22"/>
  <c r="AF258" i="22"/>
  <c r="AJ258" i="22"/>
  <c r="AI258" i="22"/>
  <c r="AG258" i="22"/>
  <c r="AE258" i="22"/>
  <c r="AH258" i="22"/>
  <c r="AT254" i="7"/>
  <c r="AS254" i="7"/>
  <c r="AR254" i="7"/>
  <c r="AQ254" i="7"/>
  <c r="AP254" i="7"/>
  <c r="AO254" i="7"/>
  <c r="AN254" i="7"/>
  <c r="AM255" i="7"/>
  <c r="Q126" i="7"/>
  <c r="H258" i="22"/>
  <c r="H257" i="23"/>
  <c r="S126" i="7"/>
  <c r="R126" i="7"/>
  <c r="I258" i="22"/>
  <c r="I257" i="23"/>
  <c r="J258" i="22"/>
  <c r="C259" i="23"/>
  <c r="F258" i="23"/>
  <c r="E258" i="23"/>
  <c r="D258" i="23"/>
  <c r="G258" i="23"/>
  <c r="J257" i="23"/>
  <c r="S260" i="23"/>
  <c r="R260" i="23"/>
  <c r="M260" i="23"/>
  <c r="O260" i="23"/>
  <c r="N260" i="23"/>
  <c r="L261" i="23"/>
  <c r="Q260" i="23"/>
  <c r="P260" i="23"/>
  <c r="AB258" i="23"/>
  <c r="AA258" i="23"/>
  <c r="V258" i="23"/>
  <c r="U259" i="23"/>
  <c r="X258" i="23"/>
  <c r="W258" i="23"/>
  <c r="Z258" i="23"/>
  <c r="Y258" i="23"/>
  <c r="AD259" i="22"/>
  <c r="U260" i="22"/>
  <c r="X259" i="22"/>
  <c r="AB259" i="22"/>
  <c r="V259" i="22"/>
  <c r="AA259" i="22"/>
  <c r="Z259" i="22"/>
  <c r="W259" i="22"/>
  <c r="Y259" i="22"/>
  <c r="C260" i="22"/>
  <c r="E259" i="22"/>
  <c r="F259" i="22"/>
  <c r="D259" i="22"/>
  <c r="G259" i="22"/>
  <c r="N258" i="22"/>
  <c r="M258" i="22"/>
  <c r="L259" i="22"/>
  <c r="S258" i="22"/>
  <c r="R258" i="22"/>
  <c r="Q258" i="22"/>
  <c r="O258" i="22"/>
  <c r="P258" i="22"/>
  <c r="Z126" i="7"/>
  <c r="N127" i="7"/>
  <c r="M127" i="7"/>
  <c r="P127" i="7"/>
  <c r="O127" i="7"/>
  <c r="J127" i="7"/>
  <c r="I127" i="7"/>
  <c r="H127" i="7"/>
  <c r="G128" i="7"/>
  <c r="F128" i="7"/>
  <c r="E128" i="7"/>
  <c r="D128" i="7"/>
  <c r="V127" i="7"/>
  <c r="U128" i="7"/>
  <c r="AB127" i="7"/>
  <c r="AA127" i="7"/>
  <c r="Z127" i="7"/>
  <c r="Y127" i="7"/>
  <c r="X127" i="7"/>
  <c r="W127" i="7"/>
  <c r="AR260" i="22" l="1"/>
  <c r="AQ260" i="22"/>
  <c r="AN260" i="22"/>
  <c r="AT260" i="22"/>
  <c r="AO260" i="22"/>
  <c r="AM261" i="22"/>
  <c r="AS260" i="22"/>
  <c r="AP260" i="22"/>
  <c r="AD261" i="23"/>
  <c r="AJ260" i="23"/>
  <c r="AG260" i="23"/>
  <c r="AE260" i="23"/>
  <c r="AI260" i="23"/>
  <c r="AK260" i="23"/>
  <c r="AH260" i="23"/>
  <c r="AF260" i="23"/>
  <c r="AT260" i="23"/>
  <c r="AS260" i="23"/>
  <c r="AR260" i="23"/>
  <c r="AP260" i="23"/>
  <c r="AM261" i="23"/>
  <c r="AO260" i="23"/>
  <c r="AQ260" i="23"/>
  <c r="AN260" i="23"/>
  <c r="AD257" i="7"/>
  <c r="AH256" i="7"/>
  <c r="AE256" i="7"/>
  <c r="AF256" i="7"/>
  <c r="AG256" i="7"/>
  <c r="AI256" i="7"/>
  <c r="AJ256" i="7"/>
  <c r="AK256" i="7"/>
  <c r="AK259" i="22"/>
  <c r="AF259" i="22"/>
  <c r="AJ259" i="22"/>
  <c r="AI259" i="22"/>
  <c r="AG259" i="22"/>
  <c r="AE259" i="22"/>
  <c r="AH259" i="22"/>
  <c r="AS255" i="7"/>
  <c r="AP255" i="7"/>
  <c r="AM256" i="7"/>
  <c r="AR255" i="7"/>
  <c r="AO255" i="7"/>
  <c r="AT255" i="7"/>
  <c r="AQ255" i="7"/>
  <c r="AN255" i="7"/>
  <c r="H258" i="23"/>
  <c r="I259" i="22"/>
  <c r="H128" i="7"/>
  <c r="R127" i="7"/>
  <c r="S127" i="7"/>
  <c r="J259" i="22"/>
  <c r="I258" i="23"/>
  <c r="H259" i="22"/>
  <c r="J258" i="23"/>
  <c r="D259" i="23"/>
  <c r="F259" i="23"/>
  <c r="E259" i="23"/>
  <c r="C260" i="23"/>
  <c r="G259" i="23"/>
  <c r="O261" i="23"/>
  <c r="N261" i="23"/>
  <c r="R261" i="23"/>
  <c r="M261" i="23"/>
  <c r="S261" i="23"/>
  <c r="L262" i="23"/>
  <c r="Q261" i="23"/>
  <c r="P261" i="23"/>
  <c r="X259" i="23"/>
  <c r="W259" i="23"/>
  <c r="V259" i="23"/>
  <c r="AB259" i="23"/>
  <c r="Z259" i="23"/>
  <c r="U260" i="23"/>
  <c r="AA259" i="23"/>
  <c r="Y259" i="23"/>
  <c r="AD260" i="22"/>
  <c r="S259" i="22"/>
  <c r="Q259" i="22"/>
  <c r="L260" i="22"/>
  <c r="R259" i="22"/>
  <c r="N259" i="22"/>
  <c r="M259" i="22"/>
  <c r="O259" i="22"/>
  <c r="P259" i="22"/>
  <c r="U261" i="22"/>
  <c r="AB260" i="22"/>
  <c r="Z260" i="22"/>
  <c r="AA260" i="22"/>
  <c r="X260" i="22"/>
  <c r="W260" i="22"/>
  <c r="V260" i="22"/>
  <c r="Y260" i="22"/>
  <c r="E260" i="22"/>
  <c r="D260" i="22"/>
  <c r="C261" i="22"/>
  <c r="F260" i="22"/>
  <c r="G260" i="22"/>
  <c r="Q127" i="7"/>
  <c r="M128" i="7"/>
  <c r="O128" i="7"/>
  <c r="N128" i="7"/>
  <c r="P128" i="7"/>
  <c r="I128" i="7"/>
  <c r="J128" i="7"/>
  <c r="V128" i="7"/>
  <c r="U129" i="7"/>
  <c r="Y128" i="7"/>
  <c r="X128" i="7"/>
  <c r="AB128" i="7" s="1"/>
  <c r="W128" i="7"/>
  <c r="AA128" i="7" s="1"/>
  <c r="G129" i="7"/>
  <c r="F129" i="7"/>
  <c r="E129" i="7"/>
  <c r="D129" i="7"/>
  <c r="AN261" i="22" l="1"/>
  <c r="AS261" i="22"/>
  <c r="AQ261" i="22"/>
  <c r="AO261" i="22"/>
  <c r="AM262" i="22"/>
  <c r="AR261" i="22"/>
  <c r="AP261" i="22"/>
  <c r="AT261" i="22"/>
  <c r="AJ261" i="23"/>
  <c r="AI261" i="23"/>
  <c r="AF261" i="23"/>
  <c r="AD262" i="23"/>
  <c r="AK261" i="23"/>
  <c r="AH261" i="23"/>
  <c r="AE261" i="23"/>
  <c r="AG261" i="23"/>
  <c r="AT261" i="23"/>
  <c r="AQ261" i="23"/>
  <c r="AN261" i="23"/>
  <c r="AM262" i="23"/>
  <c r="AO261" i="23"/>
  <c r="AS261" i="23"/>
  <c r="AR261" i="23"/>
  <c r="AP261" i="23"/>
  <c r="AD258" i="7"/>
  <c r="AH257" i="7"/>
  <c r="AE257" i="7"/>
  <c r="AF257" i="7"/>
  <c r="AG257" i="7"/>
  <c r="AI257" i="7"/>
  <c r="AJ257" i="7"/>
  <c r="AK257" i="7"/>
  <c r="AK260" i="22"/>
  <c r="AF260" i="22"/>
  <c r="AJ260" i="22"/>
  <c r="AI260" i="22"/>
  <c r="AG260" i="22"/>
  <c r="AE260" i="22"/>
  <c r="AH260" i="22"/>
  <c r="AM257" i="7"/>
  <c r="AS256" i="7"/>
  <c r="AP256" i="7"/>
  <c r="AT256" i="7"/>
  <c r="AR256" i="7"/>
  <c r="AO256" i="7"/>
  <c r="AQ256" i="7"/>
  <c r="AN256" i="7"/>
  <c r="H259" i="23"/>
  <c r="H129" i="7"/>
  <c r="J260" i="22"/>
  <c r="I259" i="23"/>
  <c r="Q128" i="7"/>
  <c r="J259" i="23"/>
  <c r="H260" i="22"/>
  <c r="I260" i="22"/>
  <c r="F260" i="23"/>
  <c r="E260" i="23"/>
  <c r="D260" i="23"/>
  <c r="C261" i="23"/>
  <c r="G260" i="23"/>
  <c r="L263" i="23"/>
  <c r="Q262" i="23"/>
  <c r="O262" i="23"/>
  <c r="N262" i="23"/>
  <c r="M262" i="23"/>
  <c r="R262" i="23"/>
  <c r="S262" i="23"/>
  <c r="P262" i="23"/>
  <c r="Z260" i="23"/>
  <c r="U261" i="23"/>
  <c r="X260" i="23"/>
  <c r="AB260" i="23"/>
  <c r="W260" i="23"/>
  <c r="AA260" i="23"/>
  <c r="V260" i="23"/>
  <c r="Y260" i="23"/>
  <c r="C262" i="22"/>
  <c r="D261" i="22"/>
  <c r="E261" i="22"/>
  <c r="F261" i="22"/>
  <c r="G261" i="22"/>
  <c r="L261" i="22"/>
  <c r="S260" i="22"/>
  <c r="Q260" i="22"/>
  <c r="O260" i="22"/>
  <c r="R260" i="22"/>
  <c r="N260" i="22"/>
  <c r="M260" i="22"/>
  <c r="P260" i="22"/>
  <c r="U262" i="22"/>
  <c r="W261" i="22"/>
  <c r="Z261" i="22"/>
  <c r="X261" i="22"/>
  <c r="V261" i="22"/>
  <c r="AA261" i="22"/>
  <c r="AB261" i="22"/>
  <c r="Y261" i="22"/>
  <c r="AD261" i="22"/>
  <c r="R128" i="7"/>
  <c r="Z128" i="7"/>
  <c r="S128" i="7"/>
  <c r="N129" i="7"/>
  <c r="M129" i="7"/>
  <c r="O129" i="7"/>
  <c r="P129" i="7"/>
  <c r="I129" i="7"/>
  <c r="G131" i="7"/>
  <c r="J129" i="7"/>
  <c r="G130" i="7"/>
  <c r="F130" i="7"/>
  <c r="E130" i="7"/>
  <c r="D130" i="7"/>
  <c r="V129" i="7"/>
  <c r="U130" i="7"/>
  <c r="U131" i="7" s="1"/>
  <c r="AB129" i="7"/>
  <c r="AA129" i="7"/>
  <c r="Z129" i="7"/>
  <c r="Y129" i="7"/>
  <c r="X129" i="7"/>
  <c r="W129" i="7"/>
  <c r="AR262" i="22" l="1"/>
  <c r="AQ262" i="22"/>
  <c r="AO262" i="22"/>
  <c r="AN262" i="22"/>
  <c r="AP262" i="22"/>
  <c r="AM263" i="22"/>
  <c r="AT262" i="22"/>
  <c r="AS262" i="22"/>
  <c r="AD263" i="23"/>
  <c r="AJ262" i="23"/>
  <c r="AH262" i="23"/>
  <c r="AG262" i="23"/>
  <c r="AE262" i="23"/>
  <c r="AK262" i="23"/>
  <c r="AI262" i="23"/>
  <c r="AF262" i="23"/>
  <c r="AT262" i="23"/>
  <c r="AQ262" i="23"/>
  <c r="AP262" i="23"/>
  <c r="AN262" i="23"/>
  <c r="AM263" i="23"/>
  <c r="AS262" i="23"/>
  <c r="AR262" i="23"/>
  <c r="AO262" i="23"/>
  <c r="AD259" i="7"/>
  <c r="AH258" i="7"/>
  <c r="AE258" i="7"/>
  <c r="AF258" i="7"/>
  <c r="AG258" i="7"/>
  <c r="AI258" i="7"/>
  <c r="AJ258" i="7"/>
  <c r="AK258" i="7"/>
  <c r="AJ261" i="22"/>
  <c r="AF261" i="22"/>
  <c r="AK261" i="22"/>
  <c r="AI261" i="22"/>
  <c r="AG261" i="22"/>
  <c r="AE261" i="22"/>
  <c r="AH261" i="22"/>
  <c r="AO257" i="7"/>
  <c r="AN257" i="7"/>
  <c r="AM258" i="7"/>
  <c r="AT257" i="7"/>
  <c r="AS257" i="7"/>
  <c r="AR257" i="7"/>
  <c r="AQ257" i="7"/>
  <c r="AP257" i="7"/>
  <c r="H260" i="23"/>
  <c r="Q129" i="7"/>
  <c r="R129" i="7"/>
  <c r="J260" i="23"/>
  <c r="J261" i="22"/>
  <c r="I261" i="22"/>
  <c r="S129" i="7"/>
  <c r="I260" i="23"/>
  <c r="N263" i="23"/>
  <c r="M263" i="23"/>
  <c r="O263" i="23"/>
  <c r="S263" i="23"/>
  <c r="L264" i="23"/>
  <c r="Q263" i="23"/>
  <c r="R263" i="23"/>
  <c r="P263" i="23"/>
  <c r="F261" i="23"/>
  <c r="E261" i="23"/>
  <c r="D261" i="23"/>
  <c r="C262" i="23"/>
  <c r="G261" i="23"/>
  <c r="AB261" i="23"/>
  <c r="AA261" i="23"/>
  <c r="V261" i="23"/>
  <c r="X261" i="23"/>
  <c r="W261" i="23"/>
  <c r="U262" i="23"/>
  <c r="Z261" i="23"/>
  <c r="Y261" i="23"/>
  <c r="H261" i="22"/>
  <c r="R261" i="22"/>
  <c r="L262" i="22"/>
  <c r="S261" i="22"/>
  <c r="O261" i="22"/>
  <c r="Q261" i="22"/>
  <c r="M261" i="22"/>
  <c r="N261" i="22"/>
  <c r="P261" i="22"/>
  <c r="AD262" i="22"/>
  <c r="Z262" i="22"/>
  <c r="AB262" i="22"/>
  <c r="AA262" i="22"/>
  <c r="W262" i="22"/>
  <c r="U263" i="22"/>
  <c r="V262" i="22"/>
  <c r="X262" i="22"/>
  <c r="Y262" i="22"/>
  <c r="C263" i="22"/>
  <c r="E262" i="22"/>
  <c r="F262" i="22"/>
  <c r="D262" i="22"/>
  <c r="G262" i="22"/>
  <c r="M130" i="7"/>
  <c r="N130" i="7"/>
  <c r="P130" i="7"/>
  <c r="O130" i="7"/>
  <c r="J130" i="7"/>
  <c r="X131" i="7"/>
  <c r="AB131" i="7" s="1"/>
  <c r="V131" i="7"/>
  <c r="AA131" i="7" s="1"/>
  <c r="W131" i="7"/>
  <c r="U132" i="7"/>
  <c r="Y131" i="7"/>
  <c r="D131" i="7"/>
  <c r="E131" i="7"/>
  <c r="F131" i="7"/>
  <c r="G132" i="7"/>
  <c r="I130" i="7"/>
  <c r="H130" i="7"/>
  <c r="V130" i="7"/>
  <c r="Y130" i="7"/>
  <c r="X130" i="7"/>
  <c r="Z130" i="7" s="1"/>
  <c r="Z131" i="7" s="1"/>
  <c r="W130" i="7"/>
  <c r="AA130" i="7" s="1"/>
  <c r="AB130" i="7"/>
  <c r="AS263" i="22" l="1"/>
  <c r="AT263" i="22"/>
  <c r="AQ263" i="22"/>
  <c r="AN263" i="22"/>
  <c r="AP263" i="22"/>
  <c r="AO263" i="22"/>
  <c r="AM264" i="22"/>
  <c r="AR263" i="22"/>
  <c r="AI263" i="23"/>
  <c r="AD264" i="23"/>
  <c r="AH263" i="23"/>
  <c r="AF263" i="23"/>
  <c r="AE263" i="23"/>
  <c r="AK263" i="23"/>
  <c r="AJ263" i="23"/>
  <c r="AG263" i="23"/>
  <c r="AN263" i="23"/>
  <c r="AR263" i="23"/>
  <c r="AS263" i="23"/>
  <c r="AP263" i="23"/>
  <c r="AM264" i="23"/>
  <c r="AQ263" i="23"/>
  <c r="AO263" i="23"/>
  <c r="AT263" i="23"/>
  <c r="AD260" i="7"/>
  <c r="AH259" i="7"/>
  <c r="AE259" i="7"/>
  <c r="AF259" i="7"/>
  <c r="AG259" i="7"/>
  <c r="AI259" i="7"/>
  <c r="AJ259" i="7"/>
  <c r="AK259" i="7"/>
  <c r="AK262" i="22"/>
  <c r="AE262" i="22"/>
  <c r="AJ262" i="22"/>
  <c r="AI262" i="22"/>
  <c r="AG262" i="22"/>
  <c r="AF262" i="22"/>
  <c r="AH262" i="22"/>
  <c r="AN258" i="7"/>
  <c r="AM259" i="7"/>
  <c r="AT258" i="7"/>
  <c r="AS258" i="7"/>
  <c r="AR258" i="7"/>
  <c r="AQ258" i="7"/>
  <c r="AP258" i="7"/>
  <c r="AO258" i="7"/>
  <c r="Q130" i="7"/>
  <c r="R130" i="7"/>
  <c r="H262" i="22"/>
  <c r="I262" i="22"/>
  <c r="I261" i="23"/>
  <c r="J262" i="22"/>
  <c r="J261" i="23"/>
  <c r="H261" i="23"/>
  <c r="U263" i="23"/>
  <c r="X262" i="23"/>
  <c r="W262" i="23"/>
  <c r="Z262" i="23"/>
  <c r="AB262" i="23"/>
  <c r="V262" i="23"/>
  <c r="AA262" i="23"/>
  <c r="Y262" i="23"/>
  <c r="L265" i="23"/>
  <c r="R264" i="23"/>
  <c r="S264" i="23"/>
  <c r="M264" i="23"/>
  <c r="O264" i="23"/>
  <c r="Q264" i="23"/>
  <c r="N264" i="23"/>
  <c r="P264" i="23"/>
  <c r="D262" i="23"/>
  <c r="F262" i="23"/>
  <c r="C263" i="23"/>
  <c r="E262" i="23"/>
  <c r="G262" i="23"/>
  <c r="AB263" i="22"/>
  <c r="U264" i="22"/>
  <c r="W263" i="22"/>
  <c r="V263" i="22"/>
  <c r="Z263" i="22"/>
  <c r="AA263" i="22"/>
  <c r="X263" i="22"/>
  <c r="Y263" i="22"/>
  <c r="Q262" i="22"/>
  <c r="L263" i="22"/>
  <c r="S262" i="22"/>
  <c r="R262" i="22"/>
  <c r="N262" i="22"/>
  <c r="O262" i="22"/>
  <c r="M262" i="22"/>
  <c r="P262" i="22"/>
  <c r="F263" i="22"/>
  <c r="E263" i="22"/>
  <c r="C264" i="22"/>
  <c r="D263" i="22"/>
  <c r="G263" i="22"/>
  <c r="AD263" i="22"/>
  <c r="S130" i="7"/>
  <c r="N131" i="7"/>
  <c r="P131" i="7"/>
  <c r="O131" i="7"/>
  <c r="M131" i="7"/>
  <c r="I131" i="7"/>
  <c r="H131" i="7"/>
  <c r="J131" i="7"/>
  <c r="X132" i="7"/>
  <c r="V132" i="7"/>
  <c r="W132" i="7"/>
  <c r="U133" i="7"/>
  <c r="Y132" i="7"/>
  <c r="AB132" i="7"/>
  <c r="AA132" i="7"/>
  <c r="Z132" i="7"/>
  <c r="G133" i="7"/>
  <c r="D132" i="7"/>
  <c r="E132" i="7"/>
  <c r="F132" i="7"/>
  <c r="AM265" i="22" l="1"/>
  <c r="AO264" i="22"/>
  <c r="AS264" i="22"/>
  <c r="AT264" i="22"/>
  <c r="AR264" i="22"/>
  <c r="AP264" i="22"/>
  <c r="AN264" i="22"/>
  <c r="AQ264" i="22"/>
  <c r="AD265" i="23"/>
  <c r="AJ264" i="23"/>
  <c r="AH264" i="23"/>
  <c r="AF264" i="23"/>
  <c r="AG264" i="23"/>
  <c r="AI264" i="23"/>
  <c r="AE264" i="23"/>
  <c r="AK264" i="23"/>
  <c r="AT264" i="23"/>
  <c r="AQ264" i="23"/>
  <c r="AN264" i="23"/>
  <c r="AM265" i="23"/>
  <c r="AS264" i="23"/>
  <c r="AP264" i="23"/>
  <c r="AR264" i="23"/>
  <c r="AO264" i="23"/>
  <c r="AD261" i="7"/>
  <c r="AH260" i="7"/>
  <c r="AE260" i="7"/>
  <c r="AF260" i="7"/>
  <c r="AG260" i="7"/>
  <c r="AI260" i="7"/>
  <c r="AJ260" i="7"/>
  <c r="AK260" i="7"/>
  <c r="AK263" i="22"/>
  <c r="AI263" i="22"/>
  <c r="AG263" i="22"/>
  <c r="AF263" i="22"/>
  <c r="AJ263" i="22"/>
  <c r="AE263" i="22"/>
  <c r="AH263" i="22"/>
  <c r="AN259" i="7"/>
  <c r="AM260" i="7"/>
  <c r="AT259" i="7"/>
  <c r="AS259" i="7"/>
  <c r="AR259" i="7"/>
  <c r="AQ259" i="7"/>
  <c r="AP259" i="7"/>
  <c r="AO259" i="7"/>
  <c r="Q131" i="7"/>
  <c r="H263" i="22"/>
  <c r="I132" i="7"/>
  <c r="J263" i="22"/>
  <c r="H262" i="23"/>
  <c r="I262" i="23"/>
  <c r="J262" i="23"/>
  <c r="R265" i="23"/>
  <c r="Q265" i="23"/>
  <c r="L266" i="23"/>
  <c r="N265" i="23"/>
  <c r="S265" i="23"/>
  <c r="M265" i="23"/>
  <c r="O265" i="23"/>
  <c r="P265" i="23"/>
  <c r="AA263" i="23"/>
  <c r="Z263" i="23"/>
  <c r="U264" i="23"/>
  <c r="W263" i="23"/>
  <c r="AB263" i="23"/>
  <c r="X263" i="23"/>
  <c r="V263" i="23"/>
  <c r="Y263" i="23"/>
  <c r="C264" i="23"/>
  <c r="D263" i="23"/>
  <c r="F263" i="23"/>
  <c r="E263" i="23"/>
  <c r="G263" i="23"/>
  <c r="L264" i="22"/>
  <c r="Q263" i="22"/>
  <c r="M263" i="22"/>
  <c r="S263" i="22"/>
  <c r="R263" i="22"/>
  <c r="N263" i="22"/>
  <c r="O263" i="22"/>
  <c r="P263" i="22"/>
  <c r="AD264" i="22"/>
  <c r="D264" i="22"/>
  <c r="C265" i="22"/>
  <c r="E264" i="22"/>
  <c r="F264" i="22"/>
  <c r="G264" i="22"/>
  <c r="U265" i="22"/>
  <c r="Z264" i="22"/>
  <c r="X264" i="22"/>
  <c r="W264" i="22"/>
  <c r="V264" i="22"/>
  <c r="AB264" i="22"/>
  <c r="AA264" i="22"/>
  <c r="Y264" i="22"/>
  <c r="I263" i="22"/>
  <c r="R131" i="7"/>
  <c r="S131" i="7"/>
  <c r="M132" i="7"/>
  <c r="P132" i="7"/>
  <c r="N132" i="7"/>
  <c r="O132" i="7"/>
  <c r="H132" i="7"/>
  <c r="J132" i="7"/>
  <c r="X133" i="7"/>
  <c r="Y133" i="7"/>
  <c r="U134" i="7"/>
  <c r="AB133" i="7"/>
  <c r="V133" i="7"/>
  <c r="W133" i="7"/>
  <c r="Z133" i="7"/>
  <c r="AA133" i="7"/>
  <c r="G134" i="7"/>
  <c r="D133" i="7"/>
  <c r="E133" i="7"/>
  <c r="F133" i="7"/>
  <c r="AT265" i="22" l="1"/>
  <c r="AR265" i="22"/>
  <c r="AO265" i="22"/>
  <c r="AN265" i="22"/>
  <c r="AP265" i="22"/>
  <c r="AM266" i="22"/>
  <c r="AS265" i="22"/>
  <c r="AQ265" i="22"/>
  <c r="AD266" i="23"/>
  <c r="AK265" i="23"/>
  <c r="AJ265" i="23"/>
  <c r="AI265" i="23"/>
  <c r="AH265" i="23"/>
  <c r="AG265" i="23"/>
  <c r="AF265" i="23"/>
  <c r="AE265" i="23"/>
  <c r="AM266" i="23"/>
  <c r="AT265" i="23"/>
  <c r="AS265" i="23"/>
  <c r="AR265" i="23"/>
  <c r="AQ265" i="23"/>
  <c r="AP265" i="23"/>
  <c r="AO265" i="23"/>
  <c r="AN265" i="23"/>
  <c r="AD262" i="7"/>
  <c r="AH261" i="7"/>
  <c r="AE261" i="7"/>
  <c r="AF261" i="7"/>
  <c r="AG261" i="7"/>
  <c r="AI261" i="7"/>
  <c r="AJ261" i="7"/>
  <c r="AK261" i="7"/>
  <c r="AK264" i="22"/>
  <c r="AI264" i="22"/>
  <c r="AG264" i="22"/>
  <c r="AF264" i="22"/>
  <c r="AJ264" i="22"/>
  <c r="AE264" i="22"/>
  <c r="AH264" i="22"/>
  <c r="AM261" i="7"/>
  <c r="AT260" i="7"/>
  <c r="AS260" i="7"/>
  <c r="AR260" i="7"/>
  <c r="AQ260" i="7"/>
  <c r="AP260" i="7"/>
  <c r="AO260" i="7"/>
  <c r="AN260" i="7"/>
  <c r="H264" i="22"/>
  <c r="S132" i="7"/>
  <c r="R132" i="7"/>
  <c r="I264" i="22"/>
  <c r="H263" i="23"/>
  <c r="J263" i="23"/>
  <c r="I263" i="23"/>
  <c r="C265" i="23"/>
  <c r="F264" i="23"/>
  <c r="E264" i="23"/>
  <c r="D264" i="23"/>
  <c r="G264" i="23"/>
  <c r="N266" i="23"/>
  <c r="M266" i="23"/>
  <c r="S266" i="23"/>
  <c r="R266" i="23"/>
  <c r="Q266" i="23"/>
  <c r="L267" i="23"/>
  <c r="O266" i="23"/>
  <c r="P266" i="23"/>
  <c r="W264" i="23"/>
  <c r="V264" i="23"/>
  <c r="AB264" i="23"/>
  <c r="AA264" i="23"/>
  <c r="Z264" i="23"/>
  <c r="X264" i="23"/>
  <c r="U265" i="23"/>
  <c r="Y264" i="23"/>
  <c r="J264" i="22"/>
  <c r="AD265" i="22"/>
  <c r="AA265" i="22"/>
  <c r="X265" i="22"/>
  <c r="V265" i="22"/>
  <c r="U266" i="22"/>
  <c r="AB265" i="22"/>
  <c r="Z265" i="22"/>
  <c r="W265" i="22"/>
  <c r="Y265" i="22"/>
  <c r="C266" i="22"/>
  <c r="D265" i="22"/>
  <c r="F265" i="22"/>
  <c r="E265" i="22"/>
  <c r="G265" i="22"/>
  <c r="Q264" i="22"/>
  <c r="O264" i="22"/>
  <c r="M264" i="22"/>
  <c r="R264" i="22"/>
  <c r="L265" i="22"/>
  <c r="N264" i="22"/>
  <c r="S264" i="22"/>
  <c r="P264" i="22"/>
  <c r="Q132" i="7"/>
  <c r="N133" i="7"/>
  <c r="M133" i="7"/>
  <c r="P133" i="7"/>
  <c r="O133" i="7"/>
  <c r="I133" i="7"/>
  <c r="H133" i="7"/>
  <c r="J133" i="7"/>
  <c r="X134" i="7"/>
  <c r="V134" i="7"/>
  <c r="W134" i="7"/>
  <c r="Y134" i="7"/>
  <c r="AB134" i="7"/>
  <c r="U135" i="7"/>
  <c r="Z134" i="7"/>
  <c r="AA134" i="7"/>
  <c r="D134" i="7"/>
  <c r="E134" i="7"/>
  <c r="F134" i="7"/>
  <c r="G135" i="7"/>
  <c r="AO266" i="22" l="1"/>
  <c r="AQ266" i="22"/>
  <c r="AT266" i="22"/>
  <c r="AR266" i="22"/>
  <c r="AP266" i="22"/>
  <c r="AN266" i="22"/>
  <c r="AS266" i="22"/>
  <c r="AM267" i="22"/>
  <c r="AD267" i="23"/>
  <c r="AK266" i="23"/>
  <c r="AJ266" i="23"/>
  <c r="AI266" i="23"/>
  <c r="AH266" i="23"/>
  <c r="AG266" i="23"/>
  <c r="AF266" i="23"/>
  <c r="AE266" i="23"/>
  <c r="AM267" i="23"/>
  <c r="AT266" i="23"/>
  <c r="AS266" i="23"/>
  <c r="AR266" i="23"/>
  <c r="AQ266" i="23"/>
  <c r="AP266" i="23"/>
  <c r="AO266" i="23"/>
  <c r="AN266" i="23"/>
  <c r="AD263" i="7"/>
  <c r="AH262" i="7"/>
  <c r="AE262" i="7"/>
  <c r="AF262" i="7"/>
  <c r="AG262" i="7"/>
  <c r="AI262" i="7"/>
  <c r="AJ262" i="7"/>
  <c r="AK262" i="7"/>
  <c r="AJ265" i="22"/>
  <c r="AF265" i="22"/>
  <c r="AK265" i="22"/>
  <c r="AI265" i="22"/>
  <c r="AG265" i="22"/>
  <c r="AE265" i="22"/>
  <c r="AH265" i="22"/>
  <c r="AQ261" i="7"/>
  <c r="AO261" i="7"/>
  <c r="AM262" i="7"/>
  <c r="AT261" i="7"/>
  <c r="AS261" i="7"/>
  <c r="AR261" i="7"/>
  <c r="AP261" i="7"/>
  <c r="AN261" i="7"/>
  <c r="S133" i="7"/>
  <c r="H265" i="22"/>
  <c r="Q133" i="7"/>
  <c r="R133" i="7"/>
  <c r="H264" i="23"/>
  <c r="I264" i="23"/>
  <c r="I265" i="22"/>
  <c r="J264" i="23"/>
  <c r="E265" i="23"/>
  <c r="D265" i="23"/>
  <c r="F265" i="23"/>
  <c r="C266" i="23"/>
  <c r="G265" i="23"/>
  <c r="L268" i="23"/>
  <c r="O267" i="23"/>
  <c r="N267" i="23"/>
  <c r="M267" i="23"/>
  <c r="S267" i="23"/>
  <c r="Q267" i="23"/>
  <c r="R267" i="23"/>
  <c r="P267" i="23"/>
  <c r="U266" i="23"/>
  <c r="X265" i="23"/>
  <c r="W265" i="23"/>
  <c r="V265" i="23"/>
  <c r="AA265" i="23"/>
  <c r="Z265" i="23"/>
  <c r="AB265" i="23"/>
  <c r="Y265" i="23"/>
  <c r="AB266" i="22"/>
  <c r="W266" i="22"/>
  <c r="X266" i="22"/>
  <c r="V266" i="22"/>
  <c r="AA266" i="22"/>
  <c r="Z266" i="22"/>
  <c r="U267" i="22"/>
  <c r="Y266" i="22"/>
  <c r="J265" i="22"/>
  <c r="AD266" i="22"/>
  <c r="O265" i="22"/>
  <c r="S265" i="22"/>
  <c r="N265" i="22"/>
  <c r="R265" i="22"/>
  <c r="M265" i="22"/>
  <c r="L266" i="22"/>
  <c r="Q265" i="22"/>
  <c r="P265" i="22"/>
  <c r="F266" i="22"/>
  <c r="E266" i="22"/>
  <c r="D266" i="22"/>
  <c r="C267" i="22"/>
  <c r="G266" i="22"/>
  <c r="H134" i="7"/>
  <c r="O134" i="7"/>
  <c r="N134" i="7"/>
  <c r="M134" i="7"/>
  <c r="P134" i="7"/>
  <c r="I134" i="7"/>
  <c r="X135" i="7"/>
  <c r="Y135" i="7"/>
  <c r="AB135" i="7"/>
  <c r="U136" i="7"/>
  <c r="W135" i="7"/>
  <c r="V135" i="7"/>
  <c r="Z135" i="7"/>
  <c r="AA135" i="7"/>
  <c r="G136" i="7"/>
  <c r="D135" i="7"/>
  <c r="E135" i="7"/>
  <c r="F135" i="7"/>
  <c r="J134" i="7"/>
  <c r="AP267" i="22" l="1"/>
  <c r="AS267" i="22"/>
  <c r="AT267" i="22"/>
  <c r="AO267" i="22"/>
  <c r="AM268" i="22"/>
  <c r="AQ267" i="22"/>
  <c r="AR267" i="22"/>
  <c r="AN267" i="22"/>
  <c r="AD268" i="23"/>
  <c r="AK267" i="23"/>
  <c r="AJ267" i="23"/>
  <c r="AI267" i="23"/>
  <c r="AF267" i="23"/>
  <c r="AH267" i="23"/>
  <c r="AG267" i="23"/>
  <c r="AE267" i="23"/>
  <c r="AQ267" i="23"/>
  <c r="AO267" i="23"/>
  <c r="AM268" i="23"/>
  <c r="AT267" i="23"/>
  <c r="AS267" i="23"/>
  <c r="AR267" i="23"/>
  <c r="AP267" i="23"/>
  <c r="AN267" i="23"/>
  <c r="AD264" i="7"/>
  <c r="AH263" i="7"/>
  <c r="AE263" i="7"/>
  <c r="AF263" i="7"/>
  <c r="AG263" i="7"/>
  <c r="AI263" i="7"/>
  <c r="AJ263" i="7"/>
  <c r="AK263" i="7"/>
  <c r="AJ266" i="22"/>
  <c r="AI266" i="22"/>
  <c r="AG266" i="22"/>
  <c r="AE266" i="22"/>
  <c r="AK266" i="22"/>
  <c r="AF266" i="22"/>
  <c r="AH266" i="22"/>
  <c r="AO262" i="7"/>
  <c r="AN262" i="7"/>
  <c r="AM263" i="7"/>
  <c r="AT262" i="7"/>
  <c r="AS262" i="7"/>
  <c r="AR262" i="7"/>
  <c r="AQ262" i="7"/>
  <c r="AP262" i="7"/>
  <c r="Q134" i="7"/>
  <c r="S134" i="7"/>
  <c r="R134" i="7"/>
  <c r="H265" i="23"/>
  <c r="I265" i="23"/>
  <c r="H135" i="7"/>
  <c r="J265" i="23"/>
  <c r="I266" i="22"/>
  <c r="J266" i="22"/>
  <c r="AA266" i="23"/>
  <c r="Z266" i="23"/>
  <c r="U267" i="23"/>
  <c r="AB266" i="23"/>
  <c r="X266" i="23"/>
  <c r="W266" i="23"/>
  <c r="V266" i="23"/>
  <c r="Y266" i="23"/>
  <c r="R268" i="23"/>
  <c r="Q268" i="23"/>
  <c r="L269" i="23"/>
  <c r="N268" i="23"/>
  <c r="S268" i="23"/>
  <c r="M268" i="23"/>
  <c r="O268" i="23"/>
  <c r="P268" i="23"/>
  <c r="C267" i="23"/>
  <c r="F266" i="23"/>
  <c r="D266" i="23"/>
  <c r="E266" i="23"/>
  <c r="G266" i="23"/>
  <c r="U268" i="22"/>
  <c r="AB267" i="22"/>
  <c r="Z267" i="22"/>
  <c r="X267" i="22"/>
  <c r="AA267" i="22"/>
  <c r="V267" i="22"/>
  <c r="W267" i="22"/>
  <c r="Y267" i="22"/>
  <c r="AD267" i="22"/>
  <c r="H266" i="22"/>
  <c r="L267" i="22"/>
  <c r="N266" i="22"/>
  <c r="R266" i="22"/>
  <c r="S266" i="22"/>
  <c r="O266" i="22"/>
  <c r="Q266" i="22"/>
  <c r="M266" i="22"/>
  <c r="P266" i="22"/>
  <c r="C268" i="22"/>
  <c r="E267" i="22"/>
  <c r="D267" i="22"/>
  <c r="F267" i="22"/>
  <c r="G267" i="22"/>
  <c r="N135" i="7"/>
  <c r="M135" i="7"/>
  <c r="P135" i="7"/>
  <c r="O135" i="7"/>
  <c r="J135" i="7"/>
  <c r="G137" i="7"/>
  <c r="D136" i="7"/>
  <c r="E136" i="7"/>
  <c r="F136" i="7"/>
  <c r="I135" i="7"/>
  <c r="X136" i="7"/>
  <c r="V136" i="7"/>
  <c r="W136" i="7"/>
  <c r="U137" i="7"/>
  <c r="Y136" i="7"/>
  <c r="AB136" i="7"/>
  <c r="Z136" i="7"/>
  <c r="AA136" i="7"/>
  <c r="AQ268" i="22" l="1"/>
  <c r="AO268" i="22"/>
  <c r="AR268" i="22"/>
  <c r="AS268" i="22"/>
  <c r="AT268" i="22"/>
  <c r="AN268" i="22"/>
  <c r="AM269" i="22"/>
  <c r="AP268" i="22"/>
  <c r="AK268" i="23"/>
  <c r="AG268" i="23"/>
  <c r="AD269" i="23"/>
  <c r="AH268" i="23"/>
  <c r="AF268" i="23"/>
  <c r="AE268" i="23"/>
  <c r="AJ268" i="23"/>
  <c r="AI268" i="23"/>
  <c r="AP268" i="23"/>
  <c r="AM269" i="23"/>
  <c r="AT268" i="23"/>
  <c r="AS268" i="23"/>
  <c r="AR268" i="23"/>
  <c r="AO268" i="23"/>
  <c r="AQ268" i="23"/>
  <c r="AN268" i="23"/>
  <c r="AD265" i="7"/>
  <c r="AH264" i="7"/>
  <c r="AE264" i="7"/>
  <c r="AF264" i="7"/>
  <c r="AG264" i="7"/>
  <c r="AI264" i="7"/>
  <c r="AJ264" i="7"/>
  <c r="AK264" i="7"/>
  <c r="AI267" i="22"/>
  <c r="AG267" i="22"/>
  <c r="AF267" i="22"/>
  <c r="AE267" i="22"/>
  <c r="AK267" i="22"/>
  <c r="AJ267" i="22"/>
  <c r="AH267" i="22"/>
  <c r="AN263" i="7"/>
  <c r="AM264" i="7"/>
  <c r="AT263" i="7"/>
  <c r="AS263" i="7"/>
  <c r="AR263" i="7"/>
  <c r="AQ263" i="7"/>
  <c r="AP263" i="7"/>
  <c r="AO263" i="7"/>
  <c r="Q135" i="7"/>
  <c r="H266" i="23"/>
  <c r="R135" i="7"/>
  <c r="I266" i="23"/>
  <c r="J266" i="23"/>
  <c r="J267" i="22"/>
  <c r="I267" i="22"/>
  <c r="C268" i="23"/>
  <c r="E267" i="23"/>
  <c r="F267" i="23"/>
  <c r="D267" i="23"/>
  <c r="G267" i="23"/>
  <c r="N269" i="23"/>
  <c r="M269" i="23"/>
  <c r="Q269" i="23"/>
  <c r="O269" i="23"/>
  <c r="S269" i="23"/>
  <c r="L270" i="23"/>
  <c r="R269" i="23"/>
  <c r="P269" i="23"/>
  <c r="W267" i="23"/>
  <c r="V267" i="23"/>
  <c r="Z267" i="23"/>
  <c r="AA267" i="23"/>
  <c r="U268" i="23"/>
  <c r="AB267" i="23"/>
  <c r="X267" i="23"/>
  <c r="Y267" i="23"/>
  <c r="AD268" i="22"/>
  <c r="C269" i="22"/>
  <c r="D268" i="22"/>
  <c r="F268" i="22"/>
  <c r="E268" i="22"/>
  <c r="G268" i="22"/>
  <c r="H267" i="22"/>
  <c r="N267" i="22"/>
  <c r="O267" i="22"/>
  <c r="M267" i="22"/>
  <c r="R267" i="22"/>
  <c r="Q267" i="22"/>
  <c r="L268" i="22"/>
  <c r="S267" i="22"/>
  <c r="P267" i="22"/>
  <c r="AA268" i="22"/>
  <c r="V268" i="22"/>
  <c r="AB268" i="22"/>
  <c r="X268" i="22"/>
  <c r="U269" i="22"/>
  <c r="W268" i="22"/>
  <c r="Z268" i="22"/>
  <c r="Y268" i="22"/>
  <c r="J136" i="7"/>
  <c r="I136" i="7"/>
  <c r="S135" i="7"/>
  <c r="N136" i="7"/>
  <c r="O136" i="7"/>
  <c r="M136" i="7"/>
  <c r="P136" i="7"/>
  <c r="H136" i="7"/>
  <c r="D137" i="7"/>
  <c r="E137" i="7"/>
  <c r="F137" i="7"/>
  <c r="G138" i="7"/>
  <c r="X137" i="7"/>
  <c r="V137" i="7"/>
  <c r="W137" i="7"/>
  <c r="U138" i="7"/>
  <c r="Y137" i="7"/>
  <c r="AB137" i="7"/>
  <c r="Z137" i="7"/>
  <c r="AA137" i="7"/>
  <c r="AT269" i="22" l="1"/>
  <c r="AR269" i="22"/>
  <c r="AQ269" i="22"/>
  <c r="AN269" i="22"/>
  <c r="AM270" i="22"/>
  <c r="AO269" i="22"/>
  <c r="AS269" i="22"/>
  <c r="AP269" i="22"/>
  <c r="AD270" i="23"/>
  <c r="AK269" i="23"/>
  <c r="AJ269" i="23"/>
  <c r="AI269" i="23"/>
  <c r="AH269" i="23"/>
  <c r="AG269" i="23"/>
  <c r="AF269" i="23"/>
  <c r="AE269" i="23"/>
  <c r="AM270" i="23"/>
  <c r="AT269" i="23"/>
  <c r="AS269" i="23"/>
  <c r="AR269" i="23"/>
  <c r="AQ269" i="23"/>
  <c r="AP269" i="23"/>
  <c r="AO269" i="23"/>
  <c r="AN269" i="23"/>
  <c r="AD266" i="7"/>
  <c r="AH265" i="7"/>
  <c r="AE265" i="7"/>
  <c r="AF265" i="7"/>
  <c r="AG265" i="7"/>
  <c r="AI265" i="7"/>
  <c r="AJ265" i="7"/>
  <c r="AK265" i="7"/>
  <c r="AJ268" i="22"/>
  <c r="AF268" i="22"/>
  <c r="AE268" i="22"/>
  <c r="AK268" i="22"/>
  <c r="AI268" i="22"/>
  <c r="AG268" i="22"/>
  <c r="AH268" i="22"/>
  <c r="AM265" i="7"/>
  <c r="AT264" i="7"/>
  <c r="AS264" i="7"/>
  <c r="AR264" i="7"/>
  <c r="AN264" i="7"/>
  <c r="AQ264" i="7"/>
  <c r="AO264" i="7"/>
  <c r="AP264" i="7"/>
  <c r="H267" i="23"/>
  <c r="R136" i="7"/>
  <c r="S136" i="7"/>
  <c r="J268" i="22"/>
  <c r="J267" i="23"/>
  <c r="I268" i="22"/>
  <c r="I267" i="23"/>
  <c r="E268" i="23"/>
  <c r="D268" i="23"/>
  <c r="C269" i="23"/>
  <c r="F268" i="23"/>
  <c r="G268" i="23"/>
  <c r="U269" i="23"/>
  <c r="AB268" i="23"/>
  <c r="AA268" i="23"/>
  <c r="V268" i="23"/>
  <c r="Z268" i="23"/>
  <c r="X268" i="23"/>
  <c r="W268" i="23"/>
  <c r="Y268" i="23"/>
  <c r="S270" i="23"/>
  <c r="L271" i="23"/>
  <c r="R270" i="23"/>
  <c r="M270" i="23"/>
  <c r="N270" i="23"/>
  <c r="Q270" i="23"/>
  <c r="O270" i="23"/>
  <c r="P270" i="23"/>
  <c r="L269" i="22"/>
  <c r="M268" i="22"/>
  <c r="N268" i="22"/>
  <c r="S268" i="22"/>
  <c r="R268" i="22"/>
  <c r="Q268" i="22"/>
  <c r="O268" i="22"/>
  <c r="P268" i="22"/>
  <c r="H268" i="22"/>
  <c r="C270" i="22"/>
  <c r="F269" i="22"/>
  <c r="E269" i="22"/>
  <c r="D269" i="22"/>
  <c r="G269" i="22"/>
  <c r="Z269" i="22"/>
  <c r="U270" i="22"/>
  <c r="AB269" i="22"/>
  <c r="AA269" i="22"/>
  <c r="W269" i="22"/>
  <c r="X269" i="22"/>
  <c r="V269" i="22"/>
  <c r="Y269" i="22"/>
  <c r="AD269" i="22"/>
  <c r="Q136" i="7"/>
  <c r="P137" i="7"/>
  <c r="M137" i="7"/>
  <c r="O137" i="7"/>
  <c r="N137" i="7"/>
  <c r="J137" i="7"/>
  <c r="I137" i="7"/>
  <c r="H137" i="7"/>
  <c r="Z138" i="7"/>
  <c r="V138" i="7"/>
  <c r="W138" i="7"/>
  <c r="AB138" i="7"/>
  <c r="X138" i="7"/>
  <c r="Y138" i="7"/>
  <c r="U139" i="7"/>
  <c r="AA138" i="7"/>
  <c r="G139" i="7"/>
  <c r="D138" i="7"/>
  <c r="E138" i="7"/>
  <c r="F138" i="7"/>
  <c r="AR270" i="22" l="1"/>
  <c r="AT270" i="22"/>
  <c r="AQ270" i="22"/>
  <c r="AN270" i="22"/>
  <c r="AP270" i="22"/>
  <c r="AM271" i="22"/>
  <c r="AS270" i="22"/>
  <c r="AO270" i="22"/>
  <c r="AD271" i="23"/>
  <c r="AK270" i="23"/>
  <c r="AJ270" i="23"/>
  <c r="AI270" i="23"/>
  <c r="AH270" i="23"/>
  <c r="AG270" i="23"/>
  <c r="AF270" i="23"/>
  <c r="AE270" i="23"/>
  <c r="AM271" i="23"/>
  <c r="AT270" i="23"/>
  <c r="AS270" i="23"/>
  <c r="AR270" i="23"/>
  <c r="AQ270" i="23"/>
  <c r="AP270" i="23"/>
  <c r="AO270" i="23"/>
  <c r="AN270" i="23"/>
  <c r="AD267" i="7"/>
  <c r="AH266" i="7"/>
  <c r="AE266" i="7"/>
  <c r="AF266" i="7"/>
  <c r="AG266" i="7"/>
  <c r="AI266" i="7"/>
  <c r="AJ266" i="7"/>
  <c r="AK266" i="7"/>
  <c r="AK269" i="22"/>
  <c r="AJ269" i="22"/>
  <c r="AI269" i="22"/>
  <c r="AG269" i="22"/>
  <c r="AF269" i="22"/>
  <c r="AE269" i="22"/>
  <c r="AH269" i="22"/>
  <c r="AT265" i="7"/>
  <c r="AR265" i="7"/>
  <c r="AQ265" i="7"/>
  <c r="AP265" i="7"/>
  <c r="AO265" i="7"/>
  <c r="AN265" i="7"/>
  <c r="AS265" i="7"/>
  <c r="AM266" i="7"/>
  <c r="S137" i="7"/>
  <c r="Q137" i="7"/>
  <c r="R137" i="7"/>
  <c r="J268" i="23"/>
  <c r="I269" i="22"/>
  <c r="I268" i="23"/>
  <c r="J269" i="22"/>
  <c r="H268" i="23"/>
  <c r="R271" i="23"/>
  <c r="Q271" i="23"/>
  <c r="L272" i="23"/>
  <c r="O271" i="23"/>
  <c r="M271" i="23"/>
  <c r="S271" i="23"/>
  <c r="N271" i="23"/>
  <c r="P271" i="23"/>
  <c r="C270" i="23"/>
  <c r="F269" i="23"/>
  <c r="E269" i="23"/>
  <c r="D269" i="23"/>
  <c r="G269" i="23"/>
  <c r="AA269" i="23"/>
  <c r="Z269" i="23"/>
  <c r="U270" i="23"/>
  <c r="AB269" i="23"/>
  <c r="X269" i="23"/>
  <c r="W269" i="23"/>
  <c r="V269" i="23"/>
  <c r="Y269" i="23"/>
  <c r="AD270" i="22"/>
  <c r="F270" i="22"/>
  <c r="E270" i="22"/>
  <c r="D270" i="22"/>
  <c r="C271" i="22"/>
  <c r="G270" i="22"/>
  <c r="H269" i="22"/>
  <c r="U271" i="22"/>
  <c r="Z270" i="22"/>
  <c r="V270" i="22"/>
  <c r="AA270" i="22"/>
  <c r="X270" i="22"/>
  <c r="W270" i="22"/>
  <c r="AB270" i="22"/>
  <c r="Y270" i="22"/>
  <c r="L270" i="22"/>
  <c r="Q269" i="22"/>
  <c r="R269" i="22"/>
  <c r="O269" i="22"/>
  <c r="S269" i="22"/>
  <c r="N269" i="22"/>
  <c r="M269" i="22"/>
  <c r="P269" i="22"/>
  <c r="O138" i="7"/>
  <c r="M138" i="7"/>
  <c r="N138" i="7"/>
  <c r="P138" i="7"/>
  <c r="I138" i="7"/>
  <c r="J138" i="7"/>
  <c r="H138" i="7"/>
  <c r="G140" i="7"/>
  <c r="D139" i="7"/>
  <c r="E139" i="7"/>
  <c r="F139" i="7"/>
  <c r="Z139" i="7"/>
  <c r="W139" i="7"/>
  <c r="U140" i="7"/>
  <c r="Y139" i="7"/>
  <c r="V139" i="7"/>
  <c r="X139" i="7"/>
  <c r="AB139" i="7"/>
  <c r="AA139" i="7"/>
  <c r="AP271" i="22" l="1"/>
  <c r="AT271" i="22"/>
  <c r="AQ271" i="22"/>
  <c r="AO271" i="22"/>
  <c r="AM272" i="22"/>
  <c r="AS271" i="22"/>
  <c r="AR271" i="22"/>
  <c r="AN271" i="22"/>
  <c r="AJ271" i="23"/>
  <c r="AK271" i="23"/>
  <c r="AH271" i="23"/>
  <c r="AF271" i="23"/>
  <c r="AI271" i="23"/>
  <c r="AG271" i="23"/>
  <c r="AE271" i="23"/>
  <c r="AD272" i="23"/>
  <c r="AP271" i="23"/>
  <c r="AT271" i="23"/>
  <c r="AQ271" i="23"/>
  <c r="AN271" i="23"/>
  <c r="AM272" i="23"/>
  <c r="AS271" i="23"/>
  <c r="AR271" i="23"/>
  <c r="AO271" i="23"/>
  <c r="AD268" i="7"/>
  <c r="AH267" i="7"/>
  <c r="AE267" i="7"/>
  <c r="AF267" i="7"/>
  <c r="AG267" i="7"/>
  <c r="AI267" i="7"/>
  <c r="AJ267" i="7"/>
  <c r="AK267" i="7"/>
  <c r="AK270" i="22"/>
  <c r="AJ270" i="22"/>
  <c r="AI270" i="22"/>
  <c r="AG270" i="22"/>
  <c r="AF270" i="22"/>
  <c r="AE270" i="22"/>
  <c r="AH270" i="22"/>
  <c r="AR266" i="7"/>
  <c r="AM267" i="7"/>
  <c r="AT266" i="7"/>
  <c r="AS266" i="7"/>
  <c r="AQ266" i="7"/>
  <c r="AP266" i="7"/>
  <c r="AO266" i="7"/>
  <c r="AN266" i="7"/>
  <c r="Q138" i="7"/>
  <c r="S138" i="7"/>
  <c r="R138" i="7"/>
  <c r="H270" i="22"/>
  <c r="H269" i="23"/>
  <c r="J269" i="23"/>
  <c r="I270" i="22"/>
  <c r="I269" i="23"/>
  <c r="J270" i="22"/>
  <c r="W270" i="23"/>
  <c r="V270" i="23"/>
  <c r="X270" i="23"/>
  <c r="U271" i="23"/>
  <c r="AB270" i="23"/>
  <c r="AA270" i="23"/>
  <c r="Z270" i="23"/>
  <c r="Y270" i="23"/>
  <c r="N272" i="23"/>
  <c r="M272" i="23"/>
  <c r="S272" i="23"/>
  <c r="R272" i="23"/>
  <c r="Q272" i="23"/>
  <c r="O272" i="23"/>
  <c r="L273" i="23"/>
  <c r="P272" i="23"/>
  <c r="C271" i="23"/>
  <c r="F270" i="23"/>
  <c r="E270" i="23"/>
  <c r="D270" i="23"/>
  <c r="G270" i="23"/>
  <c r="S270" i="22"/>
  <c r="Q270" i="22"/>
  <c r="O270" i="22"/>
  <c r="N270" i="22"/>
  <c r="R270" i="22"/>
  <c r="L271" i="22"/>
  <c r="M270" i="22"/>
  <c r="P270" i="22"/>
  <c r="AD271" i="22"/>
  <c r="Z271" i="22"/>
  <c r="X271" i="22"/>
  <c r="W271" i="22"/>
  <c r="U272" i="22"/>
  <c r="V271" i="22"/>
  <c r="AB271" i="22"/>
  <c r="AA271" i="22"/>
  <c r="Y271" i="22"/>
  <c r="C272" i="22"/>
  <c r="F271" i="22"/>
  <c r="E271" i="22"/>
  <c r="D271" i="22"/>
  <c r="G271" i="22"/>
  <c r="M139" i="7"/>
  <c r="P139" i="7"/>
  <c r="O139" i="7"/>
  <c r="N139" i="7"/>
  <c r="I139" i="7"/>
  <c r="H139" i="7"/>
  <c r="J139" i="7"/>
  <c r="Z140" i="7"/>
  <c r="X140" i="7"/>
  <c r="U141" i="7"/>
  <c r="Y140" i="7"/>
  <c r="AB140" i="7"/>
  <c r="V140" i="7"/>
  <c r="W140" i="7"/>
  <c r="AA140" i="7"/>
  <c r="D140" i="7"/>
  <c r="E140" i="7"/>
  <c r="F140" i="7"/>
  <c r="G141" i="7"/>
  <c r="AT272" i="22" l="1"/>
  <c r="AQ272" i="22"/>
  <c r="AP272" i="22"/>
  <c r="AO272" i="22"/>
  <c r="AN272" i="22"/>
  <c r="AM273" i="22"/>
  <c r="AS272" i="22"/>
  <c r="AR272" i="22"/>
  <c r="AD273" i="23"/>
  <c r="AK272" i="23"/>
  <c r="AJ272" i="23"/>
  <c r="AH272" i="23"/>
  <c r="AG272" i="23"/>
  <c r="AF272" i="23"/>
  <c r="AE272" i="23"/>
  <c r="AI272" i="23"/>
  <c r="AM273" i="23"/>
  <c r="AT272" i="23"/>
  <c r="AS272" i="23"/>
  <c r="AR272" i="23"/>
  <c r="AQ272" i="23"/>
  <c r="AP272" i="23"/>
  <c r="AO272" i="23"/>
  <c r="AN272" i="23"/>
  <c r="AD269" i="7"/>
  <c r="AH268" i="7"/>
  <c r="AE268" i="7"/>
  <c r="AF268" i="7"/>
  <c r="AG268" i="7"/>
  <c r="AI268" i="7"/>
  <c r="AJ268" i="7"/>
  <c r="AK268" i="7"/>
  <c r="AK271" i="22"/>
  <c r="AJ271" i="22"/>
  <c r="AI271" i="22"/>
  <c r="AG271" i="22"/>
  <c r="AF271" i="22"/>
  <c r="AE271" i="22"/>
  <c r="AH271" i="22"/>
  <c r="AM268" i="7"/>
  <c r="AT267" i="7"/>
  <c r="AS267" i="7"/>
  <c r="AR267" i="7"/>
  <c r="AQ267" i="7"/>
  <c r="AP267" i="7"/>
  <c r="AO267" i="7"/>
  <c r="AN267" i="7"/>
  <c r="S139" i="7"/>
  <c r="R139" i="7"/>
  <c r="H270" i="23"/>
  <c r="J271" i="22"/>
  <c r="I271" i="22"/>
  <c r="I270" i="23"/>
  <c r="H271" i="22"/>
  <c r="AB271" i="23"/>
  <c r="U272" i="23"/>
  <c r="X271" i="23"/>
  <c r="W271" i="23"/>
  <c r="V271" i="23"/>
  <c r="Z271" i="23"/>
  <c r="AA271" i="23"/>
  <c r="Y271" i="23"/>
  <c r="S273" i="23"/>
  <c r="L274" i="23"/>
  <c r="O273" i="23"/>
  <c r="Q273" i="23"/>
  <c r="R273" i="23"/>
  <c r="N273" i="23"/>
  <c r="M273" i="23"/>
  <c r="P273" i="23"/>
  <c r="J270" i="23"/>
  <c r="E271" i="23"/>
  <c r="D271" i="23"/>
  <c r="C272" i="23"/>
  <c r="F271" i="23"/>
  <c r="G271" i="23"/>
  <c r="D272" i="22"/>
  <c r="C273" i="22"/>
  <c r="E272" i="22"/>
  <c r="F272" i="22"/>
  <c r="G272" i="22"/>
  <c r="L272" i="22"/>
  <c r="S271" i="22"/>
  <c r="Q271" i="22"/>
  <c r="M271" i="22"/>
  <c r="N271" i="22"/>
  <c r="R271" i="22"/>
  <c r="O271" i="22"/>
  <c r="P271" i="22"/>
  <c r="X272" i="22"/>
  <c r="AB272" i="22"/>
  <c r="AA272" i="22"/>
  <c r="Z272" i="22"/>
  <c r="W272" i="22"/>
  <c r="V272" i="22"/>
  <c r="U273" i="22"/>
  <c r="Y272" i="22"/>
  <c r="AD272" i="22"/>
  <c r="Q139" i="7"/>
  <c r="N140" i="7"/>
  <c r="M140" i="7"/>
  <c r="O140" i="7"/>
  <c r="P140" i="7"/>
  <c r="I140" i="7"/>
  <c r="H140" i="7"/>
  <c r="J140" i="7"/>
  <c r="G142" i="7"/>
  <c r="D141" i="7"/>
  <c r="E141" i="7"/>
  <c r="F141" i="7"/>
  <c r="Z141" i="7"/>
  <c r="V141" i="7"/>
  <c r="W141" i="7"/>
  <c r="X141" i="7"/>
  <c r="U142" i="7"/>
  <c r="Y141" i="7"/>
  <c r="AB141" i="7"/>
  <c r="AA141" i="7"/>
  <c r="AM274" i="22" l="1"/>
  <c r="AT273" i="22"/>
  <c r="AS273" i="22"/>
  <c r="AR273" i="22"/>
  <c r="AQ273" i="22"/>
  <c r="AP273" i="22"/>
  <c r="AO273" i="22"/>
  <c r="AN273" i="22"/>
  <c r="AD274" i="23"/>
  <c r="AK273" i="23"/>
  <c r="AJ273" i="23"/>
  <c r="AI273" i="23"/>
  <c r="AH273" i="23"/>
  <c r="AG273" i="23"/>
  <c r="AF273" i="23"/>
  <c r="AE273" i="23"/>
  <c r="AM274" i="23"/>
  <c r="AT273" i="23"/>
  <c r="AS273" i="23"/>
  <c r="AR273" i="23"/>
  <c r="AQ273" i="23"/>
  <c r="AP273" i="23"/>
  <c r="AO273" i="23"/>
  <c r="AN273" i="23"/>
  <c r="AD270" i="7"/>
  <c r="AH269" i="7"/>
  <c r="AE269" i="7"/>
  <c r="AF269" i="7"/>
  <c r="AG269" i="7"/>
  <c r="AI269" i="7"/>
  <c r="AJ269" i="7"/>
  <c r="AK269" i="7"/>
  <c r="AK272" i="22"/>
  <c r="AJ272" i="22"/>
  <c r="AI272" i="22"/>
  <c r="AG272" i="22"/>
  <c r="AF272" i="22"/>
  <c r="AE272" i="22"/>
  <c r="AH272" i="22"/>
  <c r="AT268" i="7"/>
  <c r="AS268" i="7"/>
  <c r="AR268" i="7"/>
  <c r="AO268" i="7"/>
  <c r="AN268" i="7"/>
  <c r="AQ268" i="7"/>
  <c r="AP268" i="7"/>
  <c r="AM269" i="7"/>
  <c r="R140" i="7"/>
  <c r="S140" i="7"/>
  <c r="J272" i="22"/>
  <c r="I141" i="7"/>
  <c r="I272" i="22"/>
  <c r="I271" i="23"/>
  <c r="J271" i="23"/>
  <c r="C273" i="23"/>
  <c r="D272" i="23"/>
  <c r="F272" i="23"/>
  <c r="E272" i="23"/>
  <c r="G272" i="23"/>
  <c r="R274" i="23"/>
  <c r="Q274" i="23"/>
  <c r="L275" i="23"/>
  <c r="O274" i="23"/>
  <c r="S274" i="23"/>
  <c r="N274" i="23"/>
  <c r="M274" i="23"/>
  <c r="P274" i="23"/>
  <c r="AA272" i="23"/>
  <c r="Z272" i="23"/>
  <c r="U273" i="23"/>
  <c r="X272" i="23"/>
  <c r="AB272" i="23"/>
  <c r="W272" i="23"/>
  <c r="V272" i="23"/>
  <c r="Y272" i="23"/>
  <c r="H271" i="23"/>
  <c r="L273" i="22"/>
  <c r="M272" i="22"/>
  <c r="S272" i="22"/>
  <c r="O272" i="22"/>
  <c r="R272" i="22"/>
  <c r="Q272" i="22"/>
  <c r="N272" i="22"/>
  <c r="P272" i="22"/>
  <c r="AD273" i="22"/>
  <c r="H272" i="22"/>
  <c r="U274" i="22"/>
  <c r="W273" i="22"/>
  <c r="X273" i="22"/>
  <c r="V273" i="22"/>
  <c r="AB273" i="22"/>
  <c r="AA273" i="22"/>
  <c r="Z273" i="22"/>
  <c r="Y273" i="22"/>
  <c r="C274" i="22"/>
  <c r="D273" i="22"/>
  <c r="F273" i="22"/>
  <c r="E273" i="22"/>
  <c r="G273" i="22"/>
  <c r="Q140" i="7"/>
  <c r="H141" i="7"/>
  <c r="P141" i="7"/>
  <c r="M141" i="7"/>
  <c r="N141" i="7"/>
  <c r="O141" i="7"/>
  <c r="Z142" i="7"/>
  <c r="V142" i="7"/>
  <c r="W142" i="7"/>
  <c r="U143" i="7"/>
  <c r="AB142" i="7"/>
  <c r="X142" i="7"/>
  <c r="Y142" i="7"/>
  <c r="AA142" i="7"/>
  <c r="G143" i="7"/>
  <c r="D142" i="7"/>
  <c r="E142" i="7"/>
  <c r="F142" i="7"/>
  <c r="J141" i="7"/>
  <c r="AM275" i="22" l="1"/>
  <c r="AT274" i="22"/>
  <c r="AS274" i="22"/>
  <c r="AR274" i="22"/>
  <c r="AQ274" i="22"/>
  <c r="AP274" i="22"/>
  <c r="AO274" i="22"/>
  <c r="AN274" i="22"/>
  <c r="AD275" i="23"/>
  <c r="AK274" i="23"/>
  <c r="AJ274" i="23"/>
  <c r="AI274" i="23"/>
  <c r="AH274" i="23"/>
  <c r="AG274" i="23"/>
  <c r="AF274" i="23"/>
  <c r="AE274" i="23"/>
  <c r="AM275" i="23"/>
  <c r="AT274" i="23"/>
  <c r="AS274" i="23"/>
  <c r="AR274" i="23"/>
  <c r="AQ274" i="23"/>
  <c r="AP274" i="23"/>
  <c r="AO274" i="23"/>
  <c r="AN274" i="23"/>
  <c r="AD271" i="7"/>
  <c r="AH270" i="7"/>
  <c r="AE270" i="7"/>
  <c r="AF270" i="7"/>
  <c r="AG270" i="7"/>
  <c r="AI270" i="7"/>
  <c r="AJ270" i="7"/>
  <c r="AK270" i="7"/>
  <c r="AK273" i="22"/>
  <c r="AJ273" i="22"/>
  <c r="AI273" i="22"/>
  <c r="AG273" i="22"/>
  <c r="AF273" i="22"/>
  <c r="AE273" i="22"/>
  <c r="AH273" i="22"/>
  <c r="AT269" i="7"/>
  <c r="AM270" i="7"/>
  <c r="AS269" i="7"/>
  <c r="AR269" i="7"/>
  <c r="AQ269" i="7"/>
  <c r="AP269" i="7"/>
  <c r="AO269" i="7"/>
  <c r="AN269" i="7"/>
  <c r="S141" i="7"/>
  <c r="Q141" i="7"/>
  <c r="R141" i="7"/>
  <c r="I272" i="23"/>
  <c r="I273" i="22"/>
  <c r="H273" i="22"/>
  <c r="J272" i="23"/>
  <c r="I142" i="7"/>
  <c r="J273" i="22"/>
  <c r="H142" i="7"/>
  <c r="H272" i="23"/>
  <c r="N275" i="23"/>
  <c r="M275" i="23"/>
  <c r="R275" i="23"/>
  <c r="O275" i="23"/>
  <c r="L276" i="23"/>
  <c r="S275" i="23"/>
  <c r="Q275" i="23"/>
  <c r="P275" i="23"/>
  <c r="C274" i="23"/>
  <c r="F273" i="23"/>
  <c r="D273" i="23"/>
  <c r="E273" i="23"/>
  <c r="G273" i="23"/>
  <c r="W273" i="23"/>
  <c r="V273" i="23"/>
  <c r="AA273" i="23"/>
  <c r="Z273" i="23"/>
  <c r="U274" i="23"/>
  <c r="AB273" i="23"/>
  <c r="X273" i="23"/>
  <c r="Y273" i="23"/>
  <c r="C275" i="22"/>
  <c r="F274" i="22"/>
  <c r="E274" i="22"/>
  <c r="D274" i="22"/>
  <c r="G274" i="22"/>
  <c r="AD274" i="22"/>
  <c r="W274" i="22"/>
  <c r="U275" i="22"/>
  <c r="Z274" i="22"/>
  <c r="AA274" i="22"/>
  <c r="AB274" i="22"/>
  <c r="X274" i="22"/>
  <c r="V274" i="22"/>
  <c r="Y274" i="22"/>
  <c r="O273" i="22"/>
  <c r="N273" i="22"/>
  <c r="S273" i="22"/>
  <c r="R273" i="22"/>
  <c r="M273" i="22"/>
  <c r="L274" i="22"/>
  <c r="Q273" i="22"/>
  <c r="P273" i="22"/>
  <c r="M142" i="7"/>
  <c r="O142" i="7"/>
  <c r="N142" i="7"/>
  <c r="P142" i="7"/>
  <c r="D143" i="7"/>
  <c r="E143" i="7"/>
  <c r="F143" i="7"/>
  <c r="G144" i="7"/>
  <c r="Z143" i="7"/>
  <c r="X143" i="7"/>
  <c r="Y143" i="7"/>
  <c r="U144" i="7"/>
  <c r="V143" i="7"/>
  <c r="W143" i="7"/>
  <c r="AB143" i="7"/>
  <c r="AA143" i="7"/>
  <c r="J142" i="7"/>
  <c r="AQ275" i="22" l="1"/>
  <c r="AO275" i="22"/>
  <c r="AP275" i="22"/>
  <c r="AN275" i="22"/>
  <c r="AM276" i="22"/>
  <c r="AT275" i="22"/>
  <c r="AS275" i="22"/>
  <c r="AR275" i="22"/>
  <c r="AJ275" i="23"/>
  <c r="AE275" i="23"/>
  <c r="AD276" i="23"/>
  <c r="AH275" i="23"/>
  <c r="AF275" i="23"/>
  <c r="AK275" i="23"/>
  <c r="AI275" i="23"/>
  <c r="AG275" i="23"/>
  <c r="AN275" i="23"/>
  <c r="AM276" i="23"/>
  <c r="AS275" i="23"/>
  <c r="AP275" i="23"/>
  <c r="AT275" i="23"/>
  <c r="AR275" i="23"/>
  <c r="AO275" i="23"/>
  <c r="AQ275" i="23"/>
  <c r="AD272" i="7"/>
  <c r="AH271" i="7"/>
  <c r="AE271" i="7"/>
  <c r="AF271" i="7"/>
  <c r="AG271" i="7"/>
  <c r="AI271" i="7"/>
  <c r="AJ271" i="7"/>
  <c r="AK271" i="7"/>
  <c r="AK274" i="22"/>
  <c r="AJ274" i="22"/>
  <c r="AI274" i="22"/>
  <c r="AG274" i="22"/>
  <c r="AF274" i="22"/>
  <c r="AE274" i="22"/>
  <c r="AH274" i="22"/>
  <c r="AT270" i="7"/>
  <c r="AR270" i="7"/>
  <c r="AQ270" i="7"/>
  <c r="AN270" i="7"/>
  <c r="AS270" i="7"/>
  <c r="AO270" i="7"/>
  <c r="AM271" i="7"/>
  <c r="AP270" i="7"/>
  <c r="Q142" i="7"/>
  <c r="S142" i="7"/>
  <c r="R142" i="7"/>
  <c r="H273" i="23"/>
  <c r="H274" i="22"/>
  <c r="J273" i="23"/>
  <c r="I274" i="22"/>
  <c r="I273" i="23"/>
  <c r="E274" i="23"/>
  <c r="D274" i="23"/>
  <c r="F274" i="23"/>
  <c r="C275" i="23"/>
  <c r="G274" i="23"/>
  <c r="AB274" i="23"/>
  <c r="U275" i="23"/>
  <c r="AA274" i="23"/>
  <c r="Z274" i="23"/>
  <c r="X274" i="23"/>
  <c r="W274" i="23"/>
  <c r="V274" i="23"/>
  <c r="Y274" i="23"/>
  <c r="S276" i="23"/>
  <c r="L277" i="23"/>
  <c r="R276" i="23"/>
  <c r="N276" i="23"/>
  <c r="M276" i="23"/>
  <c r="Q276" i="23"/>
  <c r="O276" i="23"/>
  <c r="P276" i="23"/>
  <c r="AD275" i="22"/>
  <c r="J274" i="22"/>
  <c r="R274" i="22"/>
  <c r="Q274" i="22"/>
  <c r="O274" i="22"/>
  <c r="N274" i="22"/>
  <c r="L275" i="22"/>
  <c r="M274" i="22"/>
  <c r="S274" i="22"/>
  <c r="P274" i="22"/>
  <c r="U276" i="22"/>
  <c r="V275" i="22"/>
  <c r="W275" i="22"/>
  <c r="AB275" i="22"/>
  <c r="AA275" i="22"/>
  <c r="Z275" i="22"/>
  <c r="X275" i="22"/>
  <c r="Y275" i="22"/>
  <c r="F275" i="22"/>
  <c r="E275" i="22"/>
  <c r="D275" i="22"/>
  <c r="C276" i="22"/>
  <c r="G275" i="22"/>
  <c r="P143" i="7"/>
  <c r="O143" i="7"/>
  <c r="M143" i="7"/>
  <c r="N143" i="7"/>
  <c r="J143" i="7"/>
  <c r="I143" i="7"/>
  <c r="Z144" i="7"/>
  <c r="AB144" i="7"/>
  <c r="V144" i="7"/>
  <c r="U145" i="7"/>
  <c r="W144" i="7"/>
  <c r="X144" i="7"/>
  <c r="Y144" i="7"/>
  <c r="AA144" i="7"/>
  <c r="H143" i="7"/>
  <c r="G145" i="7"/>
  <c r="D144" i="7"/>
  <c r="E144" i="7"/>
  <c r="F144" i="7"/>
  <c r="AP276" i="22" l="1"/>
  <c r="AN276" i="22"/>
  <c r="AR276" i="22"/>
  <c r="AO276" i="22"/>
  <c r="AM277" i="22"/>
  <c r="AT276" i="22"/>
  <c r="AQ276" i="22"/>
  <c r="AS276" i="22"/>
  <c r="AH276" i="23"/>
  <c r="AF276" i="23"/>
  <c r="AK276" i="23"/>
  <c r="AD277" i="23"/>
  <c r="AI276" i="23"/>
  <c r="AE276" i="23"/>
  <c r="AG276" i="23"/>
  <c r="AJ276" i="23"/>
  <c r="AM277" i="23"/>
  <c r="AS276" i="23"/>
  <c r="AN276" i="23"/>
  <c r="AO276" i="23"/>
  <c r="AQ276" i="23"/>
  <c r="AP276" i="23"/>
  <c r="AT276" i="23"/>
  <c r="AR276" i="23"/>
  <c r="AD273" i="7"/>
  <c r="AH272" i="7"/>
  <c r="AE272" i="7"/>
  <c r="AF272" i="7"/>
  <c r="AG272" i="7"/>
  <c r="AI272" i="7"/>
  <c r="AJ272" i="7"/>
  <c r="AK272" i="7"/>
  <c r="AK275" i="22"/>
  <c r="AJ275" i="22"/>
  <c r="AI275" i="22"/>
  <c r="AG275" i="22"/>
  <c r="AF275" i="22"/>
  <c r="AE275" i="22"/>
  <c r="AH275" i="22"/>
  <c r="AM272" i="7"/>
  <c r="AT271" i="7"/>
  <c r="AS271" i="7"/>
  <c r="AR271" i="7"/>
  <c r="AQ271" i="7"/>
  <c r="AP271" i="7"/>
  <c r="AO271" i="7"/>
  <c r="AN271" i="7"/>
  <c r="S143" i="7"/>
  <c r="R143" i="7"/>
  <c r="H274" i="23"/>
  <c r="I274" i="23"/>
  <c r="J275" i="22"/>
  <c r="I275" i="22"/>
  <c r="R277" i="23"/>
  <c r="Q277" i="23"/>
  <c r="L278" i="23"/>
  <c r="O277" i="23"/>
  <c r="M277" i="23"/>
  <c r="S277" i="23"/>
  <c r="N277" i="23"/>
  <c r="P277" i="23"/>
  <c r="J274" i="23"/>
  <c r="AA275" i="23"/>
  <c r="Z275" i="23"/>
  <c r="U276" i="23"/>
  <c r="X275" i="23"/>
  <c r="AB275" i="23"/>
  <c r="W275" i="23"/>
  <c r="V275" i="23"/>
  <c r="Y275" i="23"/>
  <c r="C276" i="23"/>
  <c r="F275" i="23"/>
  <c r="E275" i="23"/>
  <c r="D275" i="23"/>
  <c r="G275" i="23"/>
  <c r="L276" i="22"/>
  <c r="S275" i="22"/>
  <c r="N275" i="22"/>
  <c r="M275" i="22"/>
  <c r="R275" i="22"/>
  <c r="Q275" i="22"/>
  <c r="O275" i="22"/>
  <c r="P275" i="22"/>
  <c r="H275" i="22"/>
  <c r="F276" i="22"/>
  <c r="D276" i="22"/>
  <c r="E276" i="22"/>
  <c r="C277" i="22"/>
  <c r="G276" i="22"/>
  <c r="AD276" i="22"/>
  <c r="U277" i="22"/>
  <c r="Z276" i="22"/>
  <c r="X276" i="22"/>
  <c r="W276" i="22"/>
  <c r="AB276" i="22"/>
  <c r="AA276" i="22"/>
  <c r="V276" i="22"/>
  <c r="Y276" i="22"/>
  <c r="Q143" i="7"/>
  <c r="P144" i="7"/>
  <c r="O144" i="7"/>
  <c r="M144" i="7"/>
  <c r="N144" i="7"/>
  <c r="I144" i="7"/>
  <c r="H144" i="7"/>
  <c r="J144" i="7"/>
  <c r="Z145" i="7"/>
  <c r="W145" i="7"/>
  <c r="X145" i="7"/>
  <c r="U146" i="7"/>
  <c r="Y145" i="7"/>
  <c r="AB145" i="7"/>
  <c r="V145" i="7"/>
  <c r="AA145" i="7"/>
  <c r="G146" i="7"/>
  <c r="D145" i="7"/>
  <c r="E145" i="7"/>
  <c r="F145" i="7"/>
  <c r="AO277" i="22" l="1"/>
  <c r="AT277" i="22"/>
  <c r="AR277" i="22"/>
  <c r="AP277" i="22"/>
  <c r="AS277" i="22"/>
  <c r="AQ277" i="22"/>
  <c r="AN277" i="22"/>
  <c r="AM278" i="22"/>
  <c r="AD278" i="23"/>
  <c r="AE277" i="23"/>
  <c r="AK277" i="23"/>
  <c r="AI277" i="23"/>
  <c r="AG277" i="23"/>
  <c r="AF277" i="23"/>
  <c r="AJ277" i="23"/>
  <c r="AH277" i="23"/>
  <c r="AS277" i="23"/>
  <c r="AN277" i="23"/>
  <c r="AT277" i="23"/>
  <c r="AM278" i="23"/>
  <c r="AO277" i="23"/>
  <c r="AR277" i="23"/>
  <c r="AQ277" i="23"/>
  <c r="AP277" i="23"/>
  <c r="AD274" i="7"/>
  <c r="AH273" i="7"/>
  <c r="AE273" i="7"/>
  <c r="AF273" i="7"/>
  <c r="AG273" i="7"/>
  <c r="AI273" i="7"/>
  <c r="AJ273" i="7"/>
  <c r="AK273" i="7"/>
  <c r="AK276" i="22"/>
  <c r="AJ276" i="22"/>
  <c r="AI276" i="22"/>
  <c r="AG276" i="22"/>
  <c r="AF276" i="22"/>
  <c r="AE276" i="22"/>
  <c r="AH276" i="22"/>
  <c r="AM273" i="7"/>
  <c r="AS272" i="7"/>
  <c r="AQ272" i="7"/>
  <c r="AO272" i="7"/>
  <c r="AN272" i="7"/>
  <c r="AP272" i="7"/>
  <c r="AT272" i="7"/>
  <c r="AR272" i="7"/>
  <c r="Q144" i="7"/>
  <c r="R144" i="7"/>
  <c r="S144" i="7"/>
  <c r="J275" i="23"/>
  <c r="I276" i="22"/>
  <c r="J276" i="22"/>
  <c r="I275" i="23"/>
  <c r="C277" i="23"/>
  <c r="F276" i="23"/>
  <c r="E276" i="23"/>
  <c r="D276" i="23"/>
  <c r="G276" i="23"/>
  <c r="W276" i="23"/>
  <c r="V276" i="23"/>
  <c r="AB276" i="23"/>
  <c r="AA276" i="23"/>
  <c r="X276" i="23"/>
  <c r="U277" i="23"/>
  <c r="Z276" i="23"/>
  <c r="Y276" i="23"/>
  <c r="H275" i="23"/>
  <c r="N278" i="23"/>
  <c r="M278" i="23"/>
  <c r="L279" i="23"/>
  <c r="R278" i="23"/>
  <c r="Q278" i="23"/>
  <c r="O278" i="23"/>
  <c r="S278" i="23"/>
  <c r="P278" i="23"/>
  <c r="AD277" i="22"/>
  <c r="U278" i="22"/>
  <c r="AA277" i="22"/>
  <c r="X277" i="22"/>
  <c r="W277" i="22"/>
  <c r="V277" i="22"/>
  <c r="AB277" i="22"/>
  <c r="Z277" i="22"/>
  <c r="Y277" i="22"/>
  <c r="H276" i="22"/>
  <c r="C278" i="22"/>
  <c r="E277" i="22"/>
  <c r="D277" i="22"/>
  <c r="F277" i="22"/>
  <c r="G277" i="22"/>
  <c r="L277" i="22"/>
  <c r="N276" i="22"/>
  <c r="M276" i="22"/>
  <c r="S276" i="22"/>
  <c r="R276" i="22"/>
  <c r="O276" i="22"/>
  <c r="Q276" i="22"/>
  <c r="P276" i="22"/>
  <c r="N145" i="7"/>
  <c r="O145" i="7"/>
  <c r="P145" i="7"/>
  <c r="M145" i="7"/>
  <c r="I145" i="7"/>
  <c r="H145" i="7"/>
  <c r="J145" i="7"/>
  <c r="Z146" i="7"/>
  <c r="V146" i="7"/>
  <c r="W146" i="7"/>
  <c r="X146" i="7"/>
  <c r="U147" i="7"/>
  <c r="Y146" i="7"/>
  <c r="AB146" i="7"/>
  <c r="AA146" i="7"/>
  <c r="D146" i="7"/>
  <c r="E146" i="7"/>
  <c r="F146" i="7"/>
  <c r="G147" i="7"/>
  <c r="AM279" i="22" l="1"/>
  <c r="AN278" i="22"/>
  <c r="AS278" i="22"/>
  <c r="AO278" i="22"/>
  <c r="AT278" i="22"/>
  <c r="AR278" i="22"/>
  <c r="AP278" i="22"/>
  <c r="AQ278" i="22"/>
  <c r="AJ278" i="23"/>
  <c r="AE278" i="23"/>
  <c r="AK278" i="23"/>
  <c r="AH278" i="23"/>
  <c r="AD279" i="23"/>
  <c r="AG278" i="23"/>
  <c r="AI278" i="23"/>
  <c r="AF278" i="23"/>
  <c r="AT278" i="23"/>
  <c r="AP278" i="23"/>
  <c r="AQ278" i="23"/>
  <c r="AM279" i="23"/>
  <c r="AR278" i="23"/>
  <c r="AO278" i="23"/>
  <c r="AN278" i="23"/>
  <c r="AS278" i="23"/>
  <c r="AD275" i="7"/>
  <c r="AH274" i="7"/>
  <c r="AE274" i="7"/>
  <c r="AF274" i="7"/>
  <c r="AG274" i="7"/>
  <c r="AI274" i="7"/>
  <c r="AJ274" i="7"/>
  <c r="AK274" i="7"/>
  <c r="AK277" i="22"/>
  <c r="AJ277" i="22"/>
  <c r="AI277" i="22"/>
  <c r="AG277" i="22"/>
  <c r="AF277" i="22"/>
  <c r="AE277" i="22"/>
  <c r="AH277" i="22"/>
  <c r="AQ273" i="7"/>
  <c r="AP273" i="7"/>
  <c r="AT273" i="7"/>
  <c r="AR273" i="7"/>
  <c r="AN273" i="7"/>
  <c r="AM274" i="7"/>
  <c r="AS273" i="7"/>
  <c r="AO273" i="7"/>
  <c r="Q145" i="7"/>
  <c r="R145" i="7"/>
  <c r="J276" i="23"/>
  <c r="J277" i="22"/>
  <c r="I276" i="23"/>
  <c r="H276" i="23"/>
  <c r="I277" i="22"/>
  <c r="AB277" i="23"/>
  <c r="U278" i="23"/>
  <c r="AA277" i="23"/>
  <c r="V277" i="23"/>
  <c r="Z277" i="23"/>
  <c r="X277" i="23"/>
  <c r="W277" i="23"/>
  <c r="Y277" i="23"/>
  <c r="E277" i="23"/>
  <c r="D277" i="23"/>
  <c r="C278" i="23"/>
  <c r="F277" i="23"/>
  <c r="G277" i="23"/>
  <c r="S279" i="23"/>
  <c r="L280" i="23"/>
  <c r="M279" i="23"/>
  <c r="R279" i="23"/>
  <c r="Q279" i="23"/>
  <c r="N279" i="23"/>
  <c r="O279" i="23"/>
  <c r="P279" i="23"/>
  <c r="H277" i="22"/>
  <c r="E278" i="22"/>
  <c r="F278" i="22"/>
  <c r="D278" i="22"/>
  <c r="C279" i="22"/>
  <c r="G278" i="22"/>
  <c r="S277" i="22"/>
  <c r="L278" i="22"/>
  <c r="O277" i="22"/>
  <c r="N277" i="22"/>
  <c r="M277" i="22"/>
  <c r="R277" i="22"/>
  <c r="Q277" i="22"/>
  <c r="P277" i="22"/>
  <c r="AD278" i="22"/>
  <c r="AA278" i="22"/>
  <c r="W278" i="22"/>
  <c r="V278" i="22"/>
  <c r="U279" i="22"/>
  <c r="AB278" i="22"/>
  <c r="Z278" i="22"/>
  <c r="X278" i="22"/>
  <c r="Y278" i="22"/>
  <c r="S145" i="7"/>
  <c r="M146" i="7"/>
  <c r="N146" i="7"/>
  <c r="O146" i="7"/>
  <c r="P146" i="7"/>
  <c r="I146" i="7"/>
  <c r="J146" i="7"/>
  <c r="H146" i="7"/>
  <c r="Z147" i="7"/>
  <c r="V147" i="7"/>
  <c r="W147" i="7"/>
  <c r="X147" i="7"/>
  <c r="Y147" i="7"/>
  <c r="AA147" i="7"/>
  <c r="AB147" i="7"/>
  <c r="U148" i="7"/>
  <c r="G148" i="7"/>
  <c r="D147" i="7"/>
  <c r="E147" i="7"/>
  <c r="F147" i="7"/>
  <c r="AR279" i="22" l="1"/>
  <c r="AO279" i="22"/>
  <c r="AT279" i="22"/>
  <c r="AQ279" i="22"/>
  <c r="AS279" i="22"/>
  <c r="AN279" i="22"/>
  <c r="AM280" i="22"/>
  <c r="AP279" i="22"/>
  <c r="AG279" i="23"/>
  <c r="AD280" i="23"/>
  <c r="AI279" i="23"/>
  <c r="AF279" i="23"/>
  <c r="AE279" i="23"/>
  <c r="AK279" i="23"/>
  <c r="AJ279" i="23"/>
  <c r="AH279" i="23"/>
  <c r="AN279" i="23"/>
  <c r="AQ279" i="23"/>
  <c r="AT279" i="23"/>
  <c r="AR279" i="23"/>
  <c r="AM280" i="23"/>
  <c r="AS279" i="23"/>
  <c r="AP279" i="23"/>
  <c r="AO279" i="23"/>
  <c r="AD276" i="7"/>
  <c r="AH275" i="7"/>
  <c r="AE275" i="7"/>
  <c r="AF275" i="7"/>
  <c r="AG275" i="7"/>
  <c r="AI275" i="7"/>
  <c r="AJ275" i="7"/>
  <c r="AK275" i="7"/>
  <c r="AK278" i="22"/>
  <c r="AJ278" i="22"/>
  <c r="AI278" i="22"/>
  <c r="AG278" i="22"/>
  <c r="AF278" i="22"/>
  <c r="AE278" i="22"/>
  <c r="AH278" i="22"/>
  <c r="AR274" i="7"/>
  <c r="AM275" i="7"/>
  <c r="AT274" i="7"/>
  <c r="AS274" i="7"/>
  <c r="AQ274" i="7"/>
  <c r="AP274" i="7"/>
  <c r="AO274" i="7"/>
  <c r="AN274" i="7"/>
  <c r="Q146" i="7"/>
  <c r="R146" i="7"/>
  <c r="J277" i="23"/>
  <c r="J278" i="22"/>
  <c r="H278" i="22"/>
  <c r="I278" i="22"/>
  <c r="I277" i="23"/>
  <c r="H147" i="7"/>
  <c r="C279" i="23"/>
  <c r="F278" i="23"/>
  <c r="E278" i="23"/>
  <c r="D278" i="23"/>
  <c r="G278" i="23"/>
  <c r="H277" i="23"/>
  <c r="AA278" i="23"/>
  <c r="Z278" i="23"/>
  <c r="U279" i="23"/>
  <c r="X278" i="23"/>
  <c r="V278" i="23"/>
  <c r="W278" i="23"/>
  <c r="AB278" i="23"/>
  <c r="Y278" i="23"/>
  <c r="R280" i="23"/>
  <c r="Q280" i="23"/>
  <c r="L281" i="23"/>
  <c r="O280" i="23"/>
  <c r="M280" i="23"/>
  <c r="S280" i="23"/>
  <c r="N280" i="23"/>
  <c r="P280" i="23"/>
  <c r="AD279" i="22"/>
  <c r="C280" i="22"/>
  <c r="D279" i="22"/>
  <c r="E279" i="22"/>
  <c r="F279" i="22"/>
  <c r="G279" i="22"/>
  <c r="L279" i="22"/>
  <c r="S278" i="22"/>
  <c r="N278" i="22"/>
  <c r="M278" i="22"/>
  <c r="R278" i="22"/>
  <c r="Q278" i="22"/>
  <c r="O278" i="22"/>
  <c r="P278" i="22"/>
  <c r="U280" i="22"/>
  <c r="AB279" i="22"/>
  <c r="AA279" i="22"/>
  <c r="V279" i="22"/>
  <c r="Z279" i="22"/>
  <c r="X279" i="22"/>
  <c r="W279" i="22"/>
  <c r="Y279" i="22"/>
  <c r="S146" i="7"/>
  <c r="N147" i="7"/>
  <c r="M147" i="7"/>
  <c r="O147" i="7"/>
  <c r="P147" i="7"/>
  <c r="I147" i="7"/>
  <c r="J147" i="7"/>
  <c r="Z148" i="7"/>
  <c r="Y148" i="7"/>
  <c r="AA148" i="7"/>
  <c r="AB148" i="7"/>
  <c r="W148" i="7"/>
  <c r="U149" i="7"/>
  <c r="V148" i="7"/>
  <c r="X148" i="7"/>
  <c r="G149" i="7"/>
  <c r="D148" i="7"/>
  <c r="E148" i="7"/>
  <c r="F148" i="7"/>
  <c r="AT280" i="22" l="1"/>
  <c r="AP280" i="22"/>
  <c r="AM281" i="22"/>
  <c r="AQ280" i="22"/>
  <c r="AN280" i="22"/>
  <c r="AR280" i="22"/>
  <c r="AO280" i="22"/>
  <c r="AS280" i="22"/>
  <c r="AF280" i="23"/>
  <c r="AJ280" i="23"/>
  <c r="AG280" i="23"/>
  <c r="AD281" i="23"/>
  <c r="AH280" i="23"/>
  <c r="AE280" i="23"/>
  <c r="AK280" i="23"/>
  <c r="AI280" i="23"/>
  <c r="AQ280" i="23"/>
  <c r="AO280" i="23"/>
  <c r="AR280" i="23"/>
  <c r="AP280" i="23"/>
  <c r="AN280" i="23"/>
  <c r="AS280" i="23"/>
  <c r="AM281" i="23"/>
  <c r="AT280" i="23"/>
  <c r="AD277" i="7"/>
  <c r="AH276" i="7"/>
  <c r="AE276" i="7"/>
  <c r="AF276" i="7"/>
  <c r="AG276" i="7"/>
  <c r="AI276" i="7"/>
  <c r="AJ276" i="7"/>
  <c r="AK276" i="7"/>
  <c r="AK279" i="22"/>
  <c r="AJ279" i="22"/>
  <c r="AI279" i="22"/>
  <c r="AG279" i="22"/>
  <c r="AF279" i="22"/>
  <c r="AE279" i="22"/>
  <c r="AH279" i="22"/>
  <c r="AO275" i="7"/>
  <c r="AR275" i="7"/>
  <c r="AT275" i="7"/>
  <c r="AQ275" i="7"/>
  <c r="AM276" i="7"/>
  <c r="AS275" i="7"/>
  <c r="AP275" i="7"/>
  <c r="AN275" i="7"/>
  <c r="Q147" i="7"/>
  <c r="H279" i="22"/>
  <c r="H148" i="7"/>
  <c r="R147" i="7"/>
  <c r="S147" i="7"/>
  <c r="H278" i="23"/>
  <c r="I278" i="23"/>
  <c r="I279" i="22"/>
  <c r="J278" i="23"/>
  <c r="J279" i="22"/>
  <c r="W279" i="23"/>
  <c r="V279" i="23"/>
  <c r="Z279" i="23"/>
  <c r="AB279" i="23"/>
  <c r="AA279" i="23"/>
  <c r="X279" i="23"/>
  <c r="U280" i="23"/>
  <c r="Y279" i="23"/>
  <c r="C280" i="23"/>
  <c r="F279" i="23"/>
  <c r="E279" i="23"/>
  <c r="D279" i="23"/>
  <c r="G279" i="23"/>
  <c r="N281" i="23"/>
  <c r="M281" i="23"/>
  <c r="O281" i="23"/>
  <c r="L282" i="23"/>
  <c r="S281" i="23"/>
  <c r="R281" i="23"/>
  <c r="Q281" i="23"/>
  <c r="P281" i="23"/>
  <c r="C281" i="22"/>
  <c r="D280" i="22"/>
  <c r="F280" i="22"/>
  <c r="E280" i="22"/>
  <c r="G280" i="22"/>
  <c r="V280" i="22"/>
  <c r="AA280" i="22"/>
  <c r="Z280" i="22"/>
  <c r="U281" i="22"/>
  <c r="AB280" i="22"/>
  <c r="X280" i="22"/>
  <c r="W280" i="22"/>
  <c r="Y280" i="22"/>
  <c r="R279" i="22"/>
  <c r="O279" i="22"/>
  <c r="M279" i="22"/>
  <c r="Q279" i="22"/>
  <c r="S279" i="22"/>
  <c r="L280" i="22"/>
  <c r="N279" i="22"/>
  <c r="P279" i="22"/>
  <c r="AD280" i="22"/>
  <c r="N148" i="7"/>
  <c r="M148" i="7"/>
  <c r="O148" i="7"/>
  <c r="P148" i="7"/>
  <c r="I148" i="7"/>
  <c r="D149" i="7"/>
  <c r="E149" i="7"/>
  <c r="F149" i="7"/>
  <c r="G150" i="7"/>
  <c r="Z149" i="7"/>
  <c r="V149" i="7"/>
  <c r="W149" i="7"/>
  <c r="X149" i="7"/>
  <c r="U150" i="7"/>
  <c r="Y149" i="7"/>
  <c r="AA149" i="7"/>
  <c r="AB149" i="7"/>
  <c r="J148" i="7"/>
  <c r="AT281" i="22" l="1"/>
  <c r="AP281" i="22"/>
  <c r="AS281" i="22"/>
  <c r="AN281" i="22"/>
  <c r="AQ281" i="22"/>
  <c r="AM282" i="22"/>
  <c r="AR281" i="22"/>
  <c r="AO281" i="22"/>
  <c r="AJ281" i="23"/>
  <c r="AH281" i="23"/>
  <c r="AE281" i="23"/>
  <c r="AK281" i="23"/>
  <c r="AG281" i="23"/>
  <c r="AD282" i="23"/>
  <c r="AI281" i="23"/>
  <c r="AF281" i="23"/>
  <c r="AS281" i="23"/>
  <c r="AM282" i="23"/>
  <c r="AP281" i="23"/>
  <c r="AR281" i="23"/>
  <c r="AN281" i="23"/>
  <c r="AT281" i="23"/>
  <c r="AQ281" i="23"/>
  <c r="AO281" i="23"/>
  <c r="AD278" i="7"/>
  <c r="AH277" i="7"/>
  <c r="AE277" i="7"/>
  <c r="AF277" i="7"/>
  <c r="AG277" i="7"/>
  <c r="AI277" i="7"/>
  <c r="AJ277" i="7"/>
  <c r="AK277" i="7"/>
  <c r="AK280" i="22"/>
  <c r="AJ280" i="22"/>
  <c r="AI280" i="22"/>
  <c r="AG280" i="22"/>
  <c r="AF280" i="22"/>
  <c r="AE280" i="22"/>
  <c r="AH280" i="22"/>
  <c r="AQ276" i="7"/>
  <c r="AO276" i="7"/>
  <c r="AM277" i="7"/>
  <c r="AS276" i="7"/>
  <c r="AR276" i="7"/>
  <c r="AN276" i="7"/>
  <c r="AT276" i="7"/>
  <c r="AP276" i="7"/>
  <c r="Q148" i="7"/>
  <c r="H279" i="23"/>
  <c r="H280" i="22"/>
  <c r="H149" i="7"/>
  <c r="R148" i="7"/>
  <c r="J279" i="23"/>
  <c r="I279" i="23"/>
  <c r="J280" i="22"/>
  <c r="I280" i="22"/>
  <c r="S282" i="23"/>
  <c r="L283" i="23"/>
  <c r="O282" i="23"/>
  <c r="N282" i="23"/>
  <c r="M282" i="23"/>
  <c r="R282" i="23"/>
  <c r="Q282" i="23"/>
  <c r="P282" i="23"/>
  <c r="E280" i="23"/>
  <c r="D280" i="23"/>
  <c r="F280" i="23"/>
  <c r="C281" i="23"/>
  <c r="G280" i="23"/>
  <c r="AB280" i="23"/>
  <c r="U281" i="23"/>
  <c r="X280" i="23"/>
  <c r="AA280" i="23"/>
  <c r="Z280" i="23"/>
  <c r="W280" i="23"/>
  <c r="V280" i="23"/>
  <c r="Y280" i="23"/>
  <c r="F281" i="22"/>
  <c r="E281" i="22"/>
  <c r="C282" i="22"/>
  <c r="D281" i="22"/>
  <c r="G281" i="22"/>
  <c r="Q280" i="22"/>
  <c r="R280" i="22"/>
  <c r="S280" i="22"/>
  <c r="O280" i="22"/>
  <c r="N280" i="22"/>
  <c r="M280" i="22"/>
  <c r="L281" i="22"/>
  <c r="P280" i="22"/>
  <c r="V281" i="22"/>
  <c r="AA281" i="22"/>
  <c r="Z281" i="22"/>
  <c r="U282" i="22"/>
  <c r="X281" i="22"/>
  <c r="W281" i="22"/>
  <c r="AB281" i="22"/>
  <c r="Y281" i="22"/>
  <c r="AD281" i="22"/>
  <c r="S148" i="7"/>
  <c r="M149" i="7"/>
  <c r="O149" i="7"/>
  <c r="N149" i="7"/>
  <c r="P149" i="7"/>
  <c r="I149" i="7"/>
  <c r="J149" i="7"/>
  <c r="G151" i="7"/>
  <c r="D150" i="7"/>
  <c r="E150" i="7"/>
  <c r="F150" i="7"/>
  <c r="Z150" i="7"/>
  <c r="V150" i="7"/>
  <c r="W150" i="7"/>
  <c r="X150" i="7"/>
  <c r="U151" i="7"/>
  <c r="Y150" i="7"/>
  <c r="AA150" i="7"/>
  <c r="AB150" i="7"/>
  <c r="R149" i="7" l="1"/>
  <c r="AM283" i="22"/>
  <c r="AR282" i="22"/>
  <c r="AO282" i="22"/>
  <c r="AT282" i="22"/>
  <c r="AN282" i="22"/>
  <c r="AS282" i="22"/>
  <c r="AP282" i="22"/>
  <c r="AQ282" i="22"/>
  <c r="AD283" i="23"/>
  <c r="AE282" i="23"/>
  <c r="AJ282" i="23"/>
  <c r="AF282" i="23"/>
  <c r="AI282" i="23"/>
  <c r="AK282" i="23"/>
  <c r="AG282" i="23"/>
  <c r="AH282" i="23"/>
  <c r="AQ282" i="23"/>
  <c r="AO282" i="23"/>
  <c r="AS282" i="23"/>
  <c r="AM283" i="23"/>
  <c r="AT282" i="23"/>
  <c r="AN282" i="23"/>
  <c r="AR282" i="23"/>
  <c r="AP282" i="23"/>
  <c r="AD279" i="7"/>
  <c r="AH278" i="7"/>
  <c r="AE278" i="7"/>
  <c r="AF278" i="7"/>
  <c r="AG278" i="7"/>
  <c r="AI278" i="7"/>
  <c r="AJ278" i="7"/>
  <c r="AK278" i="7"/>
  <c r="AK281" i="22"/>
  <c r="AJ281" i="22"/>
  <c r="AI281" i="22"/>
  <c r="AG281" i="22"/>
  <c r="AF281" i="22"/>
  <c r="AE281" i="22"/>
  <c r="AH281" i="22"/>
  <c r="AM278" i="7"/>
  <c r="AT277" i="7"/>
  <c r="AP277" i="7"/>
  <c r="AQ277" i="7"/>
  <c r="AN277" i="7"/>
  <c r="AR277" i="7"/>
  <c r="AS277" i="7"/>
  <c r="AO277" i="7"/>
  <c r="H280" i="23"/>
  <c r="H281" i="22"/>
  <c r="H150" i="7"/>
  <c r="S149" i="7"/>
  <c r="J281" i="22"/>
  <c r="I280" i="23"/>
  <c r="J280" i="23"/>
  <c r="I281" i="22"/>
  <c r="C282" i="23"/>
  <c r="D281" i="23"/>
  <c r="E281" i="23"/>
  <c r="F281" i="23"/>
  <c r="G281" i="23"/>
  <c r="AA281" i="23"/>
  <c r="Z281" i="23"/>
  <c r="U282" i="23"/>
  <c r="X281" i="23"/>
  <c r="AB281" i="23"/>
  <c r="V281" i="23"/>
  <c r="W281" i="23"/>
  <c r="Y281" i="23"/>
  <c r="R283" i="23"/>
  <c r="Q283" i="23"/>
  <c r="L284" i="23"/>
  <c r="O283" i="23"/>
  <c r="S283" i="23"/>
  <c r="N283" i="23"/>
  <c r="M283" i="23"/>
  <c r="P283" i="23"/>
  <c r="D282" i="22"/>
  <c r="F282" i="22"/>
  <c r="C283" i="22"/>
  <c r="E282" i="22"/>
  <c r="G282" i="22"/>
  <c r="U283" i="22"/>
  <c r="X282" i="22"/>
  <c r="V282" i="22"/>
  <c r="W282" i="22"/>
  <c r="AB282" i="22"/>
  <c r="AA282" i="22"/>
  <c r="Z282" i="22"/>
  <c r="Y282" i="22"/>
  <c r="L282" i="22"/>
  <c r="Q281" i="22"/>
  <c r="S281" i="22"/>
  <c r="R281" i="22"/>
  <c r="M281" i="22"/>
  <c r="N281" i="22"/>
  <c r="O281" i="22"/>
  <c r="P281" i="22"/>
  <c r="AD282" i="22"/>
  <c r="Q149" i="7"/>
  <c r="N150" i="7"/>
  <c r="M150" i="7"/>
  <c r="O150" i="7"/>
  <c r="Q150" i="7" s="1"/>
  <c r="P150" i="7"/>
  <c r="I150" i="7"/>
  <c r="J150" i="7"/>
  <c r="Z151" i="7"/>
  <c r="U152" i="7"/>
  <c r="AA151" i="7"/>
  <c r="V151" i="7"/>
  <c r="W151" i="7"/>
  <c r="X151" i="7"/>
  <c r="Y151" i="7"/>
  <c r="AB151" i="7"/>
  <c r="G152" i="7"/>
  <c r="E151" i="7"/>
  <c r="F151" i="7"/>
  <c r="D151" i="7"/>
  <c r="AT283" i="22" l="1"/>
  <c r="AO283" i="22"/>
  <c r="AM284" i="22"/>
  <c r="AS283" i="22"/>
  <c r="AQ283" i="22"/>
  <c r="AN283" i="22"/>
  <c r="AR283" i="22"/>
  <c r="AP283" i="22"/>
  <c r="AI283" i="23"/>
  <c r="AJ283" i="23"/>
  <c r="AE283" i="23"/>
  <c r="AH283" i="23"/>
  <c r="AD284" i="23"/>
  <c r="AF283" i="23"/>
  <c r="AK283" i="23"/>
  <c r="AG283" i="23"/>
  <c r="AM284" i="23"/>
  <c r="AS283" i="23"/>
  <c r="AO283" i="23"/>
  <c r="AP283" i="23"/>
  <c r="AR283" i="23"/>
  <c r="AN283" i="23"/>
  <c r="AT283" i="23"/>
  <c r="AQ283" i="23"/>
  <c r="AD280" i="7"/>
  <c r="AH279" i="7"/>
  <c r="AE279" i="7"/>
  <c r="AF279" i="7"/>
  <c r="AG279" i="7"/>
  <c r="AI279" i="7"/>
  <c r="AJ279" i="7"/>
  <c r="AK279" i="7"/>
  <c r="AK282" i="22"/>
  <c r="AJ282" i="22"/>
  <c r="AI282" i="22"/>
  <c r="AG282" i="22"/>
  <c r="AF282" i="22"/>
  <c r="AE282" i="22"/>
  <c r="AH282" i="22"/>
  <c r="AQ278" i="7"/>
  <c r="AO278" i="7"/>
  <c r="AM279" i="7"/>
  <c r="AP278" i="7"/>
  <c r="AT278" i="7"/>
  <c r="AS278" i="7"/>
  <c r="AR278" i="7"/>
  <c r="AN278" i="7"/>
  <c r="H281" i="23"/>
  <c r="H282" i="22"/>
  <c r="H151" i="7"/>
  <c r="R150" i="7"/>
  <c r="J281" i="23"/>
  <c r="I281" i="23"/>
  <c r="I282" i="22"/>
  <c r="N284" i="23"/>
  <c r="M284" i="23"/>
  <c r="R284" i="23"/>
  <c r="Q284" i="23"/>
  <c r="L285" i="23"/>
  <c r="S284" i="23"/>
  <c r="O284" i="23"/>
  <c r="P284" i="23"/>
  <c r="W282" i="23"/>
  <c r="V282" i="23"/>
  <c r="AA282" i="23"/>
  <c r="AB282" i="23"/>
  <c r="Z282" i="23"/>
  <c r="X282" i="23"/>
  <c r="U283" i="23"/>
  <c r="Y282" i="23"/>
  <c r="C283" i="23"/>
  <c r="F282" i="23"/>
  <c r="D282" i="23"/>
  <c r="E282" i="23"/>
  <c r="G282" i="23"/>
  <c r="J282" i="22"/>
  <c r="AA283" i="22"/>
  <c r="X283" i="22"/>
  <c r="W283" i="22"/>
  <c r="V283" i="22"/>
  <c r="AB283" i="22"/>
  <c r="Z283" i="22"/>
  <c r="U284" i="22"/>
  <c r="Y283" i="22"/>
  <c r="AD283" i="22"/>
  <c r="L283" i="22"/>
  <c r="R282" i="22"/>
  <c r="Q282" i="22"/>
  <c r="O282" i="22"/>
  <c r="M282" i="22"/>
  <c r="S282" i="22"/>
  <c r="N282" i="22"/>
  <c r="P282" i="22"/>
  <c r="C284" i="22"/>
  <c r="F283" i="22"/>
  <c r="E283" i="22"/>
  <c r="D283" i="22"/>
  <c r="G283" i="22"/>
  <c r="S150" i="7"/>
  <c r="O151" i="7"/>
  <c r="Q151" i="7" s="1"/>
  <c r="M151" i="7"/>
  <c r="N151" i="7"/>
  <c r="P151" i="7"/>
  <c r="I151" i="7"/>
  <c r="J151" i="7"/>
  <c r="D152" i="7"/>
  <c r="E152" i="7"/>
  <c r="F152" i="7"/>
  <c r="G153" i="7"/>
  <c r="Z152" i="7"/>
  <c r="X152" i="7"/>
  <c r="Y152" i="7"/>
  <c r="U153" i="7"/>
  <c r="AA152" i="7"/>
  <c r="AB152" i="7"/>
  <c r="V152" i="7"/>
  <c r="W152" i="7"/>
  <c r="AP284" i="22" l="1"/>
  <c r="AR284" i="22"/>
  <c r="AM285" i="22"/>
  <c r="AT284" i="22"/>
  <c r="AO284" i="22"/>
  <c r="AN284" i="22"/>
  <c r="AS284" i="22"/>
  <c r="AQ284" i="22"/>
  <c r="AI284" i="23"/>
  <c r="AH284" i="23"/>
  <c r="AF284" i="23"/>
  <c r="AG284" i="23"/>
  <c r="AE284" i="23"/>
  <c r="AD285" i="23"/>
  <c r="AJ284" i="23"/>
  <c r="AK284" i="23"/>
  <c r="AR284" i="23"/>
  <c r="AN284" i="23"/>
  <c r="AT284" i="23"/>
  <c r="AM285" i="23"/>
  <c r="AO284" i="23"/>
  <c r="AP284" i="23"/>
  <c r="AQ284" i="23"/>
  <c r="AS284" i="23"/>
  <c r="AD281" i="7"/>
  <c r="AH280" i="7"/>
  <c r="AE280" i="7"/>
  <c r="AF280" i="7"/>
  <c r="AG280" i="7"/>
  <c r="AI280" i="7"/>
  <c r="AJ280" i="7"/>
  <c r="AK280" i="7"/>
  <c r="AK283" i="22"/>
  <c r="AJ283" i="22"/>
  <c r="AI283" i="22"/>
  <c r="AG283" i="22"/>
  <c r="AF283" i="22"/>
  <c r="AE283" i="22"/>
  <c r="AH283" i="22"/>
  <c r="AS279" i="7"/>
  <c r="AP279" i="7"/>
  <c r="AN279" i="7"/>
  <c r="AT279" i="7"/>
  <c r="AR279" i="7"/>
  <c r="AM280" i="7"/>
  <c r="AQ279" i="7"/>
  <c r="AO279" i="7"/>
  <c r="R151" i="7"/>
  <c r="H282" i="23"/>
  <c r="H152" i="7"/>
  <c r="S151" i="7"/>
  <c r="I283" i="22"/>
  <c r="J282" i="23"/>
  <c r="J283" i="22"/>
  <c r="I282" i="23"/>
  <c r="S285" i="23"/>
  <c r="L286" i="23"/>
  <c r="R285" i="23"/>
  <c r="Q285" i="23"/>
  <c r="O285" i="23"/>
  <c r="N285" i="23"/>
  <c r="M285" i="23"/>
  <c r="P285" i="23"/>
  <c r="E283" i="23"/>
  <c r="D283" i="23"/>
  <c r="C284" i="23"/>
  <c r="F283" i="23"/>
  <c r="G283" i="23"/>
  <c r="AB283" i="23"/>
  <c r="U284" i="23"/>
  <c r="AA283" i="23"/>
  <c r="Z283" i="23"/>
  <c r="V283" i="23"/>
  <c r="X283" i="23"/>
  <c r="W283" i="23"/>
  <c r="Y283" i="23"/>
  <c r="AD284" i="22"/>
  <c r="H283" i="22"/>
  <c r="C285" i="22"/>
  <c r="D284" i="22"/>
  <c r="F284" i="22"/>
  <c r="E284" i="22"/>
  <c r="G284" i="22"/>
  <c r="AB284" i="22"/>
  <c r="U285" i="22"/>
  <c r="X284" i="22"/>
  <c r="W284" i="22"/>
  <c r="Z284" i="22"/>
  <c r="AA284" i="22"/>
  <c r="V284" i="22"/>
  <c r="Y284" i="22"/>
  <c r="O283" i="22"/>
  <c r="L284" i="22"/>
  <c r="S283" i="22"/>
  <c r="Q283" i="22"/>
  <c r="R283" i="22"/>
  <c r="N283" i="22"/>
  <c r="M283" i="22"/>
  <c r="P283" i="22"/>
  <c r="M152" i="7"/>
  <c r="P152" i="7"/>
  <c r="N152" i="7"/>
  <c r="O152" i="7"/>
  <c r="Q152" i="7" s="1"/>
  <c r="I152" i="7"/>
  <c r="J152" i="7"/>
  <c r="Z153" i="7"/>
  <c r="V153" i="7"/>
  <c r="W153" i="7"/>
  <c r="X153" i="7"/>
  <c r="U154" i="7"/>
  <c r="Y153" i="7"/>
  <c r="AA153" i="7"/>
  <c r="AB153" i="7"/>
  <c r="G154" i="7"/>
  <c r="D153" i="7"/>
  <c r="E153" i="7"/>
  <c r="F153" i="7"/>
  <c r="AQ285" i="22" l="1"/>
  <c r="AM286" i="22"/>
  <c r="AS285" i="22"/>
  <c r="AP285" i="22"/>
  <c r="AR285" i="22"/>
  <c r="AN285" i="22"/>
  <c r="AT285" i="22"/>
  <c r="AO285" i="22"/>
  <c r="AG285" i="23"/>
  <c r="AK285" i="23"/>
  <c r="AJ285" i="23"/>
  <c r="AI285" i="23"/>
  <c r="AD286" i="23"/>
  <c r="AE285" i="23"/>
  <c r="AH285" i="23"/>
  <c r="AF285" i="23"/>
  <c r="AN285" i="23"/>
  <c r="AR285" i="23"/>
  <c r="AS285" i="23"/>
  <c r="AQ285" i="23"/>
  <c r="AT285" i="23"/>
  <c r="AP285" i="23"/>
  <c r="AO285" i="23"/>
  <c r="AM286" i="23"/>
  <c r="AD282" i="7"/>
  <c r="AH281" i="7"/>
  <c r="AE281" i="7"/>
  <c r="AF281" i="7"/>
  <c r="AG281" i="7"/>
  <c r="AI281" i="7"/>
  <c r="AJ281" i="7"/>
  <c r="AK281" i="7"/>
  <c r="AK284" i="22"/>
  <c r="AJ284" i="22"/>
  <c r="AI284" i="22"/>
  <c r="AG284" i="22"/>
  <c r="AF284" i="22"/>
  <c r="AE284" i="22"/>
  <c r="AH284" i="22"/>
  <c r="AQ280" i="7"/>
  <c r="AT280" i="7"/>
  <c r="AP280" i="7"/>
  <c r="AS280" i="7"/>
  <c r="AR280" i="7"/>
  <c r="AO280" i="7"/>
  <c r="AM281" i="7"/>
  <c r="AN280" i="7"/>
  <c r="H283" i="23"/>
  <c r="H153" i="7"/>
  <c r="R152" i="7"/>
  <c r="I284" i="22"/>
  <c r="I283" i="23"/>
  <c r="H284" i="22"/>
  <c r="J284" i="22"/>
  <c r="J283" i="23"/>
  <c r="C285" i="23"/>
  <c r="F284" i="23"/>
  <c r="E284" i="23"/>
  <c r="D284" i="23"/>
  <c r="G284" i="23"/>
  <c r="AA284" i="23"/>
  <c r="Z284" i="23"/>
  <c r="U285" i="23"/>
  <c r="X284" i="23"/>
  <c r="AB284" i="23"/>
  <c r="W284" i="23"/>
  <c r="V284" i="23"/>
  <c r="Y284" i="23"/>
  <c r="R286" i="23"/>
  <c r="Q286" i="23"/>
  <c r="L287" i="23"/>
  <c r="O286" i="23"/>
  <c r="S286" i="23"/>
  <c r="N286" i="23"/>
  <c r="M286" i="23"/>
  <c r="P286" i="23"/>
  <c r="F285" i="22"/>
  <c r="E285" i="22"/>
  <c r="D285" i="22"/>
  <c r="C286" i="22"/>
  <c r="G285" i="22"/>
  <c r="U286" i="22"/>
  <c r="AB285" i="22"/>
  <c r="W285" i="22"/>
  <c r="V285" i="22"/>
  <c r="AA285" i="22"/>
  <c r="Z285" i="22"/>
  <c r="X285" i="22"/>
  <c r="Y285" i="22"/>
  <c r="L285" i="22"/>
  <c r="N284" i="22"/>
  <c r="O284" i="22"/>
  <c r="Q284" i="22"/>
  <c r="M284" i="22"/>
  <c r="S284" i="22"/>
  <c r="R284" i="22"/>
  <c r="P284" i="22"/>
  <c r="AD285" i="22"/>
  <c r="S152" i="7"/>
  <c r="N153" i="7"/>
  <c r="M153" i="7"/>
  <c r="O153" i="7"/>
  <c r="Q153" i="7" s="1"/>
  <c r="P153" i="7"/>
  <c r="I153" i="7"/>
  <c r="G155" i="7"/>
  <c r="E154" i="7"/>
  <c r="F154" i="7"/>
  <c r="D154" i="7"/>
  <c r="Z154" i="7"/>
  <c r="V154" i="7"/>
  <c r="AB154" i="7"/>
  <c r="U155" i="7"/>
  <c r="W154" i="7"/>
  <c r="X154" i="7"/>
  <c r="Y154" i="7"/>
  <c r="AA154" i="7"/>
  <c r="J153" i="7"/>
  <c r="AT286" i="22" l="1"/>
  <c r="AQ286" i="22"/>
  <c r="AS286" i="22"/>
  <c r="AN286" i="22"/>
  <c r="AR286" i="22"/>
  <c r="AO286" i="22"/>
  <c r="AM287" i="22"/>
  <c r="AP286" i="22"/>
  <c r="AG286" i="23"/>
  <c r="AE286" i="23"/>
  <c r="AD287" i="23"/>
  <c r="AJ286" i="23"/>
  <c r="AF286" i="23"/>
  <c r="AH286" i="23"/>
  <c r="AI286" i="23"/>
  <c r="AK286" i="23"/>
  <c r="AM287" i="23"/>
  <c r="AS286" i="23"/>
  <c r="AQ286" i="23"/>
  <c r="AN286" i="23"/>
  <c r="AT286" i="23"/>
  <c r="AP286" i="23"/>
  <c r="AR286" i="23"/>
  <c r="AO286" i="23"/>
  <c r="AD283" i="7"/>
  <c r="AH282" i="7"/>
  <c r="AE282" i="7"/>
  <c r="AF282" i="7"/>
  <c r="AG282" i="7"/>
  <c r="AI282" i="7"/>
  <c r="AJ282" i="7"/>
  <c r="AK282" i="7"/>
  <c r="AK285" i="22"/>
  <c r="AJ285" i="22"/>
  <c r="AI285" i="22"/>
  <c r="AG285" i="22"/>
  <c r="AF285" i="22"/>
  <c r="AE285" i="22"/>
  <c r="AH285" i="22"/>
  <c r="AM282" i="7"/>
  <c r="AT281" i="7"/>
  <c r="AS281" i="7"/>
  <c r="AR281" i="7"/>
  <c r="AP281" i="7"/>
  <c r="AN281" i="7"/>
  <c r="AQ281" i="7"/>
  <c r="AO281" i="7"/>
  <c r="H284" i="23"/>
  <c r="H154" i="7"/>
  <c r="R153" i="7"/>
  <c r="J285" i="22"/>
  <c r="H285" i="22"/>
  <c r="I285" i="22"/>
  <c r="I284" i="23"/>
  <c r="C286" i="23"/>
  <c r="F285" i="23"/>
  <c r="E285" i="23"/>
  <c r="D285" i="23"/>
  <c r="G285" i="23"/>
  <c r="J284" i="23"/>
  <c r="N287" i="23"/>
  <c r="M287" i="23"/>
  <c r="S287" i="23"/>
  <c r="R287" i="23"/>
  <c r="L288" i="23"/>
  <c r="O287" i="23"/>
  <c r="Q287" i="23"/>
  <c r="P287" i="23"/>
  <c r="W285" i="23"/>
  <c r="V285" i="23"/>
  <c r="U286" i="23"/>
  <c r="X285" i="23"/>
  <c r="AB285" i="23"/>
  <c r="AA285" i="23"/>
  <c r="Z285" i="23"/>
  <c r="Y285" i="23"/>
  <c r="AA286" i="22"/>
  <c r="V286" i="22"/>
  <c r="U287" i="22"/>
  <c r="AB286" i="22"/>
  <c r="Z286" i="22"/>
  <c r="W286" i="22"/>
  <c r="X286" i="22"/>
  <c r="Y286" i="22"/>
  <c r="C287" i="22"/>
  <c r="E286" i="22"/>
  <c r="D286" i="22"/>
  <c r="F286" i="22"/>
  <c r="G286" i="22"/>
  <c r="N285" i="22"/>
  <c r="R285" i="22"/>
  <c r="L286" i="22"/>
  <c r="Q285" i="22"/>
  <c r="S285" i="22"/>
  <c r="O285" i="22"/>
  <c r="M285" i="22"/>
  <c r="P285" i="22"/>
  <c r="AD286" i="22"/>
  <c r="S153" i="7"/>
  <c r="N154" i="7"/>
  <c r="O154" i="7"/>
  <c r="Q154" i="7" s="1"/>
  <c r="P154" i="7"/>
  <c r="M154" i="7"/>
  <c r="J154" i="7"/>
  <c r="I154" i="7"/>
  <c r="Z155" i="7"/>
  <c r="Y155" i="7"/>
  <c r="U156" i="7"/>
  <c r="AA155" i="7"/>
  <c r="AB155" i="7"/>
  <c r="V155" i="7"/>
  <c r="W155" i="7"/>
  <c r="X155" i="7"/>
  <c r="D155" i="7"/>
  <c r="E155" i="7"/>
  <c r="F155" i="7"/>
  <c r="G156" i="7"/>
  <c r="AT287" i="22" l="1"/>
  <c r="AQ287" i="22"/>
  <c r="AM288" i="22"/>
  <c r="AS287" i="22"/>
  <c r="AP287" i="22"/>
  <c r="AR287" i="22"/>
  <c r="AN287" i="22"/>
  <c r="AO287" i="22"/>
  <c r="AH287" i="23"/>
  <c r="AE287" i="23"/>
  <c r="AI287" i="23"/>
  <c r="AJ287" i="23"/>
  <c r="AG287" i="23"/>
  <c r="AK287" i="23"/>
  <c r="AD288" i="23"/>
  <c r="AF287" i="23"/>
  <c r="AM288" i="23"/>
  <c r="AN287" i="23"/>
  <c r="AS287" i="23"/>
  <c r="AT287" i="23"/>
  <c r="AP287" i="23"/>
  <c r="AQ287" i="23"/>
  <c r="AO287" i="23"/>
  <c r="AR287" i="23"/>
  <c r="AD284" i="7"/>
  <c r="AH283" i="7"/>
  <c r="AE283" i="7"/>
  <c r="AF283" i="7"/>
  <c r="AG283" i="7"/>
  <c r="AI283" i="7"/>
  <c r="AJ283" i="7"/>
  <c r="AK283" i="7"/>
  <c r="AK286" i="22"/>
  <c r="AJ286" i="22"/>
  <c r="AI286" i="22"/>
  <c r="AG286" i="22"/>
  <c r="AF286" i="22"/>
  <c r="AE286" i="22"/>
  <c r="AH286" i="22"/>
  <c r="AM283" i="7"/>
  <c r="AT282" i="7"/>
  <c r="AS282" i="7"/>
  <c r="AR282" i="7"/>
  <c r="AO282" i="7"/>
  <c r="AQ282" i="7"/>
  <c r="AP282" i="7"/>
  <c r="AN282" i="7"/>
  <c r="H285" i="23"/>
  <c r="H155" i="7"/>
  <c r="S154" i="7"/>
  <c r="R154" i="7"/>
  <c r="H286" i="22"/>
  <c r="I286" i="22"/>
  <c r="I285" i="23"/>
  <c r="J286" i="22"/>
  <c r="S288" i="23"/>
  <c r="L289" i="23"/>
  <c r="R288" i="23"/>
  <c r="M288" i="23"/>
  <c r="Q288" i="23"/>
  <c r="O288" i="23"/>
  <c r="N288" i="23"/>
  <c r="P288" i="23"/>
  <c r="J285" i="23"/>
  <c r="AB286" i="23"/>
  <c r="U287" i="23"/>
  <c r="V286" i="23"/>
  <c r="X286" i="23"/>
  <c r="Z286" i="23"/>
  <c r="W286" i="23"/>
  <c r="AA286" i="23"/>
  <c r="Y286" i="23"/>
  <c r="E286" i="23"/>
  <c r="D286" i="23"/>
  <c r="F286" i="23"/>
  <c r="C287" i="23"/>
  <c r="G286" i="23"/>
  <c r="D287" i="22"/>
  <c r="F287" i="22"/>
  <c r="E287" i="22"/>
  <c r="C288" i="22"/>
  <c r="G287" i="22"/>
  <c r="L287" i="22"/>
  <c r="M286" i="22"/>
  <c r="N286" i="22"/>
  <c r="S286" i="22"/>
  <c r="Q286" i="22"/>
  <c r="R286" i="22"/>
  <c r="O286" i="22"/>
  <c r="P286" i="22"/>
  <c r="Z287" i="22"/>
  <c r="X287" i="22"/>
  <c r="AB287" i="22"/>
  <c r="W287" i="22"/>
  <c r="U288" i="22"/>
  <c r="V287" i="22"/>
  <c r="AA287" i="22"/>
  <c r="Y287" i="22"/>
  <c r="AD287" i="22"/>
  <c r="M155" i="7"/>
  <c r="N155" i="7"/>
  <c r="P155" i="7"/>
  <c r="O155" i="7"/>
  <c r="Q155" i="7" s="1"/>
  <c r="J155" i="7"/>
  <c r="I155" i="7"/>
  <c r="G157" i="7"/>
  <c r="D156" i="7"/>
  <c r="E156" i="7"/>
  <c r="F156" i="7"/>
  <c r="Z156" i="7"/>
  <c r="V156" i="7"/>
  <c r="W156" i="7"/>
  <c r="X156" i="7"/>
  <c r="Y156" i="7"/>
  <c r="U157" i="7"/>
  <c r="AA156" i="7"/>
  <c r="AB156" i="7"/>
  <c r="AQ288" i="22" l="1"/>
  <c r="AS288" i="22"/>
  <c r="AP288" i="22"/>
  <c r="AR288" i="22"/>
  <c r="AN288" i="22"/>
  <c r="AM289" i="22"/>
  <c r="AO288" i="22"/>
  <c r="AT288" i="22"/>
  <c r="AD289" i="23"/>
  <c r="AI288" i="23"/>
  <c r="AJ288" i="23"/>
  <c r="AH288" i="23"/>
  <c r="AG288" i="23"/>
  <c r="AK288" i="23"/>
  <c r="AE288" i="23"/>
  <c r="AF288" i="23"/>
  <c r="AP288" i="23"/>
  <c r="AM289" i="23"/>
  <c r="AR288" i="23"/>
  <c r="AS288" i="23"/>
  <c r="AQ288" i="23"/>
  <c r="AO288" i="23"/>
  <c r="AN288" i="23"/>
  <c r="AT288" i="23"/>
  <c r="AD285" i="7"/>
  <c r="AH284" i="7"/>
  <c r="AE284" i="7"/>
  <c r="AF284" i="7"/>
  <c r="AG284" i="7"/>
  <c r="AI284" i="7"/>
  <c r="AJ284" i="7"/>
  <c r="AK284" i="7"/>
  <c r="R155" i="7"/>
  <c r="AK287" i="22"/>
  <c r="AJ287" i="22"/>
  <c r="AI287" i="22"/>
  <c r="AG287" i="22"/>
  <c r="AF287" i="22"/>
  <c r="AE287" i="22"/>
  <c r="AH287" i="22"/>
  <c r="AT283" i="7"/>
  <c r="AS283" i="7"/>
  <c r="AR283" i="7"/>
  <c r="AO283" i="7"/>
  <c r="AM284" i="7"/>
  <c r="AQ283" i="7"/>
  <c r="AP283" i="7"/>
  <c r="AN283" i="7"/>
  <c r="H286" i="23"/>
  <c r="H156" i="7"/>
  <c r="H287" i="22"/>
  <c r="I287" i="22"/>
  <c r="I286" i="23"/>
  <c r="J286" i="23"/>
  <c r="J287" i="22"/>
  <c r="C288" i="23"/>
  <c r="F287" i="23"/>
  <c r="E287" i="23"/>
  <c r="D287" i="23"/>
  <c r="G287" i="23"/>
  <c r="AA287" i="23"/>
  <c r="Z287" i="23"/>
  <c r="U288" i="23"/>
  <c r="X287" i="23"/>
  <c r="V287" i="23"/>
  <c r="AB287" i="23"/>
  <c r="W287" i="23"/>
  <c r="Y287" i="23"/>
  <c r="R289" i="23"/>
  <c r="Q289" i="23"/>
  <c r="L290" i="23"/>
  <c r="O289" i="23"/>
  <c r="M289" i="23"/>
  <c r="N289" i="23"/>
  <c r="S289" i="23"/>
  <c r="P289" i="23"/>
  <c r="U289" i="22"/>
  <c r="Z288" i="22"/>
  <c r="AB288" i="22"/>
  <c r="AA288" i="22"/>
  <c r="X288" i="22"/>
  <c r="V288" i="22"/>
  <c r="W288" i="22"/>
  <c r="Y288" i="22"/>
  <c r="F288" i="22"/>
  <c r="E288" i="22"/>
  <c r="C289" i="22"/>
  <c r="D288" i="22"/>
  <c r="G288" i="22"/>
  <c r="L288" i="22"/>
  <c r="S287" i="22"/>
  <c r="R287" i="22"/>
  <c r="O287" i="22"/>
  <c r="M287" i="22"/>
  <c r="Q287" i="22"/>
  <c r="N287" i="22"/>
  <c r="P287" i="22"/>
  <c r="AD288" i="22"/>
  <c r="S155" i="7"/>
  <c r="M156" i="7"/>
  <c r="N156" i="7"/>
  <c r="P156" i="7"/>
  <c r="O156" i="7"/>
  <c r="Q156" i="7" s="1"/>
  <c r="I156" i="7"/>
  <c r="G158" i="7"/>
  <c r="E157" i="7"/>
  <c r="F157" i="7"/>
  <c r="D157" i="7"/>
  <c r="Z157" i="7"/>
  <c r="V157" i="7"/>
  <c r="U158" i="7"/>
  <c r="AB157" i="7"/>
  <c r="W157" i="7"/>
  <c r="X157" i="7"/>
  <c r="Y157" i="7"/>
  <c r="AA157" i="7"/>
  <c r="J156" i="7"/>
  <c r="AR289" i="22" l="1"/>
  <c r="AN289" i="22"/>
  <c r="AM290" i="22"/>
  <c r="AS289" i="22"/>
  <c r="AQ289" i="22"/>
  <c r="AT289" i="22"/>
  <c r="AP289" i="22"/>
  <c r="AO289" i="22"/>
  <c r="AJ289" i="23"/>
  <c r="AG289" i="23"/>
  <c r="AF289" i="23"/>
  <c r="AK289" i="23"/>
  <c r="AI289" i="23"/>
  <c r="AE289" i="23"/>
  <c r="AH289" i="23"/>
  <c r="AD290" i="23"/>
  <c r="AP289" i="23"/>
  <c r="AO289" i="23"/>
  <c r="AT289" i="23"/>
  <c r="AM290" i="23"/>
  <c r="AN289" i="23"/>
  <c r="AS289" i="23"/>
  <c r="AR289" i="23"/>
  <c r="AQ289" i="23"/>
  <c r="AD286" i="7"/>
  <c r="AH285" i="7"/>
  <c r="AE285" i="7"/>
  <c r="AF285" i="7"/>
  <c r="AG285" i="7"/>
  <c r="AI285" i="7"/>
  <c r="AJ285" i="7"/>
  <c r="AK285" i="7"/>
  <c r="AK288" i="22"/>
  <c r="AJ288" i="22"/>
  <c r="AI288" i="22"/>
  <c r="AG288" i="22"/>
  <c r="AF288" i="22"/>
  <c r="AE288" i="22"/>
  <c r="AH288" i="22"/>
  <c r="AT284" i="7"/>
  <c r="AP284" i="7"/>
  <c r="AR284" i="7"/>
  <c r="AN284" i="7"/>
  <c r="AM285" i="7"/>
  <c r="AS284" i="7"/>
  <c r="AQ284" i="7"/>
  <c r="AO284" i="7"/>
  <c r="H157" i="7"/>
  <c r="H288" i="22"/>
  <c r="R156" i="7"/>
  <c r="I288" i="22"/>
  <c r="I287" i="23"/>
  <c r="J287" i="23"/>
  <c r="N290" i="23"/>
  <c r="M290" i="23"/>
  <c r="Q290" i="23"/>
  <c r="S290" i="23"/>
  <c r="O290" i="23"/>
  <c r="L291" i="23"/>
  <c r="R290" i="23"/>
  <c r="P290" i="23"/>
  <c r="W288" i="23"/>
  <c r="V288" i="23"/>
  <c r="X288" i="23"/>
  <c r="AB288" i="23"/>
  <c r="AA288" i="23"/>
  <c r="Z288" i="23"/>
  <c r="U289" i="23"/>
  <c r="Y288" i="23"/>
  <c r="H287" i="23"/>
  <c r="C289" i="23"/>
  <c r="F288" i="23"/>
  <c r="D288" i="23"/>
  <c r="E288" i="23"/>
  <c r="G288" i="23"/>
  <c r="AD289" i="22"/>
  <c r="J288" i="22"/>
  <c r="C290" i="22"/>
  <c r="D289" i="22"/>
  <c r="F289" i="22"/>
  <c r="E289" i="22"/>
  <c r="G289" i="22"/>
  <c r="M288" i="22"/>
  <c r="S288" i="22"/>
  <c r="R288" i="22"/>
  <c r="O288" i="22"/>
  <c r="L289" i="22"/>
  <c r="Q288" i="22"/>
  <c r="N288" i="22"/>
  <c r="P288" i="22"/>
  <c r="AA289" i="22"/>
  <c r="AB289" i="22"/>
  <c r="U290" i="22"/>
  <c r="X289" i="22"/>
  <c r="W289" i="22"/>
  <c r="V289" i="22"/>
  <c r="Z289" i="22"/>
  <c r="Y289" i="22"/>
  <c r="S156" i="7"/>
  <c r="N157" i="7"/>
  <c r="M157" i="7"/>
  <c r="P157" i="7"/>
  <c r="O157" i="7"/>
  <c r="Q157" i="7" s="1"/>
  <c r="I157" i="7"/>
  <c r="J157" i="7"/>
  <c r="Z158" i="7"/>
  <c r="Y158" i="7"/>
  <c r="U159" i="7"/>
  <c r="AA158" i="7"/>
  <c r="AB158" i="7"/>
  <c r="V158" i="7"/>
  <c r="W158" i="7"/>
  <c r="X158" i="7"/>
  <c r="D158" i="7"/>
  <c r="E158" i="7"/>
  <c r="F158" i="7"/>
  <c r="G159" i="7"/>
  <c r="AT290" i="22" l="1"/>
  <c r="AR290" i="22"/>
  <c r="AP290" i="22"/>
  <c r="AN290" i="22"/>
  <c r="AM291" i="22"/>
  <c r="AO290" i="22"/>
  <c r="AS290" i="22"/>
  <c r="AQ290" i="22"/>
  <c r="AD291" i="23"/>
  <c r="AE290" i="23"/>
  <c r="AI290" i="23"/>
  <c r="AF290" i="23"/>
  <c r="AK290" i="23"/>
  <c r="AH290" i="23"/>
  <c r="AJ290" i="23"/>
  <c r="AG290" i="23"/>
  <c r="AN290" i="23"/>
  <c r="AR290" i="23"/>
  <c r="AP290" i="23"/>
  <c r="AM291" i="23"/>
  <c r="AS290" i="23"/>
  <c r="AO290" i="23"/>
  <c r="AT290" i="23"/>
  <c r="AQ290" i="23"/>
  <c r="AD287" i="7"/>
  <c r="AH286" i="7"/>
  <c r="AE286" i="7"/>
  <c r="AF286" i="7"/>
  <c r="AG286" i="7"/>
  <c r="AI286" i="7"/>
  <c r="AJ286" i="7"/>
  <c r="AK286" i="7"/>
  <c r="AK289" i="22"/>
  <c r="AJ289" i="22"/>
  <c r="AI289" i="22"/>
  <c r="AG289" i="22"/>
  <c r="AF289" i="22"/>
  <c r="AE289" i="22"/>
  <c r="AH289" i="22"/>
  <c r="AT285" i="7"/>
  <c r="AN285" i="7"/>
  <c r="AM286" i="7"/>
  <c r="AQ285" i="7"/>
  <c r="AP285" i="7"/>
  <c r="AO285" i="7"/>
  <c r="AS285" i="7"/>
  <c r="AR285" i="7"/>
  <c r="H289" i="22"/>
  <c r="R157" i="7"/>
  <c r="H288" i="23"/>
  <c r="J288" i="23"/>
  <c r="I289" i="22"/>
  <c r="I288" i="23"/>
  <c r="S291" i="23"/>
  <c r="L292" i="23"/>
  <c r="O291" i="23"/>
  <c r="R291" i="23"/>
  <c r="Q291" i="23"/>
  <c r="N291" i="23"/>
  <c r="M291" i="23"/>
  <c r="P291" i="23"/>
  <c r="E289" i="23"/>
  <c r="D289" i="23"/>
  <c r="C290" i="23"/>
  <c r="F289" i="23"/>
  <c r="G289" i="23"/>
  <c r="AB289" i="23"/>
  <c r="U290" i="23"/>
  <c r="X289" i="23"/>
  <c r="W289" i="23"/>
  <c r="V289" i="23"/>
  <c r="AA289" i="23"/>
  <c r="Z289" i="23"/>
  <c r="Y289" i="23"/>
  <c r="J289" i="22"/>
  <c r="L290" i="22"/>
  <c r="M289" i="22"/>
  <c r="S289" i="22"/>
  <c r="R289" i="22"/>
  <c r="Q289" i="22"/>
  <c r="N289" i="22"/>
  <c r="O289" i="22"/>
  <c r="P289" i="22"/>
  <c r="F290" i="22"/>
  <c r="E290" i="22"/>
  <c r="C291" i="22"/>
  <c r="D290" i="22"/>
  <c r="G290" i="22"/>
  <c r="AD290" i="22"/>
  <c r="Z290" i="22"/>
  <c r="X290" i="22"/>
  <c r="W290" i="22"/>
  <c r="U291" i="22"/>
  <c r="AB290" i="22"/>
  <c r="AA290" i="22"/>
  <c r="V290" i="22"/>
  <c r="Y290" i="22"/>
  <c r="S157" i="7"/>
  <c r="N158" i="7"/>
  <c r="M158" i="7"/>
  <c r="P158" i="7"/>
  <c r="O158" i="7"/>
  <c r="J158" i="7"/>
  <c r="I158" i="7"/>
  <c r="H158" i="7"/>
  <c r="Z159" i="7"/>
  <c r="V159" i="7"/>
  <c r="W159" i="7"/>
  <c r="X159" i="7"/>
  <c r="Y159" i="7"/>
  <c r="U160" i="7"/>
  <c r="AA159" i="7"/>
  <c r="AB159" i="7"/>
  <c r="G160" i="7"/>
  <c r="D159" i="7"/>
  <c r="E159" i="7"/>
  <c r="F159" i="7"/>
  <c r="AR291" i="22" l="1"/>
  <c r="AQ291" i="22"/>
  <c r="AM292" i="22"/>
  <c r="AS291" i="22"/>
  <c r="AP291" i="22"/>
  <c r="AN291" i="22"/>
  <c r="AT291" i="22"/>
  <c r="AO291" i="22"/>
  <c r="AG291" i="23"/>
  <c r="AH291" i="23"/>
  <c r="AK291" i="23"/>
  <c r="AI291" i="23"/>
  <c r="AE291" i="23"/>
  <c r="AD292" i="23"/>
  <c r="AJ291" i="23"/>
  <c r="AF291" i="23"/>
  <c r="AP291" i="23"/>
  <c r="AN291" i="23"/>
  <c r="AR291" i="23"/>
  <c r="AO291" i="23"/>
  <c r="AS291" i="23"/>
  <c r="AT291" i="23"/>
  <c r="AM292" i="23"/>
  <c r="AQ291" i="23"/>
  <c r="AD288" i="7"/>
  <c r="AH287" i="7"/>
  <c r="AE287" i="7"/>
  <c r="AF287" i="7"/>
  <c r="AG287" i="7"/>
  <c r="AI287" i="7"/>
  <c r="AJ287" i="7"/>
  <c r="AK287" i="7"/>
  <c r="AK290" i="22"/>
  <c r="AJ290" i="22"/>
  <c r="AI290" i="22"/>
  <c r="AG290" i="22"/>
  <c r="AF290" i="22"/>
  <c r="AE290" i="22"/>
  <c r="AH290" i="22"/>
  <c r="AO286" i="7"/>
  <c r="AN286" i="7"/>
  <c r="AM287" i="7"/>
  <c r="AT286" i="7"/>
  <c r="AS286" i="7"/>
  <c r="AR286" i="7"/>
  <c r="AQ286" i="7"/>
  <c r="AP286" i="7"/>
  <c r="H290" i="22"/>
  <c r="S158" i="7"/>
  <c r="R158" i="7"/>
  <c r="Q158" i="7"/>
  <c r="H289" i="23"/>
  <c r="I290" i="22"/>
  <c r="I289" i="23"/>
  <c r="J290" i="22"/>
  <c r="AA290" i="23"/>
  <c r="Z290" i="23"/>
  <c r="U291" i="23"/>
  <c r="X290" i="23"/>
  <c r="AB290" i="23"/>
  <c r="W290" i="23"/>
  <c r="V290" i="23"/>
  <c r="Y290" i="23"/>
  <c r="J289" i="23"/>
  <c r="C291" i="23"/>
  <c r="D290" i="23"/>
  <c r="F290" i="23"/>
  <c r="E290" i="23"/>
  <c r="G290" i="23"/>
  <c r="R292" i="23"/>
  <c r="Q292" i="23"/>
  <c r="L293" i="23"/>
  <c r="O292" i="23"/>
  <c r="S292" i="23"/>
  <c r="M292" i="23"/>
  <c r="N292" i="23"/>
  <c r="P292" i="23"/>
  <c r="L291" i="22"/>
  <c r="N290" i="22"/>
  <c r="M290" i="22"/>
  <c r="R290" i="22"/>
  <c r="Q290" i="22"/>
  <c r="O290" i="22"/>
  <c r="S290" i="22"/>
  <c r="P290" i="22"/>
  <c r="F291" i="22"/>
  <c r="E291" i="22"/>
  <c r="D291" i="22"/>
  <c r="C292" i="22"/>
  <c r="G291" i="22"/>
  <c r="AD291" i="22"/>
  <c r="U292" i="22"/>
  <c r="Z291" i="22"/>
  <c r="W291" i="22"/>
  <c r="AA291" i="22"/>
  <c r="X291" i="22"/>
  <c r="V291" i="22"/>
  <c r="AB291" i="22"/>
  <c r="Y291" i="22"/>
  <c r="N159" i="7"/>
  <c r="M159" i="7"/>
  <c r="O159" i="7"/>
  <c r="P159" i="7"/>
  <c r="I159" i="7"/>
  <c r="H159" i="7"/>
  <c r="J159" i="7"/>
  <c r="G161" i="7"/>
  <c r="E160" i="7"/>
  <c r="F160" i="7"/>
  <c r="D160" i="7"/>
  <c r="Z160" i="7"/>
  <c r="V160" i="7"/>
  <c r="U161" i="7"/>
  <c r="AB160" i="7"/>
  <c r="W160" i="7"/>
  <c r="X160" i="7"/>
  <c r="Y160" i="7"/>
  <c r="AA160" i="7"/>
  <c r="AN292" i="22" l="1"/>
  <c r="AT292" i="22"/>
  <c r="AQ292" i="22"/>
  <c r="AR292" i="22"/>
  <c r="AO292" i="22"/>
  <c r="AM293" i="22"/>
  <c r="AS292" i="22"/>
  <c r="AP292" i="22"/>
  <c r="AJ292" i="23"/>
  <c r="AE292" i="23"/>
  <c r="AH292" i="23"/>
  <c r="AK292" i="23"/>
  <c r="AI292" i="23"/>
  <c r="AD293" i="23"/>
  <c r="AF292" i="23"/>
  <c r="AG292" i="23"/>
  <c r="AR292" i="23"/>
  <c r="AO292" i="23"/>
  <c r="AM293" i="23"/>
  <c r="AS292" i="23"/>
  <c r="AP292" i="23"/>
  <c r="AN292" i="23"/>
  <c r="AT292" i="23"/>
  <c r="AQ292" i="23"/>
  <c r="AD289" i="7"/>
  <c r="AH288" i="7"/>
  <c r="AE288" i="7"/>
  <c r="AF288" i="7"/>
  <c r="AG288" i="7"/>
  <c r="AI288" i="7"/>
  <c r="AJ288" i="7"/>
  <c r="AK288" i="7"/>
  <c r="AK291" i="22"/>
  <c r="AJ291" i="22"/>
  <c r="AI291" i="22"/>
  <c r="AG291" i="22"/>
  <c r="AF291" i="22"/>
  <c r="AE291" i="22"/>
  <c r="AH291" i="22"/>
  <c r="AN287" i="7"/>
  <c r="AM288" i="7"/>
  <c r="AT287" i="7"/>
  <c r="AS287" i="7"/>
  <c r="AR287" i="7"/>
  <c r="AQ287" i="7"/>
  <c r="AP287" i="7"/>
  <c r="AO287" i="7"/>
  <c r="R159" i="7"/>
  <c r="Q159" i="7"/>
  <c r="S159" i="7"/>
  <c r="H290" i="23"/>
  <c r="I290" i="23"/>
  <c r="I291" i="22"/>
  <c r="J291" i="22"/>
  <c r="J290" i="23"/>
  <c r="N293" i="23"/>
  <c r="M293" i="23"/>
  <c r="R293" i="23"/>
  <c r="S293" i="23"/>
  <c r="O293" i="23"/>
  <c r="L294" i="23"/>
  <c r="Q293" i="23"/>
  <c r="P293" i="23"/>
  <c r="W291" i="23"/>
  <c r="V291" i="23"/>
  <c r="AA291" i="23"/>
  <c r="Z291" i="23"/>
  <c r="X291" i="23"/>
  <c r="AB291" i="23"/>
  <c r="U292" i="23"/>
  <c r="Y291" i="23"/>
  <c r="C292" i="23"/>
  <c r="F291" i="23"/>
  <c r="D291" i="23"/>
  <c r="E291" i="23"/>
  <c r="G291" i="23"/>
  <c r="C293" i="22"/>
  <c r="D292" i="22"/>
  <c r="E292" i="22"/>
  <c r="F292" i="22"/>
  <c r="G292" i="22"/>
  <c r="W292" i="22"/>
  <c r="V292" i="22"/>
  <c r="AB292" i="22"/>
  <c r="X292" i="22"/>
  <c r="U293" i="22"/>
  <c r="AA292" i="22"/>
  <c r="Z292" i="22"/>
  <c r="Y292" i="22"/>
  <c r="H291" i="22"/>
  <c r="AD292" i="22"/>
  <c r="O291" i="22"/>
  <c r="S291" i="22"/>
  <c r="L292" i="22"/>
  <c r="R291" i="22"/>
  <c r="Q291" i="22"/>
  <c r="M291" i="22"/>
  <c r="N291" i="22"/>
  <c r="P291" i="22"/>
  <c r="H160" i="7"/>
  <c r="P160" i="7"/>
  <c r="N160" i="7"/>
  <c r="M160" i="7"/>
  <c r="O160" i="7"/>
  <c r="I160" i="7"/>
  <c r="J160" i="7"/>
  <c r="Z161" i="7"/>
  <c r="Y161" i="7"/>
  <c r="U162" i="7"/>
  <c r="AA161" i="7"/>
  <c r="AB161" i="7"/>
  <c r="V161" i="7"/>
  <c r="W161" i="7"/>
  <c r="X161" i="7"/>
  <c r="D161" i="7"/>
  <c r="E161" i="7"/>
  <c r="F161" i="7"/>
  <c r="G162" i="7"/>
  <c r="AM294" i="22" l="1"/>
  <c r="AR293" i="22"/>
  <c r="AP293" i="22"/>
  <c r="AS293" i="22"/>
  <c r="AQ293" i="22"/>
  <c r="AN293" i="22"/>
  <c r="AT293" i="22"/>
  <c r="AO293" i="22"/>
  <c r="AJ293" i="23"/>
  <c r="AH293" i="23"/>
  <c r="AK293" i="23"/>
  <c r="AF293" i="23"/>
  <c r="AG293" i="23"/>
  <c r="AI293" i="23"/>
  <c r="AE293" i="23"/>
  <c r="AD294" i="23"/>
  <c r="AS293" i="23"/>
  <c r="AN293" i="23"/>
  <c r="AT293" i="23"/>
  <c r="AQ293" i="23"/>
  <c r="AO293" i="23"/>
  <c r="AM294" i="23"/>
  <c r="AR293" i="23"/>
  <c r="AP293" i="23"/>
  <c r="AD290" i="7"/>
  <c r="AH289" i="7"/>
  <c r="AE289" i="7"/>
  <c r="AF289" i="7"/>
  <c r="AG289" i="7"/>
  <c r="AI289" i="7"/>
  <c r="AJ289" i="7"/>
  <c r="AK289" i="7"/>
  <c r="AK292" i="22"/>
  <c r="AJ292" i="22"/>
  <c r="AI292" i="22"/>
  <c r="AG292" i="22"/>
  <c r="AF292" i="22"/>
  <c r="AE292" i="22"/>
  <c r="AH292" i="22"/>
  <c r="AM289" i="7"/>
  <c r="AS288" i="7"/>
  <c r="AR288" i="7"/>
  <c r="AP288" i="7"/>
  <c r="AT288" i="7"/>
  <c r="AQ288" i="7"/>
  <c r="AO288" i="7"/>
  <c r="AN288" i="7"/>
  <c r="H291" i="23"/>
  <c r="S160" i="7"/>
  <c r="Q160" i="7"/>
  <c r="R160" i="7"/>
  <c r="I291" i="23"/>
  <c r="J292" i="22"/>
  <c r="I292" i="22"/>
  <c r="H161" i="7"/>
  <c r="J291" i="23"/>
  <c r="AB292" i="23"/>
  <c r="U293" i="23"/>
  <c r="AA292" i="23"/>
  <c r="Z292" i="23"/>
  <c r="X292" i="23"/>
  <c r="W292" i="23"/>
  <c r="V292" i="23"/>
  <c r="Y292" i="23"/>
  <c r="S294" i="23"/>
  <c r="L295" i="23"/>
  <c r="R294" i="23"/>
  <c r="Q294" i="23"/>
  <c r="M294" i="23"/>
  <c r="N294" i="23"/>
  <c r="O294" i="23"/>
  <c r="P294" i="23"/>
  <c r="E292" i="23"/>
  <c r="D292" i="23"/>
  <c r="F292" i="23"/>
  <c r="C293" i="23"/>
  <c r="G292" i="23"/>
  <c r="R292" i="22"/>
  <c r="L293" i="22"/>
  <c r="Q292" i="22"/>
  <c r="N292" i="22"/>
  <c r="O292" i="22"/>
  <c r="M292" i="22"/>
  <c r="S292" i="22"/>
  <c r="P292" i="22"/>
  <c r="H292" i="22"/>
  <c r="AD293" i="22"/>
  <c r="X293" i="22"/>
  <c r="U294" i="22"/>
  <c r="V293" i="22"/>
  <c r="AB293" i="22"/>
  <c r="Z293" i="22"/>
  <c r="AA293" i="22"/>
  <c r="W293" i="22"/>
  <c r="Y293" i="22"/>
  <c r="C294" i="22"/>
  <c r="F293" i="22"/>
  <c r="E293" i="22"/>
  <c r="D293" i="22"/>
  <c r="G293" i="22"/>
  <c r="P161" i="7"/>
  <c r="O161" i="7"/>
  <c r="N161" i="7"/>
  <c r="M161" i="7"/>
  <c r="J161" i="7"/>
  <c r="I161" i="7"/>
  <c r="G163" i="7"/>
  <c r="D162" i="7"/>
  <c r="E162" i="7"/>
  <c r="F162" i="7"/>
  <c r="Z162" i="7"/>
  <c r="Y162" i="7"/>
  <c r="V162" i="7"/>
  <c r="W162" i="7"/>
  <c r="X162" i="7"/>
  <c r="U163" i="7"/>
  <c r="AA162" i="7"/>
  <c r="AB162" i="7"/>
  <c r="AT294" i="22" l="1"/>
  <c r="AP294" i="22"/>
  <c r="AM295" i="22"/>
  <c r="AS294" i="22"/>
  <c r="AQ294" i="22"/>
  <c r="AN294" i="22"/>
  <c r="AR294" i="22"/>
  <c r="AO294" i="22"/>
  <c r="AJ294" i="23"/>
  <c r="AI294" i="23"/>
  <c r="AF294" i="23"/>
  <c r="AE294" i="23"/>
  <c r="AK294" i="23"/>
  <c r="AG294" i="23"/>
  <c r="AD295" i="23"/>
  <c r="AH294" i="23"/>
  <c r="AM295" i="23"/>
  <c r="AT294" i="23"/>
  <c r="AQ294" i="23"/>
  <c r="AS294" i="23"/>
  <c r="AR294" i="23"/>
  <c r="AP294" i="23"/>
  <c r="AN294" i="23"/>
  <c r="AO294" i="23"/>
  <c r="AD291" i="7"/>
  <c r="AH290" i="7"/>
  <c r="AE290" i="7"/>
  <c r="AF290" i="7"/>
  <c r="AG290" i="7"/>
  <c r="AI290" i="7"/>
  <c r="AJ290" i="7"/>
  <c r="AK290" i="7"/>
  <c r="AK293" i="22"/>
  <c r="AJ293" i="22"/>
  <c r="AI293" i="22"/>
  <c r="AG293" i="22"/>
  <c r="AF293" i="22"/>
  <c r="AE293" i="22"/>
  <c r="AH293" i="22"/>
  <c r="AM290" i="7"/>
  <c r="AS289" i="7"/>
  <c r="AP289" i="7"/>
  <c r="AT289" i="7"/>
  <c r="AR289" i="7"/>
  <c r="AO289" i="7"/>
  <c r="AQ289" i="7"/>
  <c r="AN289" i="7"/>
  <c r="Q161" i="7"/>
  <c r="R161" i="7"/>
  <c r="S161" i="7"/>
  <c r="H162" i="7"/>
  <c r="I162" i="7"/>
  <c r="H293" i="22"/>
  <c r="I293" i="22"/>
  <c r="J293" i="22"/>
  <c r="J292" i="23"/>
  <c r="I292" i="23"/>
  <c r="C294" i="23"/>
  <c r="F293" i="23"/>
  <c r="E293" i="23"/>
  <c r="D293" i="23"/>
  <c r="G293" i="23"/>
  <c r="H292" i="23"/>
  <c r="R295" i="23"/>
  <c r="Q295" i="23"/>
  <c r="L296" i="23"/>
  <c r="O295" i="23"/>
  <c r="S295" i="23"/>
  <c r="N295" i="23"/>
  <c r="M295" i="23"/>
  <c r="P295" i="23"/>
  <c r="AA293" i="23"/>
  <c r="Z293" i="23"/>
  <c r="U294" i="23"/>
  <c r="X293" i="23"/>
  <c r="AB293" i="23"/>
  <c r="W293" i="23"/>
  <c r="V293" i="23"/>
  <c r="Y293" i="23"/>
  <c r="F294" i="22"/>
  <c r="E294" i="22"/>
  <c r="D294" i="22"/>
  <c r="C295" i="22"/>
  <c r="G294" i="22"/>
  <c r="AD294" i="22"/>
  <c r="L294" i="22"/>
  <c r="M293" i="22"/>
  <c r="N293" i="22"/>
  <c r="Q293" i="22"/>
  <c r="S293" i="22"/>
  <c r="R293" i="22"/>
  <c r="O293" i="22"/>
  <c r="P293" i="22"/>
  <c r="U295" i="22"/>
  <c r="W294" i="22"/>
  <c r="AA294" i="22"/>
  <c r="Z294" i="22"/>
  <c r="X294" i="22"/>
  <c r="V294" i="22"/>
  <c r="AB294" i="22"/>
  <c r="Y294" i="22"/>
  <c r="N162" i="7"/>
  <c r="O162" i="7"/>
  <c r="P162" i="7"/>
  <c r="M162" i="7"/>
  <c r="Z163" i="7"/>
  <c r="V163" i="7"/>
  <c r="W163" i="7"/>
  <c r="X163" i="7"/>
  <c r="Y163" i="7"/>
  <c r="U164" i="7"/>
  <c r="AA163" i="7"/>
  <c r="AB163" i="7"/>
  <c r="G164" i="7"/>
  <c r="E163" i="7"/>
  <c r="F163" i="7"/>
  <c r="D163" i="7"/>
  <c r="J162" i="7"/>
  <c r="AT295" i="22" l="1"/>
  <c r="AP295" i="22"/>
  <c r="AN295" i="22"/>
  <c r="AR295" i="22"/>
  <c r="AO295" i="22"/>
  <c r="AM296" i="22"/>
  <c r="AS295" i="22"/>
  <c r="AQ295" i="22"/>
  <c r="AH295" i="23"/>
  <c r="AD296" i="23"/>
  <c r="AK295" i="23"/>
  <c r="AG295" i="23"/>
  <c r="AJ295" i="23"/>
  <c r="AE295" i="23"/>
  <c r="AI295" i="23"/>
  <c r="AF295" i="23"/>
  <c r="AQ295" i="23"/>
  <c r="AR295" i="23"/>
  <c r="AT295" i="23"/>
  <c r="AN295" i="23"/>
  <c r="AM296" i="23"/>
  <c r="AO295" i="23"/>
  <c r="AP295" i="23"/>
  <c r="AS295" i="23"/>
  <c r="AD292" i="7"/>
  <c r="AH291" i="7"/>
  <c r="AE291" i="7"/>
  <c r="AF291" i="7"/>
  <c r="AG291" i="7"/>
  <c r="AI291" i="7"/>
  <c r="AJ291" i="7"/>
  <c r="AK291" i="7"/>
  <c r="AK294" i="22"/>
  <c r="AJ294" i="22"/>
  <c r="AI294" i="22"/>
  <c r="AG294" i="22"/>
  <c r="AF294" i="22"/>
  <c r="AE294" i="22"/>
  <c r="AH294" i="22"/>
  <c r="AN290" i="7"/>
  <c r="AM291" i="7"/>
  <c r="AT290" i="7"/>
  <c r="AS290" i="7"/>
  <c r="AR290" i="7"/>
  <c r="AQ290" i="7"/>
  <c r="AP290" i="7"/>
  <c r="AO290" i="7"/>
  <c r="Q162" i="7"/>
  <c r="R162" i="7"/>
  <c r="S162" i="7"/>
  <c r="H294" i="22"/>
  <c r="H163" i="7"/>
  <c r="J294" i="22"/>
  <c r="I293" i="23"/>
  <c r="J293" i="23"/>
  <c r="H293" i="23"/>
  <c r="C295" i="23"/>
  <c r="F294" i="23"/>
  <c r="E294" i="23"/>
  <c r="D294" i="23"/>
  <c r="G294" i="23"/>
  <c r="W294" i="23"/>
  <c r="V294" i="23"/>
  <c r="AB294" i="23"/>
  <c r="AA294" i="23"/>
  <c r="Z294" i="23"/>
  <c r="X294" i="23"/>
  <c r="U295" i="23"/>
  <c r="Y294" i="23"/>
  <c r="N296" i="23"/>
  <c r="M296" i="23"/>
  <c r="L297" i="23"/>
  <c r="S296" i="23"/>
  <c r="R296" i="23"/>
  <c r="Q296" i="23"/>
  <c r="O296" i="23"/>
  <c r="P296" i="23"/>
  <c r="I294" i="22"/>
  <c r="C296" i="22"/>
  <c r="E295" i="22"/>
  <c r="F295" i="22"/>
  <c r="D295" i="22"/>
  <c r="G295" i="22"/>
  <c r="W295" i="22"/>
  <c r="AB295" i="22"/>
  <c r="X295" i="22"/>
  <c r="V295" i="22"/>
  <c r="U296" i="22"/>
  <c r="Z295" i="22"/>
  <c r="AA295" i="22"/>
  <c r="Y295" i="22"/>
  <c r="L295" i="22"/>
  <c r="S294" i="22"/>
  <c r="O294" i="22"/>
  <c r="R294" i="22"/>
  <c r="M294" i="22"/>
  <c r="N294" i="22"/>
  <c r="Q294" i="22"/>
  <c r="P294" i="22"/>
  <c r="AD295" i="22"/>
  <c r="N163" i="7"/>
  <c r="M163" i="7"/>
  <c r="P163" i="7"/>
  <c r="O163" i="7"/>
  <c r="I163" i="7"/>
  <c r="J163" i="7"/>
  <c r="D164" i="7"/>
  <c r="E164" i="7"/>
  <c r="F164" i="7"/>
  <c r="G165" i="7"/>
  <c r="Z164" i="7"/>
  <c r="AB164" i="7"/>
  <c r="U165" i="7"/>
  <c r="Y164" i="7"/>
  <c r="V164" i="7"/>
  <c r="W164" i="7"/>
  <c r="X164" i="7"/>
  <c r="AA164" i="7"/>
  <c r="AO296" i="22" l="1"/>
  <c r="AT296" i="22"/>
  <c r="AR296" i="22"/>
  <c r="AP296" i="22"/>
  <c r="AN296" i="22"/>
  <c r="AM297" i="22"/>
  <c r="AS296" i="22"/>
  <c r="AQ296" i="22"/>
  <c r="AD297" i="23"/>
  <c r="AG296" i="23"/>
  <c r="AK296" i="23"/>
  <c r="AF296" i="23"/>
  <c r="AI296" i="23"/>
  <c r="AJ296" i="23"/>
  <c r="AE296" i="23"/>
  <c r="AH296" i="23"/>
  <c r="AR296" i="23"/>
  <c r="AN296" i="23"/>
  <c r="AT296" i="23"/>
  <c r="AQ296" i="23"/>
  <c r="AM297" i="23"/>
  <c r="AS296" i="23"/>
  <c r="AP296" i="23"/>
  <c r="AO296" i="23"/>
  <c r="AD293" i="7"/>
  <c r="AH292" i="7"/>
  <c r="AE292" i="7"/>
  <c r="AF292" i="7"/>
  <c r="AG292" i="7"/>
  <c r="AI292" i="7"/>
  <c r="AJ292" i="7"/>
  <c r="AK292" i="7"/>
  <c r="AK295" i="22"/>
  <c r="AJ295" i="22"/>
  <c r="AI295" i="22"/>
  <c r="AG295" i="22"/>
  <c r="AF295" i="22"/>
  <c r="AE295" i="22"/>
  <c r="AH295" i="22"/>
  <c r="AQ291" i="7"/>
  <c r="AO291" i="7"/>
  <c r="AM292" i="7"/>
  <c r="AS291" i="7"/>
  <c r="AR291" i="7"/>
  <c r="AP291" i="7"/>
  <c r="AN291" i="7"/>
  <c r="AT291" i="7"/>
  <c r="Q163" i="7"/>
  <c r="R163" i="7"/>
  <c r="S163" i="7"/>
  <c r="H164" i="7"/>
  <c r="H294" i="23"/>
  <c r="J295" i="22"/>
  <c r="I294" i="23"/>
  <c r="I295" i="22"/>
  <c r="AB295" i="23"/>
  <c r="U296" i="23"/>
  <c r="AA295" i="23"/>
  <c r="V295" i="23"/>
  <c r="Z295" i="23"/>
  <c r="X295" i="23"/>
  <c r="W295" i="23"/>
  <c r="Y295" i="23"/>
  <c r="J294" i="23"/>
  <c r="L298" i="23"/>
  <c r="S297" i="23"/>
  <c r="M297" i="23"/>
  <c r="R297" i="23"/>
  <c r="O297" i="23"/>
  <c r="Q297" i="23"/>
  <c r="N297" i="23"/>
  <c r="P297" i="23"/>
  <c r="E295" i="23"/>
  <c r="D295" i="23"/>
  <c r="C296" i="23"/>
  <c r="F295" i="23"/>
  <c r="G295" i="23"/>
  <c r="S295" i="22"/>
  <c r="R295" i="22"/>
  <c r="L296" i="22"/>
  <c r="Q295" i="22"/>
  <c r="N295" i="22"/>
  <c r="O295" i="22"/>
  <c r="M295" i="22"/>
  <c r="P295" i="22"/>
  <c r="H295" i="22"/>
  <c r="U297" i="22"/>
  <c r="V296" i="22"/>
  <c r="AB296" i="22"/>
  <c r="AA296" i="22"/>
  <c r="Z296" i="22"/>
  <c r="W296" i="22"/>
  <c r="X296" i="22"/>
  <c r="Y296" i="22"/>
  <c r="E296" i="22"/>
  <c r="C297" i="22"/>
  <c r="D296" i="22"/>
  <c r="F296" i="22"/>
  <c r="G296" i="22"/>
  <c r="AD296" i="22"/>
  <c r="M164" i="7"/>
  <c r="P164" i="7"/>
  <c r="N164" i="7"/>
  <c r="O164" i="7"/>
  <c r="I164" i="7"/>
  <c r="Z165" i="7"/>
  <c r="W165" i="7"/>
  <c r="X165" i="7"/>
  <c r="Y165" i="7"/>
  <c r="U166" i="7"/>
  <c r="AA165" i="7"/>
  <c r="AB165" i="7"/>
  <c r="V165" i="7"/>
  <c r="J164" i="7"/>
  <c r="G166" i="7"/>
  <c r="D165" i="7"/>
  <c r="E165" i="7"/>
  <c r="F165" i="7"/>
  <c r="AT297" i="22" l="1"/>
  <c r="AS297" i="22"/>
  <c r="AM298" i="22"/>
  <c r="AQ297" i="22"/>
  <c r="AN297" i="22"/>
  <c r="AR297" i="22"/>
  <c r="AP297" i="22"/>
  <c r="AO297" i="22"/>
  <c r="AI297" i="23"/>
  <c r="AF297" i="23"/>
  <c r="AK297" i="23"/>
  <c r="AG297" i="23"/>
  <c r="AH297" i="23"/>
  <c r="AE297" i="23"/>
  <c r="AD298" i="23"/>
  <c r="AJ297" i="23"/>
  <c r="AP297" i="23"/>
  <c r="AN297" i="23"/>
  <c r="AT297" i="23"/>
  <c r="AQ297" i="23"/>
  <c r="AS297" i="23"/>
  <c r="AM298" i="23"/>
  <c r="AR297" i="23"/>
  <c r="AO297" i="23"/>
  <c r="AD294" i="7"/>
  <c r="AH293" i="7"/>
  <c r="AE293" i="7"/>
  <c r="AF293" i="7"/>
  <c r="AG293" i="7"/>
  <c r="AI293" i="7"/>
  <c r="AJ293" i="7"/>
  <c r="AK293" i="7"/>
  <c r="AK296" i="22"/>
  <c r="AJ296" i="22"/>
  <c r="AI296" i="22"/>
  <c r="AG296" i="22"/>
  <c r="AF296" i="22"/>
  <c r="AE296" i="22"/>
  <c r="AH296" i="22"/>
  <c r="AT292" i="7"/>
  <c r="AR292" i="7"/>
  <c r="AN292" i="7"/>
  <c r="AQ292" i="7"/>
  <c r="AM293" i="7"/>
  <c r="AS292" i="7"/>
  <c r="AP292" i="7"/>
  <c r="AO292" i="7"/>
  <c r="H165" i="7"/>
  <c r="R164" i="7"/>
  <c r="S164" i="7"/>
  <c r="H295" i="23"/>
  <c r="I296" i="22"/>
  <c r="H296" i="22"/>
  <c r="I295" i="23"/>
  <c r="J296" i="22"/>
  <c r="J295" i="23"/>
  <c r="C297" i="23"/>
  <c r="F296" i="23"/>
  <c r="E296" i="23"/>
  <c r="D296" i="23"/>
  <c r="G296" i="23"/>
  <c r="M298" i="23"/>
  <c r="S298" i="23"/>
  <c r="L299" i="23"/>
  <c r="R298" i="23"/>
  <c r="Q298" i="23"/>
  <c r="N298" i="23"/>
  <c r="O298" i="23"/>
  <c r="P298" i="23"/>
  <c r="AA296" i="23"/>
  <c r="Z296" i="23"/>
  <c r="U297" i="23"/>
  <c r="X296" i="23"/>
  <c r="V296" i="23"/>
  <c r="W296" i="23"/>
  <c r="AB296" i="23"/>
  <c r="Y296" i="23"/>
  <c r="U298" i="22"/>
  <c r="AA297" i="22"/>
  <c r="Z297" i="22"/>
  <c r="X297" i="22"/>
  <c r="W297" i="22"/>
  <c r="V297" i="22"/>
  <c r="AB297" i="22"/>
  <c r="Y297" i="22"/>
  <c r="AD297" i="22"/>
  <c r="F297" i="22"/>
  <c r="C298" i="22"/>
  <c r="D297" i="22"/>
  <c r="E297" i="22"/>
  <c r="G297" i="22"/>
  <c r="L297" i="22"/>
  <c r="S296" i="22"/>
  <c r="R296" i="22"/>
  <c r="M296" i="22"/>
  <c r="O296" i="22"/>
  <c r="Q296" i="22"/>
  <c r="N296" i="22"/>
  <c r="P296" i="22"/>
  <c r="Q164" i="7"/>
  <c r="O165" i="7"/>
  <c r="N165" i="7"/>
  <c r="P165" i="7"/>
  <c r="M165" i="7"/>
  <c r="I165" i="7"/>
  <c r="G167" i="7"/>
  <c r="E166" i="7"/>
  <c r="F166" i="7"/>
  <c r="D166" i="7"/>
  <c r="J165" i="7"/>
  <c r="X166" i="7"/>
  <c r="U167" i="7"/>
  <c r="Y166" i="7"/>
  <c r="Z166" i="7"/>
  <c r="AA166" i="7"/>
  <c r="AB166" i="7"/>
  <c r="V166" i="7"/>
  <c r="W166" i="7"/>
  <c r="AM299" i="22" l="1"/>
  <c r="AT298" i="22"/>
  <c r="AR298" i="22"/>
  <c r="AQ298" i="22"/>
  <c r="AN298" i="22"/>
  <c r="AS298" i="22"/>
  <c r="AP298" i="22"/>
  <c r="AO298" i="22"/>
  <c r="AD299" i="23"/>
  <c r="AI298" i="23"/>
  <c r="AF298" i="23"/>
  <c r="AJ298" i="23"/>
  <c r="AG298" i="23"/>
  <c r="AE298" i="23"/>
  <c r="AK298" i="23"/>
  <c r="AH298" i="23"/>
  <c r="AN298" i="23"/>
  <c r="AO298" i="23"/>
  <c r="AQ298" i="23"/>
  <c r="AS298" i="23"/>
  <c r="AM299" i="23"/>
  <c r="AT298" i="23"/>
  <c r="AP298" i="23"/>
  <c r="AR298" i="23"/>
  <c r="AD295" i="7"/>
  <c r="AH294" i="7"/>
  <c r="AE294" i="7"/>
  <c r="AF294" i="7"/>
  <c r="AG294" i="7"/>
  <c r="AI294" i="7"/>
  <c r="AJ294" i="7"/>
  <c r="AK294" i="7"/>
  <c r="AK297" i="22"/>
  <c r="AJ297" i="22"/>
  <c r="AI297" i="22"/>
  <c r="AG297" i="22"/>
  <c r="AF297" i="22"/>
  <c r="AE297" i="22"/>
  <c r="AH297" i="22"/>
  <c r="AM294" i="7"/>
  <c r="AN293" i="7"/>
  <c r="AT293" i="7"/>
  <c r="AS293" i="7"/>
  <c r="AR293" i="7"/>
  <c r="AQ293" i="7"/>
  <c r="AP293" i="7"/>
  <c r="AO293" i="7"/>
  <c r="H166" i="7"/>
  <c r="Q165" i="7"/>
  <c r="R165" i="7"/>
  <c r="I297" i="22"/>
  <c r="H297" i="22"/>
  <c r="J297" i="22"/>
  <c r="I296" i="23"/>
  <c r="J296" i="23"/>
  <c r="U298" i="23"/>
  <c r="W297" i="23"/>
  <c r="V297" i="23"/>
  <c r="AB297" i="23"/>
  <c r="AA297" i="23"/>
  <c r="Z297" i="23"/>
  <c r="X297" i="23"/>
  <c r="Y297" i="23"/>
  <c r="H296" i="23"/>
  <c r="S299" i="23"/>
  <c r="Q299" i="23"/>
  <c r="L300" i="23"/>
  <c r="O299" i="23"/>
  <c r="M299" i="23"/>
  <c r="R299" i="23"/>
  <c r="N299" i="23"/>
  <c r="P299" i="23"/>
  <c r="F297" i="23"/>
  <c r="C298" i="23"/>
  <c r="E297" i="23"/>
  <c r="D297" i="23"/>
  <c r="G297" i="23"/>
  <c r="AD298" i="22"/>
  <c r="R297" i="22"/>
  <c r="M297" i="22"/>
  <c r="L298" i="22"/>
  <c r="S297" i="22"/>
  <c r="O297" i="22"/>
  <c r="Q297" i="22"/>
  <c r="N297" i="22"/>
  <c r="P297" i="22"/>
  <c r="C299" i="22"/>
  <c r="E298" i="22"/>
  <c r="D298" i="22"/>
  <c r="F298" i="22"/>
  <c r="G298" i="22"/>
  <c r="V298" i="22"/>
  <c r="AB298" i="22"/>
  <c r="X298" i="22"/>
  <c r="AA298" i="22"/>
  <c r="Z298" i="22"/>
  <c r="U299" i="22"/>
  <c r="W298" i="22"/>
  <c r="Y298" i="22"/>
  <c r="S165" i="7"/>
  <c r="M166" i="7"/>
  <c r="O166" i="7"/>
  <c r="N166" i="7"/>
  <c r="P166" i="7"/>
  <c r="I166" i="7"/>
  <c r="J166" i="7"/>
  <c r="D167" i="7"/>
  <c r="E167" i="7"/>
  <c r="F167" i="7"/>
  <c r="G168" i="7"/>
  <c r="W167" i="7"/>
  <c r="Y167" i="7"/>
  <c r="V167" i="7"/>
  <c r="X167" i="7"/>
  <c r="Z167" i="7"/>
  <c r="U168" i="7"/>
  <c r="AA167" i="7"/>
  <c r="AB167" i="7"/>
  <c r="AT299" i="22" l="1"/>
  <c r="AP299" i="22"/>
  <c r="AO299" i="22"/>
  <c r="AN299" i="22"/>
  <c r="AM300" i="22"/>
  <c r="AS299" i="22"/>
  <c r="AR299" i="22"/>
  <c r="AQ299" i="22"/>
  <c r="AD300" i="23"/>
  <c r="AJ299" i="23"/>
  <c r="AH299" i="23"/>
  <c r="AE299" i="23"/>
  <c r="AG299" i="23"/>
  <c r="AK299" i="23"/>
  <c r="AI299" i="23"/>
  <c r="AF299" i="23"/>
  <c r="AM300" i="23"/>
  <c r="AR299" i="23"/>
  <c r="AN299" i="23"/>
  <c r="AS299" i="23"/>
  <c r="AQ299" i="23"/>
  <c r="AO299" i="23"/>
  <c r="AT299" i="23"/>
  <c r="AP299" i="23"/>
  <c r="AD296" i="7"/>
  <c r="AH295" i="7"/>
  <c r="AE295" i="7"/>
  <c r="AF295" i="7"/>
  <c r="AG295" i="7"/>
  <c r="AI295" i="7"/>
  <c r="AJ295" i="7"/>
  <c r="AK295" i="7"/>
  <c r="AK298" i="22"/>
  <c r="AJ298" i="22"/>
  <c r="AI298" i="22"/>
  <c r="AG298" i="22"/>
  <c r="AF298" i="22"/>
  <c r="AE298" i="22"/>
  <c r="AH298" i="22"/>
  <c r="AM295" i="7"/>
  <c r="AS294" i="7"/>
  <c r="AR294" i="7"/>
  <c r="AP294" i="7"/>
  <c r="AN294" i="7"/>
  <c r="AT294" i="7"/>
  <c r="AQ294" i="7"/>
  <c r="AO294" i="7"/>
  <c r="H167" i="7"/>
  <c r="Q166" i="7"/>
  <c r="R166" i="7"/>
  <c r="J298" i="22"/>
  <c r="I298" i="22"/>
  <c r="I297" i="23"/>
  <c r="H297" i="23"/>
  <c r="C299" i="23"/>
  <c r="F298" i="23"/>
  <c r="E298" i="23"/>
  <c r="D298" i="23"/>
  <c r="G298" i="23"/>
  <c r="J297" i="23"/>
  <c r="L301" i="23"/>
  <c r="O300" i="23"/>
  <c r="M300" i="23"/>
  <c r="S300" i="23"/>
  <c r="R300" i="23"/>
  <c r="Q300" i="23"/>
  <c r="N300" i="23"/>
  <c r="P300" i="23"/>
  <c r="U299" i="23"/>
  <c r="X298" i="23"/>
  <c r="V298" i="23"/>
  <c r="AB298" i="23"/>
  <c r="AA298" i="23"/>
  <c r="W298" i="23"/>
  <c r="Z298" i="23"/>
  <c r="Y298" i="23"/>
  <c r="AD299" i="22"/>
  <c r="H298" i="22"/>
  <c r="S298" i="22"/>
  <c r="Q298" i="22"/>
  <c r="L299" i="22"/>
  <c r="R298" i="22"/>
  <c r="O298" i="22"/>
  <c r="N298" i="22"/>
  <c r="M298" i="22"/>
  <c r="P298" i="22"/>
  <c r="E299" i="22"/>
  <c r="C300" i="22"/>
  <c r="D299" i="22"/>
  <c r="F299" i="22"/>
  <c r="G299" i="22"/>
  <c r="AB299" i="22"/>
  <c r="W299" i="22"/>
  <c r="V299" i="22"/>
  <c r="U300" i="22"/>
  <c r="Z299" i="22"/>
  <c r="AA299" i="22"/>
  <c r="X299" i="22"/>
  <c r="Y299" i="22"/>
  <c r="S166" i="7"/>
  <c r="N167" i="7"/>
  <c r="O167" i="7"/>
  <c r="M167" i="7"/>
  <c r="P167" i="7"/>
  <c r="I167" i="7"/>
  <c r="J167" i="7"/>
  <c r="G169" i="7"/>
  <c r="D168" i="7"/>
  <c r="E168" i="7"/>
  <c r="F168" i="7"/>
  <c r="Y168" i="7"/>
  <c r="Z168" i="7"/>
  <c r="AB168" i="7"/>
  <c r="V168" i="7"/>
  <c r="W168" i="7"/>
  <c r="U169" i="7"/>
  <c r="X168" i="7"/>
  <c r="AA168" i="7"/>
  <c r="AQ300" i="22" l="1"/>
  <c r="AM301" i="22"/>
  <c r="AT300" i="22"/>
  <c r="AS300" i="22"/>
  <c r="AR300" i="22"/>
  <c r="AP300" i="22"/>
  <c r="AO300" i="22"/>
  <c r="AN300" i="22"/>
  <c r="AH300" i="23"/>
  <c r="AK300" i="23"/>
  <c r="AE300" i="23"/>
  <c r="AD301" i="23"/>
  <c r="AI300" i="23"/>
  <c r="AF300" i="23"/>
  <c r="AJ300" i="23"/>
  <c r="AG300" i="23"/>
  <c r="AR300" i="23"/>
  <c r="AN300" i="23"/>
  <c r="AM301" i="23"/>
  <c r="AS300" i="23"/>
  <c r="AQ300" i="23"/>
  <c r="AT300" i="23"/>
  <c r="AO300" i="23"/>
  <c r="AP300" i="23"/>
  <c r="AD297" i="7"/>
  <c r="AH296" i="7"/>
  <c r="AE296" i="7"/>
  <c r="AF296" i="7"/>
  <c r="AG296" i="7"/>
  <c r="AI296" i="7"/>
  <c r="AJ296" i="7"/>
  <c r="AK296" i="7"/>
  <c r="AK299" i="22"/>
  <c r="AJ299" i="22"/>
  <c r="AI299" i="22"/>
  <c r="AG299" i="22"/>
  <c r="AF299" i="22"/>
  <c r="AE299" i="22"/>
  <c r="AH299" i="22"/>
  <c r="AT295" i="7"/>
  <c r="AS295" i="7"/>
  <c r="AR295" i="7"/>
  <c r="AP295" i="7"/>
  <c r="AO295" i="7"/>
  <c r="AN295" i="7"/>
  <c r="AM296" i="7"/>
  <c r="AQ295" i="7"/>
  <c r="H168" i="7"/>
  <c r="S167" i="7"/>
  <c r="R167" i="7"/>
  <c r="Q167" i="7"/>
  <c r="J299" i="22"/>
  <c r="I299" i="22"/>
  <c r="H299" i="22"/>
  <c r="J298" i="23"/>
  <c r="I298" i="23"/>
  <c r="C300" i="23"/>
  <c r="F299" i="23"/>
  <c r="D299" i="23"/>
  <c r="E299" i="23"/>
  <c r="G299" i="23"/>
  <c r="Q301" i="23"/>
  <c r="O301" i="23"/>
  <c r="N301" i="23"/>
  <c r="L302" i="23"/>
  <c r="S301" i="23"/>
  <c r="R301" i="23"/>
  <c r="M301" i="23"/>
  <c r="P301" i="23"/>
  <c r="H298" i="23"/>
  <c r="Z299" i="23"/>
  <c r="U300" i="23"/>
  <c r="X299" i="23"/>
  <c r="W299" i="23"/>
  <c r="AB299" i="23"/>
  <c r="AA299" i="23"/>
  <c r="V299" i="23"/>
  <c r="Y299" i="23"/>
  <c r="AD300" i="22"/>
  <c r="C301" i="22"/>
  <c r="D300" i="22"/>
  <c r="F300" i="22"/>
  <c r="E300" i="22"/>
  <c r="G300" i="22"/>
  <c r="L300" i="22"/>
  <c r="S299" i="22"/>
  <c r="Q299" i="22"/>
  <c r="M299" i="22"/>
  <c r="O299" i="22"/>
  <c r="R299" i="22"/>
  <c r="N299" i="22"/>
  <c r="P299" i="22"/>
  <c r="U301" i="22"/>
  <c r="Z300" i="22"/>
  <c r="X300" i="22"/>
  <c r="W300" i="22"/>
  <c r="AB300" i="22"/>
  <c r="AA300" i="22"/>
  <c r="V300" i="22"/>
  <c r="Y300" i="22"/>
  <c r="M168" i="7"/>
  <c r="N168" i="7"/>
  <c r="O168" i="7"/>
  <c r="P168" i="7"/>
  <c r="J168" i="7"/>
  <c r="Y169" i="7"/>
  <c r="X169" i="7"/>
  <c r="AA169" i="7"/>
  <c r="Z169" i="7"/>
  <c r="AB169" i="7"/>
  <c r="W169" i="7"/>
  <c r="U170" i="7"/>
  <c r="V169" i="7"/>
  <c r="I168" i="7"/>
  <c r="G170" i="7"/>
  <c r="E169" i="7"/>
  <c r="F169" i="7"/>
  <c r="D169" i="7"/>
  <c r="AS301" i="22" l="1"/>
  <c r="AT301" i="22"/>
  <c r="AQ301" i="22"/>
  <c r="AR301" i="22"/>
  <c r="AM302" i="22"/>
  <c r="AN301" i="22"/>
  <c r="AO301" i="22"/>
  <c r="AP301" i="22"/>
  <c r="AH301" i="23"/>
  <c r="AI301" i="23"/>
  <c r="AE301" i="23"/>
  <c r="AJ301" i="23"/>
  <c r="AK301" i="23"/>
  <c r="AF301" i="23"/>
  <c r="AD302" i="23"/>
  <c r="AG301" i="23"/>
  <c r="AR301" i="23"/>
  <c r="AS301" i="23"/>
  <c r="AT301" i="23"/>
  <c r="AM302" i="23"/>
  <c r="AQ301" i="23"/>
  <c r="AP301" i="23"/>
  <c r="AN301" i="23"/>
  <c r="AO301" i="23"/>
  <c r="AD298" i="7"/>
  <c r="AH297" i="7"/>
  <c r="AE297" i="7"/>
  <c r="AF297" i="7"/>
  <c r="AG297" i="7"/>
  <c r="AI297" i="7"/>
  <c r="AJ297" i="7"/>
  <c r="AK297" i="7"/>
  <c r="AK300" i="22"/>
  <c r="AJ300" i="22"/>
  <c r="AI300" i="22"/>
  <c r="AG300" i="22"/>
  <c r="AF300" i="22"/>
  <c r="AE300" i="22"/>
  <c r="AH300" i="22"/>
  <c r="AS296" i="7"/>
  <c r="AT296" i="7"/>
  <c r="AR296" i="7"/>
  <c r="AN296" i="7"/>
  <c r="AM297" i="7"/>
  <c r="AQ296" i="7"/>
  <c r="AP296" i="7"/>
  <c r="AO296" i="7"/>
  <c r="H169" i="7"/>
  <c r="Q168" i="7"/>
  <c r="R168" i="7"/>
  <c r="I300" i="22"/>
  <c r="I299" i="23"/>
  <c r="J299" i="23"/>
  <c r="H299" i="23"/>
  <c r="H300" i="22"/>
  <c r="AB300" i="23"/>
  <c r="Z300" i="23"/>
  <c r="U301" i="23"/>
  <c r="V300" i="23"/>
  <c r="W300" i="23"/>
  <c r="X300" i="23"/>
  <c r="AA300" i="23"/>
  <c r="Y300" i="23"/>
  <c r="D300" i="23"/>
  <c r="F300" i="23"/>
  <c r="E300" i="23"/>
  <c r="C301" i="23"/>
  <c r="G300" i="23"/>
  <c r="S302" i="23"/>
  <c r="R302" i="23"/>
  <c r="Q302" i="23"/>
  <c r="L303" i="23"/>
  <c r="O302" i="23"/>
  <c r="N302" i="23"/>
  <c r="M302" i="23"/>
  <c r="P302" i="23"/>
  <c r="X301" i="22"/>
  <c r="AA301" i="22"/>
  <c r="AB301" i="22"/>
  <c r="W301" i="22"/>
  <c r="Z301" i="22"/>
  <c r="U302" i="22"/>
  <c r="V301" i="22"/>
  <c r="Y301" i="22"/>
  <c r="C302" i="22"/>
  <c r="F301" i="22"/>
  <c r="D301" i="22"/>
  <c r="E301" i="22"/>
  <c r="G301" i="22"/>
  <c r="AD301" i="22"/>
  <c r="J300" i="22"/>
  <c r="R300" i="22"/>
  <c r="O300" i="22"/>
  <c r="N300" i="22"/>
  <c r="Q300" i="22"/>
  <c r="L301" i="22"/>
  <c r="S300" i="22"/>
  <c r="M300" i="22"/>
  <c r="P300" i="22"/>
  <c r="S168" i="7"/>
  <c r="N169" i="7"/>
  <c r="M169" i="7"/>
  <c r="P169" i="7"/>
  <c r="O169" i="7"/>
  <c r="I169" i="7"/>
  <c r="Y170" i="7"/>
  <c r="X170" i="7"/>
  <c r="AA170" i="7"/>
  <c r="Z170" i="7"/>
  <c r="V170" i="7"/>
  <c r="U171" i="7"/>
  <c r="AB170" i="7"/>
  <c r="W170" i="7"/>
  <c r="D170" i="7"/>
  <c r="E170" i="7"/>
  <c r="F170" i="7"/>
  <c r="G171" i="7"/>
  <c r="J169" i="7"/>
  <c r="AM303" i="22" l="1"/>
  <c r="AS302" i="22"/>
  <c r="AQ302" i="22"/>
  <c r="AT302" i="22"/>
  <c r="AR302" i="22"/>
  <c r="AP302" i="22"/>
  <c r="AO302" i="22"/>
  <c r="AN302" i="22"/>
  <c r="AH302" i="23"/>
  <c r="AE302" i="23"/>
  <c r="AK302" i="23"/>
  <c r="AG302" i="23"/>
  <c r="AD303" i="23"/>
  <c r="AJ302" i="23"/>
  <c r="AF302" i="23"/>
  <c r="AI302" i="23"/>
  <c r="AM303" i="23"/>
  <c r="AR302" i="23"/>
  <c r="AQ302" i="23"/>
  <c r="AT302" i="23"/>
  <c r="AS302" i="23"/>
  <c r="AO302" i="23"/>
  <c r="AP302" i="23"/>
  <c r="AN302" i="23"/>
  <c r="AD299" i="7"/>
  <c r="AH298" i="7"/>
  <c r="AE298" i="7"/>
  <c r="AF298" i="7"/>
  <c r="AG298" i="7"/>
  <c r="AI298" i="7"/>
  <c r="AJ298" i="7"/>
  <c r="AK298" i="7"/>
  <c r="AK301" i="22"/>
  <c r="AJ301" i="22"/>
  <c r="AI301" i="22"/>
  <c r="AG301" i="22"/>
  <c r="AF301" i="22"/>
  <c r="AE301" i="22"/>
  <c r="AH301" i="22"/>
  <c r="AM298" i="7"/>
  <c r="AS297" i="7"/>
  <c r="AP297" i="7"/>
  <c r="AT297" i="7"/>
  <c r="AR297" i="7"/>
  <c r="AQ297" i="7"/>
  <c r="AO297" i="7"/>
  <c r="AN297" i="7"/>
  <c r="H170" i="7"/>
  <c r="R169" i="7"/>
  <c r="S169" i="7"/>
  <c r="I301" i="22"/>
  <c r="J300" i="23"/>
  <c r="H301" i="22"/>
  <c r="H300" i="23"/>
  <c r="I300" i="23"/>
  <c r="L304" i="23"/>
  <c r="O303" i="23"/>
  <c r="N303" i="23"/>
  <c r="M303" i="23"/>
  <c r="S303" i="23"/>
  <c r="R303" i="23"/>
  <c r="Q303" i="23"/>
  <c r="P303" i="23"/>
  <c r="U302" i="23"/>
  <c r="X301" i="23"/>
  <c r="W301" i="23"/>
  <c r="V301" i="23"/>
  <c r="AB301" i="23"/>
  <c r="AA301" i="23"/>
  <c r="Z301" i="23"/>
  <c r="Y301" i="23"/>
  <c r="C302" i="23"/>
  <c r="F301" i="23"/>
  <c r="D301" i="23"/>
  <c r="E301" i="23"/>
  <c r="G301" i="23"/>
  <c r="AB302" i="22"/>
  <c r="AA302" i="22"/>
  <c r="U303" i="22"/>
  <c r="Z302" i="22"/>
  <c r="V302" i="22"/>
  <c r="X302" i="22"/>
  <c r="W302" i="22"/>
  <c r="Y302" i="22"/>
  <c r="J301" i="22"/>
  <c r="E302" i="22"/>
  <c r="D302" i="22"/>
  <c r="F302" i="22"/>
  <c r="C303" i="22"/>
  <c r="G302" i="22"/>
  <c r="Q301" i="22"/>
  <c r="O301" i="22"/>
  <c r="L302" i="22"/>
  <c r="S301" i="22"/>
  <c r="R301" i="22"/>
  <c r="N301" i="22"/>
  <c r="M301" i="22"/>
  <c r="P301" i="22"/>
  <c r="AD302" i="22"/>
  <c r="Q169" i="7"/>
  <c r="N170" i="7"/>
  <c r="O170" i="7"/>
  <c r="M170" i="7"/>
  <c r="P170" i="7"/>
  <c r="I170" i="7"/>
  <c r="J170" i="7"/>
  <c r="Y171" i="7"/>
  <c r="AA171" i="7"/>
  <c r="U172" i="7"/>
  <c r="Z171" i="7"/>
  <c r="W171" i="7"/>
  <c r="V171" i="7"/>
  <c r="AB171" i="7"/>
  <c r="X171" i="7"/>
  <c r="G172" i="7"/>
  <c r="D171" i="7"/>
  <c r="E171" i="7"/>
  <c r="F171" i="7"/>
  <c r="AM304" i="22" l="1"/>
  <c r="AS303" i="22"/>
  <c r="AQ303" i="22"/>
  <c r="AN303" i="22"/>
  <c r="AT303" i="22"/>
  <c r="AR303" i="22"/>
  <c r="AP303" i="22"/>
  <c r="AO303" i="22"/>
  <c r="AG303" i="23"/>
  <c r="AD304" i="23"/>
  <c r="AH303" i="23"/>
  <c r="AJ303" i="23"/>
  <c r="AE303" i="23"/>
  <c r="AI303" i="23"/>
  <c r="AF303" i="23"/>
  <c r="AK303" i="23"/>
  <c r="AN303" i="23"/>
  <c r="AS303" i="23"/>
  <c r="AT303" i="23"/>
  <c r="AP303" i="23"/>
  <c r="AO303" i="23"/>
  <c r="AR303" i="23"/>
  <c r="AM304" i="23"/>
  <c r="AQ303" i="23"/>
  <c r="AD300" i="7"/>
  <c r="AH299" i="7"/>
  <c r="AE299" i="7"/>
  <c r="AF299" i="7"/>
  <c r="AG299" i="7"/>
  <c r="AI299" i="7"/>
  <c r="AJ299" i="7"/>
  <c r="AK299" i="7"/>
  <c r="AK302" i="22"/>
  <c r="AJ302" i="22"/>
  <c r="AI302" i="22"/>
  <c r="AG302" i="22"/>
  <c r="AF302" i="22"/>
  <c r="AE302" i="22"/>
  <c r="AH302" i="22"/>
  <c r="AM299" i="7"/>
  <c r="AT298" i="7"/>
  <c r="AS298" i="7"/>
  <c r="AR298" i="7"/>
  <c r="AQ298" i="7"/>
  <c r="AP298" i="7"/>
  <c r="AO298" i="7"/>
  <c r="AN298" i="7"/>
  <c r="H171" i="7"/>
  <c r="S170" i="7"/>
  <c r="Q170" i="7"/>
  <c r="R170" i="7"/>
  <c r="I301" i="23"/>
  <c r="H301" i="23"/>
  <c r="H302" i="22"/>
  <c r="I302" i="22"/>
  <c r="J301" i="23"/>
  <c r="S304" i="23"/>
  <c r="R304" i="23"/>
  <c r="Q304" i="23"/>
  <c r="L305" i="23"/>
  <c r="M304" i="23"/>
  <c r="N304" i="23"/>
  <c r="O304" i="23"/>
  <c r="P304" i="23"/>
  <c r="C303" i="23"/>
  <c r="F302" i="23"/>
  <c r="E302" i="23"/>
  <c r="D302" i="23"/>
  <c r="G302" i="23"/>
  <c r="U303" i="23"/>
  <c r="V302" i="23"/>
  <c r="AB302" i="23"/>
  <c r="X302" i="23"/>
  <c r="W302" i="23"/>
  <c r="AA302" i="23"/>
  <c r="Z302" i="23"/>
  <c r="Y302" i="23"/>
  <c r="J302" i="22"/>
  <c r="L303" i="22"/>
  <c r="Q302" i="22"/>
  <c r="N302" i="22"/>
  <c r="M302" i="22"/>
  <c r="S302" i="22"/>
  <c r="R302" i="22"/>
  <c r="O302" i="22"/>
  <c r="P302" i="22"/>
  <c r="U304" i="22"/>
  <c r="AB303" i="22"/>
  <c r="V303" i="22"/>
  <c r="Z303" i="22"/>
  <c r="X303" i="22"/>
  <c r="W303" i="22"/>
  <c r="AA303" i="22"/>
  <c r="Y303" i="22"/>
  <c r="E303" i="22"/>
  <c r="F303" i="22"/>
  <c r="D303" i="22"/>
  <c r="C304" i="22"/>
  <c r="G303" i="22"/>
  <c r="AD303" i="22"/>
  <c r="M171" i="7"/>
  <c r="N171" i="7"/>
  <c r="O171" i="7"/>
  <c r="P171" i="7"/>
  <c r="I171" i="7"/>
  <c r="J171" i="7"/>
  <c r="Y172" i="7"/>
  <c r="Z172" i="7"/>
  <c r="W172" i="7"/>
  <c r="AA172" i="7"/>
  <c r="AB172" i="7"/>
  <c r="U173" i="7"/>
  <c r="X172" i="7"/>
  <c r="V172" i="7"/>
  <c r="G173" i="7"/>
  <c r="E172" i="7"/>
  <c r="F172" i="7"/>
  <c r="D172" i="7"/>
  <c r="AT304" i="22" l="1"/>
  <c r="AS304" i="22"/>
  <c r="AQ304" i="22"/>
  <c r="AN304" i="22"/>
  <c r="AM305" i="22"/>
  <c r="AR304" i="22"/>
  <c r="AP304" i="22"/>
  <c r="AO304" i="22"/>
  <c r="AD305" i="23"/>
  <c r="AH304" i="23"/>
  <c r="AK304" i="23"/>
  <c r="AF304" i="23"/>
  <c r="AJ304" i="23"/>
  <c r="AG304" i="23"/>
  <c r="AE304" i="23"/>
  <c r="AI304" i="23"/>
  <c r="AS304" i="23"/>
  <c r="AT304" i="23"/>
  <c r="AP304" i="23"/>
  <c r="AM305" i="23"/>
  <c r="AO304" i="23"/>
  <c r="AQ304" i="23"/>
  <c r="AR304" i="23"/>
  <c r="AN304" i="23"/>
  <c r="AD301" i="7"/>
  <c r="AH300" i="7"/>
  <c r="AE300" i="7"/>
  <c r="AF300" i="7"/>
  <c r="AG300" i="7"/>
  <c r="AI300" i="7"/>
  <c r="AJ300" i="7"/>
  <c r="AK300" i="7"/>
  <c r="AK303" i="22"/>
  <c r="AJ303" i="22"/>
  <c r="AI303" i="22"/>
  <c r="AG303" i="22"/>
  <c r="AF303" i="22"/>
  <c r="AE303" i="22"/>
  <c r="AH303" i="22"/>
  <c r="AR299" i="7"/>
  <c r="AM300" i="7"/>
  <c r="AS299" i="7"/>
  <c r="AQ299" i="7"/>
  <c r="AT299" i="7"/>
  <c r="AP299" i="7"/>
  <c r="AO299" i="7"/>
  <c r="AN299" i="7"/>
  <c r="H172" i="7"/>
  <c r="Q171" i="7"/>
  <c r="R171" i="7"/>
  <c r="J302" i="23"/>
  <c r="I303" i="22"/>
  <c r="J303" i="22"/>
  <c r="I302" i="23"/>
  <c r="H303" i="22"/>
  <c r="S305" i="23"/>
  <c r="R305" i="23"/>
  <c r="Q305" i="23"/>
  <c r="L306" i="23"/>
  <c r="O305" i="23"/>
  <c r="N305" i="23"/>
  <c r="M305" i="23"/>
  <c r="P305" i="23"/>
  <c r="D303" i="23"/>
  <c r="E303" i="23"/>
  <c r="C304" i="23"/>
  <c r="F303" i="23"/>
  <c r="G303" i="23"/>
  <c r="H302" i="23"/>
  <c r="AB303" i="23"/>
  <c r="AA303" i="23"/>
  <c r="Z303" i="23"/>
  <c r="U304" i="23"/>
  <c r="V303" i="23"/>
  <c r="X303" i="23"/>
  <c r="W303" i="23"/>
  <c r="Y303" i="23"/>
  <c r="AA304" i="22"/>
  <c r="U305" i="22"/>
  <c r="AB304" i="22"/>
  <c r="Z304" i="22"/>
  <c r="W304" i="22"/>
  <c r="X304" i="22"/>
  <c r="V304" i="22"/>
  <c r="Y304" i="22"/>
  <c r="C305" i="22"/>
  <c r="E304" i="22"/>
  <c r="D304" i="22"/>
  <c r="F304" i="22"/>
  <c r="G304" i="22"/>
  <c r="AD304" i="22"/>
  <c r="N303" i="22"/>
  <c r="L304" i="22"/>
  <c r="S303" i="22"/>
  <c r="O303" i="22"/>
  <c r="Q303" i="22"/>
  <c r="R303" i="22"/>
  <c r="M303" i="22"/>
  <c r="P303" i="22"/>
  <c r="S171" i="7"/>
  <c r="N172" i="7"/>
  <c r="O172" i="7"/>
  <c r="M172" i="7"/>
  <c r="P172" i="7"/>
  <c r="I172" i="7"/>
  <c r="J172" i="7"/>
  <c r="D173" i="7"/>
  <c r="E173" i="7"/>
  <c r="F173" i="7"/>
  <c r="G174" i="7"/>
  <c r="Y173" i="7"/>
  <c r="X173" i="7"/>
  <c r="U174" i="7"/>
  <c r="AB173" i="7"/>
  <c r="V173" i="7"/>
  <c r="Z173" i="7"/>
  <c r="W173" i="7"/>
  <c r="AA173" i="7"/>
  <c r="AQ305" i="22" l="1"/>
  <c r="AM306" i="22"/>
  <c r="AS305" i="22"/>
  <c r="AP305" i="22"/>
  <c r="AN305" i="22"/>
  <c r="AT305" i="22"/>
  <c r="AR305" i="22"/>
  <c r="AO305" i="22"/>
  <c r="AH305" i="23"/>
  <c r="AD306" i="23"/>
  <c r="AE305" i="23"/>
  <c r="AI305" i="23"/>
  <c r="AG305" i="23"/>
  <c r="AK305" i="23"/>
  <c r="AF305" i="23"/>
  <c r="AJ305" i="23"/>
  <c r="AP305" i="23"/>
  <c r="AR305" i="23"/>
  <c r="AN305" i="23"/>
  <c r="AS305" i="23"/>
  <c r="AO305" i="23"/>
  <c r="AT305" i="23"/>
  <c r="AQ305" i="23"/>
  <c r="AM306" i="23"/>
  <c r="AD302" i="7"/>
  <c r="AH301" i="7"/>
  <c r="AE301" i="7"/>
  <c r="AF301" i="7"/>
  <c r="AG301" i="7"/>
  <c r="AI301" i="7"/>
  <c r="AJ301" i="7"/>
  <c r="AK301" i="7"/>
  <c r="AK304" i="22"/>
  <c r="AJ304" i="22"/>
  <c r="AI304" i="22"/>
  <c r="AG304" i="22"/>
  <c r="AF304" i="22"/>
  <c r="AE304" i="22"/>
  <c r="AH304" i="22"/>
  <c r="AM301" i="7"/>
  <c r="AT300" i="7"/>
  <c r="AN300" i="7"/>
  <c r="AQ300" i="7"/>
  <c r="AS300" i="7"/>
  <c r="AR300" i="7"/>
  <c r="AP300" i="7"/>
  <c r="AO300" i="7"/>
  <c r="Q172" i="7"/>
  <c r="R172" i="7"/>
  <c r="H304" i="22"/>
  <c r="J173" i="7"/>
  <c r="J303" i="23"/>
  <c r="H303" i="23"/>
  <c r="I303" i="23"/>
  <c r="J304" i="22"/>
  <c r="I304" i="22"/>
  <c r="L307" i="23"/>
  <c r="O306" i="23"/>
  <c r="N306" i="23"/>
  <c r="M306" i="23"/>
  <c r="S306" i="23"/>
  <c r="Q306" i="23"/>
  <c r="R306" i="23"/>
  <c r="P306" i="23"/>
  <c r="C305" i="23"/>
  <c r="F304" i="23"/>
  <c r="E304" i="23"/>
  <c r="D304" i="23"/>
  <c r="G304" i="23"/>
  <c r="U305" i="23"/>
  <c r="X304" i="23"/>
  <c r="W304" i="23"/>
  <c r="V304" i="23"/>
  <c r="AB304" i="23"/>
  <c r="Z304" i="23"/>
  <c r="AA304" i="23"/>
  <c r="Y304" i="23"/>
  <c r="D305" i="22"/>
  <c r="F305" i="22"/>
  <c r="E305" i="22"/>
  <c r="C306" i="22"/>
  <c r="G305" i="22"/>
  <c r="AB305" i="22"/>
  <c r="Z305" i="22"/>
  <c r="AA305" i="22"/>
  <c r="U306" i="22"/>
  <c r="V305" i="22"/>
  <c r="X305" i="22"/>
  <c r="W305" i="22"/>
  <c r="Y305" i="22"/>
  <c r="AD305" i="22"/>
  <c r="O304" i="22"/>
  <c r="L305" i="22"/>
  <c r="M304" i="22"/>
  <c r="S304" i="22"/>
  <c r="R304" i="22"/>
  <c r="Q304" i="22"/>
  <c r="N304" i="22"/>
  <c r="P304" i="22"/>
  <c r="S172" i="7"/>
  <c r="M173" i="7"/>
  <c r="O173" i="7"/>
  <c r="P173" i="7"/>
  <c r="N173" i="7"/>
  <c r="I173" i="7"/>
  <c r="H173" i="7"/>
  <c r="G175" i="7"/>
  <c r="D174" i="7"/>
  <c r="E174" i="7"/>
  <c r="F174" i="7"/>
  <c r="Y174" i="7"/>
  <c r="X174" i="7"/>
  <c r="U175" i="7"/>
  <c r="Z174" i="7"/>
  <c r="AB174" i="7"/>
  <c r="V174" i="7"/>
  <c r="W174" i="7"/>
  <c r="AA174" i="7"/>
  <c r="AM307" i="22" l="1"/>
  <c r="AS306" i="22"/>
  <c r="AQ306" i="22"/>
  <c r="AN306" i="22"/>
  <c r="AT306" i="22"/>
  <c r="AR306" i="22"/>
  <c r="AP306" i="22"/>
  <c r="AO306" i="22"/>
  <c r="AD307" i="23"/>
  <c r="AF306" i="23"/>
  <c r="AI306" i="23"/>
  <c r="AG306" i="23"/>
  <c r="AJ306" i="23"/>
  <c r="AH306" i="23"/>
  <c r="AK306" i="23"/>
  <c r="AE306" i="23"/>
  <c r="AN306" i="23"/>
  <c r="AT306" i="23"/>
  <c r="AQ306" i="23"/>
  <c r="AM307" i="23"/>
  <c r="AP306" i="23"/>
  <c r="AR306" i="23"/>
  <c r="AO306" i="23"/>
  <c r="AS306" i="23"/>
  <c r="AD303" i="7"/>
  <c r="AH302" i="7"/>
  <c r="AE302" i="7"/>
  <c r="AF302" i="7"/>
  <c r="AG302" i="7"/>
  <c r="AI302" i="7"/>
  <c r="AJ302" i="7"/>
  <c r="AK302" i="7"/>
  <c r="AK305" i="22"/>
  <c r="AJ305" i="22"/>
  <c r="AI305" i="22"/>
  <c r="AG305" i="22"/>
  <c r="AF305" i="22"/>
  <c r="AE305" i="22"/>
  <c r="AH305" i="22"/>
  <c r="AT301" i="7"/>
  <c r="AS301" i="7"/>
  <c r="AR301" i="7"/>
  <c r="AP301" i="7"/>
  <c r="AO301" i="7"/>
  <c r="AN301" i="7"/>
  <c r="AM302" i="7"/>
  <c r="AQ301" i="7"/>
  <c r="S173" i="7"/>
  <c r="R173" i="7"/>
  <c r="Q173" i="7"/>
  <c r="J305" i="22"/>
  <c r="I305" i="22"/>
  <c r="I304" i="23"/>
  <c r="J304" i="23"/>
  <c r="H305" i="22"/>
  <c r="X305" i="23"/>
  <c r="W305" i="23"/>
  <c r="U306" i="23"/>
  <c r="V305" i="23"/>
  <c r="AA305" i="23"/>
  <c r="AB305" i="23"/>
  <c r="Z305" i="23"/>
  <c r="Y305" i="23"/>
  <c r="H304" i="23"/>
  <c r="S307" i="23"/>
  <c r="R307" i="23"/>
  <c r="O307" i="23"/>
  <c r="L308" i="23"/>
  <c r="Q307" i="23"/>
  <c r="N307" i="23"/>
  <c r="M307" i="23"/>
  <c r="P307" i="23"/>
  <c r="C306" i="23"/>
  <c r="F305" i="23"/>
  <c r="E305" i="23"/>
  <c r="D305" i="23"/>
  <c r="G305" i="23"/>
  <c r="L306" i="22"/>
  <c r="N305" i="22"/>
  <c r="M305" i="22"/>
  <c r="R305" i="22"/>
  <c r="Q305" i="22"/>
  <c r="S305" i="22"/>
  <c r="O305" i="22"/>
  <c r="P305" i="22"/>
  <c r="AB306" i="22"/>
  <c r="Z306" i="22"/>
  <c r="U307" i="22"/>
  <c r="X306" i="22"/>
  <c r="W306" i="22"/>
  <c r="V306" i="22"/>
  <c r="AA306" i="22"/>
  <c r="Y306" i="22"/>
  <c r="C307" i="22"/>
  <c r="F306" i="22"/>
  <c r="E306" i="22"/>
  <c r="D306" i="22"/>
  <c r="G306" i="22"/>
  <c r="AD306" i="22"/>
  <c r="O174" i="7"/>
  <c r="M174" i="7"/>
  <c r="N174" i="7"/>
  <c r="P174" i="7"/>
  <c r="I174" i="7"/>
  <c r="H174" i="7"/>
  <c r="Y175" i="7"/>
  <c r="Z175" i="7"/>
  <c r="AB175" i="7"/>
  <c r="X175" i="7"/>
  <c r="W175" i="7"/>
  <c r="U176" i="7"/>
  <c r="V175" i="7"/>
  <c r="AA175" i="7"/>
  <c r="G176" i="7"/>
  <c r="E175" i="7"/>
  <c r="F175" i="7"/>
  <c r="D175" i="7"/>
  <c r="J174" i="7"/>
  <c r="AM308" i="22" l="1"/>
  <c r="AS307" i="22"/>
  <c r="AQ307" i="22"/>
  <c r="AN307" i="22"/>
  <c r="AT307" i="22"/>
  <c r="AR307" i="22"/>
  <c r="AP307" i="22"/>
  <c r="AO307" i="22"/>
  <c r="AE307" i="23"/>
  <c r="AJ307" i="23"/>
  <c r="AF307" i="23"/>
  <c r="AD308" i="23"/>
  <c r="AH307" i="23"/>
  <c r="AG307" i="23"/>
  <c r="AK307" i="23"/>
  <c r="AI307" i="23"/>
  <c r="AT307" i="23"/>
  <c r="AO307" i="23"/>
  <c r="AS307" i="23"/>
  <c r="AN307" i="23"/>
  <c r="AM308" i="23"/>
  <c r="AP307" i="23"/>
  <c r="AR307" i="23"/>
  <c r="AQ307" i="23"/>
  <c r="AD304" i="7"/>
  <c r="AH303" i="7"/>
  <c r="AE303" i="7"/>
  <c r="AF303" i="7"/>
  <c r="AG303" i="7"/>
  <c r="AI303" i="7"/>
  <c r="AJ303" i="7"/>
  <c r="AK303" i="7"/>
  <c r="AK306" i="22"/>
  <c r="AJ306" i="22"/>
  <c r="AI306" i="22"/>
  <c r="AG306" i="22"/>
  <c r="AF306" i="22"/>
  <c r="AE306" i="22"/>
  <c r="AH306" i="22"/>
  <c r="AT302" i="7"/>
  <c r="AR302" i="7"/>
  <c r="AO302" i="7"/>
  <c r="AQ302" i="7"/>
  <c r="AS302" i="7"/>
  <c r="AP302" i="7"/>
  <c r="AN302" i="7"/>
  <c r="AM303" i="7"/>
  <c r="S174" i="7"/>
  <c r="R174" i="7"/>
  <c r="H306" i="22"/>
  <c r="H305" i="23"/>
  <c r="J305" i="23"/>
  <c r="I305" i="23"/>
  <c r="I306" i="22"/>
  <c r="J306" i="22"/>
  <c r="S308" i="23"/>
  <c r="R308" i="23"/>
  <c r="Q308" i="23"/>
  <c r="L309" i="23"/>
  <c r="N308" i="23"/>
  <c r="M308" i="23"/>
  <c r="O308" i="23"/>
  <c r="P308" i="23"/>
  <c r="AB306" i="23"/>
  <c r="AA306" i="23"/>
  <c r="Z306" i="23"/>
  <c r="U307" i="23"/>
  <c r="W306" i="23"/>
  <c r="V306" i="23"/>
  <c r="X306" i="23"/>
  <c r="Y306" i="23"/>
  <c r="C307" i="23"/>
  <c r="D306" i="23"/>
  <c r="F306" i="23"/>
  <c r="E306" i="23"/>
  <c r="G306" i="23"/>
  <c r="AA307" i="22"/>
  <c r="W307" i="22"/>
  <c r="AB307" i="22"/>
  <c r="V307" i="22"/>
  <c r="Z307" i="22"/>
  <c r="X307" i="22"/>
  <c r="U308" i="22"/>
  <c r="Y307" i="22"/>
  <c r="AD307" i="22"/>
  <c r="C308" i="22"/>
  <c r="F307" i="22"/>
  <c r="E307" i="22"/>
  <c r="D307" i="22"/>
  <c r="G307" i="22"/>
  <c r="N306" i="22"/>
  <c r="L307" i="22"/>
  <c r="Q306" i="22"/>
  <c r="S306" i="22"/>
  <c r="R306" i="22"/>
  <c r="O306" i="22"/>
  <c r="M306" i="22"/>
  <c r="P306" i="22"/>
  <c r="Q174" i="7"/>
  <c r="P175" i="7"/>
  <c r="M175" i="7"/>
  <c r="N175" i="7"/>
  <c r="O175" i="7"/>
  <c r="J175" i="7"/>
  <c r="I175" i="7"/>
  <c r="H175" i="7"/>
  <c r="D176" i="7"/>
  <c r="E176" i="7"/>
  <c r="F176" i="7"/>
  <c r="G177" i="7"/>
  <c r="Y176" i="7"/>
  <c r="V176" i="7"/>
  <c r="AB176" i="7"/>
  <c r="X176" i="7"/>
  <c r="U177" i="7"/>
  <c r="W176" i="7"/>
  <c r="AA176" i="7"/>
  <c r="Z176" i="7"/>
  <c r="AR308" i="22" l="1"/>
  <c r="AO308" i="22"/>
  <c r="AT308" i="22"/>
  <c r="AP308" i="22"/>
  <c r="AS308" i="22"/>
  <c r="AQ308" i="22"/>
  <c r="AN308" i="22"/>
  <c r="AM309" i="22"/>
  <c r="AI308" i="23"/>
  <c r="AK308" i="23"/>
  <c r="AE308" i="23"/>
  <c r="AJ308" i="23"/>
  <c r="AD309" i="23"/>
  <c r="AG308" i="23"/>
  <c r="AH308" i="23"/>
  <c r="AF308" i="23"/>
  <c r="AR308" i="23"/>
  <c r="AP308" i="23"/>
  <c r="AS308" i="23"/>
  <c r="AO308" i="23"/>
  <c r="AM309" i="23"/>
  <c r="AN308" i="23"/>
  <c r="AQ308" i="23"/>
  <c r="AT308" i="23"/>
  <c r="AD305" i="7"/>
  <c r="AH304" i="7"/>
  <c r="AE304" i="7"/>
  <c r="AF304" i="7"/>
  <c r="AG304" i="7"/>
  <c r="AI304" i="7"/>
  <c r="AJ304" i="7"/>
  <c r="AK304" i="7"/>
  <c r="AK307" i="22"/>
  <c r="AJ307" i="22"/>
  <c r="AI307" i="22"/>
  <c r="AG307" i="22"/>
  <c r="AF307" i="22"/>
  <c r="AE307" i="22"/>
  <c r="AH307" i="22"/>
  <c r="AR303" i="7"/>
  <c r="AN303" i="7"/>
  <c r="AM304" i="7"/>
  <c r="AP303" i="7"/>
  <c r="AQ303" i="7"/>
  <c r="AT303" i="7"/>
  <c r="AS303" i="7"/>
  <c r="AO303" i="7"/>
  <c r="R175" i="7"/>
  <c r="S175" i="7"/>
  <c r="H307" i="22"/>
  <c r="J306" i="23"/>
  <c r="H176" i="7"/>
  <c r="I306" i="23"/>
  <c r="I307" i="22"/>
  <c r="H306" i="23"/>
  <c r="U308" i="23"/>
  <c r="X307" i="23"/>
  <c r="W307" i="23"/>
  <c r="V307" i="23"/>
  <c r="AA307" i="23"/>
  <c r="Z307" i="23"/>
  <c r="AB307" i="23"/>
  <c r="Y307" i="23"/>
  <c r="L310" i="23"/>
  <c r="O309" i="23"/>
  <c r="N309" i="23"/>
  <c r="M309" i="23"/>
  <c r="R309" i="23"/>
  <c r="S309" i="23"/>
  <c r="Q309" i="23"/>
  <c r="P309" i="23"/>
  <c r="C308" i="23"/>
  <c r="E307" i="23"/>
  <c r="F307" i="23"/>
  <c r="D307" i="23"/>
  <c r="G307" i="23"/>
  <c r="N307" i="22"/>
  <c r="O307" i="22"/>
  <c r="S307" i="22"/>
  <c r="R307" i="22"/>
  <c r="L308" i="22"/>
  <c r="Q307" i="22"/>
  <c r="M307" i="22"/>
  <c r="P307" i="22"/>
  <c r="AD308" i="22"/>
  <c r="W308" i="22"/>
  <c r="V308" i="22"/>
  <c r="U309" i="22"/>
  <c r="AA308" i="22"/>
  <c r="AB308" i="22"/>
  <c r="X308" i="22"/>
  <c r="Z308" i="22"/>
  <c r="Y308" i="22"/>
  <c r="J307" i="22"/>
  <c r="F308" i="22"/>
  <c r="C309" i="22"/>
  <c r="D308" i="22"/>
  <c r="E308" i="22"/>
  <c r="G308" i="22"/>
  <c r="Q175" i="7"/>
  <c r="P176" i="7"/>
  <c r="M176" i="7"/>
  <c r="O176" i="7"/>
  <c r="N176" i="7"/>
  <c r="I176" i="7"/>
  <c r="J176" i="7"/>
  <c r="Y177" i="7"/>
  <c r="Z177" i="7"/>
  <c r="AB177" i="7"/>
  <c r="V177" i="7"/>
  <c r="X177" i="7"/>
  <c r="AA177" i="7"/>
  <c r="U178" i="7"/>
  <c r="W177" i="7"/>
  <c r="G178" i="7"/>
  <c r="D177" i="7"/>
  <c r="E177" i="7"/>
  <c r="F177" i="7"/>
  <c r="AM310" i="22" l="1"/>
  <c r="AR309" i="22"/>
  <c r="AO309" i="22"/>
  <c r="AT309" i="22"/>
  <c r="AQ309" i="22"/>
  <c r="AN309" i="22"/>
  <c r="AS309" i="22"/>
  <c r="AP309" i="22"/>
  <c r="AJ309" i="23"/>
  <c r="AH309" i="23"/>
  <c r="AI309" i="23"/>
  <c r="AE309" i="23"/>
  <c r="AK309" i="23"/>
  <c r="AF309" i="23"/>
  <c r="AD310" i="23"/>
  <c r="AG309" i="23"/>
  <c r="AM310" i="23"/>
  <c r="AR309" i="23"/>
  <c r="AT309" i="23"/>
  <c r="AQ309" i="23"/>
  <c r="AN309" i="23"/>
  <c r="AO309" i="23"/>
  <c r="AS309" i="23"/>
  <c r="AP309" i="23"/>
  <c r="AD306" i="7"/>
  <c r="AH305" i="7"/>
  <c r="AE305" i="7"/>
  <c r="AF305" i="7"/>
  <c r="AG305" i="7"/>
  <c r="AI305" i="7"/>
  <c r="AJ305" i="7"/>
  <c r="AK305" i="7"/>
  <c r="AK308" i="22"/>
  <c r="AJ308" i="22"/>
  <c r="AI308" i="22"/>
  <c r="AG308" i="22"/>
  <c r="AF308" i="22"/>
  <c r="AE308" i="22"/>
  <c r="AH308" i="22"/>
  <c r="AP304" i="7"/>
  <c r="AM305" i="7"/>
  <c r="AR304" i="7"/>
  <c r="AO304" i="7"/>
  <c r="AT304" i="7"/>
  <c r="AN304" i="7"/>
  <c r="AS304" i="7"/>
  <c r="AQ304" i="7"/>
  <c r="H308" i="22"/>
  <c r="Q176" i="7"/>
  <c r="H177" i="7"/>
  <c r="R176" i="7"/>
  <c r="S176" i="7"/>
  <c r="I307" i="23"/>
  <c r="I308" i="22"/>
  <c r="J307" i="23"/>
  <c r="H307" i="23"/>
  <c r="C309" i="23"/>
  <c r="F308" i="23"/>
  <c r="E308" i="23"/>
  <c r="D308" i="23"/>
  <c r="G308" i="23"/>
  <c r="Q310" i="23"/>
  <c r="R310" i="23"/>
  <c r="L311" i="23"/>
  <c r="O310" i="23"/>
  <c r="N310" i="23"/>
  <c r="M310" i="23"/>
  <c r="S310" i="23"/>
  <c r="P310" i="23"/>
  <c r="Z308" i="23"/>
  <c r="X308" i="23"/>
  <c r="W308" i="23"/>
  <c r="U309" i="23"/>
  <c r="AB308" i="23"/>
  <c r="AA308" i="23"/>
  <c r="V308" i="23"/>
  <c r="Y308" i="23"/>
  <c r="X309" i="22"/>
  <c r="W309" i="22"/>
  <c r="U310" i="22"/>
  <c r="V309" i="22"/>
  <c r="AB309" i="22"/>
  <c r="AA309" i="22"/>
  <c r="Z309" i="22"/>
  <c r="Y309" i="22"/>
  <c r="J308" i="22"/>
  <c r="Q308" i="22"/>
  <c r="O308" i="22"/>
  <c r="N308" i="22"/>
  <c r="S308" i="22"/>
  <c r="R308" i="22"/>
  <c r="M308" i="22"/>
  <c r="L309" i="22"/>
  <c r="P308" i="22"/>
  <c r="AD309" i="22"/>
  <c r="E309" i="22"/>
  <c r="D309" i="22"/>
  <c r="F309" i="22"/>
  <c r="C310" i="22"/>
  <c r="G309" i="22"/>
  <c r="M177" i="7"/>
  <c r="P177" i="7"/>
  <c r="O177" i="7"/>
  <c r="N177" i="7"/>
  <c r="I177" i="7"/>
  <c r="G179" i="7"/>
  <c r="E178" i="7"/>
  <c r="F178" i="7"/>
  <c r="D178" i="7"/>
  <c r="J177" i="7"/>
  <c r="Y178" i="7"/>
  <c r="AB178" i="7"/>
  <c r="X178" i="7"/>
  <c r="U179" i="7"/>
  <c r="W178" i="7"/>
  <c r="Z178" i="7"/>
  <c r="AA178" i="7"/>
  <c r="V178" i="7"/>
  <c r="AR310" i="22" l="1"/>
  <c r="AO310" i="22"/>
  <c r="AT310" i="22"/>
  <c r="AP310" i="22"/>
  <c r="AN310" i="22"/>
  <c r="AM311" i="22"/>
  <c r="AS310" i="22"/>
  <c r="AQ310" i="22"/>
  <c r="AK310" i="23"/>
  <c r="AI310" i="23"/>
  <c r="AD311" i="23"/>
  <c r="AE310" i="23"/>
  <c r="AJ310" i="23"/>
  <c r="AH310" i="23"/>
  <c r="AF310" i="23"/>
  <c r="AG310" i="23"/>
  <c r="AS310" i="23"/>
  <c r="AT310" i="23"/>
  <c r="AQ310" i="23"/>
  <c r="AR310" i="23"/>
  <c r="AP310" i="23"/>
  <c r="AN310" i="23"/>
  <c r="AO310" i="23"/>
  <c r="AM311" i="23"/>
  <c r="AD307" i="7"/>
  <c r="AH306" i="7"/>
  <c r="AE306" i="7"/>
  <c r="AF306" i="7"/>
  <c r="AG306" i="7"/>
  <c r="AI306" i="7"/>
  <c r="AJ306" i="7"/>
  <c r="AK306" i="7"/>
  <c r="AK309" i="22"/>
  <c r="AJ309" i="22"/>
  <c r="AI309" i="22"/>
  <c r="AG309" i="22"/>
  <c r="AF309" i="22"/>
  <c r="AE309" i="22"/>
  <c r="AH309" i="22"/>
  <c r="AS305" i="7"/>
  <c r="AO305" i="7"/>
  <c r="AT305" i="7"/>
  <c r="AN305" i="7"/>
  <c r="AM306" i="7"/>
  <c r="AQ305" i="7"/>
  <c r="AP305" i="7"/>
  <c r="AR305" i="7"/>
  <c r="H178" i="7"/>
  <c r="S177" i="7"/>
  <c r="R177" i="7"/>
  <c r="I309" i="22"/>
  <c r="I308" i="23"/>
  <c r="J308" i="23"/>
  <c r="J309" i="22"/>
  <c r="AB309" i="23"/>
  <c r="AA309" i="23"/>
  <c r="Z309" i="23"/>
  <c r="U310" i="23"/>
  <c r="X309" i="23"/>
  <c r="W309" i="23"/>
  <c r="V309" i="23"/>
  <c r="Y309" i="23"/>
  <c r="F309" i="23"/>
  <c r="E309" i="23"/>
  <c r="C310" i="23"/>
  <c r="D309" i="23"/>
  <c r="G309" i="23"/>
  <c r="S311" i="23"/>
  <c r="R311" i="23"/>
  <c r="Q311" i="23"/>
  <c r="L312" i="23"/>
  <c r="N311" i="23"/>
  <c r="M311" i="23"/>
  <c r="O311" i="23"/>
  <c r="P311" i="23"/>
  <c r="H308" i="23"/>
  <c r="F310" i="22"/>
  <c r="E310" i="22"/>
  <c r="D310" i="22"/>
  <c r="C311" i="22"/>
  <c r="G310" i="22"/>
  <c r="AA310" i="22"/>
  <c r="W310" i="22"/>
  <c r="U311" i="22"/>
  <c r="V310" i="22"/>
  <c r="X310" i="22"/>
  <c r="AB310" i="22"/>
  <c r="Z310" i="22"/>
  <c r="Y310" i="22"/>
  <c r="AD310" i="22"/>
  <c r="R309" i="22"/>
  <c r="Q309" i="22"/>
  <c r="O309" i="22"/>
  <c r="N309" i="22"/>
  <c r="M309" i="22"/>
  <c r="S309" i="22"/>
  <c r="L310" i="22"/>
  <c r="P309" i="22"/>
  <c r="H309" i="22"/>
  <c r="Q177" i="7"/>
  <c r="N178" i="7"/>
  <c r="M178" i="7"/>
  <c r="O178" i="7"/>
  <c r="P178" i="7"/>
  <c r="J178" i="7"/>
  <c r="I178" i="7"/>
  <c r="Y179" i="7"/>
  <c r="X179" i="7"/>
  <c r="U180" i="7"/>
  <c r="AB179" i="7"/>
  <c r="Z179" i="7"/>
  <c r="AA179" i="7"/>
  <c r="V179" i="7"/>
  <c r="W179" i="7"/>
  <c r="D179" i="7"/>
  <c r="E179" i="7"/>
  <c r="F179" i="7"/>
  <c r="G180" i="7"/>
  <c r="AT311" i="22" l="1"/>
  <c r="AP311" i="22"/>
  <c r="AN311" i="22"/>
  <c r="AR311" i="22"/>
  <c r="AO311" i="22"/>
  <c r="AM312" i="22"/>
  <c r="AS311" i="22"/>
  <c r="AQ311" i="22"/>
  <c r="AD312" i="23"/>
  <c r="AI311" i="23"/>
  <c r="AF311" i="23"/>
  <c r="AG311" i="23"/>
  <c r="AH311" i="23"/>
  <c r="AE311" i="23"/>
  <c r="AJ311" i="23"/>
  <c r="AK311" i="23"/>
  <c r="AO311" i="23"/>
  <c r="AS311" i="23"/>
  <c r="AN311" i="23"/>
  <c r="AT311" i="23"/>
  <c r="AM312" i="23"/>
  <c r="AR311" i="23"/>
  <c r="AQ311" i="23"/>
  <c r="AP311" i="23"/>
  <c r="AD308" i="7"/>
  <c r="AH307" i="7"/>
  <c r="AE307" i="7"/>
  <c r="AF307" i="7"/>
  <c r="AG307" i="7"/>
  <c r="AI307" i="7"/>
  <c r="AJ307" i="7"/>
  <c r="AK307" i="7"/>
  <c r="AK310" i="22"/>
  <c r="AJ310" i="22"/>
  <c r="AI310" i="22"/>
  <c r="AG310" i="22"/>
  <c r="AF310" i="22"/>
  <c r="AE310" i="22"/>
  <c r="AH310" i="22"/>
  <c r="AM307" i="7"/>
  <c r="AO306" i="7"/>
  <c r="AQ306" i="7"/>
  <c r="AT306" i="7"/>
  <c r="AS306" i="7"/>
  <c r="AR306" i="7"/>
  <c r="AN306" i="7"/>
  <c r="AP306" i="7"/>
  <c r="Q178" i="7"/>
  <c r="R178" i="7"/>
  <c r="S178" i="7"/>
  <c r="H310" i="22"/>
  <c r="J310" i="22"/>
  <c r="J309" i="23"/>
  <c r="I309" i="23"/>
  <c r="H309" i="23"/>
  <c r="I310" i="22"/>
  <c r="L313" i="23"/>
  <c r="O312" i="23"/>
  <c r="N312" i="23"/>
  <c r="M312" i="23"/>
  <c r="R312" i="23"/>
  <c r="S312" i="23"/>
  <c r="Q312" i="23"/>
  <c r="P312" i="23"/>
  <c r="U311" i="23"/>
  <c r="X310" i="23"/>
  <c r="W310" i="23"/>
  <c r="V310" i="23"/>
  <c r="AB310" i="23"/>
  <c r="AA310" i="23"/>
  <c r="Z310" i="23"/>
  <c r="Y310" i="23"/>
  <c r="C311" i="23"/>
  <c r="E310" i="23"/>
  <c r="D310" i="23"/>
  <c r="F310" i="23"/>
  <c r="G310" i="23"/>
  <c r="N310" i="22"/>
  <c r="L311" i="22"/>
  <c r="M310" i="22"/>
  <c r="S310" i="22"/>
  <c r="R310" i="22"/>
  <c r="Q310" i="22"/>
  <c r="O310" i="22"/>
  <c r="P310" i="22"/>
  <c r="F311" i="22"/>
  <c r="E311" i="22"/>
  <c r="C312" i="22"/>
  <c r="D311" i="22"/>
  <c r="G311" i="22"/>
  <c r="W311" i="22"/>
  <c r="V311" i="22"/>
  <c r="U312" i="22"/>
  <c r="AA311" i="22"/>
  <c r="AB311" i="22"/>
  <c r="Z311" i="22"/>
  <c r="X311" i="22"/>
  <c r="Y311" i="22"/>
  <c r="AD311" i="22"/>
  <c r="N179" i="7"/>
  <c r="P179" i="7"/>
  <c r="M179" i="7"/>
  <c r="O179" i="7"/>
  <c r="J179" i="7"/>
  <c r="I179" i="7"/>
  <c r="H179" i="7"/>
  <c r="G181" i="7"/>
  <c r="D180" i="7"/>
  <c r="E180" i="7"/>
  <c r="F180" i="7"/>
  <c r="Y180" i="7"/>
  <c r="Z180" i="7"/>
  <c r="AA180" i="7"/>
  <c r="X180" i="7"/>
  <c r="AB180" i="7"/>
  <c r="W180" i="7"/>
  <c r="U181" i="7"/>
  <c r="V180" i="7"/>
  <c r="AO312" i="22" l="1"/>
  <c r="AT312" i="22"/>
  <c r="AQ312" i="22"/>
  <c r="AS312" i="22"/>
  <c r="AN312" i="22"/>
  <c r="AM313" i="22"/>
  <c r="AR312" i="22"/>
  <c r="AP312" i="22"/>
  <c r="AH312" i="23"/>
  <c r="AI312" i="23"/>
  <c r="AK312" i="23"/>
  <c r="AJ312" i="23"/>
  <c r="AE312" i="23"/>
  <c r="AD313" i="23"/>
  <c r="AF312" i="23"/>
  <c r="AG312" i="23"/>
  <c r="AS312" i="23"/>
  <c r="AO312" i="23"/>
  <c r="AN312" i="23"/>
  <c r="AR312" i="23"/>
  <c r="AQ312" i="23"/>
  <c r="AM313" i="23"/>
  <c r="AP312" i="23"/>
  <c r="AT312" i="23"/>
  <c r="AD309" i="7"/>
  <c r="AH308" i="7"/>
  <c r="AE308" i="7"/>
  <c r="AF308" i="7"/>
  <c r="AG308" i="7"/>
  <c r="AI308" i="7"/>
  <c r="AJ308" i="7"/>
  <c r="AK308" i="7"/>
  <c r="AK311" i="22"/>
  <c r="AJ311" i="22"/>
  <c r="AI311" i="22"/>
  <c r="AG311" i="22"/>
  <c r="AF311" i="22"/>
  <c r="AE311" i="22"/>
  <c r="AH311" i="22"/>
  <c r="AS307" i="7"/>
  <c r="AR307" i="7"/>
  <c r="AP307" i="7"/>
  <c r="AO307" i="7"/>
  <c r="AQ307" i="7"/>
  <c r="AM308" i="7"/>
  <c r="AT307" i="7"/>
  <c r="AN307" i="7"/>
  <c r="Q179" i="7"/>
  <c r="R179" i="7"/>
  <c r="H311" i="22"/>
  <c r="J310" i="23"/>
  <c r="I311" i="22"/>
  <c r="I310" i="23"/>
  <c r="AB311" i="23"/>
  <c r="AA311" i="23"/>
  <c r="Z311" i="23"/>
  <c r="U312" i="23"/>
  <c r="V311" i="23"/>
  <c r="X311" i="23"/>
  <c r="W311" i="23"/>
  <c r="Y311" i="23"/>
  <c r="H310" i="23"/>
  <c r="C312" i="23"/>
  <c r="F311" i="23"/>
  <c r="E311" i="23"/>
  <c r="D311" i="23"/>
  <c r="G311" i="23"/>
  <c r="M313" i="23"/>
  <c r="N313" i="23"/>
  <c r="L314" i="23"/>
  <c r="S313" i="23"/>
  <c r="R313" i="23"/>
  <c r="Q313" i="23"/>
  <c r="O313" i="23"/>
  <c r="P313" i="23"/>
  <c r="AD312" i="22"/>
  <c r="E312" i="22"/>
  <c r="F312" i="22"/>
  <c r="D312" i="22"/>
  <c r="J312" i="22"/>
  <c r="I312" i="22"/>
  <c r="H312" i="22"/>
  <c r="C313" i="22"/>
  <c r="G312" i="22"/>
  <c r="U313" i="22"/>
  <c r="V312" i="22"/>
  <c r="W312" i="22"/>
  <c r="X312" i="22"/>
  <c r="AA312" i="22"/>
  <c r="Z312" i="22"/>
  <c r="AB312" i="22"/>
  <c r="Y312" i="22"/>
  <c r="J311" i="22"/>
  <c r="S311" i="22"/>
  <c r="M311" i="22"/>
  <c r="R311" i="22"/>
  <c r="O311" i="22"/>
  <c r="Q311" i="22"/>
  <c r="N311" i="22"/>
  <c r="L312" i="22"/>
  <c r="P311" i="22"/>
  <c r="S179" i="7"/>
  <c r="N180" i="7"/>
  <c r="O180" i="7"/>
  <c r="P180" i="7"/>
  <c r="M180" i="7"/>
  <c r="H180" i="7"/>
  <c r="I180" i="7"/>
  <c r="G182" i="7"/>
  <c r="E181" i="7"/>
  <c r="F181" i="7"/>
  <c r="D181" i="7"/>
  <c r="Y181" i="7"/>
  <c r="Z181" i="7"/>
  <c r="U182" i="7"/>
  <c r="X181" i="7"/>
  <c r="V181" i="7"/>
  <c r="W181" i="7"/>
  <c r="AA181" i="7"/>
  <c r="AB181" i="7"/>
  <c r="J180" i="7"/>
  <c r="AQ313" i="22" l="1"/>
  <c r="AR313" i="22"/>
  <c r="AM314" i="22"/>
  <c r="AS313" i="22"/>
  <c r="AN313" i="22"/>
  <c r="AT313" i="22"/>
  <c r="AP313" i="22"/>
  <c r="AO313" i="22"/>
  <c r="AD314" i="23"/>
  <c r="AF313" i="23"/>
  <c r="AH313" i="23"/>
  <c r="AE313" i="23"/>
  <c r="AJ313" i="23"/>
  <c r="AG313" i="23"/>
  <c r="AI313" i="23"/>
  <c r="AK313" i="23"/>
  <c r="AQ313" i="23"/>
  <c r="AN313" i="23"/>
  <c r="AR313" i="23"/>
  <c r="AT313" i="23"/>
  <c r="AP313" i="23"/>
  <c r="AS313" i="23"/>
  <c r="AM314" i="23"/>
  <c r="AO313" i="23"/>
  <c r="AD310" i="7"/>
  <c r="AH309" i="7"/>
  <c r="AE309" i="7"/>
  <c r="AF309" i="7"/>
  <c r="AG309" i="7"/>
  <c r="AI309" i="7"/>
  <c r="AJ309" i="7"/>
  <c r="AK309" i="7"/>
  <c r="AK312" i="22"/>
  <c r="AJ312" i="22"/>
  <c r="AI312" i="22"/>
  <c r="AG312" i="22"/>
  <c r="AF312" i="22"/>
  <c r="AE312" i="22"/>
  <c r="AH312" i="22"/>
  <c r="AQ308" i="7"/>
  <c r="AS308" i="7"/>
  <c r="AO308" i="7"/>
  <c r="AM309" i="7"/>
  <c r="AT308" i="7"/>
  <c r="AR308" i="7"/>
  <c r="AN308" i="7"/>
  <c r="AP308" i="7"/>
  <c r="Q180" i="7"/>
  <c r="R180" i="7"/>
  <c r="H311" i="23"/>
  <c r="I311" i="23"/>
  <c r="J311" i="23"/>
  <c r="AB312" i="23"/>
  <c r="AA312" i="23"/>
  <c r="Z312" i="23"/>
  <c r="X312" i="23"/>
  <c r="U313" i="23"/>
  <c r="W312" i="23"/>
  <c r="V312" i="23"/>
  <c r="Y312" i="23"/>
  <c r="S314" i="23"/>
  <c r="Q314" i="23"/>
  <c r="O314" i="23"/>
  <c r="N314" i="23"/>
  <c r="M314" i="23"/>
  <c r="L315" i="23"/>
  <c r="R314" i="23"/>
  <c r="P314" i="23"/>
  <c r="H312" i="23"/>
  <c r="F312" i="23"/>
  <c r="E312" i="23"/>
  <c r="C313" i="23"/>
  <c r="J312" i="23"/>
  <c r="I312" i="23"/>
  <c r="D312" i="23"/>
  <c r="G312" i="23"/>
  <c r="F313" i="22"/>
  <c r="E313" i="22"/>
  <c r="C314" i="22"/>
  <c r="D313" i="22"/>
  <c r="J313" i="22"/>
  <c r="I313" i="22"/>
  <c r="H313" i="22"/>
  <c r="G313" i="22"/>
  <c r="AD313" i="22"/>
  <c r="R312" i="22"/>
  <c r="S312" i="22"/>
  <c r="M312" i="22"/>
  <c r="L313" i="22"/>
  <c r="Q312" i="22"/>
  <c r="N312" i="22"/>
  <c r="O312" i="22"/>
  <c r="P312" i="22"/>
  <c r="AA313" i="22"/>
  <c r="U314" i="22"/>
  <c r="X313" i="22"/>
  <c r="W313" i="22"/>
  <c r="AB313" i="22"/>
  <c r="Z313" i="22"/>
  <c r="V313" i="22"/>
  <c r="Y313" i="22"/>
  <c r="H181" i="7"/>
  <c r="S180" i="7"/>
  <c r="M181" i="7"/>
  <c r="P181" i="7"/>
  <c r="O181" i="7"/>
  <c r="N181" i="7"/>
  <c r="J181" i="7"/>
  <c r="I181" i="7"/>
  <c r="Y182" i="7"/>
  <c r="Z182" i="7"/>
  <c r="V182" i="7"/>
  <c r="U183" i="7"/>
  <c r="X182" i="7"/>
  <c r="W182" i="7"/>
  <c r="AA182" i="7"/>
  <c r="AB182" i="7"/>
  <c r="D182" i="7"/>
  <c r="E182" i="7"/>
  <c r="F182" i="7"/>
  <c r="G183" i="7"/>
  <c r="AT314" i="22" l="1"/>
  <c r="AR314" i="22"/>
  <c r="AN314" i="22"/>
  <c r="AQ314" i="22"/>
  <c r="AM315" i="22"/>
  <c r="AS314" i="22"/>
  <c r="AP314" i="22"/>
  <c r="AO314" i="22"/>
  <c r="AI314" i="23"/>
  <c r="AE314" i="23"/>
  <c r="AJ314" i="23"/>
  <c r="AG314" i="23"/>
  <c r="AF314" i="23"/>
  <c r="AD315" i="23"/>
  <c r="AK314" i="23"/>
  <c r="AH314" i="23"/>
  <c r="AR314" i="23"/>
  <c r="AS314" i="23"/>
  <c r="AP314" i="23"/>
  <c r="AT314" i="23"/>
  <c r="AM315" i="23"/>
  <c r="AQ314" i="23"/>
  <c r="AN314" i="23"/>
  <c r="AO314" i="23"/>
  <c r="AD311" i="7"/>
  <c r="AH310" i="7"/>
  <c r="AE310" i="7"/>
  <c r="AF310" i="7"/>
  <c r="AG310" i="7"/>
  <c r="AI310" i="7"/>
  <c r="AJ310" i="7"/>
  <c r="AK310" i="7"/>
  <c r="AK313" i="22"/>
  <c r="AJ313" i="22"/>
  <c r="AI313" i="22"/>
  <c r="AG313" i="22"/>
  <c r="AF313" i="22"/>
  <c r="AE313" i="22"/>
  <c r="AH313" i="22"/>
  <c r="AP309" i="7"/>
  <c r="AM310" i="7"/>
  <c r="AT309" i="7"/>
  <c r="AS309" i="7"/>
  <c r="AR309" i="7"/>
  <c r="AQ309" i="7"/>
  <c r="AO309" i="7"/>
  <c r="AN309" i="7"/>
  <c r="R181" i="7"/>
  <c r="S181" i="7"/>
  <c r="Q181" i="7"/>
  <c r="H182" i="7"/>
  <c r="R315" i="23"/>
  <c r="L316" i="23"/>
  <c r="O315" i="23"/>
  <c r="S315" i="23"/>
  <c r="Q315" i="23"/>
  <c r="N315" i="23"/>
  <c r="M315" i="23"/>
  <c r="P315" i="23"/>
  <c r="J313" i="23"/>
  <c r="I313" i="23"/>
  <c r="H313" i="23"/>
  <c r="C314" i="23"/>
  <c r="F313" i="23"/>
  <c r="E313" i="23"/>
  <c r="D313" i="23"/>
  <c r="G313" i="23"/>
  <c r="AA313" i="23"/>
  <c r="U314" i="23"/>
  <c r="X313" i="23"/>
  <c r="AB313" i="23"/>
  <c r="Z313" i="23"/>
  <c r="W313" i="23"/>
  <c r="V313" i="23"/>
  <c r="Y313" i="23"/>
  <c r="AD314" i="22"/>
  <c r="I314" i="22"/>
  <c r="E314" i="22"/>
  <c r="C315" i="22"/>
  <c r="D314" i="22"/>
  <c r="J314" i="22"/>
  <c r="H314" i="22"/>
  <c r="F314" i="22"/>
  <c r="G314" i="22"/>
  <c r="N313" i="22"/>
  <c r="S313" i="22"/>
  <c r="R313" i="22"/>
  <c r="Q313" i="22"/>
  <c r="O313" i="22"/>
  <c r="M313" i="22"/>
  <c r="L314" i="22"/>
  <c r="P313" i="22"/>
  <c r="W314" i="22"/>
  <c r="AB314" i="22"/>
  <c r="U315" i="22"/>
  <c r="X314" i="22"/>
  <c r="V314" i="22"/>
  <c r="Z314" i="22"/>
  <c r="AA314" i="22"/>
  <c r="Y314" i="22"/>
  <c r="I182" i="7"/>
  <c r="P182" i="7"/>
  <c r="N182" i="7"/>
  <c r="M182" i="7"/>
  <c r="O182" i="7"/>
  <c r="J182" i="7"/>
  <c r="G184" i="7"/>
  <c r="D183" i="7"/>
  <c r="E183" i="7"/>
  <c r="F183" i="7"/>
  <c r="Y183" i="7"/>
  <c r="Z183" i="7"/>
  <c r="AB183" i="7"/>
  <c r="V183" i="7"/>
  <c r="W183" i="7"/>
  <c r="X183" i="7"/>
  <c r="AA183" i="7"/>
  <c r="U184" i="7"/>
  <c r="AS315" i="22" l="1"/>
  <c r="AQ315" i="22"/>
  <c r="AM316" i="22"/>
  <c r="AP315" i="22"/>
  <c r="AN315" i="22"/>
  <c r="AT315" i="22"/>
  <c r="AR315" i="22"/>
  <c r="AO315" i="22"/>
  <c r="AE315" i="23"/>
  <c r="AK315" i="23"/>
  <c r="AG315" i="23"/>
  <c r="AD316" i="23"/>
  <c r="AH315" i="23"/>
  <c r="AI315" i="23"/>
  <c r="AJ315" i="23"/>
  <c r="AF315" i="23"/>
  <c r="AM316" i="23"/>
  <c r="AO315" i="23"/>
  <c r="AT315" i="23"/>
  <c r="AR315" i="23"/>
  <c r="AS315" i="23"/>
  <c r="AQ315" i="23"/>
  <c r="AN315" i="23"/>
  <c r="AP315" i="23"/>
  <c r="AD312" i="7"/>
  <c r="AH311" i="7"/>
  <c r="AE311" i="7"/>
  <c r="AF311" i="7"/>
  <c r="AG311" i="7"/>
  <c r="AI311" i="7"/>
  <c r="AJ311" i="7"/>
  <c r="AK311" i="7"/>
  <c r="AK314" i="22"/>
  <c r="AJ314" i="22"/>
  <c r="AI314" i="22"/>
  <c r="AG314" i="22"/>
  <c r="AF314" i="22"/>
  <c r="AE314" i="22"/>
  <c r="AH314" i="22"/>
  <c r="AM311" i="7"/>
  <c r="AT310" i="7"/>
  <c r="AS310" i="7"/>
  <c r="AR310" i="7"/>
  <c r="AQ310" i="7"/>
  <c r="AP310" i="7"/>
  <c r="AO310" i="7"/>
  <c r="AN310" i="7"/>
  <c r="S182" i="7"/>
  <c r="R182" i="7"/>
  <c r="H183" i="7"/>
  <c r="W314" i="23"/>
  <c r="V314" i="23"/>
  <c r="AA314" i="23"/>
  <c r="Z314" i="23"/>
  <c r="X314" i="23"/>
  <c r="U315" i="23"/>
  <c r="AB314" i="23"/>
  <c r="Y314" i="23"/>
  <c r="N316" i="23"/>
  <c r="R316" i="23"/>
  <c r="Q316" i="23"/>
  <c r="O316" i="23"/>
  <c r="M316" i="23"/>
  <c r="S316" i="23"/>
  <c r="L317" i="23"/>
  <c r="P316" i="23"/>
  <c r="I314" i="23"/>
  <c r="C315" i="23"/>
  <c r="F314" i="23"/>
  <c r="J314" i="23"/>
  <c r="H314" i="23"/>
  <c r="E314" i="23"/>
  <c r="D314" i="23"/>
  <c r="G314" i="23"/>
  <c r="S314" i="22"/>
  <c r="R314" i="22"/>
  <c r="Q314" i="22"/>
  <c r="M314" i="22"/>
  <c r="O314" i="22"/>
  <c r="N314" i="22"/>
  <c r="L315" i="22"/>
  <c r="P314" i="22"/>
  <c r="AD315" i="22"/>
  <c r="E315" i="22"/>
  <c r="D315" i="22"/>
  <c r="C316" i="22"/>
  <c r="H315" i="22"/>
  <c r="F315" i="22"/>
  <c r="J315" i="22"/>
  <c r="I315" i="22"/>
  <c r="G315" i="22"/>
  <c r="Z315" i="22"/>
  <c r="X315" i="22"/>
  <c r="AB315" i="22"/>
  <c r="AA315" i="22"/>
  <c r="W315" i="22"/>
  <c r="V315" i="22"/>
  <c r="U316" i="22"/>
  <c r="Y315" i="22"/>
  <c r="Q182" i="7"/>
  <c r="M183" i="7"/>
  <c r="P183" i="7"/>
  <c r="N183" i="7"/>
  <c r="O183" i="7"/>
  <c r="I183" i="7"/>
  <c r="Y184" i="7"/>
  <c r="Z184" i="7"/>
  <c r="X184" i="7"/>
  <c r="AA184" i="7"/>
  <c r="V184" i="7"/>
  <c r="W184" i="7"/>
  <c r="U185" i="7"/>
  <c r="AB184" i="7"/>
  <c r="G185" i="7"/>
  <c r="E184" i="7"/>
  <c r="F184" i="7"/>
  <c r="D184" i="7"/>
  <c r="J183" i="7"/>
  <c r="AS316" i="22" l="1"/>
  <c r="AP316" i="22"/>
  <c r="AN316" i="22"/>
  <c r="AM317" i="22"/>
  <c r="AQ316" i="22"/>
  <c r="AT316" i="22"/>
  <c r="AR316" i="22"/>
  <c r="AO316" i="22"/>
  <c r="AJ316" i="23"/>
  <c r="AG316" i="23"/>
  <c r="AE316" i="23"/>
  <c r="AD317" i="23"/>
  <c r="AH316" i="23"/>
  <c r="AK316" i="23"/>
  <c r="AI316" i="23"/>
  <c r="AF316" i="23"/>
  <c r="AS316" i="23"/>
  <c r="AQ316" i="23"/>
  <c r="AN316" i="23"/>
  <c r="AP316" i="23"/>
  <c r="AM317" i="23"/>
  <c r="AO316" i="23"/>
  <c r="AT316" i="23"/>
  <c r="AR316" i="23"/>
  <c r="AD313" i="7"/>
  <c r="AH312" i="7"/>
  <c r="AE312" i="7"/>
  <c r="AF312" i="7"/>
  <c r="AG312" i="7"/>
  <c r="AI312" i="7"/>
  <c r="AJ312" i="7"/>
  <c r="AK312" i="7"/>
  <c r="AK315" i="22"/>
  <c r="AJ315" i="22"/>
  <c r="AI315" i="22"/>
  <c r="AG315" i="22"/>
  <c r="AF315" i="22"/>
  <c r="AE315" i="22"/>
  <c r="AH315" i="22"/>
  <c r="AN311" i="7"/>
  <c r="AM312" i="7"/>
  <c r="AT311" i="7"/>
  <c r="AS311" i="7"/>
  <c r="AR311" i="7"/>
  <c r="AQ311" i="7"/>
  <c r="AP311" i="7"/>
  <c r="AO311" i="7"/>
  <c r="H184" i="7"/>
  <c r="Q183" i="7"/>
  <c r="S183" i="7"/>
  <c r="R183" i="7"/>
  <c r="AB315" i="23"/>
  <c r="Z315" i="23"/>
  <c r="X315" i="23"/>
  <c r="W315" i="23"/>
  <c r="V315" i="23"/>
  <c r="U316" i="23"/>
  <c r="AA315" i="23"/>
  <c r="Y315" i="23"/>
  <c r="S317" i="23"/>
  <c r="L318" i="23"/>
  <c r="M317" i="23"/>
  <c r="Q317" i="23"/>
  <c r="R317" i="23"/>
  <c r="O317" i="23"/>
  <c r="N317" i="23"/>
  <c r="P317" i="23"/>
  <c r="E315" i="23"/>
  <c r="I315" i="23"/>
  <c r="H315" i="23"/>
  <c r="F315" i="23"/>
  <c r="D315" i="23"/>
  <c r="C316" i="23"/>
  <c r="J315" i="23"/>
  <c r="G315" i="23"/>
  <c r="R315" i="22"/>
  <c r="S315" i="22"/>
  <c r="Q315" i="22"/>
  <c r="L316" i="22"/>
  <c r="M315" i="22"/>
  <c r="N315" i="22"/>
  <c r="O315" i="22"/>
  <c r="P315" i="22"/>
  <c r="C317" i="22"/>
  <c r="D316" i="22"/>
  <c r="I316" i="22"/>
  <c r="H316" i="22"/>
  <c r="E316" i="22"/>
  <c r="J316" i="22"/>
  <c r="F316" i="22"/>
  <c r="G316" i="22"/>
  <c r="AA316" i="22"/>
  <c r="V316" i="22"/>
  <c r="W316" i="22"/>
  <c r="Z316" i="22"/>
  <c r="AB316" i="22"/>
  <c r="X316" i="22"/>
  <c r="U317" i="22"/>
  <c r="Y316" i="22"/>
  <c r="AD316" i="22"/>
  <c r="M184" i="7"/>
  <c r="N184" i="7"/>
  <c r="P184" i="7"/>
  <c r="O184" i="7"/>
  <c r="J184" i="7"/>
  <c r="I184" i="7"/>
  <c r="D185" i="7"/>
  <c r="E185" i="7"/>
  <c r="F185" i="7"/>
  <c r="G186" i="7"/>
  <c r="Y185" i="7"/>
  <c r="Z185" i="7"/>
  <c r="U186" i="7"/>
  <c r="AA185" i="7"/>
  <c r="AB185" i="7"/>
  <c r="V185" i="7"/>
  <c r="W185" i="7"/>
  <c r="X185" i="7"/>
  <c r="AS317" i="22" l="1"/>
  <c r="AP317" i="22"/>
  <c r="AN317" i="22"/>
  <c r="AM318" i="22"/>
  <c r="AR317" i="22"/>
  <c r="AO317" i="22"/>
  <c r="AT317" i="22"/>
  <c r="AQ317" i="22"/>
  <c r="AD318" i="23"/>
  <c r="AH317" i="23"/>
  <c r="AK317" i="23"/>
  <c r="AG317" i="23"/>
  <c r="AE317" i="23"/>
  <c r="AJ317" i="23"/>
  <c r="AI317" i="23"/>
  <c r="AF317" i="23"/>
  <c r="AR317" i="23"/>
  <c r="AP317" i="23"/>
  <c r="AO317" i="23"/>
  <c r="AT317" i="23"/>
  <c r="AS317" i="23"/>
  <c r="AQ317" i="23"/>
  <c r="AN317" i="23"/>
  <c r="AM318" i="23"/>
  <c r="AD314" i="7"/>
  <c r="AH313" i="7"/>
  <c r="AE313" i="7"/>
  <c r="AF313" i="7"/>
  <c r="AG313" i="7"/>
  <c r="AI313" i="7"/>
  <c r="AJ313" i="7"/>
  <c r="AK313" i="7"/>
  <c r="AK316" i="22"/>
  <c r="AJ316" i="22"/>
  <c r="AI316" i="22"/>
  <c r="AG316" i="22"/>
  <c r="AF316" i="22"/>
  <c r="AE316" i="22"/>
  <c r="AH316" i="22"/>
  <c r="AT312" i="7"/>
  <c r="AN312" i="7"/>
  <c r="AM313" i="7"/>
  <c r="AS312" i="7"/>
  <c r="AO312" i="7"/>
  <c r="AQ312" i="7"/>
  <c r="AR312" i="7"/>
  <c r="AP312" i="7"/>
  <c r="S184" i="7"/>
  <c r="R184" i="7"/>
  <c r="R318" i="23"/>
  <c r="L319" i="23"/>
  <c r="O318" i="23"/>
  <c r="S318" i="23"/>
  <c r="Q318" i="23"/>
  <c r="N318" i="23"/>
  <c r="M318" i="23"/>
  <c r="P318" i="23"/>
  <c r="AA316" i="23"/>
  <c r="U317" i="23"/>
  <c r="X316" i="23"/>
  <c r="AB316" i="23"/>
  <c r="Z316" i="23"/>
  <c r="W316" i="23"/>
  <c r="V316" i="23"/>
  <c r="Y316" i="23"/>
  <c r="J316" i="23"/>
  <c r="C317" i="23"/>
  <c r="D316" i="23"/>
  <c r="H316" i="23"/>
  <c r="F316" i="23"/>
  <c r="E316" i="23"/>
  <c r="I316" i="23"/>
  <c r="G316" i="23"/>
  <c r="W317" i="22"/>
  <c r="X317" i="22"/>
  <c r="U318" i="22"/>
  <c r="Z317" i="22"/>
  <c r="AB317" i="22"/>
  <c r="AA317" i="22"/>
  <c r="V317" i="22"/>
  <c r="Y317" i="22"/>
  <c r="AD317" i="22"/>
  <c r="I317" i="22"/>
  <c r="C318" i="22"/>
  <c r="J317" i="22"/>
  <c r="E317" i="22"/>
  <c r="D317" i="22"/>
  <c r="H317" i="22"/>
  <c r="F317" i="22"/>
  <c r="G317" i="22"/>
  <c r="N316" i="22"/>
  <c r="R316" i="22"/>
  <c r="Q316" i="22"/>
  <c r="L317" i="22"/>
  <c r="S316" i="22"/>
  <c r="M316" i="22"/>
  <c r="O316" i="22"/>
  <c r="P316" i="22"/>
  <c r="J185" i="7"/>
  <c r="Q184" i="7"/>
  <c r="P185" i="7"/>
  <c r="N185" i="7"/>
  <c r="O185" i="7"/>
  <c r="M185" i="7"/>
  <c r="H185" i="7"/>
  <c r="I185" i="7"/>
  <c r="Y186" i="7"/>
  <c r="Z186" i="7"/>
  <c r="V186" i="7"/>
  <c r="AB186" i="7"/>
  <c r="X186" i="7"/>
  <c r="AA186" i="7"/>
  <c r="W186" i="7"/>
  <c r="U187" i="7"/>
  <c r="G187" i="7"/>
  <c r="D186" i="7"/>
  <c r="E186" i="7"/>
  <c r="F186" i="7"/>
  <c r="AS318" i="22" l="1"/>
  <c r="AO318" i="22"/>
  <c r="AM319" i="22"/>
  <c r="AR318" i="22"/>
  <c r="AP318" i="22"/>
  <c r="AN318" i="22"/>
  <c r="AT318" i="22"/>
  <c r="AQ318" i="22"/>
  <c r="AD319" i="23"/>
  <c r="AJ318" i="23"/>
  <c r="AG318" i="23"/>
  <c r="AF318" i="23"/>
  <c r="AK318" i="23"/>
  <c r="AH318" i="23"/>
  <c r="AE318" i="23"/>
  <c r="AI318" i="23"/>
  <c r="AP318" i="23"/>
  <c r="AT318" i="23"/>
  <c r="AR318" i="23"/>
  <c r="AN318" i="23"/>
  <c r="AM319" i="23"/>
  <c r="AS318" i="23"/>
  <c r="AO318" i="23"/>
  <c r="AQ318" i="23"/>
  <c r="AD315" i="7"/>
  <c r="AH314" i="7"/>
  <c r="AE314" i="7"/>
  <c r="AF314" i="7"/>
  <c r="AG314" i="7"/>
  <c r="AI314" i="7"/>
  <c r="AJ314" i="7"/>
  <c r="AK314" i="7"/>
  <c r="AK317" i="22"/>
  <c r="AJ317" i="22"/>
  <c r="AI317" i="22"/>
  <c r="AG317" i="22"/>
  <c r="AF317" i="22"/>
  <c r="AE317" i="22"/>
  <c r="AH317" i="22"/>
  <c r="AQ313" i="7"/>
  <c r="AN313" i="7"/>
  <c r="AT313" i="7"/>
  <c r="AS313" i="7"/>
  <c r="AR313" i="7"/>
  <c r="AO313" i="7"/>
  <c r="AM314" i="7"/>
  <c r="AP313" i="7"/>
  <c r="Q185" i="7"/>
  <c r="R185" i="7"/>
  <c r="I317" i="23"/>
  <c r="C318" i="23"/>
  <c r="F317" i="23"/>
  <c r="J317" i="23"/>
  <c r="H317" i="23"/>
  <c r="E317" i="23"/>
  <c r="D317" i="23"/>
  <c r="G317" i="23"/>
  <c r="N319" i="23"/>
  <c r="R319" i="23"/>
  <c r="M319" i="23"/>
  <c r="L320" i="23"/>
  <c r="O319" i="23"/>
  <c r="S319" i="23"/>
  <c r="Q319" i="23"/>
  <c r="P319" i="23"/>
  <c r="W317" i="23"/>
  <c r="AA317" i="23"/>
  <c r="Z317" i="23"/>
  <c r="X317" i="23"/>
  <c r="V317" i="23"/>
  <c r="U318" i="23"/>
  <c r="AB317" i="23"/>
  <c r="Y317" i="23"/>
  <c r="E318" i="22"/>
  <c r="I318" i="22"/>
  <c r="C319" i="22"/>
  <c r="J318" i="22"/>
  <c r="H318" i="22"/>
  <c r="D318" i="22"/>
  <c r="F318" i="22"/>
  <c r="G318" i="22"/>
  <c r="AD318" i="22"/>
  <c r="AB318" i="22"/>
  <c r="AA318" i="22"/>
  <c r="U319" i="22"/>
  <c r="X318" i="22"/>
  <c r="V318" i="22"/>
  <c r="Z318" i="22"/>
  <c r="W318" i="22"/>
  <c r="Y318" i="22"/>
  <c r="Q317" i="22"/>
  <c r="O317" i="22"/>
  <c r="N317" i="22"/>
  <c r="R317" i="22"/>
  <c r="M317" i="22"/>
  <c r="L318" i="22"/>
  <c r="S317" i="22"/>
  <c r="P317" i="22"/>
  <c r="S185" i="7"/>
  <c r="M186" i="7"/>
  <c r="O186" i="7"/>
  <c r="N186" i="7"/>
  <c r="P186" i="7"/>
  <c r="J186" i="7"/>
  <c r="I186" i="7"/>
  <c r="H186" i="7"/>
  <c r="G188" i="7"/>
  <c r="E187" i="7"/>
  <c r="F187" i="7"/>
  <c r="D187" i="7"/>
  <c r="Y187" i="7"/>
  <c r="V187" i="7"/>
  <c r="Z187" i="7"/>
  <c r="AB187" i="7"/>
  <c r="X187" i="7"/>
  <c r="W187" i="7"/>
  <c r="AA187" i="7"/>
  <c r="U188" i="7"/>
  <c r="AM320" i="22" l="1"/>
  <c r="AR319" i="22"/>
  <c r="AP319" i="22"/>
  <c r="AN319" i="22"/>
  <c r="AS319" i="22"/>
  <c r="AO319" i="22"/>
  <c r="AT319" i="22"/>
  <c r="AQ319" i="22"/>
  <c r="AI319" i="23"/>
  <c r="AG319" i="23"/>
  <c r="AJ319" i="23"/>
  <c r="AE319" i="23"/>
  <c r="AF319" i="23"/>
  <c r="AD320" i="23"/>
  <c r="AK319" i="23"/>
  <c r="AH319" i="23"/>
  <c r="AO319" i="23"/>
  <c r="AT319" i="23"/>
  <c r="AR319" i="23"/>
  <c r="AP319" i="23"/>
  <c r="AN319" i="23"/>
  <c r="AM320" i="23"/>
  <c r="AS319" i="23"/>
  <c r="AQ319" i="23"/>
  <c r="AD316" i="7"/>
  <c r="AH315" i="7"/>
  <c r="AE315" i="7"/>
  <c r="AF315" i="7"/>
  <c r="AG315" i="7"/>
  <c r="AI315" i="7"/>
  <c r="AJ315" i="7"/>
  <c r="AK315" i="7"/>
  <c r="AK318" i="22"/>
  <c r="AJ318" i="22"/>
  <c r="AI318" i="22"/>
  <c r="AG318" i="22"/>
  <c r="AF318" i="22"/>
  <c r="AE318" i="22"/>
  <c r="AH318" i="22"/>
  <c r="AN314" i="7"/>
  <c r="AM315" i="7"/>
  <c r="AT314" i="7"/>
  <c r="AS314" i="7"/>
  <c r="AR314" i="7"/>
  <c r="AQ314" i="7"/>
  <c r="AP314" i="7"/>
  <c r="AO314" i="7"/>
  <c r="R186" i="7"/>
  <c r="S186" i="7"/>
  <c r="Q186" i="7"/>
  <c r="S320" i="23"/>
  <c r="Q320" i="23"/>
  <c r="O320" i="23"/>
  <c r="N320" i="23"/>
  <c r="M320" i="23"/>
  <c r="L321" i="23"/>
  <c r="R320" i="23"/>
  <c r="P320" i="23"/>
  <c r="E318" i="23"/>
  <c r="I318" i="23"/>
  <c r="D318" i="23"/>
  <c r="J318" i="23"/>
  <c r="H318" i="23"/>
  <c r="F318" i="23"/>
  <c r="C319" i="23"/>
  <c r="G318" i="23"/>
  <c r="AB318" i="23"/>
  <c r="U319" i="23"/>
  <c r="Z318" i="23"/>
  <c r="V318" i="23"/>
  <c r="AA318" i="23"/>
  <c r="X318" i="23"/>
  <c r="W318" i="23"/>
  <c r="Y318" i="23"/>
  <c r="AD319" i="22"/>
  <c r="E319" i="22"/>
  <c r="F319" i="22"/>
  <c r="D319" i="22"/>
  <c r="C320" i="22"/>
  <c r="H319" i="22"/>
  <c r="J319" i="22"/>
  <c r="I319" i="22"/>
  <c r="G319" i="22"/>
  <c r="AA319" i="22"/>
  <c r="AB319" i="22"/>
  <c r="W319" i="22"/>
  <c r="Z319" i="22"/>
  <c r="X319" i="22"/>
  <c r="U320" i="22"/>
  <c r="V319" i="22"/>
  <c r="Y319" i="22"/>
  <c r="R318" i="22"/>
  <c r="O318" i="22"/>
  <c r="N318" i="22"/>
  <c r="S318" i="22"/>
  <c r="L319" i="22"/>
  <c r="M318" i="22"/>
  <c r="Q318" i="22"/>
  <c r="P318" i="22"/>
  <c r="H187" i="7"/>
  <c r="P187" i="7"/>
  <c r="M187" i="7"/>
  <c r="O187" i="7"/>
  <c r="N187" i="7"/>
  <c r="I187" i="7"/>
  <c r="J187" i="7"/>
  <c r="Y188" i="7"/>
  <c r="Z188" i="7"/>
  <c r="W188" i="7"/>
  <c r="U189" i="7"/>
  <c r="AA188" i="7"/>
  <c r="V188" i="7"/>
  <c r="X188" i="7"/>
  <c r="AB188" i="7"/>
  <c r="D188" i="7"/>
  <c r="E188" i="7"/>
  <c r="F188" i="7"/>
  <c r="G189" i="7"/>
  <c r="AT320" i="22" l="1"/>
  <c r="AP320" i="22"/>
  <c r="AN320" i="22"/>
  <c r="AM321" i="22"/>
  <c r="AR320" i="22"/>
  <c r="AO320" i="22"/>
  <c r="AS320" i="22"/>
  <c r="AQ320" i="22"/>
  <c r="AK320" i="23"/>
  <c r="AG320" i="23"/>
  <c r="AI320" i="23"/>
  <c r="AE320" i="23"/>
  <c r="AF320" i="23"/>
  <c r="AD321" i="23"/>
  <c r="AJ320" i="23"/>
  <c r="AH320" i="23"/>
  <c r="AM321" i="23"/>
  <c r="AR320" i="23"/>
  <c r="AQ320" i="23"/>
  <c r="AS320" i="23"/>
  <c r="AP320" i="23"/>
  <c r="AN320" i="23"/>
  <c r="AT320" i="23"/>
  <c r="AO320" i="23"/>
  <c r="AD317" i="7"/>
  <c r="AH316" i="7"/>
  <c r="AE316" i="7"/>
  <c r="AF316" i="7"/>
  <c r="AG316" i="7"/>
  <c r="AI316" i="7"/>
  <c r="AJ316" i="7"/>
  <c r="AK316" i="7"/>
  <c r="AK319" i="22"/>
  <c r="AJ319" i="22"/>
  <c r="AI319" i="22"/>
  <c r="AG319" i="22"/>
  <c r="AF319" i="22"/>
  <c r="AE319" i="22"/>
  <c r="AH319" i="22"/>
  <c r="AN315" i="7"/>
  <c r="AM316" i="7"/>
  <c r="AT315" i="7"/>
  <c r="AS315" i="7"/>
  <c r="AR315" i="7"/>
  <c r="AQ315" i="7"/>
  <c r="AP315" i="7"/>
  <c r="AO315" i="7"/>
  <c r="Q187" i="7"/>
  <c r="R187" i="7"/>
  <c r="R321" i="23"/>
  <c r="L322" i="23"/>
  <c r="O321" i="23"/>
  <c r="S321" i="23"/>
  <c r="Q321" i="23"/>
  <c r="N321" i="23"/>
  <c r="M321" i="23"/>
  <c r="P321" i="23"/>
  <c r="AA319" i="23"/>
  <c r="U320" i="23"/>
  <c r="X319" i="23"/>
  <c r="AB319" i="23"/>
  <c r="Z319" i="23"/>
  <c r="W319" i="23"/>
  <c r="V319" i="23"/>
  <c r="Y319" i="23"/>
  <c r="J319" i="23"/>
  <c r="H319" i="23"/>
  <c r="F319" i="23"/>
  <c r="E319" i="23"/>
  <c r="D319" i="23"/>
  <c r="C320" i="23"/>
  <c r="I319" i="23"/>
  <c r="G319" i="23"/>
  <c r="I320" i="22"/>
  <c r="F320" i="22"/>
  <c r="H320" i="22"/>
  <c r="E320" i="22"/>
  <c r="D320" i="22"/>
  <c r="C321" i="22"/>
  <c r="J320" i="22"/>
  <c r="G320" i="22"/>
  <c r="W320" i="22"/>
  <c r="AB320" i="22"/>
  <c r="AA320" i="22"/>
  <c r="U321" i="22"/>
  <c r="Z320" i="22"/>
  <c r="V320" i="22"/>
  <c r="X320" i="22"/>
  <c r="Y320" i="22"/>
  <c r="AD320" i="22"/>
  <c r="N319" i="22"/>
  <c r="O319" i="22"/>
  <c r="M319" i="22"/>
  <c r="Q319" i="22"/>
  <c r="L320" i="22"/>
  <c r="S319" i="22"/>
  <c r="R319" i="22"/>
  <c r="P319" i="22"/>
  <c r="S187" i="7"/>
  <c r="N188" i="7"/>
  <c r="P188" i="7"/>
  <c r="O188" i="7"/>
  <c r="M188" i="7"/>
  <c r="I188" i="7"/>
  <c r="J188" i="7"/>
  <c r="H188" i="7"/>
  <c r="G190" i="7"/>
  <c r="D189" i="7"/>
  <c r="E189" i="7"/>
  <c r="F189" i="7"/>
  <c r="Y189" i="7"/>
  <c r="AA189" i="7"/>
  <c r="W189" i="7"/>
  <c r="X189" i="7"/>
  <c r="AB189" i="7"/>
  <c r="V189" i="7"/>
  <c r="Z189" i="7"/>
  <c r="U190" i="7"/>
  <c r="AT321" i="22" l="1"/>
  <c r="AR321" i="22"/>
  <c r="AP321" i="22"/>
  <c r="AN321" i="22"/>
  <c r="AM322" i="22"/>
  <c r="AQ321" i="22"/>
  <c r="AS321" i="22"/>
  <c r="AO321" i="22"/>
  <c r="AD322" i="23"/>
  <c r="AI321" i="23"/>
  <c r="AF321" i="23"/>
  <c r="AJ321" i="23"/>
  <c r="AG321" i="23"/>
  <c r="AE321" i="23"/>
  <c r="AK321" i="23"/>
  <c r="AH321" i="23"/>
  <c r="AT321" i="23"/>
  <c r="AO321" i="23"/>
  <c r="AM322" i="23"/>
  <c r="AS321" i="23"/>
  <c r="AQ321" i="23"/>
  <c r="AN321" i="23"/>
  <c r="AR321" i="23"/>
  <c r="AP321" i="23"/>
  <c r="AD318" i="7"/>
  <c r="AH317" i="7"/>
  <c r="AE317" i="7"/>
  <c r="AF317" i="7"/>
  <c r="AG317" i="7"/>
  <c r="AI317" i="7"/>
  <c r="AJ317" i="7"/>
  <c r="AK317" i="7"/>
  <c r="AK320" i="22"/>
  <c r="AJ320" i="22"/>
  <c r="AI320" i="22"/>
  <c r="AG320" i="22"/>
  <c r="AF320" i="22"/>
  <c r="AE320" i="22"/>
  <c r="AH320" i="22"/>
  <c r="AN316" i="7"/>
  <c r="AM317" i="7"/>
  <c r="AT316" i="7"/>
  <c r="AS316" i="7"/>
  <c r="AR316" i="7"/>
  <c r="AQ316" i="7"/>
  <c r="AP316" i="7"/>
  <c r="AO316" i="7"/>
  <c r="Q188" i="7"/>
  <c r="R188" i="7"/>
  <c r="H189" i="7"/>
  <c r="W320" i="23"/>
  <c r="AA320" i="23"/>
  <c r="V320" i="23"/>
  <c r="U321" i="23"/>
  <c r="Z320" i="23"/>
  <c r="AB320" i="23"/>
  <c r="X320" i="23"/>
  <c r="Y320" i="23"/>
  <c r="N322" i="23"/>
  <c r="R322" i="23"/>
  <c r="Q322" i="23"/>
  <c r="O322" i="23"/>
  <c r="M322" i="23"/>
  <c r="L323" i="23"/>
  <c r="S322" i="23"/>
  <c r="P322" i="23"/>
  <c r="I320" i="23"/>
  <c r="C321" i="23"/>
  <c r="F320" i="23"/>
  <c r="J320" i="23"/>
  <c r="H320" i="23"/>
  <c r="E320" i="23"/>
  <c r="D320" i="23"/>
  <c r="G320" i="23"/>
  <c r="AB321" i="22"/>
  <c r="AA321" i="22"/>
  <c r="Z321" i="22"/>
  <c r="U322" i="22"/>
  <c r="X321" i="22"/>
  <c r="W321" i="22"/>
  <c r="V321" i="22"/>
  <c r="Y321" i="22"/>
  <c r="E321" i="22"/>
  <c r="J321" i="22"/>
  <c r="H321" i="22"/>
  <c r="I321" i="22"/>
  <c r="F321" i="22"/>
  <c r="D321" i="22"/>
  <c r="C322" i="22"/>
  <c r="G321" i="22"/>
  <c r="O320" i="22"/>
  <c r="N320" i="22"/>
  <c r="L321" i="22"/>
  <c r="M320" i="22"/>
  <c r="R320" i="22"/>
  <c r="Q320" i="22"/>
  <c r="S320" i="22"/>
  <c r="P320" i="22"/>
  <c r="AD321" i="22"/>
  <c r="S188" i="7"/>
  <c r="O189" i="7"/>
  <c r="M189" i="7"/>
  <c r="P189" i="7"/>
  <c r="N189" i="7"/>
  <c r="I189" i="7"/>
  <c r="E190" i="7"/>
  <c r="F190" i="7"/>
  <c r="D190" i="7"/>
  <c r="Y190" i="7"/>
  <c r="AB190" i="7"/>
  <c r="U191" i="7"/>
  <c r="O73" i="3" s="1"/>
  <c r="AA190" i="7"/>
  <c r="V190" i="7"/>
  <c r="X190" i="7"/>
  <c r="W190" i="7"/>
  <c r="Z190" i="7"/>
  <c r="J189" i="7"/>
  <c r="AT322" i="22" l="1"/>
  <c r="AM323" i="22"/>
  <c r="AR322" i="22"/>
  <c r="AP322" i="22"/>
  <c r="AN322" i="22"/>
  <c r="AS322" i="22"/>
  <c r="AO322" i="22"/>
  <c r="AQ322" i="22"/>
  <c r="AD323" i="23"/>
  <c r="AE322" i="23"/>
  <c r="AH322" i="23"/>
  <c r="AK322" i="23"/>
  <c r="AG322" i="23"/>
  <c r="AJ322" i="23"/>
  <c r="AI322" i="23"/>
  <c r="AF322" i="23"/>
  <c r="AT322" i="23"/>
  <c r="AO322" i="23"/>
  <c r="AM323" i="23"/>
  <c r="AR322" i="23"/>
  <c r="AP322" i="23"/>
  <c r="AS322" i="23"/>
  <c r="AQ322" i="23"/>
  <c r="AN322" i="23"/>
  <c r="AD319" i="7"/>
  <c r="AH318" i="7"/>
  <c r="AE318" i="7"/>
  <c r="AF318" i="7"/>
  <c r="AG318" i="7"/>
  <c r="AI318" i="7"/>
  <c r="AJ318" i="7"/>
  <c r="AK318" i="7"/>
  <c r="AK321" i="22"/>
  <c r="AJ321" i="22"/>
  <c r="AI321" i="22"/>
  <c r="AG321" i="22"/>
  <c r="AF321" i="22"/>
  <c r="AE321" i="22"/>
  <c r="AH321" i="22"/>
  <c r="AS317" i="7"/>
  <c r="AO317" i="7"/>
  <c r="AM318" i="7"/>
  <c r="AT317" i="7"/>
  <c r="AR317" i="7"/>
  <c r="AQ317" i="7"/>
  <c r="AP317" i="7"/>
  <c r="AN317" i="7"/>
  <c r="D22" i="3"/>
  <c r="S189" i="7"/>
  <c r="R189" i="7"/>
  <c r="Q189" i="7"/>
  <c r="E22" i="3"/>
  <c r="F22" i="3"/>
  <c r="G22" i="3"/>
  <c r="H22" i="3"/>
  <c r="J22" i="3"/>
  <c r="I22" i="3"/>
  <c r="K22" i="3"/>
  <c r="L22" i="3"/>
  <c r="M22" i="3"/>
  <c r="N22" i="3"/>
  <c r="O22" i="3"/>
  <c r="P22" i="3"/>
  <c r="Q22" i="3"/>
  <c r="R22" i="3"/>
  <c r="S22" i="3"/>
  <c r="T22" i="3"/>
  <c r="U22" i="3"/>
  <c r="V22" i="3"/>
  <c r="W22" i="3"/>
  <c r="X22" i="3"/>
  <c r="Y22" i="3"/>
  <c r="Z22" i="3"/>
  <c r="AA22" i="3"/>
  <c r="AB22" i="3"/>
  <c r="AC22" i="3"/>
  <c r="AD22" i="3"/>
  <c r="AE22" i="3"/>
  <c r="AF22" i="3"/>
  <c r="AG22" i="3"/>
  <c r="AH22" i="3"/>
  <c r="AI22" i="3"/>
  <c r="AJ22" i="3"/>
  <c r="AK22" i="3"/>
  <c r="AL22" i="3"/>
  <c r="AM22" i="3"/>
  <c r="AN22" i="3"/>
  <c r="S323" i="23"/>
  <c r="R323" i="23"/>
  <c r="Q323" i="23"/>
  <c r="M323" i="23"/>
  <c r="O323" i="23"/>
  <c r="N323" i="23"/>
  <c r="L324" i="23"/>
  <c r="N324" i="23" s="1"/>
  <c r="P323" i="23"/>
  <c r="AB321" i="23"/>
  <c r="Z321" i="23"/>
  <c r="X321" i="23"/>
  <c r="W321" i="23"/>
  <c r="V321" i="23"/>
  <c r="U322" i="23"/>
  <c r="AA322" i="23" s="1"/>
  <c r="AA321" i="23"/>
  <c r="Y321" i="23"/>
  <c r="E321" i="23"/>
  <c r="I321" i="23"/>
  <c r="H321" i="23"/>
  <c r="F321" i="23"/>
  <c r="D321" i="23"/>
  <c r="C322" i="23"/>
  <c r="J322" i="23" s="1"/>
  <c r="J321" i="23"/>
  <c r="G321" i="23"/>
  <c r="R321" i="22"/>
  <c r="N321" i="22"/>
  <c r="L322" i="22"/>
  <c r="P322" i="22" s="1"/>
  <c r="M321" i="22"/>
  <c r="Q321" i="22"/>
  <c r="O321" i="22"/>
  <c r="S321" i="22"/>
  <c r="P321" i="22"/>
  <c r="AA322" i="22"/>
  <c r="AB322" i="22"/>
  <c r="Z322" i="22"/>
  <c r="X322" i="22"/>
  <c r="V322" i="22"/>
  <c r="U323" i="22"/>
  <c r="Z323" i="22" s="1"/>
  <c r="W322" i="22"/>
  <c r="Y322" i="22"/>
  <c r="AD322" i="22"/>
  <c r="J322" i="22"/>
  <c r="F322" i="22"/>
  <c r="D322" i="22"/>
  <c r="I322" i="22"/>
  <c r="C323" i="22"/>
  <c r="F323" i="22" s="1"/>
  <c r="H322" i="22"/>
  <c r="E322" i="22"/>
  <c r="G322" i="22"/>
  <c r="M190" i="7"/>
  <c r="O190" i="7"/>
  <c r="N190" i="7"/>
  <c r="P190" i="7"/>
  <c r="I190" i="7"/>
  <c r="G193" i="7" s="1"/>
  <c r="J190" i="7"/>
  <c r="G191" i="7"/>
  <c r="H190" i="7"/>
  <c r="D191" i="7"/>
  <c r="E191" i="7"/>
  <c r="F191" i="7"/>
  <c r="G192" i="7"/>
  <c r="Y191" i="7"/>
  <c r="U192" i="7"/>
  <c r="X192" i="7" s="1"/>
  <c r="W191" i="7"/>
  <c r="X191" i="7"/>
  <c r="V191" i="7"/>
  <c r="AB191" i="7"/>
  <c r="AA191" i="7"/>
  <c r="Z191" i="7"/>
  <c r="D192" i="7"/>
  <c r="AP323" i="22" l="1"/>
  <c r="AM324" i="22"/>
  <c r="AS323" i="22"/>
  <c r="AQ323" i="22"/>
  <c r="AN323" i="22"/>
  <c r="AT323" i="22"/>
  <c r="AR323" i="22"/>
  <c r="AO323" i="22"/>
  <c r="AF323" i="23"/>
  <c r="AK323" i="23"/>
  <c r="AI323" i="23"/>
  <c r="AG323" i="23"/>
  <c r="AE323" i="23"/>
  <c r="AD324" i="23"/>
  <c r="AJ323" i="23"/>
  <c r="AH323" i="23"/>
  <c r="AT323" i="23"/>
  <c r="AN323" i="23"/>
  <c r="AP323" i="23"/>
  <c r="AQ323" i="23"/>
  <c r="AM324" i="23"/>
  <c r="AR323" i="23"/>
  <c r="AS323" i="23"/>
  <c r="AO323" i="23"/>
  <c r="AD320" i="7"/>
  <c r="AH319" i="7"/>
  <c r="AE319" i="7"/>
  <c r="AF319" i="7"/>
  <c r="AG319" i="7"/>
  <c r="AI319" i="7"/>
  <c r="AJ319" i="7"/>
  <c r="AK319" i="7"/>
  <c r="AK322" i="22"/>
  <c r="AJ322" i="22"/>
  <c r="AI322" i="22"/>
  <c r="AG322" i="22"/>
  <c r="AF322" i="22"/>
  <c r="AE322" i="22"/>
  <c r="AH322" i="22"/>
  <c r="AN318" i="7"/>
  <c r="AM319" i="7"/>
  <c r="AT318" i="7"/>
  <c r="AS318" i="7"/>
  <c r="AR318" i="7"/>
  <c r="AQ318" i="7"/>
  <c r="AP318" i="7"/>
  <c r="AO318" i="7"/>
  <c r="Q190" i="7"/>
  <c r="E11" i="19"/>
  <c r="F322" i="23"/>
  <c r="D323" i="22"/>
  <c r="J323" i="22"/>
  <c r="I323" i="22"/>
  <c r="G322" i="23"/>
  <c r="E322" i="23"/>
  <c r="I322" i="23"/>
  <c r="D322" i="23"/>
  <c r="H322" i="23"/>
  <c r="F192" i="7"/>
  <c r="J192" i="7" s="1"/>
  <c r="E192" i="7"/>
  <c r="I192" i="7" s="1"/>
  <c r="C323" i="23"/>
  <c r="G323" i="22"/>
  <c r="E323" i="22"/>
  <c r="H323" i="22"/>
  <c r="C324" i="22"/>
  <c r="E324" i="22" s="1"/>
  <c r="S190" i="7"/>
  <c r="R190" i="7"/>
  <c r="AA192" i="7"/>
  <c r="AA323" i="22"/>
  <c r="U193" i="7"/>
  <c r="AA193" i="7" s="1"/>
  <c r="W192" i="7"/>
  <c r="M324" i="23"/>
  <c r="V192" i="7"/>
  <c r="O324" i="23"/>
  <c r="R324" i="23"/>
  <c r="L325" i="23"/>
  <c r="M325" i="23" s="1"/>
  <c r="Y323" i="22"/>
  <c r="V323" i="22"/>
  <c r="W323" i="22"/>
  <c r="J191" i="7"/>
  <c r="I191" i="7"/>
  <c r="G194" i="7" s="1"/>
  <c r="O322" i="22"/>
  <c r="R322" i="22"/>
  <c r="Q322" i="22"/>
  <c r="P191" i="7"/>
  <c r="U324" i="22"/>
  <c r="AB324" i="22" s="1"/>
  <c r="P324" i="23"/>
  <c r="Y192" i="7"/>
  <c r="Y322" i="23"/>
  <c r="H191" i="7"/>
  <c r="S322" i="22"/>
  <c r="X323" i="22"/>
  <c r="L323" i="22"/>
  <c r="R323" i="22" s="1"/>
  <c r="AB323" i="22"/>
  <c r="AB192" i="7"/>
  <c r="M322" i="22"/>
  <c r="Q324" i="23"/>
  <c r="Z192" i="7"/>
  <c r="S324" i="23"/>
  <c r="M191" i="7"/>
  <c r="O191" i="7"/>
  <c r="N191" i="7"/>
  <c r="W322" i="23"/>
  <c r="Z322" i="23"/>
  <c r="V322" i="23"/>
  <c r="AB322" i="23"/>
  <c r="X322" i="23"/>
  <c r="U323" i="23"/>
  <c r="W323" i="23" s="1"/>
  <c r="N322" i="22"/>
  <c r="AD323" i="22"/>
  <c r="E193" i="7"/>
  <c r="F193" i="7"/>
  <c r="D193" i="7"/>
  <c r="AQ324" i="22" l="1"/>
  <c r="AS324" i="22"/>
  <c r="AP324" i="22"/>
  <c r="AN324" i="22"/>
  <c r="AM325" i="22"/>
  <c r="AT324" i="22"/>
  <c r="AR324" i="22"/>
  <c r="AO324" i="22"/>
  <c r="AK324" i="23"/>
  <c r="AF324" i="23"/>
  <c r="AE324" i="23"/>
  <c r="AI324" i="23"/>
  <c r="AG324" i="23"/>
  <c r="AD325" i="23"/>
  <c r="AJ324" i="23"/>
  <c r="AH324" i="23"/>
  <c r="AS324" i="23"/>
  <c r="AQ324" i="23"/>
  <c r="AO324" i="23"/>
  <c r="AR324" i="23"/>
  <c r="AN324" i="23"/>
  <c r="AT324" i="23"/>
  <c r="AP324" i="23"/>
  <c r="AM325" i="23"/>
  <c r="AD321" i="7"/>
  <c r="AH320" i="7"/>
  <c r="AE320" i="7"/>
  <c r="AF320" i="7"/>
  <c r="AG320" i="7"/>
  <c r="AI320" i="7"/>
  <c r="AJ320" i="7"/>
  <c r="AK320" i="7"/>
  <c r="AK323" i="22"/>
  <c r="AJ323" i="22"/>
  <c r="AI323" i="22"/>
  <c r="AG323" i="22"/>
  <c r="AF323" i="22"/>
  <c r="AE323" i="22"/>
  <c r="AH323" i="22"/>
  <c r="AT319" i="7"/>
  <c r="AP319" i="7"/>
  <c r="AR319" i="7"/>
  <c r="AN319" i="7"/>
  <c r="AQ319" i="7"/>
  <c r="AO319" i="7"/>
  <c r="AM320" i="7"/>
  <c r="AS319" i="7"/>
  <c r="I323" i="23"/>
  <c r="F323" i="23"/>
  <c r="S191" i="7"/>
  <c r="Q191" i="7"/>
  <c r="R191" i="7"/>
  <c r="C324" i="23"/>
  <c r="G323" i="23"/>
  <c r="D323" i="23"/>
  <c r="E323" i="23"/>
  <c r="H323" i="23"/>
  <c r="J323" i="23"/>
  <c r="H192" i="7"/>
  <c r="H193" i="7" s="1"/>
  <c r="C325" i="22"/>
  <c r="H324" i="22"/>
  <c r="D324" i="22"/>
  <c r="F324" i="22"/>
  <c r="I324" i="22"/>
  <c r="G324" i="22"/>
  <c r="J324" i="22"/>
  <c r="N325" i="23"/>
  <c r="AB193" i="7"/>
  <c r="Z193" i="7"/>
  <c r="U194" i="7"/>
  <c r="Y194" i="7" s="1"/>
  <c r="O325" i="23"/>
  <c r="L326" i="23"/>
  <c r="S326" i="23" s="1"/>
  <c r="V193" i="7"/>
  <c r="Q325" i="23"/>
  <c r="Y193" i="7"/>
  <c r="R325" i="23"/>
  <c r="S325" i="23"/>
  <c r="X193" i="7"/>
  <c r="W193" i="7"/>
  <c r="P325" i="23"/>
  <c r="Z324" i="22"/>
  <c r="S323" i="22"/>
  <c r="Q323" i="22"/>
  <c r="O323" i="22"/>
  <c r="N323" i="22"/>
  <c r="M192" i="7"/>
  <c r="U325" i="22"/>
  <c r="Y325" i="22" s="1"/>
  <c r="O192" i="7"/>
  <c r="S192" i="7" s="1"/>
  <c r="X324" i="22"/>
  <c r="Y324" i="22"/>
  <c r="W324" i="22"/>
  <c r="AA324" i="22"/>
  <c r="AD324" i="22"/>
  <c r="V324" i="22"/>
  <c r="L324" i="22"/>
  <c r="R324" i="22" s="1"/>
  <c r="Y323" i="23"/>
  <c r="V323" i="23"/>
  <c r="X323" i="23"/>
  <c r="M323" i="22"/>
  <c r="P192" i="7"/>
  <c r="U324" i="23"/>
  <c r="W324" i="23" s="1"/>
  <c r="N192" i="7"/>
  <c r="P323" i="22"/>
  <c r="Z323" i="23"/>
  <c r="AA323" i="23"/>
  <c r="AB323" i="23"/>
  <c r="O193" i="7"/>
  <c r="N193" i="7"/>
  <c r="P193" i="7"/>
  <c r="M193" i="7"/>
  <c r="J193" i="7"/>
  <c r="I193" i="7"/>
  <c r="D194" i="7"/>
  <c r="E194" i="7"/>
  <c r="F194" i="7"/>
  <c r="G195" i="7"/>
  <c r="AQ325" i="22" l="1"/>
  <c r="AT325" i="22"/>
  <c r="AM326" i="22"/>
  <c r="AR325" i="22"/>
  <c r="AO325" i="22"/>
  <c r="AN325" i="22"/>
  <c r="AS325" i="22"/>
  <c r="AP325" i="22"/>
  <c r="AH325" i="23"/>
  <c r="AK325" i="23"/>
  <c r="AI325" i="23"/>
  <c r="AG325" i="23"/>
  <c r="AE325" i="23"/>
  <c r="AD326" i="23"/>
  <c r="AJ325" i="23"/>
  <c r="AF325" i="23"/>
  <c r="AT325" i="23"/>
  <c r="AR325" i="23"/>
  <c r="AP325" i="23"/>
  <c r="AN325" i="23"/>
  <c r="AS325" i="23"/>
  <c r="AO325" i="23"/>
  <c r="AM326" i="23"/>
  <c r="AQ325" i="23"/>
  <c r="AD322" i="7"/>
  <c r="AH321" i="7"/>
  <c r="AE321" i="7"/>
  <c r="AF321" i="7"/>
  <c r="AG321" i="7"/>
  <c r="AI321" i="7"/>
  <c r="AJ321" i="7"/>
  <c r="AK321" i="7"/>
  <c r="AK324" i="22"/>
  <c r="AJ324" i="22"/>
  <c r="AI324" i="22"/>
  <c r="AG324" i="22"/>
  <c r="AF324" i="22"/>
  <c r="AE324" i="22"/>
  <c r="AH324" i="22"/>
  <c r="AN320" i="7"/>
  <c r="AM321" i="7"/>
  <c r="AT320" i="7"/>
  <c r="AS320" i="7"/>
  <c r="AR320" i="7"/>
  <c r="AQ320" i="7"/>
  <c r="AP320" i="7"/>
  <c r="AO320" i="7"/>
  <c r="E324" i="23"/>
  <c r="F324" i="23"/>
  <c r="D324" i="23"/>
  <c r="H324" i="23"/>
  <c r="C325" i="23"/>
  <c r="J324" i="23"/>
  <c r="I324" i="23"/>
  <c r="G324" i="23"/>
  <c r="G325" i="22"/>
  <c r="I325" i="22"/>
  <c r="C326" i="22"/>
  <c r="H325" i="22"/>
  <c r="E325" i="22"/>
  <c r="J325" i="22"/>
  <c r="F325" i="22"/>
  <c r="D325" i="22"/>
  <c r="Q192" i="7"/>
  <c r="Q193" i="7" s="1"/>
  <c r="R193" i="7"/>
  <c r="S193" i="7"/>
  <c r="R192" i="7"/>
  <c r="AA194" i="7"/>
  <c r="X194" i="7"/>
  <c r="Z194" i="7"/>
  <c r="W194" i="7"/>
  <c r="V194" i="7"/>
  <c r="U195" i="7"/>
  <c r="U196" i="7" s="1"/>
  <c r="AB194" i="7"/>
  <c r="P326" i="23"/>
  <c r="Q326" i="23"/>
  <c r="M326" i="23"/>
  <c r="N326" i="23"/>
  <c r="R326" i="23"/>
  <c r="L327" i="23"/>
  <c r="R327" i="23" s="1"/>
  <c r="O326" i="23"/>
  <c r="U326" i="22"/>
  <c r="U327" i="22" s="1"/>
  <c r="Z325" i="22"/>
  <c r="AA325" i="22"/>
  <c r="AB325" i="22"/>
  <c r="W325" i="22"/>
  <c r="X325" i="22"/>
  <c r="S324" i="22"/>
  <c r="N324" i="22"/>
  <c r="U325" i="23"/>
  <c r="U326" i="23" s="1"/>
  <c r="V325" i="22"/>
  <c r="Z324" i="23"/>
  <c r="P324" i="22"/>
  <c r="L325" i="22"/>
  <c r="L326" i="22" s="1"/>
  <c r="Q324" i="22"/>
  <c r="M324" i="22"/>
  <c r="O324" i="22"/>
  <c r="Y324" i="23"/>
  <c r="AD325" i="22"/>
  <c r="AB324" i="23"/>
  <c r="V324" i="23"/>
  <c r="X324" i="23"/>
  <c r="AA324" i="23"/>
  <c r="N194" i="7"/>
  <c r="P194" i="7"/>
  <c r="M194" i="7"/>
  <c r="O194" i="7"/>
  <c r="J194" i="7"/>
  <c r="I194" i="7"/>
  <c r="H194" i="7"/>
  <c r="G196" i="7"/>
  <c r="D195" i="7"/>
  <c r="E195" i="7"/>
  <c r="F195" i="7"/>
  <c r="AT326" i="22" l="1"/>
  <c r="AR326" i="22"/>
  <c r="AO326" i="22"/>
  <c r="AQ326" i="22"/>
  <c r="AN326" i="22"/>
  <c r="AM327" i="22"/>
  <c r="AS326" i="22"/>
  <c r="AP326" i="22"/>
  <c r="AD327" i="23"/>
  <c r="AF326" i="23"/>
  <c r="AI326" i="23"/>
  <c r="AJ326" i="23"/>
  <c r="AG326" i="23"/>
  <c r="AE326" i="23"/>
  <c r="AK326" i="23"/>
  <c r="AH326" i="23"/>
  <c r="AT326" i="23"/>
  <c r="AQ326" i="23"/>
  <c r="AS326" i="23"/>
  <c r="AP326" i="23"/>
  <c r="AN326" i="23"/>
  <c r="AR326" i="23"/>
  <c r="AO326" i="23"/>
  <c r="AM327" i="23"/>
  <c r="AD323" i="7"/>
  <c r="AH322" i="7"/>
  <c r="AE322" i="7"/>
  <c r="AF322" i="7"/>
  <c r="AG322" i="7"/>
  <c r="AI322" i="7"/>
  <c r="AJ322" i="7"/>
  <c r="AK322" i="7"/>
  <c r="AK325" i="22"/>
  <c r="AJ325" i="22"/>
  <c r="AI325" i="22"/>
  <c r="AG325" i="22"/>
  <c r="AF325" i="22"/>
  <c r="AE325" i="22"/>
  <c r="AH325" i="22"/>
  <c r="S194" i="7"/>
  <c r="AM322" i="7"/>
  <c r="AQ321" i="7"/>
  <c r="AO321" i="7"/>
  <c r="AN321" i="7"/>
  <c r="AT321" i="7"/>
  <c r="AS321" i="7"/>
  <c r="AP321" i="7"/>
  <c r="AR321" i="7"/>
  <c r="J325" i="23"/>
  <c r="I325" i="23"/>
  <c r="H325" i="23"/>
  <c r="D325" i="23"/>
  <c r="C326" i="23"/>
  <c r="F325" i="23"/>
  <c r="E325" i="23"/>
  <c r="G325" i="23"/>
  <c r="I326" i="22"/>
  <c r="J326" i="22"/>
  <c r="H326" i="22"/>
  <c r="E326" i="22"/>
  <c r="F326" i="22"/>
  <c r="C327" i="22"/>
  <c r="D326" i="22"/>
  <c r="G326" i="22"/>
  <c r="R194" i="7"/>
  <c r="Y195" i="7"/>
  <c r="X195" i="7"/>
  <c r="W195" i="7"/>
  <c r="V195" i="7"/>
  <c r="AA195" i="7"/>
  <c r="AB195" i="7"/>
  <c r="Z195" i="7"/>
  <c r="P327" i="23"/>
  <c r="S327" i="23"/>
  <c r="M327" i="23"/>
  <c r="Q327" i="23"/>
  <c r="O327" i="23"/>
  <c r="N327" i="23"/>
  <c r="L328" i="23"/>
  <c r="R328" i="23" s="1"/>
  <c r="V326" i="22"/>
  <c r="X326" i="22"/>
  <c r="W326" i="22"/>
  <c r="Z326" i="22"/>
  <c r="Y326" i="22"/>
  <c r="AA326" i="22"/>
  <c r="AB326" i="22"/>
  <c r="AA325" i="23"/>
  <c r="Y325" i="23"/>
  <c r="N325" i="22"/>
  <c r="Z325" i="23"/>
  <c r="AB325" i="23"/>
  <c r="V325" i="23"/>
  <c r="M325" i="22"/>
  <c r="P325" i="22"/>
  <c r="O325" i="22"/>
  <c r="R325" i="22"/>
  <c r="W325" i="23"/>
  <c r="Q325" i="22"/>
  <c r="S325" i="22"/>
  <c r="X325" i="23"/>
  <c r="AD326" i="22"/>
  <c r="W326" i="23"/>
  <c r="AB326" i="23"/>
  <c r="AA326" i="23"/>
  <c r="Z326" i="23"/>
  <c r="V326" i="23"/>
  <c r="U327" i="23"/>
  <c r="X326" i="23"/>
  <c r="Y326" i="23"/>
  <c r="X327" i="22"/>
  <c r="W327" i="22"/>
  <c r="U328" i="22"/>
  <c r="V327" i="22"/>
  <c r="AB327" i="22"/>
  <c r="AA327" i="22"/>
  <c r="Z327" i="22"/>
  <c r="Y327" i="22"/>
  <c r="S326" i="22"/>
  <c r="R326" i="22"/>
  <c r="N326" i="22"/>
  <c r="L327" i="22"/>
  <c r="M326" i="22"/>
  <c r="Q326" i="22"/>
  <c r="O326" i="22"/>
  <c r="P326" i="22"/>
  <c r="Q194" i="7"/>
  <c r="P195" i="7"/>
  <c r="O195" i="7"/>
  <c r="M195" i="7"/>
  <c r="N195" i="7"/>
  <c r="I195" i="7"/>
  <c r="H195" i="7"/>
  <c r="Y196" i="7"/>
  <c r="U197" i="7"/>
  <c r="X196" i="7"/>
  <c r="V196" i="7"/>
  <c r="AB196" i="7"/>
  <c r="AA196" i="7"/>
  <c r="W196" i="7"/>
  <c r="Z196" i="7"/>
  <c r="G197" i="7"/>
  <c r="E196" i="7"/>
  <c r="F196" i="7"/>
  <c r="D196" i="7"/>
  <c r="J195" i="7"/>
  <c r="AM328" i="22" l="1"/>
  <c r="AR327" i="22"/>
  <c r="AP327" i="22"/>
  <c r="AT327" i="22"/>
  <c r="AS327" i="22"/>
  <c r="AQ327" i="22"/>
  <c r="AN327" i="22"/>
  <c r="AO327" i="22"/>
  <c r="AH327" i="23"/>
  <c r="AK327" i="23"/>
  <c r="AG327" i="23"/>
  <c r="AI327" i="23"/>
  <c r="AF327" i="23"/>
  <c r="AE327" i="23"/>
  <c r="AD328" i="23"/>
  <c r="AJ327" i="23"/>
  <c r="AS327" i="23"/>
  <c r="AN327" i="23"/>
  <c r="AT327" i="23"/>
  <c r="AP327" i="23"/>
  <c r="AR327" i="23"/>
  <c r="AO327" i="23"/>
  <c r="AM328" i="23"/>
  <c r="AQ327" i="23"/>
  <c r="AD324" i="7"/>
  <c r="AH323" i="7"/>
  <c r="AE323" i="7"/>
  <c r="AF323" i="7"/>
  <c r="AG323" i="7"/>
  <c r="AI323" i="7"/>
  <c r="AJ323" i="7"/>
  <c r="AK323" i="7"/>
  <c r="AK326" i="22"/>
  <c r="AJ326" i="22"/>
  <c r="AI326" i="22"/>
  <c r="AG326" i="22"/>
  <c r="AF326" i="22"/>
  <c r="AE326" i="22"/>
  <c r="AH326" i="22"/>
  <c r="AN322" i="7"/>
  <c r="AM323" i="7"/>
  <c r="AT322" i="7"/>
  <c r="AS322" i="7"/>
  <c r="AR322" i="7"/>
  <c r="AQ322" i="7"/>
  <c r="AP322" i="7"/>
  <c r="AO322" i="7"/>
  <c r="I326" i="23"/>
  <c r="C327" i="23"/>
  <c r="F326" i="23"/>
  <c r="E326" i="23"/>
  <c r="J326" i="23"/>
  <c r="H326" i="23"/>
  <c r="D326" i="23"/>
  <c r="G326" i="23"/>
  <c r="E327" i="22"/>
  <c r="I327" i="22"/>
  <c r="H327" i="22"/>
  <c r="J327" i="22"/>
  <c r="D327" i="22"/>
  <c r="C328" i="22"/>
  <c r="F327" i="22"/>
  <c r="G327" i="22"/>
  <c r="Q195" i="7"/>
  <c r="R195" i="7"/>
  <c r="S195" i="7"/>
  <c r="O328" i="23"/>
  <c r="P328" i="23"/>
  <c r="L329" i="23"/>
  <c r="Q329" i="23" s="1"/>
  <c r="Q328" i="23"/>
  <c r="S328" i="23"/>
  <c r="M328" i="23"/>
  <c r="N328" i="23"/>
  <c r="AD327" i="22"/>
  <c r="AB327" i="23"/>
  <c r="AA327" i="23"/>
  <c r="Z327" i="23"/>
  <c r="U328" i="23"/>
  <c r="X327" i="23"/>
  <c r="W327" i="23"/>
  <c r="V327" i="23"/>
  <c r="Y327" i="23"/>
  <c r="AA328" i="22"/>
  <c r="W328" i="22"/>
  <c r="U329" i="22"/>
  <c r="V328" i="22"/>
  <c r="AB328" i="22"/>
  <c r="Z328" i="22"/>
  <c r="X328" i="22"/>
  <c r="Y328" i="22"/>
  <c r="R327" i="22"/>
  <c r="L328" i="22"/>
  <c r="O327" i="22"/>
  <c r="N327" i="22"/>
  <c r="S327" i="22"/>
  <c r="Q327" i="22"/>
  <c r="M327" i="22"/>
  <c r="P327" i="22"/>
  <c r="M196" i="7"/>
  <c r="N196" i="7"/>
  <c r="O196" i="7"/>
  <c r="P196" i="7"/>
  <c r="I196" i="7"/>
  <c r="J196" i="7"/>
  <c r="H196" i="7"/>
  <c r="D197" i="7"/>
  <c r="E197" i="7"/>
  <c r="F197" i="7"/>
  <c r="G198" i="7"/>
  <c r="Y197" i="7"/>
  <c r="U198" i="7"/>
  <c r="Z197" i="7"/>
  <c r="AA197" i="7"/>
  <c r="W197" i="7"/>
  <c r="V197" i="7"/>
  <c r="AB197" i="7"/>
  <c r="X197" i="7"/>
  <c r="AM329" i="22" l="1"/>
  <c r="AQ328" i="22"/>
  <c r="AN328" i="22"/>
  <c r="AS328" i="22"/>
  <c r="AT328" i="22"/>
  <c r="AR328" i="22"/>
  <c r="AP328" i="22"/>
  <c r="AO328" i="22"/>
  <c r="AE328" i="23"/>
  <c r="AD329" i="23"/>
  <c r="AG328" i="23"/>
  <c r="AK328" i="23"/>
  <c r="AF328" i="23"/>
  <c r="AI328" i="23"/>
  <c r="AJ328" i="23"/>
  <c r="AH328" i="23"/>
  <c r="AQ328" i="23"/>
  <c r="AM329" i="23"/>
  <c r="AT328" i="23"/>
  <c r="AO328" i="23"/>
  <c r="AN328" i="23"/>
  <c r="AR328" i="23"/>
  <c r="AS328" i="23"/>
  <c r="AP328" i="23"/>
  <c r="AD325" i="7"/>
  <c r="AH324" i="7"/>
  <c r="AE324" i="7"/>
  <c r="AF324" i="7"/>
  <c r="AG324" i="7"/>
  <c r="AI324" i="7"/>
  <c r="AJ324" i="7"/>
  <c r="AK324" i="7"/>
  <c r="AK327" i="22"/>
  <c r="AJ327" i="22"/>
  <c r="AI327" i="22"/>
  <c r="AG327" i="22"/>
  <c r="AF327" i="22"/>
  <c r="AE327" i="22"/>
  <c r="AH327" i="22"/>
  <c r="AN323" i="7"/>
  <c r="AM324" i="7"/>
  <c r="AT323" i="7"/>
  <c r="AS323" i="7"/>
  <c r="AR323" i="7"/>
  <c r="AQ323" i="7"/>
  <c r="AP323" i="7"/>
  <c r="AO323" i="7"/>
  <c r="E327" i="23"/>
  <c r="J327" i="23"/>
  <c r="I327" i="23"/>
  <c r="H327" i="23"/>
  <c r="C328" i="23"/>
  <c r="F327" i="23"/>
  <c r="D327" i="23"/>
  <c r="G327" i="23"/>
  <c r="F328" i="22"/>
  <c r="C329" i="22"/>
  <c r="H328" i="22"/>
  <c r="J328" i="22"/>
  <c r="I328" i="22"/>
  <c r="D328" i="22"/>
  <c r="E328" i="22"/>
  <c r="G328" i="22"/>
  <c r="R329" i="23"/>
  <c r="S196" i="7"/>
  <c r="R196" i="7"/>
  <c r="P329" i="23"/>
  <c r="M329" i="23"/>
  <c r="N329" i="23"/>
  <c r="S329" i="23"/>
  <c r="O329" i="23"/>
  <c r="L330" i="23"/>
  <c r="Q330" i="23" s="1"/>
  <c r="AD328" i="22"/>
  <c r="H197" i="7"/>
  <c r="AA328" i="23"/>
  <c r="U329" i="23"/>
  <c r="X328" i="23"/>
  <c r="W328" i="23"/>
  <c r="AB328" i="23"/>
  <c r="Z328" i="23"/>
  <c r="V328" i="23"/>
  <c r="Y328" i="23"/>
  <c r="W329" i="22"/>
  <c r="V329" i="22"/>
  <c r="U330" i="22"/>
  <c r="Z329" i="22"/>
  <c r="X329" i="22"/>
  <c r="AB329" i="22"/>
  <c r="AA329" i="22"/>
  <c r="Y329" i="22"/>
  <c r="N328" i="22"/>
  <c r="L329" i="22"/>
  <c r="R328" i="22"/>
  <c r="O328" i="22"/>
  <c r="M328" i="22"/>
  <c r="S328" i="22"/>
  <c r="Q328" i="22"/>
  <c r="P328" i="22"/>
  <c r="Q196" i="7"/>
  <c r="N197" i="7"/>
  <c r="O197" i="7"/>
  <c r="M197" i="7"/>
  <c r="P197" i="7"/>
  <c r="I197" i="7"/>
  <c r="J197" i="7"/>
  <c r="Y198" i="7"/>
  <c r="X198" i="7"/>
  <c r="AB198" i="7"/>
  <c r="AA198" i="7"/>
  <c r="V198" i="7"/>
  <c r="U199" i="7"/>
  <c r="W198" i="7"/>
  <c r="Z198" i="7"/>
  <c r="G199" i="7"/>
  <c r="D198" i="7"/>
  <c r="E198" i="7"/>
  <c r="F198" i="7"/>
  <c r="AT329" i="22" l="1"/>
  <c r="AR329" i="22"/>
  <c r="AP329" i="22"/>
  <c r="AO329" i="22"/>
  <c r="AM330" i="22"/>
  <c r="AS329" i="22"/>
  <c r="AQ329" i="22"/>
  <c r="AN329" i="22"/>
  <c r="AK329" i="23"/>
  <c r="AG329" i="23"/>
  <c r="AI329" i="23"/>
  <c r="AJ329" i="23"/>
  <c r="AH329" i="23"/>
  <c r="AE329" i="23"/>
  <c r="AD330" i="23"/>
  <c r="AF329" i="23"/>
  <c r="AS329" i="23"/>
  <c r="AQ329" i="23"/>
  <c r="AM330" i="23"/>
  <c r="AO329" i="23"/>
  <c r="AT329" i="23"/>
  <c r="AP329" i="23"/>
  <c r="AN329" i="23"/>
  <c r="AR329" i="23"/>
  <c r="AD326" i="7"/>
  <c r="AH325" i="7"/>
  <c r="AE325" i="7"/>
  <c r="AF325" i="7"/>
  <c r="AG325" i="7"/>
  <c r="AI325" i="7"/>
  <c r="AJ325" i="7"/>
  <c r="AK325" i="7"/>
  <c r="AK328" i="22"/>
  <c r="AJ328" i="22"/>
  <c r="AI328" i="22"/>
  <c r="AG328" i="22"/>
  <c r="AF328" i="22"/>
  <c r="AE328" i="22"/>
  <c r="AH328" i="22"/>
  <c r="AN324" i="7"/>
  <c r="AM325" i="7"/>
  <c r="AT324" i="7"/>
  <c r="AS324" i="7"/>
  <c r="AR324" i="7"/>
  <c r="AQ324" i="7"/>
  <c r="AP324" i="7"/>
  <c r="AO324" i="7"/>
  <c r="D328" i="23"/>
  <c r="C329" i="23"/>
  <c r="G328" i="23"/>
  <c r="E328" i="23"/>
  <c r="H328" i="23"/>
  <c r="J328" i="23"/>
  <c r="F328" i="23"/>
  <c r="I328" i="23"/>
  <c r="I329" i="22"/>
  <c r="F329" i="22"/>
  <c r="E329" i="22"/>
  <c r="D329" i="22"/>
  <c r="J329" i="22"/>
  <c r="C330" i="22"/>
  <c r="H329" i="22"/>
  <c r="G329" i="22"/>
  <c r="R330" i="23"/>
  <c r="R197" i="7"/>
  <c r="Q197" i="7"/>
  <c r="L331" i="23"/>
  <c r="O330" i="23"/>
  <c r="N330" i="23"/>
  <c r="S330" i="23"/>
  <c r="P330" i="23"/>
  <c r="M330" i="23"/>
  <c r="H198" i="7"/>
  <c r="AD329" i="22"/>
  <c r="W329" i="23"/>
  <c r="X329" i="23"/>
  <c r="V329" i="23"/>
  <c r="Z329" i="23"/>
  <c r="U330" i="23"/>
  <c r="AB329" i="23"/>
  <c r="AA329" i="23"/>
  <c r="Y329" i="23"/>
  <c r="U331" i="22"/>
  <c r="V330" i="22"/>
  <c r="X330" i="22"/>
  <c r="W330" i="22"/>
  <c r="AA330" i="22"/>
  <c r="Z330" i="22"/>
  <c r="AB330" i="22"/>
  <c r="Y330" i="22"/>
  <c r="S329" i="22"/>
  <c r="L330" i="22"/>
  <c r="O329" i="22"/>
  <c r="N329" i="22"/>
  <c r="M329" i="22"/>
  <c r="R329" i="22"/>
  <c r="Q329" i="22"/>
  <c r="P329" i="22"/>
  <c r="S197" i="7"/>
  <c r="P198" i="7"/>
  <c r="M198" i="7"/>
  <c r="N198" i="7"/>
  <c r="O198" i="7"/>
  <c r="I198" i="7"/>
  <c r="Y199" i="7"/>
  <c r="AA199" i="7"/>
  <c r="V199" i="7"/>
  <c r="W199" i="7"/>
  <c r="AB199" i="7"/>
  <c r="Z199" i="7"/>
  <c r="U200" i="7"/>
  <c r="X199" i="7"/>
  <c r="G200" i="7"/>
  <c r="E199" i="7"/>
  <c r="F199" i="7"/>
  <c r="D199" i="7"/>
  <c r="J198" i="7"/>
  <c r="AM331" i="22" l="1"/>
  <c r="AS330" i="22"/>
  <c r="AR330" i="22"/>
  <c r="AO330" i="22"/>
  <c r="AQ330" i="22"/>
  <c r="AT330" i="22"/>
  <c r="AP330" i="22"/>
  <c r="AN330" i="22"/>
  <c r="AF330" i="23"/>
  <c r="AG330" i="23"/>
  <c r="AK330" i="23"/>
  <c r="AJ330" i="23"/>
  <c r="AD331" i="23"/>
  <c r="AE330" i="23"/>
  <c r="AI330" i="23"/>
  <c r="AH330" i="23"/>
  <c r="AM331" i="23"/>
  <c r="AP330" i="23"/>
  <c r="AS330" i="23"/>
  <c r="AR330" i="23"/>
  <c r="AO330" i="23"/>
  <c r="AT330" i="23"/>
  <c r="AN330" i="23"/>
  <c r="AQ330" i="23"/>
  <c r="AD327" i="7"/>
  <c r="AH326" i="7"/>
  <c r="AE326" i="7"/>
  <c r="AF326" i="7"/>
  <c r="AG326" i="7"/>
  <c r="AI326" i="7"/>
  <c r="AJ326" i="7"/>
  <c r="AK326" i="7"/>
  <c r="AK329" i="22"/>
  <c r="AJ329" i="22"/>
  <c r="AI329" i="22"/>
  <c r="AG329" i="22"/>
  <c r="AF329" i="22"/>
  <c r="AE329" i="22"/>
  <c r="AH329" i="22"/>
  <c r="AN325" i="7"/>
  <c r="AO325" i="7"/>
  <c r="AM326" i="7"/>
  <c r="AT325" i="7"/>
  <c r="AS325" i="7"/>
  <c r="AR325" i="7"/>
  <c r="AQ325" i="7"/>
  <c r="AP325" i="7"/>
  <c r="I329" i="23"/>
  <c r="C330" i="23"/>
  <c r="F329" i="23"/>
  <c r="E329" i="23"/>
  <c r="D329" i="23"/>
  <c r="H329" i="23"/>
  <c r="J329" i="23"/>
  <c r="G329" i="23"/>
  <c r="E330" i="22"/>
  <c r="F330" i="22"/>
  <c r="D330" i="22"/>
  <c r="I330" i="22"/>
  <c r="C331" i="22"/>
  <c r="J330" i="22"/>
  <c r="H330" i="22"/>
  <c r="G330" i="22"/>
  <c r="S331" i="23"/>
  <c r="N331" i="23"/>
  <c r="O331" i="23"/>
  <c r="M331" i="23"/>
  <c r="Q331" i="23"/>
  <c r="L332" i="23"/>
  <c r="S198" i="7"/>
  <c r="R198" i="7"/>
  <c r="P331" i="23"/>
  <c r="R331" i="23"/>
  <c r="AD330" i="22"/>
  <c r="AB330" i="23"/>
  <c r="AA330" i="23"/>
  <c r="Z330" i="23"/>
  <c r="U331" i="23"/>
  <c r="V330" i="23"/>
  <c r="W330" i="23"/>
  <c r="X330" i="23"/>
  <c r="Y330" i="23"/>
  <c r="R330" i="22"/>
  <c r="S330" i="22"/>
  <c r="Q330" i="22"/>
  <c r="L331" i="22"/>
  <c r="O330" i="22"/>
  <c r="N330" i="22"/>
  <c r="M330" i="22"/>
  <c r="P330" i="22"/>
  <c r="AA331" i="22"/>
  <c r="U332" i="22"/>
  <c r="X331" i="22"/>
  <c r="AB331" i="22"/>
  <c r="Z331" i="22"/>
  <c r="V331" i="22"/>
  <c r="W331" i="22"/>
  <c r="Y331" i="22"/>
  <c r="Q198" i="7"/>
  <c r="P199" i="7"/>
  <c r="N199" i="7"/>
  <c r="O199" i="7"/>
  <c r="M199" i="7"/>
  <c r="I199" i="7"/>
  <c r="J199" i="7"/>
  <c r="H199" i="7"/>
  <c r="D200" i="7"/>
  <c r="E200" i="7"/>
  <c r="F200" i="7"/>
  <c r="G201" i="7"/>
  <c r="Y200" i="7"/>
  <c r="AA200" i="7"/>
  <c r="W200" i="7"/>
  <c r="X200" i="7"/>
  <c r="V200" i="7"/>
  <c r="Z200" i="7"/>
  <c r="U201" i="7"/>
  <c r="AB200" i="7"/>
  <c r="AM332" i="22" l="1"/>
  <c r="AS331" i="22"/>
  <c r="AQ331" i="22"/>
  <c r="AT331" i="22"/>
  <c r="AR331" i="22"/>
  <c r="AP331" i="22"/>
  <c r="AO331" i="22"/>
  <c r="AN331" i="22"/>
  <c r="AG331" i="23"/>
  <c r="AE331" i="23"/>
  <c r="AJ331" i="23"/>
  <c r="AF331" i="23"/>
  <c r="AD332" i="23"/>
  <c r="AK331" i="23"/>
  <c r="AH331" i="23"/>
  <c r="AI331" i="23"/>
  <c r="AO331" i="23"/>
  <c r="AN331" i="23"/>
  <c r="AR331" i="23"/>
  <c r="AT331" i="23"/>
  <c r="AP331" i="23"/>
  <c r="AS331" i="23"/>
  <c r="AQ331" i="23"/>
  <c r="AM332" i="23"/>
  <c r="AD328" i="7"/>
  <c r="AH327" i="7"/>
  <c r="AE327" i="7"/>
  <c r="AF327" i="7"/>
  <c r="AG327" i="7"/>
  <c r="AI327" i="7"/>
  <c r="AJ327" i="7"/>
  <c r="AK327" i="7"/>
  <c r="AK330" i="22"/>
  <c r="AJ330" i="22"/>
  <c r="AI330" i="22"/>
  <c r="AG330" i="22"/>
  <c r="AF330" i="22"/>
  <c r="AE330" i="22"/>
  <c r="AH330" i="22"/>
  <c r="AM327" i="7"/>
  <c r="AT326" i="7"/>
  <c r="AS326" i="7"/>
  <c r="AR326" i="7"/>
  <c r="AQ326" i="7"/>
  <c r="AP326" i="7"/>
  <c r="AO326" i="7"/>
  <c r="AN326" i="7"/>
  <c r="E330" i="23"/>
  <c r="J330" i="23"/>
  <c r="I330" i="23"/>
  <c r="H330" i="23"/>
  <c r="C331" i="23"/>
  <c r="F330" i="23"/>
  <c r="D330" i="23"/>
  <c r="G330" i="23"/>
  <c r="F331" i="22"/>
  <c r="E331" i="22"/>
  <c r="D331" i="22"/>
  <c r="J331" i="22"/>
  <c r="C332" i="22"/>
  <c r="I331" i="22"/>
  <c r="H331" i="22"/>
  <c r="G331" i="22"/>
  <c r="S332" i="23"/>
  <c r="R332" i="23"/>
  <c r="Q332" i="23"/>
  <c r="M332" i="23"/>
  <c r="L333" i="23"/>
  <c r="O332" i="23"/>
  <c r="N332" i="23"/>
  <c r="P332" i="23"/>
  <c r="Q199" i="7"/>
  <c r="R199" i="7"/>
  <c r="AD331" i="22"/>
  <c r="AA331" i="23"/>
  <c r="U332" i="23"/>
  <c r="X331" i="23"/>
  <c r="W331" i="23"/>
  <c r="AB331" i="23"/>
  <c r="Z331" i="23"/>
  <c r="V331" i="23"/>
  <c r="Y331" i="23"/>
  <c r="N331" i="22"/>
  <c r="S331" i="22"/>
  <c r="R331" i="22"/>
  <c r="M331" i="22"/>
  <c r="O331" i="22"/>
  <c r="L332" i="22"/>
  <c r="Q331" i="22"/>
  <c r="P331" i="22"/>
  <c r="AB332" i="22"/>
  <c r="V332" i="22"/>
  <c r="AA332" i="22"/>
  <c r="X332" i="22"/>
  <c r="Z332" i="22"/>
  <c r="W332" i="22"/>
  <c r="U333" i="22"/>
  <c r="Y332" i="22"/>
  <c r="S199" i="7"/>
  <c r="M200" i="7"/>
  <c r="O200" i="7"/>
  <c r="P200" i="7"/>
  <c r="N200" i="7"/>
  <c r="H200" i="7"/>
  <c r="I200" i="7"/>
  <c r="J200" i="7"/>
  <c r="G202" i="7"/>
  <c r="D201" i="7"/>
  <c r="E201" i="7"/>
  <c r="F201" i="7"/>
  <c r="Y201" i="7"/>
  <c r="U202" i="7"/>
  <c r="X201" i="7"/>
  <c r="V201" i="7"/>
  <c r="AB201" i="7"/>
  <c r="AA201" i="7"/>
  <c r="W201" i="7"/>
  <c r="Z201" i="7"/>
  <c r="AM333" i="22" l="1"/>
  <c r="AO332" i="22"/>
  <c r="AT332" i="22"/>
  <c r="AQ332" i="22"/>
  <c r="AN332" i="22"/>
  <c r="AS332" i="22"/>
  <c r="AR332" i="22"/>
  <c r="AP332" i="22"/>
  <c r="AD333" i="23"/>
  <c r="AI332" i="23"/>
  <c r="AH332" i="23"/>
  <c r="AJ332" i="23"/>
  <c r="AF332" i="23"/>
  <c r="AG332" i="23"/>
  <c r="AK332" i="23"/>
  <c r="AE332" i="23"/>
  <c r="AO332" i="23"/>
  <c r="AT332" i="23"/>
  <c r="AN332" i="23"/>
  <c r="AS332" i="23"/>
  <c r="AR332" i="23"/>
  <c r="AQ332" i="23"/>
  <c r="AM333" i="23"/>
  <c r="AP332" i="23"/>
  <c r="AD329" i="7"/>
  <c r="AH328" i="7"/>
  <c r="AE328" i="7"/>
  <c r="AF328" i="7"/>
  <c r="AG328" i="7"/>
  <c r="AI328" i="7"/>
  <c r="AJ328" i="7"/>
  <c r="AK328" i="7"/>
  <c r="AD332" i="22"/>
  <c r="AD333" i="22" s="1"/>
  <c r="AK331" i="22"/>
  <c r="AJ331" i="22"/>
  <c r="AI331" i="22"/>
  <c r="AG331" i="22"/>
  <c r="AF331" i="22"/>
  <c r="AE331" i="22"/>
  <c r="AH331" i="22"/>
  <c r="AM328" i="7"/>
  <c r="AR327" i="7"/>
  <c r="AS327" i="7"/>
  <c r="AQ327" i="7"/>
  <c r="AO327" i="7"/>
  <c r="AT327" i="7"/>
  <c r="AP327" i="7"/>
  <c r="AN327" i="7"/>
  <c r="N333" i="23"/>
  <c r="S333" i="23"/>
  <c r="M333" i="23"/>
  <c r="P333" i="23"/>
  <c r="G332" i="22"/>
  <c r="C333" i="22"/>
  <c r="I331" i="23"/>
  <c r="E331" i="23"/>
  <c r="J331" i="23"/>
  <c r="H331" i="23"/>
  <c r="C332" i="23"/>
  <c r="F331" i="23"/>
  <c r="D331" i="23"/>
  <c r="G331" i="23"/>
  <c r="J332" i="22"/>
  <c r="E332" i="22"/>
  <c r="I332" i="22"/>
  <c r="H332" i="22"/>
  <c r="F332" i="22"/>
  <c r="D332" i="22"/>
  <c r="R333" i="23"/>
  <c r="Q333" i="23"/>
  <c r="L334" i="23"/>
  <c r="O333" i="23"/>
  <c r="R200" i="7"/>
  <c r="S200" i="7"/>
  <c r="W332" i="23"/>
  <c r="AB332" i="23"/>
  <c r="AA332" i="23"/>
  <c r="Z332" i="23"/>
  <c r="X332" i="23"/>
  <c r="V332" i="23"/>
  <c r="U333" i="23"/>
  <c r="Y332" i="23"/>
  <c r="X333" i="22"/>
  <c r="Z333" i="22"/>
  <c r="W333" i="22"/>
  <c r="V333" i="22"/>
  <c r="AB333" i="22"/>
  <c r="AA333" i="22"/>
  <c r="U334" i="22"/>
  <c r="Y333" i="22"/>
  <c r="O332" i="22"/>
  <c r="S332" i="22"/>
  <c r="R332" i="22"/>
  <c r="L333" i="22"/>
  <c r="M332" i="22"/>
  <c r="Q332" i="22"/>
  <c r="N332" i="22"/>
  <c r="P332" i="22"/>
  <c r="Q200" i="7"/>
  <c r="M201" i="7"/>
  <c r="N201" i="7"/>
  <c r="O201" i="7"/>
  <c r="P201" i="7"/>
  <c r="H201" i="7"/>
  <c r="I201" i="7"/>
  <c r="Y202" i="7"/>
  <c r="U203" i="7"/>
  <c r="AB202" i="7"/>
  <c r="AA202" i="7"/>
  <c r="Z202" i="7"/>
  <c r="W202" i="7"/>
  <c r="V202" i="7"/>
  <c r="X202" i="7"/>
  <c r="G203" i="7"/>
  <c r="E202" i="7"/>
  <c r="F202" i="7"/>
  <c r="D202" i="7"/>
  <c r="J201" i="7"/>
  <c r="AT333" i="22" l="1"/>
  <c r="AR333" i="22"/>
  <c r="AP333" i="22"/>
  <c r="AN333" i="22"/>
  <c r="AS333" i="22"/>
  <c r="AO333" i="22"/>
  <c r="AM334" i="22"/>
  <c r="AQ333" i="22"/>
  <c r="AE333" i="23"/>
  <c r="AK333" i="23"/>
  <c r="AD334" i="23"/>
  <c r="AJ333" i="23"/>
  <c r="AF333" i="23"/>
  <c r="AH333" i="23"/>
  <c r="AI333" i="23"/>
  <c r="AG333" i="23"/>
  <c r="AN333" i="23"/>
  <c r="AQ333" i="23"/>
  <c r="AS333" i="23"/>
  <c r="AR333" i="23"/>
  <c r="AM334" i="23"/>
  <c r="AP333" i="23"/>
  <c r="AT333" i="23"/>
  <c r="AO333" i="23"/>
  <c r="AD330" i="7"/>
  <c r="AH329" i="7"/>
  <c r="AE329" i="7"/>
  <c r="AF329" i="7"/>
  <c r="AG329" i="7"/>
  <c r="AI329" i="7"/>
  <c r="AJ329" i="7"/>
  <c r="AK329" i="7"/>
  <c r="AH332" i="22"/>
  <c r="AE332" i="22"/>
  <c r="AF332" i="22"/>
  <c r="AG332" i="22"/>
  <c r="AI332" i="22"/>
  <c r="AJ332" i="22"/>
  <c r="AK332" i="22"/>
  <c r="AK333" i="22"/>
  <c r="AJ333" i="22"/>
  <c r="AI333" i="22"/>
  <c r="AG333" i="22"/>
  <c r="AF333" i="22"/>
  <c r="AE333" i="22"/>
  <c r="AH333" i="22"/>
  <c r="AM329" i="7"/>
  <c r="AR328" i="7"/>
  <c r="AO328" i="7"/>
  <c r="AT328" i="7"/>
  <c r="AS328" i="7"/>
  <c r="AQ328" i="7"/>
  <c r="AP328" i="7"/>
  <c r="AN328" i="7"/>
  <c r="N334" i="23"/>
  <c r="M334" i="23"/>
  <c r="L335" i="23"/>
  <c r="S334" i="23"/>
  <c r="J333" i="22"/>
  <c r="I333" i="22"/>
  <c r="H333" i="22"/>
  <c r="F333" i="22"/>
  <c r="E333" i="22"/>
  <c r="C334" i="22"/>
  <c r="D333" i="22"/>
  <c r="G333" i="22"/>
  <c r="I332" i="23"/>
  <c r="C333" i="23"/>
  <c r="F332" i="23"/>
  <c r="E332" i="23"/>
  <c r="J332" i="23"/>
  <c r="H332" i="23"/>
  <c r="D332" i="23"/>
  <c r="G332" i="23"/>
  <c r="O334" i="23"/>
  <c r="R334" i="23"/>
  <c r="Q334" i="23"/>
  <c r="P334" i="23"/>
  <c r="R201" i="7"/>
  <c r="Q201" i="7"/>
  <c r="S201" i="7"/>
  <c r="AB333" i="23"/>
  <c r="AA333" i="23"/>
  <c r="U334" i="23"/>
  <c r="Z333" i="23"/>
  <c r="X333" i="23"/>
  <c r="W333" i="23"/>
  <c r="V333" i="23"/>
  <c r="Y333" i="23"/>
  <c r="L334" i="22"/>
  <c r="Q333" i="22"/>
  <c r="M333" i="22"/>
  <c r="O333" i="22"/>
  <c r="N333" i="22"/>
  <c r="S333" i="22"/>
  <c r="R333" i="22"/>
  <c r="P333" i="22"/>
  <c r="AD334" i="22"/>
  <c r="X334" i="22"/>
  <c r="AB334" i="22"/>
  <c r="AA334" i="22"/>
  <c r="Z334" i="22"/>
  <c r="W334" i="22"/>
  <c r="V334" i="22"/>
  <c r="U335" i="22"/>
  <c r="Y334" i="22"/>
  <c r="P202" i="7"/>
  <c r="O202" i="7"/>
  <c r="N202" i="7"/>
  <c r="M202" i="7"/>
  <c r="J202" i="7"/>
  <c r="I202" i="7"/>
  <c r="H202" i="7"/>
  <c r="D203" i="7"/>
  <c r="E203" i="7"/>
  <c r="F203" i="7"/>
  <c r="G204" i="7"/>
  <c r="Y203" i="7"/>
  <c r="U204" i="7"/>
  <c r="Z203" i="7"/>
  <c r="AA203" i="7"/>
  <c r="V203" i="7"/>
  <c r="AB203" i="7"/>
  <c r="X203" i="7"/>
  <c r="W203" i="7"/>
  <c r="AT334" i="22" l="1"/>
  <c r="AR334" i="22"/>
  <c r="AO334" i="22"/>
  <c r="AS334" i="22"/>
  <c r="AP334" i="22"/>
  <c r="AN334" i="22"/>
  <c r="AM335" i="22"/>
  <c r="AQ334" i="22"/>
  <c r="AE334" i="23"/>
  <c r="AK334" i="23"/>
  <c r="AH334" i="23"/>
  <c r="AJ334" i="23"/>
  <c r="AG334" i="23"/>
  <c r="AD335" i="23"/>
  <c r="AI334" i="23"/>
  <c r="AF334" i="23"/>
  <c r="AM335" i="23"/>
  <c r="AS334" i="23"/>
  <c r="AT334" i="23"/>
  <c r="AR334" i="23"/>
  <c r="AP334" i="23"/>
  <c r="AN334" i="23"/>
  <c r="AO334" i="23"/>
  <c r="AQ334" i="23"/>
  <c r="AD331" i="7"/>
  <c r="AH330" i="7"/>
  <c r="AE330" i="7"/>
  <c r="AF330" i="7"/>
  <c r="AG330" i="7"/>
  <c r="AI330" i="7"/>
  <c r="AJ330" i="7"/>
  <c r="AK330" i="7"/>
  <c r="AK334" i="22"/>
  <c r="AJ334" i="22"/>
  <c r="AI334" i="22"/>
  <c r="AG334" i="22"/>
  <c r="AF334" i="22"/>
  <c r="AE334" i="22"/>
  <c r="AH334" i="22"/>
  <c r="AT329" i="7"/>
  <c r="AR329" i="7"/>
  <c r="AN329" i="7"/>
  <c r="AM330" i="7"/>
  <c r="AS329" i="7"/>
  <c r="AQ329" i="7"/>
  <c r="AP329" i="7"/>
  <c r="AO329" i="7"/>
  <c r="S335" i="23"/>
  <c r="R335" i="23"/>
  <c r="L336" i="23"/>
  <c r="Q335" i="23"/>
  <c r="O335" i="23"/>
  <c r="N335" i="23"/>
  <c r="M335" i="23"/>
  <c r="P335" i="23"/>
  <c r="F334" i="22"/>
  <c r="I334" i="22"/>
  <c r="J334" i="22"/>
  <c r="D334" i="22"/>
  <c r="C335" i="22"/>
  <c r="E334" i="22"/>
  <c r="H334" i="22"/>
  <c r="G334" i="22"/>
  <c r="E333" i="23"/>
  <c r="D333" i="23"/>
  <c r="H333" i="23"/>
  <c r="F333" i="23"/>
  <c r="C334" i="23"/>
  <c r="J333" i="23"/>
  <c r="I333" i="23"/>
  <c r="G333" i="23"/>
  <c r="Q202" i="7"/>
  <c r="S202" i="7"/>
  <c r="R202" i="7"/>
  <c r="J203" i="7"/>
  <c r="AA334" i="23"/>
  <c r="Z334" i="23"/>
  <c r="U335" i="23"/>
  <c r="X334" i="23"/>
  <c r="W334" i="23"/>
  <c r="AB334" i="23"/>
  <c r="V334" i="23"/>
  <c r="Y334" i="23"/>
  <c r="AB335" i="22"/>
  <c r="X335" i="22"/>
  <c r="Z335" i="22"/>
  <c r="AA335" i="22"/>
  <c r="W335" i="22"/>
  <c r="U336" i="22"/>
  <c r="V335" i="22"/>
  <c r="Y335" i="22"/>
  <c r="AD335" i="22"/>
  <c r="S334" i="22"/>
  <c r="M334" i="22"/>
  <c r="R334" i="22"/>
  <c r="O334" i="22"/>
  <c r="L335" i="22"/>
  <c r="N334" i="22"/>
  <c r="Q334" i="22"/>
  <c r="P334" i="22"/>
  <c r="M203" i="7"/>
  <c r="O203" i="7"/>
  <c r="N203" i="7"/>
  <c r="P203" i="7"/>
  <c r="I203" i="7"/>
  <c r="H203" i="7"/>
  <c r="G205" i="7"/>
  <c r="D204" i="7"/>
  <c r="E204" i="7"/>
  <c r="F204" i="7"/>
  <c r="Y204" i="7"/>
  <c r="AA204" i="7"/>
  <c r="V204" i="7"/>
  <c r="W204" i="7"/>
  <c r="Z204" i="7"/>
  <c r="AB204" i="7"/>
  <c r="U205" i="7"/>
  <c r="X204" i="7"/>
  <c r="AT335" i="22" l="1"/>
  <c r="AQ335" i="22"/>
  <c r="AN335" i="22"/>
  <c r="AM336" i="22"/>
  <c r="AR335" i="22"/>
  <c r="AP335" i="22"/>
  <c r="AS335" i="22"/>
  <c r="AO335" i="22"/>
  <c r="AJ335" i="23"/>
  <c r="AH335" i="23"/>
  <c r="AK335" i="23"/>
  <c r="AG335" i="23"/>
  <c r="AE335" i="23"/>
  <c r="AD336" i="23"/>
  <c r="AI335" i="23"/>
  <c r="AF335" i="23"/>
  <c r="AP335" i="23"/>
  <c r="AQ335" i="23"/>
  <c r="AM336" i="23"/>
  <c r="AR335" i="23"/>
  <c r="AO335" i="23"/>
  <c r="AN335" i="23"/>
  <c r="AS335" i="23"/>
  <c r="AT335" i="23"/>
  <c r="AD332" i="7"/>
  <c r="AH331" i="7"/>
  <c r="AE331" i="7"/>
  <c r="AF331" i="7"/>
  <c r="AG331" i="7"/>
  <c r="AI331" i="7"/>
  <c r="AJ331" i="7"/>
  <c r="AK331" i="7"/>
  <c r="AK335" i="22"/>
  <c r="AJ335" i="22"/>
  <c r="AI335" i="22"/>
  <c r="AG335" i="22"/>
  <c r="AF335" i="22"/>
  <c r="AE335" i="22"/>
  <c r="AH335" i="22"/>
  <c r="AN330" i="7"/>
  <c r="AM331" i="7"/>
  <c r="AT330" i="7"/>
  <c r="AS330" i="7"/>
  <c r="AR330" i="7"/>
  <c r="AQ330" i="7"/>
  <c r="AP330" i="7"/>
  <c r="AO330" i="7"/>
  <c r="R336" i="23"/>
  <c r="M336" i="23"/>
  <c r="Q336" i="23"/>
  <c r="L337" i="23"/>
  <c r="O336" i="23"/>
  <c r="N336" i="23"/>
  <c r="S336" i="23"/>
  <c r="P336" i="23"/>
  <c r="J334" i="23"/>
  <c r="I334" i="23"/>
  <c r="C335" i="23"/>
  <c r="H334" i="23"/>
  <c r="F334" i="23"/>
  <c r="E334" i="23"/>
  <c r="D334" i="23"/>
  <c r="G334" i="23"/>
  <c r="I335" i="22"/>
  <c r="J335" i="22"/>
  <c r="E335" i="22"/>
  <c r="C336" i="22"/>
  <c r="D335" i="22"/>
  <c r="F335" i="22"/>
  <c r="H335" i="22"/>
  <c r="G335" i="22"/>
  <c r="Q203" i="7"/>
  <c r="R203" i="7"/>
  <c r="S203" i="7"/>
  <c r="W335" i="23"/>
  <c r="V335" i="23"/>
  <c r="U336" i="23"/>
  <c r="AB335" i="23"/>
  <c r="X335" i="23"/>
  <c r="AA335" i="23"/>
  <c r="Z335" i="23"/>
  <c r="Y335" i="23"/>
  <c r="AD336" i="22"/>
  <c r="X336" i="22"/>
  <c r="W336" i="22"/>
  <c r="Z336" i="22"/>
  <c r="V336" i="22"/>
  <c r="AB336" i="22"/>
  <c r="AA336" i="22"/>
  <c r="U337" i="22"/>
  <c r="Y336" i="22"/>
  <c r="O335" i="22"/>
  <c r="R335" i="22"/>
  <c r="Q335" i="22"/>
  <c r="N335" i="22"/>
  <c r="M335" i="22"/>
  <c r="S335" i="22"/>
  <c r="L336" i="22"/>
  <c r="P335" i="22"/>
  <c r="H204" i="7"/>
  <c r="P204" i="7"/>
  <c r="M204" i="7"/>
  <c r="N204" i="7"/>
  <c r="O204" i="7"/>
  <c r="I204" i="7"/>
  <c r="Y205" i="7"/>
  <c r="AA205" i="7"/>
  <c r="V205" i="7"/>
  <c r="W205" i="7"/>
  <c r="AB205" i="7"/>
  <c r="X205" i="7"/>
  <c r="U206" i="7"/>
  <c r="Z205" i="7"/>
  <c r="G206" i="7"/>
  <c r="E205" i="7"/>
  <c r="F205" i="7"/>
  <c r="D205" i="7"/>
  <c r="J204" i="7"/>
  <c r="AM337" i="22" l="1"/>
  <c r="AR336" i="22"/>
  <c r="AO336" i="22"/>
  <c r="AT336" i="22"/>
  <c r="AQ336" i="22"/>
  <c r="AN336" i="22"/>
  <c r="AS336" i="22"/>
  <c r="AP336" i="22"/>
  <c r="AF336" i="23"/>
  <c r="AD337" i="23"/>
  <c r="AI336" i="23"/>
  <c r="AG336" i="23"/>
  <c r="AE336" i="23"/>
  <c r="AJ336" i="23"/>
  <c r="AK336" i="23"/>
  <c r="AH336" i="23"/>
  <c r="AQ336" i="23"/>
  <c r="AT336" i="23"/>
  <c r="AP336" i="23"/>
  <c r="AS336" i="23"/>
  <c r="AR336" i="23"/>
  <c r="AN336" i="23"/>
  <c r="AO336" i="23"/>
  <c r="AM337" i="23"/>
  <c r="AD333" i="7"/>
  <c r="AH332" i="7"/>
  <c r="AE332" i="7"/>
  <c r="AF332" i="7"/>
  <c r="AG332" i="7"/>
  <c r="AI332" i="7"/>
  <c r="AJ332" i="7"/>
  <c r="AK332" i="7"/>
  <c r="AK336" i="22"/>
  <c r="AJ336" i="22"/>
  <c r="AI336" i="22"/>
  <c r="AG336" i="22"/>
  <c r="AF336" i="22"/>
  <c r="AE336" i="22"/>
  <c r="AH336" i="22"/>
  <c r="AR331" i="7"/>
  <c r="AP331" i="7"/>
  <c r="AN331" i="7"/>
  <c r="AM332" i="7"/>
  <c r="AT331" i="7"/>
  <c r="AS331" i="7"/>
  <c r="AQ331" i="7"/>
  <c r="AO331" i="7"/>
  <c r="M337" i="23"/>
  <c r="L338" i="23"/>
  <c r="O337" i="23"/>
  <c r="R337" i="23"/>
  <c r="P337" i="23"/>
  <c r="N337" i="23"/>
  <c r="S337" i="23"/>
  <c r="Q337" i="23"/>
  <c r="I335" i="23"/>
  <c r="H335" i="23"/>
  <c r="C336" i="23"/>
  <c r="F335" i="23"/>
  <c r="E335" i="23"/>
  <c r="J335" i="23"/>
  <c r="D335" i="23"/>
  <c r="G335" i="23"/>
  <c r="J336" i="22"/>
  <c r="E336" i="22"/>
  <c r="D336" i="22"/>
  <c r="I336" i="22"/>
  <c r="F336" i="22"/>
  <c r="H336" i="22"/>
  <c r="C337" i="22"/>
  <c r="G336" i="22"/>
  <c r="Q204" i="7"/>
  <c r="R204" i="7"/>
  <c r="S204" i="7"/>
  <c r="AB336" i="23"/>
  <c r="AA336" i="23"/>
  <c r="U337" i="23"/>
  <c r="Z336" i="23"/>
  <c r="X336" i="23"/>
  <c r="W336" i="23"/>
  <c r="V336" i="23"/>
  <c r="Y336" i="23"/>
  <c r="W337" i="22"/>
  <c r="U338" i="22"/>
  <c r="AB337" i="22"/>
  <c r="AA337" i="22"/>
  <c r="Z337" i="22"/>
  <c r="X337" i="22"/>
  <c r="V337" i="22"/>
  <c r="Y337" i="22"/>
  <c r="N336" i="22"/>
  <c r="S336" i="22"/>
  <c r="R336" i="22"/>
  <c r="L337" i="22"/>
  <c r="Q336" i="22"/>
  <c r="O336" i="22"/>
  <c r="M336" i="22"/>
  <c r="P336" i="22"/>
  <c r="AD337" i="22"/>
  <c r="N205" i="7"/>
  <c r="O205" i="7"/>
  <c r="P205" i="7"/>
  <c r="M205" i="7"/>
  <c r="J205" i="7"/>
  <c r="I205" i="7"/>
  <c r="H205" i="7"/>
  <c r="D206" i="7"/>
  <c r="E206" i="7"/>
  <c r="F206" i="7"/>
  <c r="G207" i="7"/>
  <c r="Y206" i="7"/>
  <c r="U207" i="7"/>
  <c r="X206" i="7"/>
  <c r="AA206" i="7"/>
  <c r="V206" i="7"/>
  <c r="W206" i="7"/>
  <c r="AB206" i="7"/>
  <c r="Z206" i="7"/>
  <c r="AS337" i="22" l="1"/>
  <c r="AQ337" i="22"/>
  <c r="AT337" i="22"/>
  <c r="AP337" i="22"/>
  <c r="AN337" i="22"/>
  <c r="AM338" i="22"/>
  <c r="AR337" i="22"/>
  <c r="AO337" i="22"/>
  <c r="AE337" i="23"/>
  <c r="AI337" i="23"/>
  <c r="AK337" i="23"/>
  <c r="AH337" i="23"/>
  <c r="AG337" i="23"/>
  <c r="AD338" i="23"/>
  <c r="AF337" i="23"/>
  <c r="AJ337" i="23"/>
  <c r="AO337" i="23"/>
  <c r="AS337" i="23"/>
  <c r="AN337" i="23"/>
  <c r="AQ337" i="23"/>
  <c r="AR337" i="23"/>
  <c r="AP337" i="23"/>
  <c r="AM338" i="23"/>
  <c r="AT337" i="23"/>
  <c r="AD334" i="7"/>
  <c r="AH333" i="7"/>
  <c r="AE333" i="7"/>
  <c r="AF333" i="7"/>
  <c r="AG333" i="7"/>
  <c r="AI333" i="7"/>
  <c r="AJ333" i="7"/>
  <c r="AK333" i="7"/>
  <c r="AK337" i="22"/>
  <c r="AJ337" i="22"/>
  <c r="AI337" i="22"/>
  <c r="AG337" i="22"/>
  <c r="AF337" i="22"/>
  <c r="AE337" i="22"/>
  <c r="AH337" i="22"/>
  <c r="AR332" i="7"/>
  <c r="AS332" i="7"/>
  <c r="AM333" i="7"/>
  <c r="AT332" i="7"/>
  <c r="AQ332" i="7"/>
  <c r="AP332" i="7"/>
  <c r="AO332" i="7"/>
  <c r="AN332" i="7"/>
  <c r="S338" i="23"/>
  <c r="R338" i="23"/>
  <c r="L339" i="23"/>
  <c r="Q338" i="23"/>
  <c r="O338" i="23"/>
  <c r="N338" i="23"/>
  <c r="M338" i="23"/>
  <c r="P338" i="23"/>
  <c r="E336" i="23"/>
  <c r="D336" i="23"/>
  <c r="C337" i="23"/>
  <c r="J336" i="23"/>
  <c r="F336" i="23"/>
  <c r="I336" i="23"/>
  <c r="H336" i="23"/>
  <c r="G336" i="23"/>
  <c r="C338" i="22"/>
  <c r="G337" i="22"/>
  <c r="F337" i="22"/>
  <c r="H337" i="22"/>
  <c r="E337" i="22"/>
  <c r="D337" i="22"/>
  <c r="J337" i="22"/>
  <c r="I337" i="22"/>
  <c r="R205" i="7"/>
  <c r="S205" i="7"/>
  <c r="AA337" i="23"/>
  <c r="Z337" i="23"/>
  <c r="U338" i="23"/>
  <c r="X337" i="23"/>
  <c r="W337" i="23"/>
  <c r="AB337" i="23"/>
  <c r="V337" i="23"/>
  <c r="Y337" i="23"/>
  <c r="S337" i="22"/>
  <c r="O337" i="22"/>
  <c r="N337" i="22"/>
  <c r="M337" i="22"/>
  <c r="R337" i="22"/>
  <c r="L338" i="22"/>
  <c r="Q337" i="22"/>
  <c r="P337" i="22"/>
  <c r="AB338" i="22"/>
  <c r="U339" i="22"/>
  <c r="V338" i="22"/>
  <c r="X338" i="22"/>
  <c r="W338" i="22"/>
  <c r="Z338" i="22"/>
  <c r="AA338" i="22"/>
  <c r="Y338" i="22"/>
  <c r="AD338" i="22"/>
  <c r="Q205" i="7"/>
  <c r="J206" i="7"/>
  <c r="I206" i="7"/>
  <c r="M206" i="7"/>
  <c r="O206" i="7"/>
  <c r="N206" i="7"/>
  <c r="P206" i="7"/>
  <c r="H206" i="7"/>
  <c r="Y207" i="7"/>
  <c r="AA207" i="7"/>
  <c r="W207" i="7"/>
  <c r="AB207" i="7"/>
  <c r="U208" i="7"/>
  <c r="Z207" i="7"/>
  <c r="V207" i="7"/>
  <c r="X207" i="7"/>
  <c r="G208" i="7"/>
  <c r="D207" i="7"/>
  <c r="E207" i="7"/>
  <c r="F207" i="7"/>
  <c r="AT338" i="22" l="1"/>
  <c r="AS338" i="22"/>
  <c r="AP338" i="22"/>
  <c r="AQ338" i="22"/>
  <c r="AM339" i="22"/>
  <c r="AN338" i="22"/>
  <c r="AR338" i="22"/>
  <c r="AO338" i="22"/>
  <c r="AF338" i="23"/>
  <c r="AD339" i="23"/>
  <c r="AI338" i="23"/>
  <c r="AG338" i="23"/>
  <c r="AE338" i="23"/>
  <c r="AJ338" i="23"/>
  <c r="AK338" i="23"/>
  <c r="AH338" i="23"/>
  <c r="AS338" i="23"/>
  <c r="AT338" i="23"/>
  <c r="AM339" i="23"/>
  <c r="AO338" i="23"/>
  <c r="AR338" i="23"/>
  <c r="AP338" i="23"/>
  <c r="AN338" i="23"/>
  <c r="AQ338" i="23"/>
  <c r="AD335" i="7"/>
  <c r="AH334" i="7"/>
  <c r="AE334" i="7"/>
  <c r="AF334" i="7"/>
  <c r="AG334" i="7"/>
  <c r="AI334" i="7"/>
  <c r="AJ334" i="7"/>
  <c r="AK334" i="7"/>
  <c r="AK338" i="22"/>
  <c r="AJ338" i="22"/>
  <c r="AI338" i="22"/>
  <c r="AG338" i="22"/>
  <c r="AF338" i="22"/>
  <c r="AE338" i="22"/>
  <c r="AH338" i="22"/>
  <c r="AM334" i="7"/>
  <c r="AR333" i="7"/>
  <c r="AO333" i="7"/>
  <c r="AT333" i="7"/>
  <c r="AQ333" i="7"/>
  <c r="AP333" i="7"/>
  <c r="AS333" i="7"/>
  <c r="AN333" i="7"/>
  <c r="R339" i="23"/>
  <c r="O339" i="23"/>
  <c r="N339" i="23"/>
  <c r="M339" i="23"/>
  <c r="Q339" i="23"/>
  <c r="L340" i="23"/>
  <c r="S339" i="23"/>
  <c r="P339" i="23"/>
  <c r="J337" i="23"/>
  <c r="I337" i="23"/>
  <c r="C338" i="23"/>
  <c r="H337" i="23"/>
  <c r="F337" i="23"/>
  <c r="E337" i="23"/>
  <c r="D337" i="23"/>
  <c r="G337" i="23"/>
  <c r="D338" i="22"/>
  <c r="F338" i="22"/>
  <c r="E338" i="22"/>
  <c r="J338" i="22"/>
  <c r="I338" i="22"/>
  <c r="H338" i="22"/>
  <c r="C339" i="22"/>
  <c r="G338" i="22"/>
  <c r="R206" i="7"/>
  <c r="Q206" i="7"/>
  <c r="S206" i="7"/>
  <c r="W338" i="23"/>
  <c r="V338" i="23"/>
  <c r="U339" i="23"/>
  <c r="AB338" i="23"/>
  <c r="X338" i="23"/>
  <c r="Z338" i="23"/>
  <c r="AA338" i="23"/>
  <c r="Y338" i="23"/>
  <c r="X339" i="22"/>
  <c r="W339" i="22"/>
  <c r="U340" i="22"/>
  <c r="AB339" i="22"/>
  <c r="V339" i="22"/>
  <c r="AA339" i="22"/>
  <c r="Z339" i="22"/>
  <c r="Y339" i="22"/>
  <c r="O338" i="22"/>
  <c r="S338" i="22"/>
  <c r="L339" i="22"/>
  <c r="M338" i="22"/>
  <c r="Q338" i="22"/>
  <c r="R338" i="22"/>
  <c r="N338" i="22"/>
  <c r="P338" i="22"/>
  <c r="AD339" i="22"/>
  <c r="P207" i="7"/>
  <c r="M207" i="7"/>
  <c r="N207" i="7"/>
  <c r="O207" i="7"/>
  <c r="I207" i="7"/>
  <c r="J207" i="7"/>
  <c r="G209" i="7"/>
  <c r="E208" i="7"/>
  <c r="F208" i="7"/>
  <c r="D208" i="7"/>
  <c r="H207" i="7"/>
  <c r="Y208" i="7"/>
  <c r="X208" i="7"/>
  <c r="AA208" i="7"/>
  <c r="V208" i="7"/>
  <c r="W208" i="7"/>
  <c r="Z208" i="7"/>
  <c r="U209" i="7"/>
  <c r="AB208" i="7"/>
  <c r="AS339" i="22" l="1"/>
  <c r="AM340" i="22"/>
  <c r="AR339" i="22"/>
  <c r="AO339" i="22"/>
  <c r="AP339" i="22"/>
  <c r="AN339" i="22"/>
  <c r="AT339" i="22"/>
  <c r="AQ339" i="22"/>
  <c r="AD340" i="23"/>
  <c r="AI339" i="23"/>
  <c r="AG339" i="23"/>
  <c r="AK339" i="23"/>
  <c r="AH339" i="23"/>
  <c r="AF339" i="23"/>
  <c r="AJ339" i="23"/>
  <c r="AE339" i="23"/>
  <c r="AM340" i="23"/>
  <c r="AQ339" i="23"/>
  <c r="AS339" i="23"/>
  <c r="AN339" i="23"/>
  <c r="AR339" i="23"/>
  <c r="AP339" i="23"/>
  <c r="AT339" i="23"/>
  <c r="AO339" i="23"/>
  <c r="AD336" i="7"/>
  <c r="AH335" i="7"/>
  <c r="AE335" i="7"/>
  <c r="AF335" i="7"/>
  <c r="AG335" i="7"/>
  <c r="AI335" i="7"/>
  <c r="AJ335" i="7"/>
  <c r="AK335" i="7"/>
  <c r="AK339" i="22"/>
  <c r="AJ339" i="22"/>
  <c r="AI339" i="22"/>
  <c r="AG339" i="22"/>
  <c r="AF339" i="22"/>
  <c r="AE339" i="22"/>
  <c r="AH339" i="22"/>
  <c r="AS334" i="7"/>
  <c r="AP334" i="7"/>
  <c r="AT334" i="7"/>
  <c r="AQ334" i="7"/>
  <c r="AN334" i="7"/>
  <c r="AM335" i="7"/>
  <c r="AR334" i="7"/>
  <c r="AO334" i="7"/>
  <c r="N340" i="23"/>
  <c r="M340" i="23"/>
  <c r="L341" i="23"/>
  <c r="S340" i="23"/>
  <c r="O340" i="23"/>
  <c r="Q340" i="23"/>
  <c r="R340" i="23"/>
  <c r="P340" i="23"/>
  <c r="J339" i="22"/>
  <c r="H339" i="22"/>
  <c r="D339" i="22"/>
  <c r="F339" i="22"/>
  <c r="E339" i="22"/>
  <c r="C340" i="22"/>
  <c r="I339" i="22"/>
  <c r="G339" i="22"/>
  <c r="I338" i="23"/>
  <c r="H338" i="23"/>
  <c r="C339" i="23"/>
  <c r="F338" i="23"/>
  <c r="E338" i="23"/>
  <c r="J338" i="23"/>
  <c r="D338" i="23"/>
  <c r="G338" i="23"/>
  <c r="Q207" i="7"/>
  <c r="R207" i="7"/>
  <c r="AB339" i="23"/>
  <c r="AA339" i="23"/>
  <c r="U340" i="23"/>
  <c r="Z339" i="23"/>
  <c r="X339" i="23"/>
  <c r="W339" i="23"/>
  <c r="V339" i="23"/>
  <c r="Y339" i="23"/>
  <c r="L340" i="22"/>
  <c r="N339" i="22"/>
  <c r="M339" i="22"/>
  <c r="R339" i="22"/>
  <c r="S339" i="22"/>
  <c r="Q339" i="22"/>
  <c r="O339" i="22"/>
  <c r="P339" i="22"/>
  <c r="AD340" i="22"/>
  <c r="X340" i="22"/>
  <c r="V340" i="22"/>
  <c r="AB340" i="22"/>
  <c r="W340" i="22"/>
  <c r="U341" i="22"/>
  <c r="AA340" i="22"/>
  <c r="Z340" i="22"/>
  <c r="Y340" i="22"/>
  <c r="S207" i="7"/>
  <c r="O208" i="7"/>
  <c r="M208" i="7"/>
  <c r="P208" i="7"/>
  <c r="N208" i="7"/>
  <c r="I208" i="7"/>
  <c r="H208" i="7"/>
  <c r="J208" i="7"/>
  <c r="Y209" i="7"/>
  <c r="Z209" i="7"/>
  <c r="V209" i="7"/>
  <c r="W209" i="7"/>
  <c r="X209" i="7"/>
  <c r="AA209" i="7"/>
  <c r="U210" i="7"/>
  <c r="AB209" i="7"/>
  <c r="D209" i="7"/>
  <c r="E209" i="7"/>
  <c r="F209" i="7"/>
  <c r="G210" i="7"/>
  <c r="AS340" i="22" l="1"/>
  <c r="AP340" i="22"/>
  <c r="AN340" i="22"/>
  <c r="AM341" i="22"/>
  <c r="AT340" i="22"/>
  <c r="AR340" i="22"/>
  <c r="AQ340" i="22"/>
  <c r="AO340" i="22"/>
  <c r="AH340" i="23"/>
  <c r="AD341" i="23"/>
  <c r="AJ340" i="23"/>
  <c r="AF340" i="23"/>
  <c r="AK340" i="23"/>
  <c r="AE340" i="23"/>
  <c r="AI340" i="23"/>
  <c r="AG340" i="23"/>
  <c r="AN340" i="23"/>
  <c r="AQ340" i="23"/>
  <c r="AO340" i="23"/>
  <c r="AR340" i="23"/>
  <c r="AM341" i="23"/>
  <c r="AS340" i="23"/>
  <c r="AT340" i="23"/>
  <c r="AP340" i="23"/>
  <c r="AD337" i="7"/>
  <c r="AH336" i="7"/>
  <c r="AE336" i="7"/>
  <c r="AF336" i="7"/>
  <c r="AG336" i="7"/>
  <c r="AI336" i="7"/>
  <c r="AJ336" i="7"/>
  <c r="AK336" i="7"/>
  <c r="AK340" i="22"/>
  <c r="AJ340" i="22"/>
  <c r="AI340" i="22"/>
  <c r="AG340" i="22"/>
  <c r="AF340" i="22"/>
  <c r="AE340" i="22"/>
  <c r="AH340" i="22"/>
  <c r="AM336" i="7"/>
  <c r="AT335" i="7"/>
  <c r="AS335" i="7"/>
  <c r="AR335" i="7"/>
  <c r="AQ335" i="7"/>
  <c r="AP335" i="7"/>
  <c r="AO335" i="7"/>
  <c r="AN335" i="7"/>
  <c r="O341" i="23"/>
  <c r="M341" i="23"/>
  <c r="S341" i="23"/>
  <c r="R341" i="23"/>
  <c r="L342" i="23"/>
  <c r="Q341" i="23"/>
  <c r="N341" i="23"/>
  <c r="P341" i="23"/>
  <c r="J340" i="22"/>
  <c r="F340" i="22"/>
  <c r="E340" i="22"/>
  <c r="I340" i="22"/>
  <c r="C341" i="22"/>
  <c r="H340" i="22"/>
  <c r="D340" i="22"/>
  <c r="G340" i="22"/>
  <c r="E339" i="23"/>
  <c r="D339" i="23"/>
  <c r="C340" i="23"/>
  <c r="J339" i="23"/>
  <c r="F339" i="23"/>
  <c r="I339" i="23"/>
  <c r="H339" i="23"/>
  <c r="G339" i="23"/>
  <c r="S208" i="7"/>
  <c r="R208" i="7"/>
  <c r="Q208" i="7"/>
  <c r="AA340" i="23"/>
  <c r="Z340" i="23"/>
  <c r="U341" i="23"/>
  <c r="X340" i="23"/>
  <c r="W340" i="23"/>
  <c r="AB340" i="23"/>
  <c r="V340" i="23"/>
  <c r="Y340" i="23"/>
  <c r="AD341" i="22"/>
  <c r="AB341" i="22"/>
  <c r="V341" i="22"/>
  <c r="U342" i="22"/>
  <c r="X341" i="22"/>
  <c r="AA341" i="22"/>
  <c r="Z341" i="22"/>
  <c r="W341" i="22"/>
  <c r="Y341" i="22"/>
  <c r="S340" i="22"/>
  <c r="R340" i="22"/>
  <c r="N340" i="22"/>
  <c r="M340" i="22"/>
  <c r="O340" i="22"/>
  <c r="L341" i="22"/>
  <c r="Q340" i="22"/>
  <c r="P340" i="22"/>
  <c r="M209" i="7"/>
  <c r="O209" i="7"/>
  <c r="N209" i="7"/>
  <c r="P209" i="7"/>
  <c r="J209" i="7"/>
  <c r="I209" i="7"/>
  <c r="H209" i="7"/>
  <c r="G211" i="7"/>
  <c r="D210" i="7"/>
  <c r="E210" i="7"/>
  <c r="F210" i="7"/>
  <c r="Y210" i="7"/>
  <c r="AA210" i="7"/>
  <c r="W210" i="7"/>
  <c r="U211" i="7"/>
  <c r="Z210" i="7"/>
  <c r="V210" i="7"/>
  <c r="X210" i="7"/>
  <c r="AB210" i="7"/>
  <c r="AR341" i="22" l="1"/>
  <c r="AP341" i="22"/>
  <c r="AN341" i="22"/>
  <c r="AM342" i="22"/>
  <c r="AT341" i="22"/>
  <c r="AS341" i="22"/>
  <c r="AQ341" i="22"/>
  <c r="AO341" i="22"/>
  <c r="AJ341" i="23"/>
  <c r="AF341" i="23"/>
  <c r="AD342" i="23"/>
  <c r="AH341" i="23"/>
  <c r="AE341" i="23"/>
  <c r="AK341" i="23"/>
  <c r="AI341" i="23"/>
  <c r="AG341" i="23"/>
  <c r="AP341" i="23"/>
  <c r="AT341" i="23"/>
  <c r="AR341" i="23"/>
  <c r="AS341" i="23"/>
  <c r="AO341" i="23"/>
  <c r="AN341" i="23"/>
  <c r="AQ341" i="23"/>
  <c r="AM342" i="23"/>
  <c r="AD338" i="7"/>
  <c r="AH337" i="7"/>
  <c r="AE337" i="7"/>
  <c r="AF337" i="7"/>
  <c r="AG337" i="7"/>
  <c r="AI337" i="7"/>
  <c r="AJ337" i="7"/>
  <c r="AK337" i="7"/>
  <c r="AK341" i="22"/>
  <c r="AJ341" i="22"/>
  <c r="AI341" i="22"/>
  <c r="AG341" i="22"/>
  <c r="AF341" i="22"/>
  <c r="AE341" i="22"/>
  <c r="AH341" i="22"/>
  <c r="AM337" i="7"/>
  <c r="AS336" i="7"/>
  <c r="AQ336" i="7"/>
  <c r="AN336" i="7"/>
  <c r="AO336" i="7"/>
  <c r="AT336" i="7"/>
  <c r="AR336" i="7"/>
  <c r="AP336" i="7"/>
  <c r="R342" i="23"/>
  <c r="Q342" i="23"/>
  <c r="L343" i="23"/>
  <c r="O342" i="23"/>
  <c r="N342" i="23"/>
  <c r="S342" i="23"/>
  <c r="M342" i="23"/>
  <c r="P342" i="23"/>
  <c r="J340" i="23"/>
  <c r="I340" i="23"/>
  <c r="F341" i="22"/>
  <c r="I341" i="22"/>
  <c r="D341" i="22"/>
  <c r="C342" i="22"/>
  <c r="J341" i="22"/>
  <c r="H341" i="22"/>
  <c r="E341" i="22"/>
  <c r="G341" i="22"/>
  <c r="C341" i="23"/>
  <c r="H340" i="23"/>
  <c r="F340" i="23"/>
  <c r="E340" i="23"/>
  <c r="D340" i="23"/>
  <c r="G340" i="23"/>
  <c r="Q209" i="7"/>
  <c r="R209" i="7"/>
  <c r="S209" i="7"/>
  <c r="W341" i="23"/>
  <c r="V341" i="23"/>
  <c r="U342" i="23"/>
  <c r="AB341" i="23"/>
  <c r="X341" i="23"/>
  <c r="AA341" i="23"/>
  <c r="Z341" i="23"/>
  <c r="Y341" i="23"/>
  <c r="AD342" i="22"/>
  <c r="AB342" i="22"/>
  <c r="X342" i="22"/>
  <c r="Z342" i="22"/>
  <c r="AA342" i="22"/>
  <c r="U343" i="22"/>
  <c r="W342" i="22"/>
  <c r="V342" i="22"/>
  <c r="Y342" i="22"/>
  <c r="S341" i="22"/>
  <c r="O341" i="22"/>
  <c r="R341" i="22"/>
  <c r="N341" i="22"/>
  <c r="M341" i="22"/>
  <c r="Q341" i="22"/>
  <c r="L342" i="22"/>
  <c r="P341" i="22"/>
  <c r="O210" i="7"/>
  <c r="N210" i="7"/>
  <c r="P210" i="7"/>
  <c r="M210" i="7"/>
  <c r="J210" i="7"/>
  <c r="I210" i="7"/>
  <c r="H210" i="7"/>
  <c r="Y211" i="7"/>
  <c r="U212" i="7"/>
  <c r="X211" i="7"/>
  <c r="Z211" i="7"/>
  <c r="AA211" i="7"/>
  <c r="V211" i="7"/>
  <c r="AB211" i="7"/>
  <c r="W211" i="7"/>
  <c r="G212" i="7"/>
  <c r="E211" i="7"/>
  <c r="F211" i="7"/>
  <c r="D211" i="7"/>
  <c r="AT342" i="22" l="1"/>
  <c r="AP342" i="22"/>
  <c r="AN342" i="22"/>
  <c r="AM343" i="22"/>
  <c r="AS342" i="22"/>
  <c r="AR342" i="22"/>
  <c r="AQ342" i="22"/>
  <c r="AO342" i="22"/>
  <c r="AE342" i="23"/>
  <c r="AK342" i="23"/>
  <c r="AH342" i="23"/>
  <c r="AF342" i="23"/>
  <c r="AI342" i="23"/>
  <c r="AD343" i="23"/>
  <c r="AJ342" i="23"/>
  <c r="AG342" i="23"/>
  <c r="AQ342" i="23"/>
  <c r="AS342" i="23"/>
  <c r="AT342" i="23"/>
  <c r="AR342" i="23"/>
  <c r="AM343" i="23"/>
  <c r="AN342" i="23"/>
  <c r="AP342" i="23"/>
  <c r="AO342" i="23"/>
  <c r="AD339" i="7"/>
  <c r="AH338" i="7"/>
  <c r="AE338" i="7"/>
  <c r="AF338" i="7"/>
  <c r="AG338" i="7"/>
  <c r="AI338" i="7"/>
  <c r="AJ338" i="7"/>
  <c r="AK338" i="7"/>
  <c r="AK342" i="22"/>
  <c r="AJ342" i="22"/>
  <c r="AI342" i="22"/>
  <c r="AG342" i="22"/>
  <c r="AF342" i="22"/>
  <c r="AE342" i="22"/>
  <c r="AH342" i="22"/>
  <c r="AQ337" i="7"/>
  <c r="AO337" i="7"/>
  <c r="AS337" i="7"/>
  <c r="AM338" i="7"/>
  <c r="AT337" i="7"/>
  <c r="AR337" i="7"/>
  <c r="AP337" i="7"/>
  <c r="AN337" i="7"/>
  <c r="N343" i="23"/>
  <c r="M343" i="23"/>
  <c r="L344" i="23"/>
  <c r="S343" i="23"/>
  <c r="O343" i="23"/>
  <c r="R343" i="23"/>
  <c r="Q343" i="23"/>
  <c r="P343" i="23"/>
  <c r="I341" i="23"/>
  <c r="C342" i="23"/>
  <c r="E342" i="23" s="1"/>
  <c r="E341" i="23"/>
  <c r="J341" i="23"/>
  <c r="H341" i="23"/>
  <c r="F341" i="23"/>
  <c r="J342" i="22"/>
  <c r="H342" i="22"/>
  <c r="I342" i="22"/>
  <c r="C343" i="22"/>
  <c r="F342" i="22"/>
  <c r="E342" i="22"/>
  <c r="D342" i="22"/>
  <c r="G342" i="22"/>
  <c r="D341" i="23"/>
  <c r="G341" i="23"/>
  <c r="Q210" i="7"/>
  <c r="R210" i="7"/>
  <c r="S210" i="7"/>
  <c r="AB342" i="23"/>
  <c r="AA342" i="23"/>
  <c r="U343" i="23"/>
  <c r="Z342" i="23"/>
  <c r="X342" i="23"/>
  <c r="W342" i="23"/>
  <c r="V342" i="23"/>
  <c r="Y342" i="23"/>
  <c r="AD343" i="22"/>
  <c r="O342" i="22"/>
  <c r="M342" i="22"/>
  <c r="S342" i="22"/>
  <c r="N342" i="22"/>
  <c r="R342" i="22"/>
  <c r="L343" i="22"/>
  <c r="Q342" i="22"/>
  <c r="P342" i="22"/>
  <c r="U344" i="22"/>
  <c r="X343" i="22"/>
  <c r="W343" i="22"/>
  <c r="V343" i="22"/>
  <c r="AB343" i="22"/>
  <c r="AA343" i="22"/>
  <c r="Z343" i="22"/>
  <c r="Y343" i="22"/>
  <c r="O211" i="7"/>
  <c r="M211" i="7"/>
  <c r="N211" i="7"/>
  <c r="P211" i="7"/>
  <c r="I211" i="7"/>
  <c r="J211" i="7"/>
  <c r="D212" i="7"/>
  <c r="E212" i="7"/>
  <c r="F212" i="7"/>
  <c r="G213" i="7"/>
  <c r="H211" i="7"/>
  <c r="Y212" i="7"/>
  <c r="Z212" i="7"/>
  <c r="AA212" i="7"/>
  <c r="V212" i="7"/>
  <c r="W212" i="7"/>
  <c r="U213" i="7"/>
  <c r="X212" i="7"/>
  <c r="AB212" i="7"/>
  <c r="AQ343" i="22" l="1"/>
  <c r="AS343" i="22"/>
  <c r="AP343" i="22"/>
  <c r="AO343" i="22"/>
  <c r="AT343" i="22"/>
  <c r="AM344" i="22"/>
  <c r="AR343" i="22"/>
  <c r="AN343" i="22"/>
  <c r="AD344" i="23"/>
  <c r="AI343" i="23"/>
  <c r="AH343" i="23"/>
  <c r="AJ343" i="23"/>
  <c r="AG343" i="23"/>
  <c r="AE343" i="23"/>
  <c r="AF343" i="23"/>
  <c r="AK343" i="23"/>
  <c r="AM344" i="23"/>
  <c r="AT343" i="23"/>
  <c r="AO343" i="23"/>
  <c r="AS343" i="23"/>
  <c r="AQ343" i="23"/>
  <c r="AR343" i="23"/>
  <c r="AP343" i="23"/>
  <c r="AN343" i="23"/>
  <c r="AD340" i="7"/>
  <c r="AH339" i="7"/>
  <c r="AE339" i="7"/>
  <c r="AF339" i="7"/>
  <c r="AG339" i="7"/>
  <c r="AI339" i="7"/>
  <c r="AJ339" i="7"/>
  <c r="AK339" i="7"/>
  <c r="AK343" i="22"/>
  <c r="AJ343" i="22"/>
  <c r="AI343" i="22"/>
  <c r="AG343" i="22"/>
  <c r="AF343" i="22"/>
  <c r="AE343" i="22"/>
  <c r="AH343" i="22"/>
  <c r="AM339" i="7"/>
  <c r="AT338" i="7"/>
  <c r="AS338" i="7"/>
  <c r="AR338" i="7"/>
  <c r="AP338" i="7"/>
  <c r="AQ338" i="7"/>
  <c r="AO338" i="7"/>
  <c r="AN338" i="7"/>
  <c r="S344" i="23"/>
  <c r="R344" i="23"/>
  <c r="L345" i="23"/>
  <c r="M345" i="23" s="1"/>
  <c r="Q344" i="23"/>
  <c r="O344" i="23"/>
  <c r="N344" i="23"/>
  <c r="M344" i="23"/>
  <c r="P344" i="23"/>
  <c r="D342" i="23"/>
  <c r="C343" i="23"/>
  <c r="J342" i="23"/>
  <c r="F342" i="23"/>
  <c r="H342" i="23"/>
  <c r="I342" i="23"/>
  <c r="G342" i="23"/>
  <c r="J343" i="22"/>
  <c r="F343" i="22"/>
  <c r="D343" i="22"/>
  <c r="H343" i="22"/>
  <c r="E343" i="22"/>
  <c r="I343" i="22"/>
  <c r="C344" i="22"/>
  <c r="G343" i="22"/>
  <c r="Q211" i="7"/>
  <c r="R211" i="7"/>
  <c r="S211" i="7"/>
  <c r="J212" i="7"/>
  <c r="AA343" i="23"/>
  <c r="Z343" i="23"/>
  <c r="U344" i="23"/>
  <c r="X343" i="23"/>
  <c r="W343" i="23"/>
  <c r="AB343" i="23"/>
  <c r="V343" i="23"/>
  <c r="Y343" i="23"/>
  <c r="AD344" i="22"/>
  <c r="S343" i="22"/>
  <c r="Q343" i="22"/>
  <c r="L344" i="22"/>
  <c r="M343" i="22"/>
  <c r="R343" i="22"/>
  <c r="O343" i="22"/>
  <c r="N343" i="22"/>
  <c r="P343" i="22"/>
  <c r="AA344" i="22"/>
  <c r="V344" i="22"/>
  <c r="Z344" i="22"/>
  <c r="U345" i="22"/>
  <c r="W344" i="22"/>
  <c r="AB344" i="22"/>
  <c r="X344" i="22"/>
  <c r="Y344" i="22"/>
  <c r="O212" i="7"/>
  <c r="N212" i="7"/>
  <c r="P212" i="7"/>
  <c r="M212" i="7"/>
  <c r="I212" i="7"/>
  <c r="H212" i="7"/>
  <c r="Y213" i="7"/>
  <c r="X213" i="7"/>
  <c r="AB213" i="7"/>
  <c r="Z213" i="7"/>
  <c r="V213" i="7"/>
  <c r="W213" i="7"/>
  <c r="AA213" i="7"/>
  <c r="U214" i="7"/>
  <c r="G214" i="7"/>
  <c r="D213" i="7"/>
  <c r="E213" i="7"/>
  <c r="F213" i="7"/>
  <c r="AQ344" i="22" l="1"/>
  <c r="AS344" i="22"/>
  <c r="AN344" i="22"/>
  <c r="AT344" i="22"/>
  <c r="AP344" i="22"/>
  <c r="AO344" i="22"/>
  <c r="AM345" i="22"/>
  <c r="AR344" i="22"/>
  <c r="AF344" i="23"/>
  <c r="AJ344" i="23"/>
  <c r="AK344" i="23"/>
  <c r="AE344" i="23"/>
  <c r="AG344" i="23"/>
  <c r="AI344" i="23"/>
  <c r="AD345" i="23"/>
  <c r="AH344" i="23"/>
  <c r="AT344" i="23"/>
  <c r="AN344" i="23"/>
  <c r="AO344" i="23"/>
  <c r="AM345" i="23"/>
  <c r="AQ344" i="23"/>
  <c r="AS344" i="23"/>
  <c r="AR344" i="23"/>
  <c r="AP344" i="23"/>
  <c r="AD341" i="7"/>
  <c r="AH340" i="7"/>
  <c r="AE340" i="7"/>
  <c r="AF340" i="7"/>
  <c r="AG340" i="7"/>
  <c r="AI340" i="7"/>
  <c r="AJ340" i="7"/>
  <c r="AK340" i="7"/>
  <c r="AK344" i="22"/>
  <c r="AJ344" i="22"/>
  <c r="AI344" i="22"/>
  <c r="AG344" i="22"/>
  <c r="AF344" i="22"/>
  <c r="AE344" i="22"/>
  <c r="AH344" i="22"/>
  <c r="AT339" i="7"/>
  <c r="AR339" i="7"/>
  <c r="AQ339" i="7"/>
  <c r="AP339" i="7"/>
  <c r="AN339" i="7"/>
  <c r="AM340" i="7"/>
  <c r="AS339" i="7"/>
  <c r="AO339" i="7"/>
  <c r="R345" i="23"/>
  <c r="Q345" i="23"/>
  <c r="L346" i="23"/>
  <c r="O345" i="23"/>
  <c r="N345" i="23"/>
  <c r="S345" i="23"/>
  <c r="P345" i="23"/>
  <c r="I343" i="23"/>
  <c r="J343" i="23"/>
  <c r="C344" i="23"/>
  <c r="H343" i="23"/>
  <c r="F343" i="23"/>
  <c r="E343" i="23"/>
  <c r="D343" i="23"/>
  <c r="G343" i="23"/>
  <c r="F344" i="22"/>
  <c r="C345" i="22"/>
  <c r="D344" i="22"/>
  <c r="H344" i="22"/>
  <c r="J344" i="22"/>
  <c r="I344" i="22"/>
  <c r="E344" i="22"/>
  <c r="G344" i="22"/>
  <c r="R212" i="7"/>
  <c r="S212" i="7"/>
  <c r="W344" i="23"/>
  <c r="V344" i="23"/>
  <c r="U345" i="23"/>
  <c r="AB344" i="23"/>
  <c r="X344" i="23"/>
  <c r="AA344" i="23"/>
  <c r="Z344" i="23"/>
  <c r="Y344" i="23"/>
  <c r="AD345" i="22"/>
  <c r="N344" i="22"/>
  <c r="Q344" i="22"/>
  <c r="O344" i="22"/>
  <c r="M344" i="22"/>
  <c r="S344" i="22"/>
  <c r="L345" i="22"/>
  <c r="R344" i="22"/>
  <c r="P344" i="22"/>
  <c r="Z345" i="22"/>
  <c r="W345" i="22"/>
  <c r="X345" i="22"/>
  <c r="U346" i="22"/>
  <c r="AB345" i="22"/>
  <c r="AA345" i="22"/>
  <c r="V345" i="22"/>
  <c r="Y345" i="22"/>
  <c r="Q212" i="7"/>
  <c r="O213" i="7"/>
  <c r="M213" i="7"/>
  <c r="P213" i="7"/>
  <c r="N213" i="7"/>
  <c r="I213" i="7"/>
  <c r="J213" i="7"/>
  <c r="H213" i="7"/>
  <c r="G215" i="7"/>
  <c r="E214" i="7"/>
  <c r="F214" i="7"/>
  <c r="D214" i="7"/>
  <c r="Y214" i="7"/>
  <c r="Z214" i="7"/>
  <c r="AA214" i="7"/>
  <c r="V214" i="7"/>
  <c r="W214" i="7"/>
  <c r="AB214" i="7"/>
  <c r="U215" i="7"/>
  <c r="X214" i="7"/>
  <c r="AO345" i="22" l="1"/>
  <c r="AM346" i="22"/>
  <c r="AT345" i="22"/>
  <c r="AS345" i="22"/>
  <c r="AR345" i="22"/>
  <c r="AQ345" i="22"/>
  <c r="AP345" i="22"/>
  <c r="AN345" i="22"/>
  <c r="AF345" i="23"/>
  <c r="AK345" i="23"/>
  <c r="AH345" i="23"/>
  <c r="AE345" i="23"/>
  <c r="AD346" i="23"/>
  <c r="AJ345" i="23"/>
  <c r="AI345" i="23"/>
  <c r="AG345" i="23"/>
  <c r="AO345" i="23"/>
  <c r="AN345" i="23"/>
  <c r="AM346" i="23"/>
  <c r="AP345" i="23"/>
  <c r="AS345" i="23"/>
  <c r="AQ345" i="23"/>
  <c r="AR345" i="23"/>
  <c r="AT345" i="23"/>
  <c r="AD342" i="7"/>
  <c r="AH341" i="7"/>
  <c r="AE341" i="7"/>
  <c r="AF341" i="7"/>
  <c r="AG341" i="7"/>
  <c r="AI341" i="7"/>
  <c r="AJ341" i="7"/>
  <c r="AK341" i="7"/>
  <c r="AK345" i="22"/>
  <c r="AJ345" i="22"/>
  <c r="AI345" i="22"/>
  <c r="AG345" i="22"/>
  <c r="AF345" i="22"/>
  <c r="AE345" i="22"/>
  <c r="AH345" i="22"/>
  <c r="AM341" i="7"/>
  <c r="AT340" i="7"/>
  <c r="AR340" i="7"/>
  <c r="AQ340" i="7"/>
  <c r="AP340" i="7"/>
  <c r="AO340" i="7"/>
  <c r="AN340" i="7"/>
  <c r="AS340" i="7"/>
  <c r="R346" i="23"/>
  <c r="P346" i="23"/>
  <c r="S346" i="23"/>
  <c r="Q346" i="23"/>
  <c r="L347" i="23"/>
  <c r="P347" i="23" s="1"/>
  <c r="O346" i="23"/>
  <c r="M346" i="23"/>
  <c r="N346" i="23"/>
  <c r="I344" i="23"/>
  <c r="H344" i="23"/>
  <c r="C345" i="23"/>
  <c r="F344" i="23"/>
  <c r="E344" i="23"/>
  <c r="J344" i="23"/>
  <c r="D344" i="23"/>
  <c r="G344" i="23"/>
  <c r="I345" i="22"/>
  <c r="D345" i="22"/>
  <c r="C346" i="22"/>
  <c r="J345" i="22"/>
  <c r="H345" i="22"/>
  <c r="F345" i="22"/>
  <c r="E345" i="22"/>
  <c r="G345" i="22"/>
  <c r="R213" i="7"/>
  <c r="S213" i="7"/>
  <c r="Q213" i="7"/>
  <c r="AB345" i="23"/>
  <c r="AA345" i="23"/>
  <c r="U346" i="23"/>
  <c r="W345" i="23"/>
  <c r="Z345" i="23"/>
  <c r="X345" i="23"/>
  <c r="V345" i="23"/>
  <c r="Y345" i="23"/>
  <c r="M345" i="22"/>
  <c r="L346" i="22"/>
  <c r="R345" i="22"/>
  <c r="O345" i="22"/>
  <c r="Q345" i="22"/>
  <c r="N345" i="22"/>
  <c r="S345" i="22"/>
  <c r="P345" i="22"/>
  <c r="U347" i="22"/>
  <c r="V346" i="22"/>
  <c r="AA346" i="22"/>
  <c r="W346" i="22"/>
  <c r="AB346" i="22"/>
  <c r="X346" i="22"/>
  <c r="Z346" i="22"/>
  <c r="Y346" i="22"/>
  <c r="AD346" i="22"/>
  <c r="H214" i="7"/>
  <c r="P214" i="7"/>
  <c r="M214" i="7"/>
  <c r="O214" i="7"/>
  <c r="N214" i="7"/>
  <c r="I214" i="7"/>
  <c r="J214" i="7"/>
  <c r="Y215" i="7"/>
  <c r="X215" i="7"/>
  <c r="AB215" i="7"/>
  <c r="Z215" i="7"/>
  <c r="V215" i="7"/>
  <c r="W215" i="7"/>
  <c r="U216" i="7"/>
  <c r="AA215" i="7"/>
  <c r="D215" i="7"/>
  <c r="E215" i="7"/>
  <c r="F215" i="7"/>
  <c r="G216" i="7"/>
  <c r="AM347" i="22" l="1"/>
  <c r="AT346" i="22"/>
  <c r="AS346" i="22"/>
  <c r="AR346" i="22"/>
  <c r="AQ346" i="22"/>
  <c r="AP346" i="22"/>
  <c r="AO346" i="22"/>
  <c r="AN346" i="22"/>
  <c r="AD347" i="23"/>
  <c r="AJ346" i="23"/>
  <c r="AI346" i="23"/>
  <c r="AH346" i="23"/>
  <c r="AE346" i="23"/>
  <c r="AG346" i="23"/>
  <c r="AK346" i="23"/>
  <c r="AF346" i="23"/>
  <c r="AO346" i="23"/>
  <c r="AM347" i="23"/>
  <c r="AS346" i="23"/>
  <c r="AQ346" i="23"/>
  <c r="AR346" i="23"/>
  <c r="AN346" i="23"/>
  <c r="AT346" i="23"/>
  <c r="AP346" i="23"/>
  <c r="AD343" i="7"/>
  <c r="AH342" i="7"/>
  <c r="AE342" i="7"/>
  <c r="AF342" i="7"/>
  <c r="AG342" i="7"/>
  <c r="AI342" i="7"/>
  <c r="AJ342" i="7"/>
  <c r="AK342" i="7"/>
  <c r="AK346" i="22"/>
  <c r="AJ346" i="22"/>
  <c r="AI346" i="22"/>
  <c r="AG346" i="22"/>
  <c r="AF346" i="22"/>
  <c r="AE346" i="22"/>
  <c r="AH346" i="22"/>
  <c r="AM342" i="7"/>
  <c r="AQ341" i="7"/>
  <c r="AO341" i="7"/>
  <c r="AN341" i="7"/>
  <c r="AS341" i="7"/>
  <c r="AR341" i="7"/>
  <c r="AT341" i="7"/>
  <c r="AP341" i="7"/>
  <c r="M347" i="23"/>
  <c r="N347" i="23"/>
  <c r="S347" i="23"/>
  <c r="R347" i="23"/>
  <c r="Q347" i="23"/>
  <c r="L348" i="23"/>
  <c r="O347" i="23"/>
  <c r="E345" i="23"/>
  <c r="D345" i="23"/>
  <c r="I345" i="23"/>
  <c r="C346" i="23"/>
  <c r="F345" i="23"/>
  <c r="J345" i="23"/>
  <c r="H345" i="23"/>
  <c r="G345" i="23"/>
  <c r="H346" i="22"/>
  <c r="E346" i="22"/>
  <c r="F346" i="22"/>
  <c r="J346" i="22"/>
  <c r="D346" i="22"/>
  <c r="C347" i="22"/>
  <c r="I346" i="22"/>
  <c r="G346" i="22"/>
  <c r="Q214" i="7"/>
  <c r="R214" i="7"/>
  <c r="S214" i="7"/>
  <c r="AA346" i="23"/>
  <c r="Z346" i="23"/>
  <c r="X346" i="23"/>
  <c r="W346" i="23"/>
  <c r="U347" i="23"/>
  <c r="AB346" i="23"/>
  <c r="V346" i="23"/>
  <c r="Y346" i="23"/>
  <c r="AB347" i="22"/>
  <c r="U348" i="22"/>
  <c r="W347" i="22"/>
  <c r="X347" i="22"/>
  <c r="V347" i="22"/>
  <c r="AA347" i="22"/>
  <c r="Z347" i="22"/>
  <c r="Y347" i="22"/>
  <c r="R346" i="22"/>
  <c r="L347" i="22"/>
  <c r="Q346" i="22"/>
  <c r="O346" i="22"/>
  <c r="N346" i="22"/>
  <c r="M346" i="22"/>
  <c r="S346" i="22"/>
  <c r="P346" i="22"/>
  <c r="AD347" i="22"/>
  <c r="M215" i="7"/>
  <c r="P215" i="7"/>
  <c r="O215" i="7"/>
  <c r="N215" i="7"/>
  <c r="J215" i="7"/>
  <c r="I215" i="7"/>
  <c r="H215" i="7"/>
  <c r="G217" i="7"/>
  <c r="D216" i="7"/>
  <c r="E216" i="7"/>
  <c r="F216" i="7"/>
  <c r="Y216" i="7"/>
  <c r="X216" i="7"/>
  <c r="AB216" i="7"/>
  <c r="Z216" i="7"/>
  <c r="AA216" i="7"/>
  <c r="V216" i="7"/>
  <c r="W216" i="7"/>
  <c r="U217" i="7"/>
  <c r="AM348" i="22" l="1"/>
  <c r="AT347" i="22"/>
  <c r="AS347" i="22"/>
  <c r="AR347" i="22"/>
  <c r="AQ347" i="22"/>
  <c r="AN347" i="22"/>
  <c r="AP347" i="22"/>
  <c r="AO347" i="22"/>
  <c r="AF347" i="23"/>
  <c r="AI347" i="23"/>
  <c r="AK347" i="23"/>
  <c r="AD348" i="23"/>
  <c r="AJ347" i="23"/>
  <c r="AG347" i="23"/>
  <c r="AH347" i="23"/>
  <c r="AE347" i="23"/>
  <c r="AM348" i="23"/>
  <c r="AQ347" i="23"/>
  <c r="AS347" i="23"/>
  <c r="AN347" i="23"/>
  <c r="AP347" i="23"/>
  <c r="AT347" i="23"/>
  <c r="AR347" i="23"/>
  <c r="AO347" i="23"/>
  <c r="AD344" i="7"/>
  <c r="AH343" i="7"/>
  <c r="AE343" i="7"/>
  <c r="AF343" i="7"/>
  <c r="AG343" i="7"/>
  <c r="AI343" i="7"/>
  <c r="AJ343" i="7"/>
  <c r="AK343" i="7"/>
  <c r="AK347" i="22"/>
  <c r="AJ347" i="22"/>
  <c r="AI347" i="22"/>
  <c r="AG347" i="22"/>
  <c r="AF347" i="22"/>
  <c r="AE347" i="22"/>
  <c r="AH347" i="22"/>
  <c r="AQ342" i="7"/>
  <c r="AN342" i="7"/>
  <c r="AT342" i="7"/>
  <c r="AR342" i="7"/>
  <c r="AP342" i="7"/>
  <c r="AM343" i="7"/>
  <c r="AS342" i="7"/>
  <c r="AO342" i="7"/>
  <c r="O348" i="23"/>
  <c r="N348" i="23"/>
  <c r="M348" i="23"/>
  <c r="R348" i="23"/>
  <c r="S348" i="23"/>
  <c r="Q348" i="23"/>
  <c r="L349" i="23"/>
  <c r="L350" i="23" s="1"/>
  <c r="P348" i="23"/>
  <c r="C347" i="23"/>
  <c r="J346" i="23"/>
  <c r="I346" i="23"/>
  <c r="E346" i="23"/>
  <c r="H346" i="23"/>
  <c r="F346" i="23"/>
  <c r="D346" i="23"/>
  <c r="G346" i="23"/>
  <c r="F347" i="22"/>
  <c r="C348" i="22"/>
  <c r="E347" i="22"/>
  <c r="D347" i="22"/>
  <c r="I347" i="22"/>
  <c r="J347" i="22"/>
  <c r="H347" i="22"/>
  <c r="G347" i="22"/>
  <c r="Q215" i="7"/>
  <c r="R215" i="7"/>
  <c r="AB347" i="23"/>
  <c r="Z347" i="23"/>
  <c r="X347" i="23"/>
  <c r="W347" i="23"/>
  <c r="U348" i="23"/>
  <c r="V347" i="23"/>
  <c r="AA347" i="23"/>
  <c r="Y347" i="23"/>
  <c r="X348" i="22"/>
  <c r="Z348" i="22"/>
  <c r="W348" i="22"/>
  <c r="AB348" i="22"/>
  <c r="AA348" i="22"/>
  <c r="V348" i="22"/>
  <c r="U349" i="22"/>
  <c r="Y348" i="22"/>
  <c r="O347" i="22"/>
  <c r="Q347" i="22"/>
  <c r="R347" i="22"/>
  <c r="S347" i="22"/>
  <c r="N347" i="22"/>
  <c r="M347" i="22"/>
  <c r="L348" i="22"/>
  <c r="P347" i="22"/>
  <c r="AD348" i="22"/>
  <c r="S215" i="7"/>
  <c r="N216" i="7"/>
  <c r="M216" i="7"/>
  <c r="O216" i="7"/>
  <c r="P216" i="7"/>
  <c r="H216" i="7"/>
  <c r="I216" i="7"/>
  <c r="G218" i="7"/>
  <c r="E217" i="7"/>
  <c r="F217" i="7"/>
  <c r="D217" i="7"/>
  <c r="Y217" i="7"/>
  <c r="U218" i="7"/>
  <c r="X217" i="7"/>
  <c r="Z217" i="7"/>
  <c r="AA217" i="7"/>
  <c r="W217" i="7"/>
  <c r="AB217" i="7"/>
  <c r="V217" i="7"/>
  <c r="J216" i="7"/>
  <c r="AM349" i="22" l="1"/>
  <c r="AS348" i="22"/>
  <c r="AP348" i="22"/>
  <c r="AO348" i="22"/>
  <c r="AT348" i="22"/>
  <c r="AR348" i="22"/>
  <c r="AQ348" i="22"/>
  <c r="AN348" i="22"/>
  <c r="AK348" i="23"/>
  <c r="AH348" i="23"/>
  <c r="AD349" i="23"/>
  <c r="AJ348" i="23"/>
  <c r="AF348" i="23"/>
  <c r="AI348" i="23"/>
  <c r="AE348" i="23"/>
  <c r="AG348" i="23"/>
  <c r="AR348" i="23"/>
  <c r="AP348" i="23"/>
  <c r="AT348" i="23"/>
  <c r="AS348" i="23"/>
  <c r="AQ348" i="23"/>
  <c r="AM349" i="23"/>
  <c r="AN348" i="23"/>
  <c r="AO348" i="23"/>
  <c r="AD345" i="7"/>
  <c r="AH344" i="7"/>
  <c r="AE344" i="7"/>
  <c r="AF344" i="7"/>
  <c r="AG344" i="7"/>
  <c r="AI344" i="7"/>
  <c r="AJ344" i="7"/>
  <c r="AK344" i="7"/>
  <c r="AK348" i="22"/>
  <c r="AJ348" i="22"/>
  <c r="AI348" i="22"/>
  <c r="AG348" i="22"/>
  <c r="AF348" i="22"/>
  <c r="AE348" i="22"/>
  <c r="AH348" i="22"/>
  <c r="AS343" i="7"/>
  <c r="AR343" i="7"/>
  <c r="AP343" i="7"/>
  <c r="AQ343" i="7"/>
  <c r="AO343" i="7"/>
  <c r="AT343" i="7"/>
  <c r="AN343" i="7"/>
  <c r="AM344" i="7"/>
  <c r="S349" i="23"/>
  <c r="Q349" i="23"/>
  <c r="O349" i="23"/>
  <c r="R349" i="23"/>
  <c r="N349" i="23"/>
  <c r="M349" i="23"/>
  <c r="P349" i="23"/>
  <c r="F347" i="23"/>
  <c r="C348" i="23"/>
  <c r="I347" i="23"/>
  <c r="G347" i="23"/>
  <c r="E347" i="23"/>
  <c r="D347" i="23"/>
  <c r="J347" i="23"/>
  <c r="H347" i="23"/>
  <c r="C349" i="22"/>
  <c r="F348" i="22"/>
  <c r="I348" i="22"/>
  <c r="G348" i="22"/>
  <c r="D348" i="22"/>
  <c r="E348" i="22"/>
  <c r="H348" i="22"/>
  <c r="J348" i="22"/>
  <c r="Q216" i="7"/>
  <c r="R216" i="7"/>
  <c r="AB348" i="23"/>
  <c r="AA348" i="23"/>
  <c r="Z348" i="23"/>
  <c r="U349" i="23"/>
  <c r="X348" i="23"/>
  <c r="W348" i="23"/>
  <c r="V348" i="23"/>
  <c r="Y348" i="23"/>
  <c r="S350" i="23"/>
  <c r="R350" i="23"/>
  <c r="Q350" i="23"/>
  <c r="L351" i="23"/>
  <c r="O350" i="23"/>
  <c r="M350" i="23"/>
  <c r="N350" i="23"/>
  <c r="P350" i="23"/>
  <c r="S348" i="22"/>
  <c r="R348" i="22"/>
  <c r="L349" i="22"/>
  <c r="Q348" i="22"/>
  <c r="N348" i="22"/>
  <c r="M348" i="22"/>
  <c r="O348" i="22"/>
  <c r="P348" i="22"/>
  <c r="AD349" i="22"/>
  <c r="AA349" i="22"/>
  <c r="V349" i="22"/>
  <c r="AB349" i="22"/>
  <c r="U350" i="22"/>
  <c r="Z349" i="22"/>
  <c r="X349" i="22"/>
  <c r="W349" i="22"/>
  <c r="Y349" i="22"/>
  <c r="S216" i="7"/>
  <c r="M217" i="7"/>
  <c r="P217" i="7"/>
  <c r="O217" i="7"/>
  <c r="N217" i="7"/>
  <c r="J217" i="7"/>
  <c r="I217" i="7"/>
  <c r="H217" i="7"/>
  <c r="D218" i="7"/>
  <c r="E218" i="7"/>
  <c r="F218" i="7"/>
  <c r="G219" i="7"/>
  <c r="Y218" i="7"/>
  <c r="Z218" i="7"/>
  <c r="AA218" i="7"/>
  <c r="V218" i="7"/>
  <c r="W218" i="7"/>
  <c r="U219" i="7"/>
  <c r="X218" i="7"/>
  <c r="AB218" i="7"/>
  <c r="AS349" i="22" l="1"/>
  <c r="AQ349" i="22"/>
  <c r="AN349" i="22"/>
  <c r="AM350" i="22"/>
  <c r="AT349" i="22"/>
  <c r="AR349" i="22"/>
  <c r="AP349" i="22"/>
  <c r="AO349" i="22"/>
  <c r="AH349" i="23"/>
  <c r="AE349" i="23"/>
  <c r="AD350" i="23"/>
  <c r="AJ349" i="23"/>
  <c r="AI349" i="23"/>
  <c r="AF349" i="23"/>
  <c r="AK349" i="23"/>
  <c r="AG349" i="23"/>
  <c r="AR349" i="23"/>
  <c r="AO349" i="23"/>
  <c r="AT349" i="23"/>
  <c r="AM350" i="23"/>
  <c r="AP349" i="23"/>
  <c r="AN349" i="23"/>
  <c r="AS349" i="23"/>
  <c r="AQ349" i="23"/>
  <c r="AD346" i="7"/>
  <c r="AH345" i="7"/>
  <c r="AE345" i="7"/>
  <c r="AF345" i="7"/>
  <c r="AG345" i="7"/>
  <c r="AI345" i="7"/>
  <c r="AJ345" i="7"/>
  <c r="AK345" i="7"/>
  <c r="AK349" i="22"/>
  <c r="AJ349" i="22"/>
  <c r="AI349" i="22"/>
  <c r="AG349" i="22"/>
  <c r="AF349" i="22"/>
  <c r="AE349" i="22"/>
  <c r="AH349" i="22"/>
  <c r="AM345" i="7"/>
  <c r="AO344" i="7"/>
  <c r="AT344" i="7"/>
  <c r="AS344" i="7"/>
  <c r="AR344" i="7"/>
  <c r="AP344" i="7"/>
  <c r="AQ344" i="7"/>
  <c r="AN344" i="7"/>
  <c r="J348" i="23"/>
  <c r="F348" i="23"/>
  <c r="E348" i="23"/>
  <c r="C349" i="23"/>
  <c r="D348" i="23"/>
  <c r="I348" i="23"/>
  <c r="H348" i="23"/>
  <c r="G348" i="23"/>
  <c r="F349" i="22"/>
  <c r="D349" i="22"/>
  <c r="J349" i="22"/>
  <c r="I349" i="22"/>
  <c r="H349" i="22"/>
  <c r="C350" i="22"/>
  <c r="E349" i="22"/>
  <c r="G349" i="22"/>
  <c r="Q217" i="7"/>
  <c r="R217" i="7"/>
  <c r="S217" i="7"/>
  <c r="X349" i="23"/>
  <c r="W349" i="23"/>
  <c r="V349" i="23"/>
  <c r="AB349" i="23"/>
  <c r="AA349" i="23"/>
  <c r="Z349" i="23"/>
  <c r="U350" i="23"/>
  <c r="Y349" i="23"/>
  <c r="O351" i="23"/>
  <c r="N351" i="23"/>
  <c r="M351" i="23"/>
  <c r="S351" i="23"/>
  <c r="R351" i="23"/>
  <c r="Q351" i="23"/>
  <c r="L352" i="23"/>
  <c r="P351" i="23"/>
  <c r="AD350" i="22"/>
  <c r="S349" i="22"/>
  <c r="R349" i="22"/>
  <c r="O349" i="22"/>
  <c r="L350" i="22"/>
  <c r="N349" i="22"/>
  <c r="M349" i="22"/>
  <c r="Q349" i="22"/>
  <c r="P349" i="22"/>
  <c r="AB350" i="22"/>
  <c r="X350" i="22"/>
  <c r="AA350" i="22"/>
  <c r="Z350" i="22"/>
  <c r="U351" i="22"/>
  <c r="V350" i="22"/>
  <c r="W350" i="22"/>
  <c r="Y350" i="22"/>
  <c r="I218" i="7"/>
  <c r="M218" i="7"/>
  <c r="O218" i="7"/>
  <c r="N218" i="7"/>
  <c r="P218" i="7"/>
  <c r="H218" i="7"/>
  <c r="J218" i="7"/>
  <c r="G220" i="7"/>
  <c r="D219" i="7"/>
  <c r="E219" i="7"/>
  <c r="F219" i="7"/>
  <c r="Y219" i="7"/>
  <c r="Z219" i="7"/>
  <c r="AA219" i="7"/>
  <c r="V219" i="7"/>
  <c r="W219" i="7"/>
  <c r="U220" i="7"/>
  <c r="X219" i="7"/>
  <c r="AB219" i="7"/>
  <c r="AS350" i="22" l="1"/>
  <c r="AQ350" i="22"/>
  <c r="AM351" i="22"/>
  <c r="AT350" i="22"/>
  <c r="AR350" i="22"/>
  <c r="AP350" i="22"/>
  <c r="AO350" i="22"/>
  <c r="AN350" i="22"/>
  <c r="AF350" i="23"/>
  <c r="AJ350" i="23"/>
  <c r="AH350" i="23"/>
  <c r="AD351" i="23"/>
  <c r="AE350" i="23"/>
  <c r="AK350" i="23"/>
  <c r="AI350" i="23"/>
  <c r="AG350" i="23"/>
  <c r="AR350" i="23"/>
  <c r="AT350" i="23"/>
  <c r="AP350" i="23"/>
  <c r="AO350" i="23"/>
  <c r="AM351" i="23"/>
  <c r="AQ350" i="23"/>
  <c r="AN350" i="23"/>
  <c r="AS350" i="23"/>
  <c r="AD347" i="7"/>
  <c r="AH346" i="7"/>
  <c r="AE346" i="7"/>
  <c r="AF346" i="7"/>
  <c r="AG346" i="7"/>
  <c r="AI346" i="7"/>
  <c r="AJ346" i="7"/>
  <c r="AK346" i="7"/>
  <c r="AK350" i="22"/>
  <c r="AJ350" i="22"/>
  <c r="AI350" i="22"/>
  <c r="AG350" i="22"/>
  <c r="AF350" i="22"/>
  <c r="AE350" i="22"/>
  <c r="AH350" i="22"/>
  <c r="AS345" i="7"/>
  <c r="AQ345" i="7"/>
  <c r="AP345" i="7"/>
  <c r="AO345" i="7"/>
  <c r="AM346" i="7"/>
  <c r="AT345" i="7"/>
  <c r="AR345" i="7"/>
  <c r="AN345" i="7"/>
  <c r="J349" i="23"/>
  <c r="I349" i="23"/>
  <c r="H349" i="23"/>
  <c r="C350" i="23"/>
  <c r="F349" i="23"/>
  <c r="E349" i="23"/>
  <c r="D349" i="23"/>
  <c r="G349" i="23"/>
  <c r="E350" i="22"/>
  <c r="F350" i="22"/>
  <c r="C351" i="22"/>
  <c r="D350" i="22"/>
  <c r="J350" i="22"/>
  <c r="I350" i="22"/>
  <c r="H350" i="22"/>
  <c r="G350" i="22"/>
  <c r="Q218" i="7"/>
  <c r="S218" i="7"/>
  <c r="R218" i="7"/>
  <c r="AB350" i="23"/>
  <c r="Z350" i="23"/>
  <c r="U351" i="23"/>
  <c r="W350" i="23"/>
  <c r="AA350" i="23"/>
  <c r="X350" i="23"/>
  <c r="V350" i="23"/>
  <c r="Y350" i="23"/>
  <c r="S352" i="23"/>
  <c r="Q352" i="23"/>
  <c r="L353" i="23"/>
  <c r="N352" i="23"/>
  <c r="R352" i="23"/>
  <c r="O352" i="23"/>
  <c r="M352" i="23"/>
  <c r="P352" i="23"/>
  <c r="O350" i="22"/>
  <c r="R350" i="22"/>
  <c r="N350" i="22"/>
  <c r="S350" i="22"/>
  <c r="Q350" i="22"/>
  <c r="M350" i="22"/>
  <c r="L351" i="22"/>
  <c r="P350" i="22"/>
  <c r="X351" i="22"/>
  <c r="AB351" i="22"/>
  <c r="Z351" i="22"/>
  <c r="AA351" i="22"/>
  <c r="W351" i="22"/>
  <c r="V351" i="22"/>
  <c r="U352" i="22"/>
  <c r="Y351" i="22"/>
  <c r="AD351" i="22"/>
  <c r="M219" i="7"/>
  <c r="O219" i="7"/>
  <c r="P219" i="7"/>
  <c r="N219" i="7"/>
  <c r="H219" i="7"/>
  <c r="J219" i="7"/>
  <c r="G221" i="7"/>
  <c r="E220" i="7"/>
  <c r="F220" i="7"/>
  <c r="D220" i="7"/>
  <c r="I219" i="7"/>
  <c r="Y220" i="7"/>
  <c r="X220" i="7"/>
  <c r="U221" i="7"/>
  <c r="Z220" i="7"/>
  <c r="AA220" i="7"/>
  <c r="W220" i="7"/>
  <c r="AB220" i="7"/>
  <c r="V220" i="7"/>
  <c r="AS351" i="22" l="1"/>
  <c r="AN351" i="22"/>
  <c r="AP351" i="22"/>
  <c r="AR351" i="22"/>
  <c r="AM352" i="22"/>
  <c r="AT351" i="22"/>
  <c r="AQ351" i="22"/>
  <c r="AO351" i="22"/>
  <c r="AJ351" i="23"/>
  <c r="AG351" i="23"/>
  <c r="AE351" i="23"/>
  <c r="AK351" i="23"/>
  <c r="AH351" i="23"/>
  <c r="AD352" i="23"/>
  <c r="AI351" i="23"/>
  <c r="AF351" i="23"/>
  <c r="AO351" i="23"/>
  <c r="AR351" i="23"/>
  <c r="AT351" i="23"/>
  <c r="AP351" i="23"/>
  <c r="AM352" i="23"/>
  <c r="AS351" i="23"/>
  <c r="AQ351" i="23"/>
  <c r="AN351" i="23"/>
  <c r="AD348" i="7"/>
  <c r="AH347" i="7"/>
  <c r="AE347" i="7"/>
  <c r="AF347" i="7"/>
  <c r="AG347" i="7"/>
  <c r="AI347" i="7"/>
  <c r="AJ347" i="7"/>
  <c r="AK347" i="7"/>
  <c r="AK351" i="22"/>
  <c r="AJ351" i="22"/>
  <c r="AI351" i="22"/>
  <c r="AG351" i="22"/>
  <c r="AF351" i="22"/>
  <c r="AE351" i="22"/>
  <c r="AH351" i="22"/>
  <c r="AM347" i="7"/>
  <c r="AS346" i="7"/>
  <c r="AO346" i="7"/>
  <c r="AT346" i="7"/>
  <c r="AR346" i="7"/>
  <c r="AQ346" i="7"/>
  <c r="AP346" i="7"/>
  <c r="AN346" i="7"/>
  <c r="F350" i="23"/>
  <c r="E350" i="23"/>
  <c r="D350" i="23"/>
  <c r="J350" i="23"/>
  <c r="I350" i="23"/>
  <c r="H350" i="23"/>
  <c r="C351" i="23"/>
  <c r="G350" i="23"/>
  <c r="G351" i="22"/>
  <c r="J351" i="22"/>
  <c r="F351" i="22"/>
  <c r="I351" i="22"/>
  <c r="D351" i="22"/>
  <c r="H351" i="22"/>
  <c r="E351" i="22"/>
  <c r="C352" i="22"/>
  <c r="Q219" i="7"/>
  <c r="S219" i="7"/>
  <c r="R219" i="7"/>
  <c r="S353" i="23"/>
  <c r="R353" i="23"/>
  <c r="Q353" i="23"/>
  <c r="L354" i="23"/>
  <c r="O353" i="23"/>
  <c r="M353" i="23"/>
  <c r="N353" i="23"/>
  <c r="P353" i="23"/>
  <c r="AB351" i="23"/>
  <c r="AA351" i="23"/>
  <c r="Z351" i="23"/>
  <c r="U352" i="23"/>
  <c r="X351" i="23"/>
  <c r="V351" i="23"/>
  <c r="W351" i="23"/>
  <c r="Y351" i="23"/>
  <c r="AD352" i="22"/>
  <c r="Q351" i="22"/>
  <c r="N351" i="22"/>
  <c r="O351" i="22"/>
  <c r="L352" i="22"/>
  <c r="R351" i="22"/>
  <c r="S351" i="22"/>
  <c r="M351" i="22"/>
  <c r="P351" i="22"/>
  <c r="AA352" i="22"/>
  <c r="W352" i="22"/>
  <c r="AB352" i="22"/>
  <c r="V352" i="22"/>
  <c r="Z352" i="22"/>
  <c r="X352" i="22"/>
  <c r="U353" i="22"/>
  <c r="Y352" i="22"/>
  <c r="N220" i="7"/>
  <c r="M220" i="7"/>
  <c r="P220" i="7"/>
  <c r="O220" i="7"/>
  <c r="I220" i="7"/>
  <c r="H220" i="7"/>
  <c r="J220" i="7"/>
  <c r="Y221" i="7"/>
  <c r="X221" i="7"/>
  <c r="AB221" i="7"/>
  <c r="Z221" i="7"/>
  <c r="AA221" i="7"/>
  <c r="V221" i="7"/>
  <c r="W221" i="7"/>
  <c r="U222" i="7"/>
  <c r="D221" i="7"/>
  <c r="E221" i="7"/>
  <c r="G222" i="7"/>
  <c r="F221" i="7"/>
  <c r="AT352" i="22" l="1"/>
  <c r="AM353" i="22"/>
  <c r="AS352" i="22"/>
  <c r="AR352" i="22"/>
  <c r="AQ352" i="22"/>
  <c r="AP352" i="22"/>
  <c r="AO352" i="22"/>
  <c r="AN352" i="22"/>
  <c r="AE352" i="23"/>
  <c r="AK352" i="23"/>
  <c r="AI352" i="23"/>
  <c r="AG352" i="23"/>
  <c r="AD353" i="23"/>
  <c r="AH352" i="23"/>
  <c r="AJ352" i="23"/>
  <c r="AF352" i="23"/>
  <c r="AO352" i="23"/>
  <c r="AR352" i="23"/>
  <c r="AS352" i="23"/>
  <c r="AQ352" i="23"/>
  <c r="AM353" i="23"/>
  <c r="AN352" i="23"/>
  <c r="AT352" i="23"/>
  <c r="AP352" i="23"/>
  <c r="AD349" i="7"/>
  <c r="AH348" i="7"/>
  <c r="AE348" i="7"/>
  <c r="AF348" i="7"/>
  <c r="AG348" i="7"/>
  <c r="AI348" i="7"/>
  <c r="AJ348" i="7"/>
  <c r="AK348" i="7"/>
  <c r="AK352" i="22"/>
  <c r="AJ352" i="22"/>
  <c r="AI352" i="22"/>
  <c r="AG352" i="22"/>
  <c r="AF352" i="22"/>
  <c r="AE352" i="22"/>
  <c r="AH352" i="22"/>
  <c r="AN347" i="7"/>
  <c r="AM348" i="7"/>
  <c r="AT347" i="7"/>
  <c r="AS347" i="7"/>
  <c r="AR347" i="7"/>
  <c r="AQ347" i="7"/>
  <c r="AP347" i="7"/>
  <c r="AO347" i="7"/>
  <c r="J351" i="23"/>
  <c r="H351" i="23"/>
  <c r="C352" i="23"/>
  <c r="E351" i="23"/>
  <c r="I351" i="23"/>
  <c r="F351" i="23"/>
  <c r="D351" i="23"/>
  <c r="G351" i="23"/>
  <c r="F352" i="22"/>
  <c r="E352" i="22"/>
  <c r="H352" i="22"/>
  <c r="D352" i="22"/>
  <c r="J352" i="22"/>
  <c r="C353" i="22"/>
  <c r="G352" i="22"/>
  <c r="I352" i="22"/>
  <c r="R220" i="7"/>
  <c r="S220" i="7"/>
  <c r="O354" i="23"/>
  <c r="N354" i="23"/>
  <c r="M354" i="23"/>
  <c r="S354" i="23"/>
  <c r="R354" i="23"/>
  <c r="Q354" i="23"/>
  <c r="L355" i="23"/>
  <c r="P354" i="23"/>
  <c r="X352" i="23"/>
  <c r="W352" i="23"/>
  <c r="V352" i="23"/>
  <c r="AB352" i="23"/>
  <c r="AA352" i="23"/>
  <c r="Z352" i="23"/>
  <c r="U353" i="23"/>
  <c r="Y352" i="23"/>
  <c r="S352" i="22"/>
  <c r="L353" i="22"/>
  <c r="M352" i="22"/>
  <c r="Q352" i="22"/>
  <c r="R352" i="22"/>
  <c r="O352" i="22"/>
  <c r="N352" i="22"/>
  <c r="P352" i="22"/>
  <c r="AB353" i="22"/>
  <c r="Z353" i="22"/>
  <c r="U354" i="22"/>
  <c r="X353" i="22"/>
  <c r="AA353" i="22"/>
  <c r="V353" i="22"/>
  <c r="W353" i="22"/>
  <c r="Y353" i="22"/>
  <c r="AD353" i="22"/>
  <c r="Q220" i="7"/>
  <c r="M221" i="7"/>
  <c r="P221" i="7"/>
  <c r="N221" i="7"/>
  <c r="O221" i="7"/>
  <c r="H221" i="7"/>
  <c r="I221" i="7"/>
  <c r="J221" i="7"/>
  <c r="G223" i="7"/>
  <c r="D222" i="7"/>
  <c r="E222" i="7"/>
  <c r="F222" i="7"/>
  <c r="Y222" i="7"/>
  <c r="Z222" i="7"/>
  <c r="AA222" i="7"/>
  <c r="V222" i="7"/>
  <c r="W222" i="7"/>
  <c r="U223" i="7"/>
  <c r="X222" i="7"/>
  <c r="AB222" i="7"/>
  <c r="AM354" i="22" l="1"/>
  <c r="AT353" i="22"/>
  <c r="AS353" i="22"/>
  <c r="AR353" i="22"/>
  <c r="AQ353" i="22"/>
  <c r="AP353" i="22"/>
  <c r="AO353" i="22"/>
  <c r="AN353" i="22"/>
  <c r="AK353" i="23"/>
  <c r="AG353" i="23"/>
  <c r="AE353" i="23"/>
  <c r="AD354" i="23"/>
  <c r="AI353" i="23"/>
  <c r="AH353" i="23"/>
  <c r="AJ353" i="23"/>
  <c r="AF353" i="23"/>
  <c r="AO353" i="23"/>
  <c r="AT353" i="23"/>
  <c r="AR353" i="23"/>
  <c r="AN353" i="23"/>
  <c r="AS353" i="23"/>
  <c r="AP353" i="23"/>
  <c r="AM354" i="23"/>
  <c r="AQ353" i="23"/>
  <c r="AD350" i="7"/>
  <c r="AH349" i="7"/>
  <c r="AE349" i="7"/>
  <c r="AF349" i="7"/>
  <c r="AG349" i="7"/>
  <c r="AI349" i="7"/>
  <c r="AJ349" i="7"/>
  <c r="AK349" i="7"/>
  <c r="AK353" i="22"/>
  <c r="AJ353" i="22"/>
  <c r="AI353" i="22"/>
  <c r="AG353" i="22"/>
  <c r="AF353" i="22"/>
  <c r="AE353" i="22"/>
  <c r="AH353" i="22"/>
  <c r="AM349" i="7"/>
  <c r="AQ348" i="7"/>
  <c r="AP348" i="7"/>
  <c r="AO348" i="7"/>
  <c r="AT348" i="7"/>
  <c r="AR348" i="7"/>
  <c r="AN348" i="7"/>
  <c r="AS348" i="7"/>
  <c r="J352" i="23"/>
  <c r="I352" i="23"/>
  <c r="H352" i="23"/>
  <c r="C353" i="23"/>
  <c r="F352" i="23"/>
  <c r="D352" i="23"/>
  <c r="E352" i="23"/>
  <c r="G352" i="23"/>
  <c r="I353" i="22"/>
  <c r="H353" i="22"/>
  <c r="F353" i="22"/>
  <c r="J353" i="22"/>
  <c r="C354" i="22"/>
  <c r="E353" i="22"/>
  <c r="D353" i="22"/>
  <c r="G353" i="22"/>
  <c r="Q221" i="7"/>
  <c r="S221" i="7"/>
  <c r="R221" i="7"/>
  <c r="S355" i="23"/>
  <c r="Q355" i="23"/>
  <c r="L356" i="23"/>
  <c r="N355" i="23"/>
  <c r="R355" i="23"/>
  <c r="O355" i="23"/>
  <c r="M355" i="23"/>
  <c r="P355" i="23"/>
  <c r="AB353" i="23"/>
  <c r="Z353" i="23"/>
  <c r="U354" i="23"/>
  <c r="W353" i="23"/>
  <c r="AA353" i="23"/>
  <c r="X353" i="23"/>
  <c r="V353" i="23"/>
  <c r="Y353" i="23"/>
  <c r="AD354" i="22"/>
  <c r="X354" i="22"/>
  <c r="Z354" i="22"/>
  <c r="AB354" i="22"/>
  <c r="AA354" i="22"/>
  <c r="W354" i="22"/>
  <c r="U355" i="22"/>
  <c r="V354" i="22"/>
  <c r="Y354" i="22"/>
  <c r="O353" i="22"/>
  <c r="L354" i="22"/>
  <c r="M353" i="22"/>
  <c r="S353" i="22"/>
  <c r="R353" i="22"/>
  <c r="Q353" i="22"/>
  <c r="N353" i="22"/>
  <c r="P353" i="22"/>
  <c r="O222" i="7"/>
  <c r="P222" i="7"/>
  <c r="N222" i="7"/>
  <c r="M222" i="7"/>
  <c r="I222" i="7"/>
  <c r="H222" i="7"/>
  <c r="J222" i="7"/>
  <c r="Y223" i="7"/>
  <c r="Z223" i="7"/>
  <c r="AA223" i="7"/>
  <c r="V223" i="7"/>
  <c r="W223" i="7"/>
  <c r="AB223" i="7"/>
  <c r="X223" i="7"/>
  <c r="U224" i="7"/>
  <c r="G224" i="7"/>
  <c r="E223" i="7"/>
  <c r="F223" i="7"/>
  <c r="D223" i="7"/>
  <c r="AM355" i="22" l="1"/>
  <c r="AT354" i="22"/>
  <c r="AS354" i="22"/>
  <c r="AR354" i="22"/>
  <c r="AP354" i="22"/>
  <c r="AO354" i="22"/>
  <c r="AQ354" i="22"/>
  <c r="AN354" i="22"/>
  <c r="AJ354" i="23"/>
  <c r="AF354" i="23"/>
  <c r="AK354" i="23"/>
  <c r="AH354" i="23"/>
  <c r="AD355" i="23"/>
  <c r="AI354" i="23"/>
  <c r="AG354" i="23"/>
  <c r="AE354" i="23"/>
  <c r="AQ354" i="23"/>
  <c r="AS354" i="23"/>
  <c r="AT354" i="23"/>
  <c r="AM355" i="23"/>
  <c r="AR354" i="23"/>
  <c r="AP354" i="23"/>
  <c r="AN354" i="23"/>
  <c r="AO354" i="23"/>
  <c r="AD351" i="7"/>
  <c r="AH350" i="7"/>
  <c r="AE350" i="7"/>
  <c r="AF350" i="7"/>
  <c r="AG350" i="7"/>
  <c r="AI350" i="7"/>
  <c r="AJ350" i="7"/>
  <c r="AK350" i="7"/>
  <c r="AK354" i="22"/>
  <c r="AJ354" i="22"/>
  <c r="AI354" i="22"/>
  <c r="AG354" i="22"/>
  <c r="AF354" i="22"/>
  <c r="AE354" i="22"/>
  <c r="AH354" i="22"/>
  <c r="AN349" i="7"/>
  <c r="AM350" i="7"/>
  <c r="AT349" i="7"/>
  <c r="AS349" i="7"/>
  <c r="AR349" i="7"/>
  <c r="AQ349" i="7"/>
  <c r="AP349" i="7"/>
  <c r="AO349" i="7"/>
  <c r="F353" i="23"/>
  <c r="E353" i="23"/>
  <c r="D353" i="23"/>
  <c r="J353" i="23"/>
  <c r="I353" i="23"/>
  <c r="H353" i="23"/>
  <c r="C354" i="23"/>
  <c r="G353" i="23"/>
  <c r="J354" i="22"/>
  <c r="D354" i="22"/>
  <c r="I354" i="22"/>
  <c r="H354" i="22"/>
  <c r="F354" i="22"/>
  <c r="E354" i="22"/>
  <c r="C355" i="22"/>
  <c r="G354" i="22"/>
  <c r="S222" i="7"/>
  <c r="R222" i="7"/>
  <c r="Q222" i="7"/>
  <c r="AB354" i="23"/>
  <c r="AA354" i="23"/>
  <c r="Z354" i="23"/>
  <c r="U355" i="23"/>
  <c r="X354" i="23"/>
  <c r="V354" i="23"/>
  <c r="W354" i="23"/>
  <c r="Y354" i="23"/>
  <c r="S356" i="23"/>
  <c r="R356" i="23"/>
  <c r="Q356" i="23"/>
  <c r="L357" i="23"/>
  <c r="O356" i="23"/>
  <c r="M356" i="23"/>
  <c r="N356" i="23"/>
  <c r="P356" i="23"/>
  <c r="O354" i="22"/>
  <c r="L355" i="22"/>
  <c r="Q354" i="22"/>
  <c r="N354" i="22"/>
  <c r="M354" i="22"/>
  <c r="S354" i="22"/>
  <c r="R354" i="22"/>
  <c r="P354" i="22"/>
  <c r="AB355" i="22"/>
  <c r="W355" i="22"/>
  <c r="Z355" i="22"/>
  <c r="U356" i="22"/>
  <c r="AA355" i="22"/>
  <c r="X355" i="22"/>
  <c r="V355" i="22"/>
  <c r="Y355" i="22"/>
  <c r="AD355" i="22"/>
  <c r="M223" i="7"/>
  <c r="N223" i="7"/>
  <c r="O223" i="7"/>
  <c r="P223" i="7"/>
  <c r="H223" i="7"/>
  <c r="I223" i="7"/>
  <c r="Y224" i="7"/>
  <c r="X224" i="7"/>
  <c r="AB224" i="7"/>
  <c r="AA224" i="7"/>
  <c r="V224" i="7"/>
  <c r="U225" i="7"/>
  <c r="Z224" i="7"/>
  <c r="W224" i="7"/>
  <c r="J223" i="7"/>
  <c r="D224" i="7"/>
  <c r="E224" i="7"/>
  <c r="G225" i="7"/>
  <c r="F224" i="7"/>
  <c r="AM356" i="22" l="1"/>
  <c r="AT355" i="22"/>
  <c r="AS355" i="22"/>
  <c r="AR355" i="22"/>
  <c r="AQ355" i="22"/>
  <c r="AP355" i="22"/>
  <c r="AO355" i="22"/>
  <c r="AN355" i="22"/>
  <c r="AD356" i="23"/>
  <c r="AK355" i="23"/>
  <c r="AJ355" i="23"/>
  <c r="AI355" i="23"/>
  <c r="AH355" i="23"/>
  <c r="AG355" i="23"/>
  <c r="AF355" i="23"/>
  <c r="AE355" i="23"/>
  <c r="AQ355" i="23"/>
  <c r="AO355" i="23"/>
  <c r="AT355" i="23"/>
  <c r="AP355" i="23"/>
  <c r="AM356" i="23"/>
  <c r="AS355" i="23"/>
  <c r="AR355" i="23"/>
  <c r="AN355" i="23"/>
  <c r="AD352" i="7"/>
  <c r="AH351" i="7"/>
  <c r="AE351" i="7"/>
  <c r="AF351" i="7"/>
  <c r="AG351" i="7"/>
  <c r="AI351" i="7"/>
  <c r="AJ351" i="7"/>
  <c r="AK351" i="7"/>
  <c r="AK355" i="22"/>
  <c r="AJ355" i="22"/>
  <c r="AI355" i="22"/>
  <c r="AG355" i="22"/>
  <c r="AF355" i="22"/>
  <c r="AE355" i="22"/>
  <c r="AH355" i="22"/>
  <c r="AP350" i="7"/>
  <c r="AM351" i="7"/>
  <c r="AT350" i="7"/>
  <c r="AS350" i="7"/>
  <c r="AR350" i="7"/>
  <c r="AQ350" i="7"/>
  <c r="AO350" i="7"/>
  <c r="AN350" i="7"/>
  <c r="J354" i="23"/>
  <c r="H354" i="23"/>
  <c r="C355" i="23"/>
  <c r="E354" i="23"/>
  <c r="I354" i="23"/>
  <c r="F354" i="23"/>
  <c r="D354" i="23"/>
  <c r="G354" i="23"/>
  <c r="F355" i="22"/>
  <c r="C356" i="22"/>
  <c r="J355" i="22"/>
  <c r="E355" i="22"/>
  <c r="D355" i="22"/>
  <c r="I355" i="22"/>
  <c r="H355" i="22"/>
  <c r="G355" i="22"/>
  <c r="R223" i="7"/>
  <c r="S223" i="7"/>
  <c r="O357" i="23"/>
  <c r="N357" i="23"/>
  <c r="M357" i="23"/>
  <c r="S357" i="23"/>
  <c r="R357" i="23"/>
  <c r="Q357" i="23"/>
  <c r="L358" i="23"/>
  <c r="P357" i="23"/>
  <c r="X355" i="23"/>
  <c r="W355" i="23"/>
  <c r="V355" i="23"/>
  <c r="AB355" i="23"/>
  <c r="AA355" i="23"/>
  <c r="Z355" i="23"/>
  <c r="U356" i="23"/>
  <c r="Y355" i="23"/>
  <c r="AD356" i="22"/>
  <c r="S355" i="22"/>
  <c r="N355" i="22"/>
  <c r="L356" i="22"/>
  <c r="M355" i="22"/>
  <c r="O355" i="22"/>
  <c r="R355" i="22"/>
  <c r="Q355" i="22"/>
  <c r="P355" i="22"/>
  <c r="AB356" i="22"/>
  <c r="AA356" i="22"/>
  <c r="X356" i="22"/>
  <c r="U357" i="22"/>
  <c r="W356" i="22"/>
  <c r="V356" i="22"/>
  <c r="Z356" i="22"/>
  <c r="Y356" i="22"/>
  <c r="Q223" i="7"/>
  <c r="H224" i="7"/>
  <c r="M224" i="7"/>
  <c r="P224" i="7"/>
  <c r="O224" i="7"/>
  <c r="N224" i="7"/>
  <c r="I224" i="7"/>
  <c r="J224" i="7"/>
  <c r="G226" i="7"/>
  <c r="D225" i="7"/>
  <c r="F225" i="7"/>
  <c r="E225" i="7"/>
  <c r="Y225" i="7"/>
  <c r="Z225" i="7"/>
  <c r="U226" i="7"/>
  <c r="AB225" i="7"/>
  <c r="W225" i="7"/>
  <c r="X225" i="7"/>
  <c r="AA225" i="7"/>
  <c r="V225" i="7"/>
  <c r="AM357" i="22" l="1"/>
  <c r="AT356" i="22"/>
  <c r="AS356" i="22"/>
  <c r="AR356" i="22"/>
  <c r="AQ356" i="22"/>
  <c r="AP356" i="22"/>
  <c r="AO356" i="22"/>
  <c r="AN356" i="22"/>
  <c r="AD357" i="23"/>
  <c r="AK356" i="23"/>
  <c r="AJ356" i="23"/>
  <c r="AI356" i="23"/>
  <c r="AH356" i="23"/>
  <c r="AG356" i="23"/>
  <c r="AF356" i="23"/>
  <c r="AE356" i="23"/>
  <c r="AS356" i="23"/>
  <c r="AP356" i="23"/>
  <c r="AQ356" i="23"/>
  <c r="AN356" i="23"/>
  <c r="AT356" i="23"/>
  <c r="AO356" i="23"/>
  <c r="AM357" i="23"/>
  <c r="AR356" i="23"/>
  <c r="AD353" i="7"/>
  <c r="AH352" i="7"/>
  <c r="AE352" i="7"/>
  <c r="AF352" i="7"/>
  <c r="AG352" i="7"/>
  <c r="AI352" i="7"/>
  <c r="AJ352" i="7"/>
  <c r="AK352" i="7"/>
  <c r="AK356" i="22"/>
  <c r="AJ356" i="22"/>
  <c r="AI356" i="22"/>
  <c r="AG356" i="22"/>
  <c r="AF356" i="22"/>
  <c r="AE356" i="22"/>
  <c r="AH356" i="22"/>
  <c r="AN351" i="7"/>
  <c r="AM352" i="7"/>
  <c r="AT351" i="7"/>
  <c r="AS351" i="7"/>
  <c r="AR351" i="7"/>
  <c r="AQ351" i="7"/>
  <c r="AP351" i="7"/>
  <c r="AO351" i="7"/>
  <c r="J355" i="23"/>
  <c r="I355" i="23"/>
  <c r="H355" i="23"/>
  <c r="C356" i="23"/>
  <c r="F355" i="23"/>
  <c r="D355" i="23"/>
  <c r="E355" i="23"/>
  <c r="G355" i="23"/>
  <c r="I356" i="22"/>
  <c r="D356" i="22"/>
  <c r="J356" i="22"/>
  <c r="C357" i="22"/>
  <c r="F356" i="22"/>
  <c r="E356" i="22"/>
  <c r="H356" i="22"/>
  <c r="G356" i="22"/>
  <c r="R224" i="7"/>
  <c r="Q224" i="7"/>
  <c r="H225" i="7"/>
  <c r="S358" i="23"/>
  <c r="Q358" i="23"/>
  <c r="L359" i="23"/>
  <c r="N358" i="23"/>
  <c r="R358" i="23"/>
  <c r="O358" i="23"/>
  <c r="M358" i="23"/>
  <c r="P358" i="23"/>
  <c r="AB356" i="23"/>
  <c r="Z356" i="23"/>
  <c r="U357" i="23"/>
  <c r="W356" i="23"/>
  <c r="AA356" i="23"/>
  <c r="X356" i="23"/>
  <c r="V356" i="23"/>
  <c r="Y356" i="23"/>
  <c r="X357" i="22"/>
  <c r="AA357" i="22"/>
  <c r="W357" i="22"/>
  <c r="AB357" i="22"/>
  <c r="U358" i="22"/>
  <c r="Z357" i="22"/>
  <c r="V357" i="22"/>
  <c r="Y357" i="22"/>
  <c r="AD357" i="22"/>
  <c r="O356" i="22"/>
  <c r="M356" i="22"/>
  <c r="S356" i="22"/>
  <c r="N356" i="22"/>
  <c r="R356" i="22"/>
  <c r="L357" i="22"/>
  <c r="Q356" i="22"/>
  <c r="P356" i="22"/>
  <c r="S224" i="7"/>
  <c r="M225" i="7"/>
  <c r="N225" i="7"/>
  <c r="R225" i="7" s="1"/>
  <c r="O225" i="7"/>
  <c r="P225" i="7"/>
  <c r="I225" i="7"/>
  <c r="J225" i="7"/>
  <c r="Y226" i="7"/>
  <c r="Z226" i="7"/>
  <c r="AA226" i="7"/>
  <c r="V226" i="7"/>
  <c r="W226" i="7"/>
  <c r="AB226" i="7"/>
  <c r="X226" i="7"/>
  <c r="U227" i="7"/>
  <c r="G227" i="7"/>
  <c r="E226" i="7"/>
  <c r="F226" i="7"/>
  <c r="D226" i="7"/>
  <c r="AM358" i="22" l="1"/>
  <c r="AT357" i="22"/>
  <c r="AS357" i="22"/>
  <c r="AR357" i="22"/>
  <c r="AQ357" i="22"/>
  <c r="AP357" i="22"/>
  <c r="AO357" i="22"/>
  <c r="AN357" i="22"/>
  <c r="AD358" i="23"/>
  <c r="AK357" i="23"/>
  <c r="AJ357" i="23"/>
  <c r="AI357" i="23"/>
  <c r="AH357" i="23"/>
  <c r="AG357" i="23"/>
  <c r="AF357" i="23"/>
  <c r="AE357" i="23"/>
  <c r="AN357" i="23"/>
  <c r="AR357" i="23"/>
  <c r="AO357" i="23"/>
  <c r="AM358" i="23"/>
  <c r="AP357" i="23"/>
  <c r="AT357" i="23"/>
  <c r="AQ357" i="23"/>
  <c r="AS357" i="23"/>
  <c r="AD354" i="7"/>
  <c r="AH353" i="7"/>
  <c r="AE353" i="7"/>
  <c r="AF353" i="7"/>
  <c r="AG353" i="7"/>
  <c r="AI353" i="7"/>
  <c r="AJ353" i="7"/>
  <c r="AK353" i="7"/>
  <c r="AK357" i="22"/>
  <c r="AJ357" i="22"/>
  <c r="AI357" i="22"/>
  <c r="AG357" i="22"/>
  <c r="AF357" i="22"/>
  <c r="AE357" i="22"/>
  <c r="AH357" i="22"/>
  <c r="AM353" i="7"/>
  <c r="AT352" i="7"/>
  <c r="AR352" i="7"/>
  <c r="AN352" i="7"/>
  <c r="AS352" i="7"/>
  <c r="AQ352" i="7"/>
  <c r="AP352" i="7"/>
  <c r="AO352" i="7"/>
  <c r="S225" i="7"/>
  <c r="F356" i="23"/>
  <c r="E356" i="23"/>
  <c r="D356" i="23"/>
  <c r="J356" i="23"/>
  <c r="I356" i="23"/>
  <c r="H356" i="23"/>
  <c r="C357" i="23"/>
  <c r="G356" i="23"/>
  <c r="J357" i="22"/>
  <c r="H357" i="22"/>
  <c r="I357" i="22"/>
  <c r="D357" i="22"/>
  <c r="E357" i="22"/>
  <c r="F357" i="22"/>
  <c r="C358" i="22"/>
  <c r="G357" i="22"/>
  <c r="Q225" i="7"/>
  <c r="AB357" i="23"/>
  <c r="AA357" i="23"/>
  <c r="Z357" i="23"/>
  <c r="U358" i="23"/>
  <c r="X357" i="23"/>
  <c r="V357" i="23"/>
  <c r="W357" i="23"/>
  <c r="Y357" i="23"/>
  <c r="S359" i="23"/>
  <c r="R359" i="23"/>
  <c r="Q359" i="23"/>
  <c r="L360" i="23"/>
  <c r="O359" i="23"/>
  <c r="M359" i="23"/>
  <c r="N359" i="23"/>
  <c r="P359" i="23"/>
  <c r="AD358" i="22"/>
  <c r="L358" i="22"/>
  <c r="M357" i="22"/>
  <c r="S357" i="22"/>
  <c r="O357" i="22"/>
  <c r="N357" i="22"/>
  <c r="R357" i="22"/>
  <c r="Q357" i="22"/>
  <c r="P357" i="22"/>
  <c r="Z358" i="22"/>
  <c r="W358" i="22"/>
  <c r="U359" i="22"/>
  <c r="X358" i="22"/>
  <c r="V358" i="22"/>
  <c r="AB358" i="22"/>
  <c r="AA358" i="22"/>
  <c r="Y358" i="22"/>
  <c r="O226" i="7"/>
  <c r="N226" i="7"/>
  <c r="M226" i="7"/>
  <c r="P226" i="7"/>
  <c r="J226" i="7"/>
  <c r="I226" i="7"/>
  <c r="D227" i="7"/>
  <c r="G228" i="7"/>
  <c r="E227" i="7"/>
  <c r="F227" i="7"/>
  <c r="Y227" i="7"/>
  <c r="V227" i="7"/>
  <c r="W227" i="7"/>
  <c r="AA227" i="7"/>
  <c r="X227" i="7"/>
  <c r="Z227" i="7"/>
  <c r="U228" i="7"/>
  <c r="AB227" i="7"/>
  <c r="H226" i="7"/>
  <c r="AS358" i="22" l="1"/>
  <c r="AT358" i="22"/>
  <c r="AR358" i="22"/>
  <c r="AQ358" i="22"/>
  <c r="AP358" i="22"/>
  <c r="AO358" i="22"/>
  <c r="AN358" i="22"/>
  <c r="AM359" i="22"/>
  <c r="AF358" i="23"/>
  <c r="AD359" i="23"/>
  <c r="AK358" i="23"/>
  <c r="AJ358" i="23"/>
  <c r="AI358" i="23"/>
  <c r="AG358" i="23"/>
  <c r="AE358" i="23"/>
  <c r="AH358" i="23"/>
  <c r="AQ358" i="23"/>
  <c r="AT358" i="23"/>
  <c r="AR358" i="23"/>
  <c r="AP358" i="23"/>
  <c r="AN358" i="23"/>
  <c r="AO358" i="23"/>
  <c r="AM359" i="23"/>
  <c r="AS358" i="23"/>
  <c r="AD355" i="7"/>
  <c r="AH354" i="7"/>
  <c r="AE354" i="7"/>
  <c r="AF354" i="7"/>
  <c r="AG354" i="7"/>
  <c r="AI354" i="7"/>
  <c r="AJ354" i="7"/>
  <c r="AK354" i="7"/>
  <c r="AK358" i="22"/>
  <c r="AJ358" i="22"/>
  <c r="AI358" i="22"/>
  <c r="AG358" i="22"/>
  <c r="AF358" i="22"/>
  <c r="AE358" i="22"/>
  <c r="AH358" i="22"/>
  <c r="AM354" i="7"/>
  <c r="AT353" i="7"/>
  <c r="AS353" i="7"/>
  <c r="AR353" i="7"/>
  <c r="AQ353" i="7"/>
  <c r="AP353" i="7"/>
  <c r="AO353" i="7"/>
  <c r="AN353" i="7"/>
  <c r="J357" i="23"/>
  <c r="H357" i="23"/>
  <c r="C358" i="23"/>
  <c r="E357" i="23"/>
  <c r="I357" i="23"/>
  <c r="F357" i="23"/>
  <c r="D357" i="23"/>
  <c r="G357" i="23"/>
  <c r="F358" i="22"/>
  <c r="H358" i="22"/>
  <c r="C359" i="22"/>
  <c r="J358" i="22"/>
  <c r="I358" i="22"/>
  <c r="E358" i="22"/>
  <c r="D358" i="22"/>
  <c r="G358" i="22"/>
  <c r="S226" i="7"/>
  <c r="Q226" i="7"/>
  <c r="R226" i="7"/>
  <c r="J227" i="7"/>
  <c r="X358" i="23"/>
  <c r="W358" i="23"/>
  <c r="V358" i="23"/>
  <c r="AB358" i="23"/>
  <c r="AA358" i="23"/>
  <c r="Z358" i="23"/>
  <c r="U359" i="23"/>
  <c r="Y358" i="23"/>
  <c r="O360" i="23"/>
  <c r="N360" i="23"/>
  <c r="M360" i="23"/>
  <c r="S360" i="23"/>
  <c r="R360" i="23"/>
  <c r="Q360" i="23"/>
  <c r="L361" i="23"/>
  <c r="P360" i="23"/>
  <c r="AB359" i="22"/>
  <c r="U360" i="22"/>
  <c r="V359" i="22"/>
  <c r="Z359" i="22"/>
  <c r="AA359" i="22"/>
  <c r="X359" i="22"/>
  <c r="W359" i="22"/>
  <c r="Y359" i="22"/>
  <c r="AD359" i="22"/>
  <c r="S358" i="22"/>
  <c r="Q358" i="22"/>
  <c r="M358" i="22"/>
  <c r="R358" i="22"/>
  <c r="O358" i="22"/>
  <c r="N358" i="22"/>
  <c r="L359" i="22"/>
  <c r="P358" i="22"/>
  <c r="O227" i="7"/>
  <c r="N227" i="7"/>
  <c r="M227" i="7"/>
  <c r="P227" i="7"/>
  <c r="H227" i="7"/>
  <c r="I227" i="7"/>
  <c r="G229" i="7"/>
  <c r="D228" i="7"/>
  <c r="E228" i="7"/>
  <c r="F228" i="7"/>
  <c r="Y228" i="7"/>
  <c r="X228" i="7"/>
  <c r="W228" i="7"/>
  <c r="U229" i="7"/>
  <c r="Z228" i="7"/>
  <c r="AB228" i="7"/>
  <c r="AA228" i="7"/>
  <c r="V228" i="7"/>
  <c r="AT359" i="22" l="1"/>
  <c r="AS359" i="22"/>
  <c r="AR359" i="22"/>
  <c r="AM360" i="22"/>
  <c r="AP359" i="22"/>
  <c r="AN359" i="22"/>
  <c r="AO359" i="22"/>
  <c r="AQ359" i="22"/>
  <c r="AH359" i="23"/>
  <c r="AE359" i="23"/>
  <c r="AK359" i="23"/>
  <c r="AI359" i="23"/>
  <c r="AG359" i="23"/>
  <c r="AF359" i="23"/>
  <c r="AD360" i="23"/>
  <c r="AJ359" i="23"/>
  <c r="AP359" i="23"/>
  <c r="AT359" i="23"/>
  <c r="AR359" i="23"/>
  <c r="AM360" i="23"/>
  <c r="AQ359" i="23"/>
  <c r="AN359" i="23"/>
  <c r="AO359" i="23"/>
  <c r="AS359" i="23"/>
  <c r="AD356" i="7"/>
  <c r="AH355" i="7"/>
  <c r="AE355" i="7"/>
  <c r="AF355" i="7"/>
  <c r="AG355" i="7"/>
  <c r="AI355" i="7"/>
  <c r="AJ355" i="7"/>
  <c r="AK355" i="7"/>
  <c r="AK359" i="22"/>
  <c r="AJ359" i="22"/>
  <c r="AI359" i="22"/>
  <c r="AG359" i="22"/>
  <c r="AF359" i="22"/>
  <c r="AE359" i="22"/>
  <c r="AH359" i="22"/>
  <c r="AT354" i="7"/>
  <c r="AR354" i="7"/>
  <c r="AQ354" i="7"/>
  <c r="AP354" i="7"/>
  <c r="AN354" i="7"/>
  <c r="AM355" i="7"/>
  <c r="AS354" i="7"/>
  <c r="AO354" i="7"/>
  <c r="J358" i="23"/>
  <c r="I358" i="23"/>
  <c r="H358" i="23"/>
  <c r="C359" i="23"/>
  <c r="F358" i="23"/>
  <c r="D358" i="23"/>
  <c r="E358" i="23"/>
  <c r="G358" i="23"/>
  <c r="J359" i="22"/>
  <c r="H359" i="22"/>
  <c r="E359" i="22"/>
  <c r="D359" i="22"/>
  <c r="I359" i="22"/>
  <c r="C360" i="22"/>
  <c r="F359" i="22"/>
  <c r="G359" i="22"/>
  <c r="R227" i="7"/>
  <c r="Q227" i="7"/>
  <c r="S227" i="7"/>
  <c r="S361" i="23"/>
  <c r="Q361" i="23"/>
  <c r="L362" i="23"/>
  <c r="N361" i="23"/>
  <c r="R361" i="23"/>
  <c r="O361" i="23"/>
  <c r="M361" i="23"/>
  <c r="P361" i="23"/>
  <c r="AB359" i="23"/>
  <c r="Z359" i="23"/>
  <c r="U360" i="23"/>
  <c r="W359" i="23"/>
  <c r="AA359" i="23"/>
  <c r="X359" i="23"/>
  <c r="V359" i="23"/>
  <c r="Y359" i="23"/>
  <c r="AD360" i="22"/>
  <c r="X360" i="22"/>
  <c r="U361" i="22"/>
  <c r="AB360" i="22"/>
  <c r="AA360" i="22"/>
  <c r="Z360" i="22"/>
  <c r="W360" i="22"/>
  <c r="V360" i="22"/>
  <c r="Y360" i="22"/>
  <c r="O359" i="22"/>
  <c r="L360" i="22"/>
  <c r="S359" i="22"/>
  <c r="Q359" i="22"/>
  <c r="N359" i="22"/>
  <c r="R359" i="22"/>
  <c r="M359" i="22"/>
  <c r="P359" i="22"/>
  <c r="P228" i="7"/>
  <c r="M228" i="7"/>
  <c r="N228" i="7"/>
  <c r="O228" i="7"/>
  <c r="I228" i="7"/>
  <c r="H228" i="7"/>
  <c r="J228" i="7"/>
  <c r="Y229" i="7"/>
  <c r="AA229" i="7"/>
  <c r="V229" i="7"/>
  <c r="U230" i="7"/>
  <c r="W229" i="7"/>
  <c r="X229" i="7"/>
  <c r="Z229" i="7"/>
  <c r="AB229" i="7"/>
  <c r="G230" i="7"/>
  <c r="E229" i="7"/>
  <c r="D229" i="7"/>
  <c r="F229" i="7"/>
  <c r="AM361" i="22" l="1"/>
  <c r="AT360" i="22"/>
  <c r="AS360" i="22"/>
  <c r="AR360" i="22"/>
  <c r="AP360" i="22"/>
  <c r="AQ360" i="22"/>
  <c r="AO360" i="22"/>
  <c r="AN360" i="22"/>
  <c r="AI360" i="23"/>
  <c r="AK360" i="23"/>
  <c r="AG360" i="23"/>
  <c r="AF360" i="23"/>
  <c r="AE360" i="23"/>
  <c r="AD361" i="23"/>
  <c r="AJ360" i="23"/>
  <c r="AH360" i="23"/>
  <c r="AQ360" i="23"/>
  <c r="AN360" i="23"/>
  <c r="AP360" i="23"/>
  <c r="AT360" i="23"/>
  <c r="AR360" i="23"/>
  <c r="AO360" i="23"/>
  <c r="AM361" i="23"/>
  <c r="AS360" i="23"/>
  <c r="AD357" i="7"/>
  <c r="AH356" i="7"/>
  <c r="AE356" i="7"/>
  <c r="AF356" i="7"/>
  <c r="AG356" i="7"/>
  <c r="AI356" i="7"/>
  <c r="AJ356" i="7"/>
  <c r="AK356" i="7"/>
  <c r="AK360" i="22"/>
  <c r="AJ360" i="22"/>
  <c r="AI360" i="22"/>
  <c r="AG360" i="22"/>
  <c r="AF360" i="22"/>
  <c r="AE360" i="22"/>
  <c r="AH360" i="22"/>
  <c r="AM356" i="7"/>
  <c r="AS355" i="7"/>
  <c r="AN355" i="7"/>
  <c r="AR355" i="7"/>
  <c r="AO355" i="7"/>
  <c r="AT355" i="7"/>
  <c r="AQ355" i="7"/>
  <c r="AP355" i="7"/>
  <c r="F359" i="23"/>
  <c r="E359" i="23"/>
  <c r="D359" i="23"/>
  <c r="J359" i="23"/>
  <c r="I359" i="23"/>
  <c r="H359" i="23"/>
  <c r="C360" i="23"/>
  <c r="G359" i="23"/>
  <c r="J360" i="22"/>
  <c r="I360" i="22"/>
  <c r="F360" i="22"/>
  <c r="E360" i="22"/>
  <c r="D360" i="22"/>
  <c r="C361" i="22"/>
  <c r="H360" i="22"/>
  <c r="G360" i="22"/>
  <c r="Q228" i="7"/>
  <c r="R228" i="7"/>
  <c r="AB360" i="23"/>
  <c r="AA360" i="23"/>
  <c r="Z360" i="23"/>
  <c r="U361" i="23"/>
  <c r="X360" i="23"/>
  <c r="V360" i="23"/>
  <c r="W360" i="23"/>
  <c r="Y360" i="23"/>
  <c r="S362" i="23"/>
  <c r="R362" i="23"/>
  <c r="Q362" i="23"/>
  <c r="L363" i="23"/>
  <c r="O362" i="23"/>
  <c r="M362" i="23"/>
  <c r="N362" i="23"/>
  <c r="P362" i="23"/>
  <c r="AD361" i="22"/>
  <c r="X361" i="22"/>
  <c r="U362" i="22"/>
  <c r="V361" i="22"/>
  <c r="AA361" i="22"/>
  <c r="Z361" i="22"/>
  <c r="W361" i="22"/>
  <c r="AB361" i="22"/>
  <c r="Y361" i="22"/>
  <c r="L361" i="22"/>
  <c r="N360" i="22"/>
  <c r="R360" i="22"/>
  <c r="Q360" i="22"/>
  <c r="M360" i="22"/>
  <c r="S360" i="22"/>
  <c r="O360" i="22"/>
  <c r="P360" i="22"/>
  <c r="S228" i="7"/>
  <c r="H229" i="7"/>
  <c r="M229" i="7"/>
  <c r="N229" i="7"/>
  <c r="P229" i="7"/>
  <c r="O229" i="7"/>
  <c r="I229" i="7"/>
  <c r="J229" i="7"/>
  <c r="Y230" i="7"/>
  <c r="AB230" i="7"/>
  <c r="V230" i="7"/>
  <c r="X230" i="7"/>
  <c r="U231" i="7"/>
  <c r="W230" i="7"/>
  <c r="Z230" i="7"/>
  <c r="AA230" i="7"/>
  <c r="D230" i="7"/>
  <c r="G231" i="7"/>
  <c r="E230" i="7"/>
  <c r="F230" i="7"/>
  <c r="AM362" i="22" l="1"/>
  <c r="AT361" i="22"/>
  <c r="AS361" i="22"/>
  <c r="AR361" i="22"/>
  <c r="AQ361" i="22"/>
  <c r="AP361" i="22"/>
  <c r="AO361" i="22"/>
  <c r="AN361" i="22"/>
  <c r="AJ361" i="23"/>
  <c r="AH361" i="23"/>
  <c r="AD362" i="23"/>
  <c r="AG361" i="23"/>
  <c r="AE361" i="23"/>
  <c r="AK361" i="23"/>
  <c r="AI361" i="23"/>
  <c r="AF361" i="23"/>
  <c r="AR361" i="23"/>
  <c r="AQ361" i="23"/>
  <c r="AM362" i="23"/>
  <c r="AS361" i="23"/>
  <c r="AP361" i="23"/>
  <c r="AN361" i="23"/>
  <c r="AT361" i="23"/>
  <c r="AO361" i="23"/>
  <c r="AD358" i="7"/>
  <c r="AH357" i="7"/>
  <c r="AE357" i="7"/>
  <c r="AF357" i="7"/>
  <c r="AG357" i="7"/>
  <c r="AI357" i="7"/>
  <c r="AJ357" i="7"/>
  <c r="AK357" i="7"/>
  <c r="AK361" i="22"/>
  <c r="AJ361" i="22"/>
  <c r="AI361" i="22"/>
  <c r="AG361" i="22"/>
  <c r="AF361" i="22"/>
  <c r="AE361" i="22"/>
  <c r="AH361" i="22"/>
  <c r="AR356" i="7"/>
  <c r="AQ356" i="7"/>
  <c r="AN356" i="7"/>
  <c r="AO356" i="7"/>
  <c r="AS356" i="7"/>
  <c r="AM357" i="7"/>
  <c r="AT356" i="7"/>
  <c r="AP356" i="7"/>
  <c r="J360" i="23"/>
  <c r="H360" i="23"/>
  <c r="C361" i="23"/>
  <c r="E360" i="23"/>
  <c r="F360" i="23"/>
  <c r="D360" i="23"/>
  <c r="I360" i="23"/>
  <c r="G360" i="23"/>
  <c r="F361" i="22"/>
  <c r="I361" i="22"/>
  <c r="E361" i="22"/>
  <c r="C362" i="22"/>
  <c r="J361" i="22"/>
  <c r="H361" i="22"/>
  <c r="D361" i="22"/>
  <c r="G361" i="22"/>
  <c r="R229" i="7"/>
  <c r="S229" i="7"/>
  <c r="O363" i="23"/>
  <c r="N363" i="23"/>
  <c r="M363" i="23"/>
  <c r="S363" i="23"/>
  <c r="R363" i="23"/>
  <c r="Q363" i="23"/>
  <c r="L364" i="23"/>
  <c r="P363" i="23"/>
  <c r="X361" i="23"/>
  <c r="W361" i="23"/>
  <c r="V361" i="23"/>
  <c r="AB361" i="23"/>
  <c r="AA361" i="23"/>
  <c r="Z361" i="23"/>
  <c r="U362" i="23"/>
  <c r="Y361" i="23"/>
  <c r="AD362" i="22"/>
  <c r="AB362" i="22"/>
  <c r="W362" i="22"/>
  <c r="U363" i="22"/>
  <c r="Z362" i="22"/>
  <c r="V362" i="22"/>
  <c r="AA362" i="22"/>
  <c r="X362" i="22"/>
  <c r="Y362" i="22"/>
  <c r="S361" i="22"/>
  <c r="Q361" i="22"/>
  <c r="R361" i="22"/>
  <c r="O361" i="22"/>
  <c r="N361" i="22"/>
  <c r="L362" i="22"/>
  <c r="M361" i="22"/>
  <c r="P361" i="22"/>
  <c r="Q229" i="7"/>
  <c r="M230" i="7"/>
  <c r="P230" i="7"/>
  <c r="N230" i="7"/>
  <c r="O230" i="7"/>
  <c r="J230" i="7"/>
  <c r="I230" i="7"/>
  <c r="H230" i="7"/>
  <c r="G232" i="7"/>
  <c r="D231" i="7"/>
  <c r="E231" i="7"/>
  <c r="F231" i="7"/>
  <c r="Y231" i="7"/>
  <c r="AB231" i="7"/>
  <c r="U232" i="7"/>
  <c r="AA231" i="7"/>
  <c r="X231" i="7"/>
  <c r="Z231" i="7"/>
  <c r="V231" i="7"/>
  <c r="W231" i="7"/>
  <c r="AM363" i="22" l="1"/>
  <c r="AT362" i="22"/>
  <c r="AS362" i="22"/>
  <c r="AR362" i="22"/>
  <c r="AQ362" i="22"/>
  <c r="AP362" i="22"/>
  <c r="AO362" i="22"/>
  <c r="AN362" i="22"/>
  <c r="AD363" i="23"/>
  <c r="AK362" i="23"/>
  <c r="AJ362" i="23"/>
  <c r="AI362" i="23"/>
  <c r="AH362" i="23"/>
  <c r="AG362" i="23"/>
  <c r="AF362" i="23"/>
  <c r="AE362" i="23"/>
  <c r="AT362" i="23"/>
  <c r="AP362" i="23"/>
  <c r="AM363" i="23"/>
  <c r="AO362" i="23"/>
  <c r="AR362" i="23"/>
  <c r="AN362" i="23"/>
  <c r="AQ362" i="23"/>
  <c r="AS362" i="23"/>
  <c r="AD359" i="7"/>
  <c r="AH358" i="7"/>
  <c r="AE358" i="7"/>
  <c r="AF358" i="7"/>
  <c r="AG358" i="7"/>
  <c r="AI358" i="7"/>
  <c r="AJ358" i="7"/>
  <c r="AK358" i="7"/>
  <c r="AK362" i="22"/>
  <c r="AJ362" i="22"/>
  <c r="AI362" i="22"/>
  <c r="AG362" i="22"/>
  <c r="AF362" i="22"/>
  <c r="AE362" i="22"/>
  <c r="AH362" i="22"/>
  <c r="AM358" i="7"/>
  <c r="AT357" i="7"/>
  <c r="AR357" i="7"/>
  <c r="AO357" i="7"/>
  <c r="AQ357" i="7"/>
  <c r="AP357" i="7"/>
  <c r="AN357" i="7"/>
  <c r="AS357" i="7"/>
  <c r="J361" i="23"/>
  <c r="I361" i="23"/>
  <c r="H361" i="23"/>
  <c r="C362" i="23"/>
  <c r="F361" i="23"/>
  <c r="D361" i="23"/>
  <c r="E361" i="23"/>
  <c r="G361" i="23"/>
  <c r="H362" i="22"/>
  <c r="E362" i="22"/>
  <c r="C363" i="22"/>
  <c r="I362" i="22"/>
  <c r="J362" i="22"/>
  <c r="F362" i="22"/>
  <c r="D362" i="22"/>
  <c r="G362" i="22"/>
  <c r="S230" i="7"/>
  <c r="R230" i="7"/>
  <c r="AB362" i="23"/>
  <c r="Z362" i="23"/>
  <c r="U363" i="23"/>
  <c r="W362" i="23"/>
  <c r="AA362" i="23"/>
  <c r="X362" i="23"/>
  <c r="V362" i="23"/>
  <c r="Y362" i="23"/>
  <c r="S364" i="23"/>
  <c r="Q364" i="23"/>
  <c r="L365" i="23"/>
  <c r="N364" i="23"/>
  <c r="R364" i="23"/>
  <c r="O364" i="23"/>
  <c r="M364" i="23"/>
  <c r="P364" i="23"/>
  <c r="AD363" i="22"/>
  <c r="X363" i="22"/>
  <c r="V363" i="22"/>
  <c r="W363" i="22"/>
  <c r="AB363" i="22"/>
  <c r="AA363" i="22"/>
  <c r="U364" i="22"/>
  <c r="Z363" i="22"/>
  <c r="Y363" i="22"/>
  <c r="O362" i="22"/>
  <c r="S362" i="22"/>
  <c r="N362" i="22"/>
  <c r="M362" i="22"/>
  <c r="L363" i="22"/>
  <c r="Q362" i="22"/>
  <c r="R362" i="22"/>
  <c r="P362" i="22"/>
  <c r="Q230" i="7"/>
  <c r="O231" i="7"/>
  <c r="N231" i="7"/>
  <c r="P231" i="7"/>
  <c r="M231" i="7"/>
  <c r="H231" i="7"/>
  <c r="I231" i="7"/>
  <c r="J231" i="7"/>
  <c r="Y232" i="7"/>
  <c r="AB232" i="7"/>
  <c r="W232" i="7"/>
  <c r="AA232" i="7"/>
  <c r="U233" i="7"/>
  <c r="Z232" i="7"/>
  <c r="X232" i="7"/>
  <c r="V232" i="7"/>
  <c r="G233" i="7"/>
  <c r="E232" i="7"/>
  <c r="D232" i="7"/>
  <c r="F232" i="7"/>
  <c r="AM364" i="22" l="1"/>
  <c r="AQ363" i="22"/>
  <c r="AN363" i="22"/>
  <c r="AT363" i="22"/>
  <c r="AS363" i="22"/>
  <c r="AR363" i="22"/>
  <c r="AP363" i="22"/>
  <c r="AO363" i="22"/>
  <c r="AH363" i="23"/>
  <c r="AF363" i="23"/>
  <c r="AD364" i="23"/>
  <c r="AK363" i="23"/>
  <c r="AJ363" i="23"/>
  <c r="AI363" i="23"/>
  <c r="AG363" i="23"/>
  <c r="AE363" i="23"/>
  <c r="AR363" i="23"/>
  <c r="AN363" i="23"/>
  <c r="AS363" i="23"/>
  <c r="AQ363" i="23"/>
  <c r="AO363" i="23"/>
  <c r="AM364" i="23"/>
  <c r="AP363" i="23"/>
  <c r="AT363" i="23"/>
  <c r="AD360" i="7"/>
  <c r="AH359" i="7"/>
  <c r="AE359" i="7"/>
  <c r="AF359" i="7"/>
  <c r="AG359" i="7"/>
  <c r="AI359" i="7"/>
  <c r="AJ359" i="7"/>
  <c r="AK359" i="7"/>
  <c r="AK363" i="22"/>
  <c r="AJ363" i="22"/>
  <c r="AI363" i="22"/>
  <c r="AG363" i="22"/>
  <c r="AF363" i="22"/>
  <c r="AE363" i="22"/>
  <c r="AH363" i="22"/>
  <c r="AT358" i="7"/>
  <c r="AR358" i="7"/>
  <c r="AN358" i="7"/>
  <c r="AS358" i="7"/>
  <c r="AO358" i="7"/>
  <c r="AQ358" i="7"/>
  <c r="AM359" i="7"/>
  <c r="AP358" i="7"/>
  <c r="D362" i="23"/>
  <c r="J362" i="23"/>
  <c r="I362" i="23"/>
  <c r="H362" i="23"/>
  <c r="C363" i="23"/>
  <c r="G362" i="23"/>
  <c r="D363" i="22"/>
  <c r="C364" i="22"/>
  <c r="E363" i="22"/>
  <c r="F362" i="23"/>
  <c r="E362" i="23"/>
  <c r="J363" i="22"/>
  <c r="I363" i="22"/>
  <c r="H363" i="22"/>
  <c r="F363" i="22"/>
  <c r="G363" i="22"/>
  <c r="Q231" i="7"/>
  <c r="S231" i="7"/>
  <c r="R231" i="7"/>
  <c r="S365" i="23"/>
  <c r="R365" i="23"/>
  <c r="Q365" i="23"/>
  <c r="L366" i="23"/>
  <c r="O365" i="23"/>
  <c r="M365" i="23"/>
  <c r="N365" i="23"/>
  <c r="P365" i="23"/>
  <c r="AB363" i="23"/>
  <c r="AA363" i="23"/>
  <c r="Z363" i="23"/>
  <c r="U364" i="23"/>
  <c r="X363" i="23"/>
  <c r="V363" i="23"/>
  <c r="W363" i="23"/>
  <c r="Y363" i="23"/>
  <c r="AD364" i="22"/>
  <c r="U365" i="22"/>
  <c r="V364" i="22"/>
  <c r="AB364" i="22"/>
  <c r="AA364" i="22"/>
  <c r="Z364" i="22"/>
  <c r="X364" i="22"/>
  <c r="W364" i="22"/>
  <c r="Y364" i="22"/>
  <c r="R363" i="22"/>
  <c r="L364" i="22"/>
  <c r="Q363" i="22"/>
  <c r="O363" i="22"/>
  <c r="N363" i="22"/>
  <c r="M363" i="22"/>
  <c r="S363" i="22"/>
  <c r="P363" i="22"/>
  <c r="H232" i="7"/>
  <c r="N232" i="7"/>
  <c r="M232" i="7"/>
  <c r="P232" i="7"/>
  <c r="O232" i="7"/>
  <c r="I232" i="7"/>
  <c r="G234" i="7"/>
  <c r="D233" i="7"/>
  <c r="E233" i="7"/>
  <c r="F233" i="7"/>
  <c r="Y233" i="7"/>
  <c r="V233" i="7"/>
  <c r="W233" i="7"/>
  <c r="AA233" i="7"/>
  <c r="Z233" i="7"/>
  <c r="U234" i="7"/>
  <c r="AB233" i="7"/>
  <c r="X233" i="7"/>
  <c r="J232" i="7"/>
  <c r="AM365" i="22" l="1"/>
  <c r="AT364" i="22"/>
  <c r="AS364" i="22"/>
  <c r="AR364" i="22"/>
  <c r="AQ364" i="22"/>
  <c r="AP364" i="22"/>
  <c r="AO364" i="22"/>
  <c r="AN364" i="22"/>
  <c r="AK364" i="23"/>
  <c r="AF364" i="23"/>
  <c r="AD365" i="23"/>
  <c r="AJ364" i="23"/>
  <c r="AI364" i="23"/>
  <c r="AH364" i="23"/>
  <c r="AG364" i="23"/>
  <c r="AE364" i="23"/>
  <c r="AS364" i="23"/>
  <c r="AR364" i="23"/>
  <c r="AN364" i="23"/>
  <c r="AT364" i="23"/>
  <c r="AP364" i="23"/>
  <c r="AM365" i="23"/>
  <c r="AQ364" i="23"/>
  <c r="AO364" i="23"/>
  <c r="AD361" i="7"/>
  <c r="AH360" i="7"/>
  <c r="AE360" i="7"/>
  <c r="AF360" i="7"/>
  <c r="AG360" i="7"/>
  <c r="AI360" i="7"/>
  <c r="AJ360" i="7"/>
  <c r="AK360" i="7"/>
  <c r="AK364" i="22"/>
  <c r="AJ364" i="22"/>
  <c r="AI364" i="22"/>
  <c r="AG364" i="22"/>
  <c r="AF364" i="22"/>
  <c r="AE364" i="22"/>
  <c r="AH364" i="22"/>
  <c r="AS359" i="7"/>
  <c r="AR359" i="7"/>
  <c r="AP359" i="7"/>
  <c r="AM360" i="7"/>
  <c r="AQ359" i="7"/>
  <c r="AN359" i="7"/>
  <c r="AT359" i="7"/>
  <c r="AO359" i="7"/>
  <c r="J363" i="23"/>
  <c r="H363" i="23"/>
  <c r="C364" i="23"/>
  <c r="E363" i="23"/>
  <c r="D363" i="23"/>
  <c r="I363" i="23"/>
  <c r="F363" i="23"/>
  <c r="G363" i="23"/>
  <c r="F364" i="22"/>
  <c r="C365" i="22"/>
  <c r="H364" i="22"/>
  <c r="I364" i="22"/>
  <c r="E364" i="22"/>
  <c r="J364" i="22"/>
  <c r="D364" i="22"/>
  <c r="G364" i="22"/>
  <c r="S232" i="7"/>
  <c r="R232" i="7"/>
  <c r="J233" i="7"/>
  <c r="I233" i="7"/>
  <c r="O366" i="23"/>
  <c r="N366" i="23"/>
  <c r="M366" i="23"/>
  <c r="S366" i="23"/>
  <c r="R366" i="23"/>
  <c r="Q366" i="23"/>
  <c r="L367" i="23"/>
  <c r="P366" i="23"/>
  <c r="X364" i="23"/>
  <c r="W364" i="23"/>
  <c r="V364" i="23"/>
  <c r="AB364" i="23"/>
  <c r="AA364" i="23"/>
  <c r="Z364" i="23"/>
  <c r="U365" i="23"/>
  <c r="Y364" i="23"/>
  <c r="S364" i="22"/>
  <c r="Q364" i="22"/>
  <c r="M364" i="22"/>
  <c r="N364" i="22"/>
  <c r="L365" i="22"/>
  <c r="O364" i="22"/>
  <c r="R364" i="22"/>
  <c r="P364" i="22"/>
  <c r="AB365" i="22"/>
  <c r="V365" i="22"/>
  <c r="U366" i="22"/>
  <c r="X365" i="22"/>
  <c r="W365" i="22"/>
  <c r="Z365" i="22"/>
  <c r="AA365" i="22"/>
  <c r="Y365" i="22"/>
  <c r="AD365" i="22"/>
  <c r="Q232" i="7"/>
  <c r="M233" i="7"/>
  <c r="P233" i="7"/>
  <c r="O233" i="7"/>
  <c r="N233" i="7"/>
  <c r="H233" i="7"/>
  <c r="Y234" i="7"/>
  <c r="AB234" i="7"/>
  <c r="X234" i="7"/>
  <c r="AA234" i="7"/>
  <c r="W234" i="7"/>
  <c r="U235" i="7"/>
  <c r="V234" i="7"/>
  <c r="Z234" i="7"/>
  <c r="G235" i="7"/>
  <c r="D234" i="7"/>
  <c r="E234" i="7"/>
  <c r="F234" i="7"/>
  <c r="AM366" i="22" l="1"/>
  <c r="AT365" i="22"/>
  <c r="AS365" i="22"/>
  <c r="AR365" i="22"/>
  <c r="AQ365" i="22"/>
  <c r="AP365" i="22"/>
  <c r="AO365" i="22"/>
  <c r="AN365" i="22"/>
  <c r="AD366" i="23"/>
  <c r="AK365" i="23"/>
  <c r="AJ365" i="23"/>
  <c r="AI365" i="23"/>
  <c r="AH365" i="23"/>
  <c r="AG365" i="23"/>
  <c r="AF365" i="23"/>
  <c r="AE365" i="23"/>
  <c r="AT365" i="23"/>
  <c r="AP365" i="23"/>
  <c r="AM366" i="23"/>
  <c r="AN365" i="23"/>
  <c r="AR365" i="23"/>
  <c r="AO365" i="23"/>
  <c r="AS365" i="23"/>
  <c r="AQ365" i="23"/>
  <c r="AD362" i="7"/>
  <c r="AH361" i="7"/>
  <c r="AE361" i="7"/>
  <c r="AF361" i="7"/>
  <c r="AG361" i="7"/>
  <c r="AI361" i="7"/>
  <c r="AJ361" i="7"/>
  <c r="AK361" i="7"/>
  <c r="AK365" i="22"/>
  <c r="AJ365" i="22"/>
  <c r="AI365" i="22"/>
  <c r="AG365" i="22"/>
  <c r="AF365" i="22"/>
  <c r="AE365" i="22"/>
  <c r="AH365" i="22"/>
  <c r="AQ360" i="7"/>
  <c r="AR360" i="7"/>
  <c r="AN360" i="7"/>
  <c r="AM361" i="7"/>
  <c r="AS360" i="7"/>
  <c r="AP360" i="7"/>
  <c r="AT360" i="7"/>
  <c r="AO360" i="7"/>
  <c r="I364" i="23"/>
  <c r="D364" i="23"/>
  <c r="G364" i="23"/>
  <c r="J364" i="23"/>
  <c r="H364" i="23"/>
  <c r="E364" i="23"/>
  <c r="C365" i="23"/>
  <c r="F365" i="23" s="1"/>
  <c r="F364" i="23"/>
  <c r="G365" i="22"/>
  <c r="C366" i="22"/>
  <c r="H365" i="22"/>
  <c r="D365" i="22"/>
  <c r="I365" i="22"/>
  <c r="F365" i="22"/>
  <c r="E365" i="22"/>
  <c r="J365" i="22"/>
  <c r="R233" i="7"/>
  <c r="S233" i="7"/>
  <c r="Q233" i="7"/>
  <c r="S367" i="23"/>
  <c r="Q367" i="23"/>
  <c r="L368" i="23"/>
  <c r="N367" i="23"/>
  <c r="O367" i="23"/>
  <c r="M367" i="23"/>
  <c r="R367" i="23"/>
  <c r="P367" i="23"/>
  <c r="AB365" i="23"/>
  <c r="Z365" i="23"/>
  <c r="U366" i="23"/>
  <c r="W365" i="23"/>
  <c r="AA365" i="23"/>
  <c r="X365" i="23"/>
  <c r="V365" i="23"/>
  <c r="Y365" i="23"/>
  <c r="O365" i="22"/>
  <c r="Q365" i="22"/>
  <c r="L366" i="22"/>
  <c r="S365" i="22"/>
  <c r="N365" i="22"/>
  <c r="M365" i="22"/>
  <c r="R365" i="22"/>
  <c r="P365" i="22"/>
  <c r="AD366" i="22"/>
  <c r="X366" i="22"/>
  <c r="U367" i="22"/>
  <c r="AB366" i="22"/>
  <c r="AA366" i="22"/>
  <c r="W366" i="22"/>
  <c r="V366" i="22"/>
  <c r="Z366" i="22"/>
  <c r="Y366" i="22"/>
  <c r="M234" i="7"/>
  <c r="P234" i="7"/>
  <c r="N234" i="7"/>
  <c r="O234" i="7"/>
  <c r="I234" i="7"/>
  <c r="J234" i="7"/>
  <c r="H234" i="7"/>
  <c r="G236" i="7"/>
  <c r="E235" i="7"/>
  <c r="D235" i="7"/>
  <c r="F235" i="7"/>
  <c r="Y235" i="7"/>
  <c r="AA235" i="7"/>
  <c r="U236" i="7"/>
  <c r="Z235" i="7"/>
  <c r="X235" i="7"/>
  <c r="V235" i="7"/>
  <c r="W235" i="7"/>
  <c r="AB235" i="7"/>
  <c r="AM367" i="22" l="1"/>
  <c r="AT366" i="22"/>
  <c r="AS366" i="22"/>
  <c r="AR366" i="22"/>
  <c r="AQ366" i="22"/>
  <c r="AP366" i="22"/>
  <c r="AO366" i="22"/>
  <c r="AN366" i="22"/>
  <c r="AD367" i="23"/>
  <c r="AK366" i="23"/>
  <c r="AJ366" i="23"/>
  <c r="AI366" i="23"/>
  <c r="AH366" i="23"/>
  <c r="AG366" i="23"/>
  <c r="AF366" i="23"/>
  <c r="AE366" i="23"/>
  <c r="AQ366" i="23"/>
  <c r="AN366" i="23"/>
  <c r="AM367" i="23"/>
  <c r="AT366" i="23"/>
  <c r="AS366" i="23"/>
  <c r="AR366" i="23"/>
  <c r="AP366" i="23"/>
  <c r="AO366" i="23"/>
  <c r="AD363" i="7"/>
  <c r="AH362" i="7"/>
  <c r="AE362" i="7"/>
  <c r="AF362" i="7"/>
  <c r="AG362" i="7"/>
  <c r="AI362" i="7"/>
  <c r="AJ362" i="7"/>
  <c r="AK362" i="7"/>
  <c r="AK366" i="22"/>
  <c r="AJ366" i="22"/>
  <c r="AI366" i="22"/>
  <c r="AG366" i="22"/>
  <c r="AF366" i="22"/>
  <c r="AE366" i="22"/>
  <c r="AH366" i="22"/>
  <c r="AQ361" i="7"/>
  <c r="AP361" i="7"/>
  <c r="AN361" i="7"/>
  <c r="AM362" i="7"/>
  <c r="AT361" i="7"/>
  <c r="AS361" i="7"/>
  <c r="AR361" i="7"/>
  <c r="AO361" i="7"/>
  <c r="E365" i="23"/>
  <c r="D365" i="23"/>
  <c r="J365" i="23"/>
  <c r="I365" i="23"/>
  <c r="H365" i="23"/>
  <c r="C366" i="23"/>
  <c r="G365" i="23"/>
  <c r="F366" i="22"/>
  <c r="G366" i="22"/>
  <c r="J366" i="22"/>
  <c r="E366" i="22"/>
  <c r="I366" i="22"/>
  <c r="C367" i="22"/>
  <c r="D366" i="22"/>
  <c r="H366" i="22"/>
  <c r="Q234" i="7"/>
  <c r="R234" i="7"/>
  <c r="S234" i="7"/>
  <c r="AB366" i="23"/>
  <c r="AA366" i="23"/>
  <c r="Z366" i="23"/>
  <c r="U367" i="23"/>
  <c r="X366" i="23"/>
  <c r="V366" i="23"/>
  <c r="W366" i="23"/>
  <c r="Y366" i="23"/>
  <c r="S368" i="23"/>
  <c r="R368" i="23"/>
  <c r="Q368" i="23"/>
  <c r="L369" i="23"/>
  <c r="O368" i="23"/>
  <c r="M368" i="23"/>
  <c r="N368" i="23"/>
  <c r="P368" i="23"/>
  <c r="S366" i="22"/>
  <c r="Q366" i="22"/>
  <c r="R366" i="22"/>
  <c r="L367" i="22"/>
  <c r="M366" i="22"/>
  <c r="O366" i="22"/>
  <c r="N366" i="22"/>
  <c r="P366" i="22"/>
  <c r="AD367" i="22"/>
  <c r="U368" i="22"/>
  <c r="V367" i="22"/>
  <c r="AA367" i="22"/>
  <c r="Z367" i="22"/>
  <c r="X367" i="22"/>
  <c r="W367" i="22"/>
  <c r="AB367" i="22"/>
  <c r="Y367" i="22"/>
  <c r="M235" i="7"/>
  <c r="N235" i="7"/>
  <c r="O235" i="7"/>
  <c r="P235" i="7"/>
  <c r="J235" i="7"/>
  <c r="I235" i="7"/>
  <c r="H235" i="7"/>
  <c r="G237" i="7"/>
  <c r="E236" i="7"/>
  <c r="F236" i="7"/>
  <c r="D236" i="7"/>
  <c r="Y236" i="7"/>
  <c r="Z236" i="7"/>
  <c r="W236" i="7"/>
  <c r="AB236" i="7"/>
  <c r="AA236" i="7"/>
  <c r="X236" i="7"/>
  <c r="V236" i="7"/>
  <c r="U237" i="7"/>
  <c r="AM368" i="22" l="1"/>
  <c r="AT367" i="22"/>
  <c r="AS367" i="22"/>
  <c r="AR367" i="22"/>
  <c r="AQ367" i="22"/>
  <c r="AP367" i="22"/>
  <c r="AO367" i="22"/>
  <c r="AN367" i="22"/>
  <c r="AD368" i="23"/>
  <c r="AK367" i="23"/>
  <c r="AJ367" i="23"/>
  <c r="AI367" i="23"/>
  <c r="AH367" i="23"/>
  <c r="AG367" i="23"/>
  <c r="AF367" i="23"/>
  <c r="AE367" i="23"/>
  <c r="AN367" i="23"/>
  <c r="AT367" i="23"/>
  <c r="AS367" i="23"/>
  <c r="AQ367" i="23"/>
  <c r="AM368" i="23"/>
  <c r="AR367" i="23"/>
  <c r="AP367" i="23"/>
  <c r="AO367" i="23"/>
  <c r="AD364" i="7"/>
  <c r="AH363" i="7"/>
  <c r="AE363" i="7"/>
  <c r="AF363" i="7"/>
  <c r="AG363" i="7"/>
  <c r="AI363" i="7"/>
  <c r="AJ363" i="7"/>
  <c r="AK363" i="7"/>
  <c r="AK367" i="22"/>
  <c r="AJ367" i="22"/>
  <c r="AI367" i="22"/>
  <c r="AG367" i="22"/>
  <c r="AF367" i="22"/>
  <c r="AE367" i="22"/>
  <c r="AH367" i="22"/>
  <c r="AT362" i="7"/>
  <c r="AO362" i="7"/>
  <c r="AR362" i="7"/>
  <c r="AM363" i="7"/>
  <c r="AS362" i="7"/>
  <c r="AQ362" i="7"/>
  <c r="AP362" i="7"/>
  <c r="AN362" i="7"/>
  <c r="J366" i="23"/>
  <c r="H366" i="23"/>
  <c r="C367" i="23"/>
  <c r="E366" i="23"/>
  <c r="F366" i="23"/>
  <c r="D366" i="23"/>
  <c r="G366" i="23"/>
  <c r="I366" i="23"/>
  <c r="D367" i="22"/>
  <c r="C368" i="22"/>
  <c r="J367" i="22"/>
  <c r="G367" i="22"/>
  <c r="F367" i="22"/>
  <c r="E367" i="22"/>
  <c r="H367" i="22"/>
  <c r="I367" i="22"/>
  <c r="Q235" i="7"/>
  <c r="R235" i="7"/>
  <c r="O369" i="23"/>
  <c r="N369" i="23"/>
  <c r="M369" i="23"/>
  <c r="S369" i="23"/>
  <c r="R369" i="23"/>
  <c r="Q369" i="23"/>
  <c r="L370" i="23"/>
  <c r="P369" i="23"/>
  <c r="X367" i="23"/>
  <c r="W367" i="23"/>
  <c r="V367" i="23"/>
  <c r="AB367" i="23"/>
  <c r="AA367" i="23"/>
  <c r="Z367" i="23"/>
  <c r="U368" i="23"/>
  <c r="Y367" i="23"/>
  <c r="S367" i="22"/>
  <c r="R367" i="22"/>
  <c r="O367" i="22"/>
  <c r="Q367" i="22"/>
  <c r="M367" i="22"/>
  <c r="L368" i="22"/>
  <c r="N367" i="22"/>
  <c r="P367" i="22"/>
  <c r="AD368" i="22"/>
  <c r="AB368" i="22"/>
  <c r="Z368" i="22"/>
  <c r="V368" i="22"/>
  <c r="AA368" i="22"/>
  <c r="W368" i="22"/>
  <c r="U369" i="22"/>
  <c r="X368" i="22"/>
  <c r="Y368" i="22"/>
  <c r="H236" i="7"/>
  <c r="S235" i="7"/>
  <c r="N236" i="7"/>
  <c r="M236" i="7"/>
  <c r="P236" i="7"/>
  <c r="O236" i="7"/>
  <c r="J236" i="7"/>
  <c r="I236" i="7"/>
  <c r="Y237" i="7"/>
  <c r="AA237" i="7"/>
  <c r="Z237" i="7"/>
  <c r="V237" i="7"/>
  <c r="U238" i="7"/>
  <c r="X237" i="7"/>
  <c r="AB237" i="7"/>
  <c r="W237" i="7"/>
  <c r="D237" i="7"/>
  <c r="E237" i="7"/>
  <c r="F237" i="7"/>
  <c r="G238" i="7"/>
  <c r="AM369" i="22" l="1"/>
  <c r="AT368" i="22"/>
  <c r="AS368" i="22"/>
  <c r="AR368" i="22"/>
  <c r="AQ368" i="22"/>
  <c r="AP368" i="22"/>
  <c r="AO368" i="22"/>
  <c r="AN368" i="22"/>
  <c r="AD369" i="23"/>
  <c r="AK368" i="23"/>
  <c r="AJ368" i="23"/>
  <c r="AI368" i="23"/>
  <c r="AH368" i="23"/>
  <c r="AG368" i="23"/>
  <c r="AF368" i="23"/>
  <c r="AE368" i="23"/>
  <c r="AT368" i="23"/>
  <c r="AQ368" i="23"/>
  <c r="AM369" i="23"/>
  <c r="AR368" i="23"/>
  <c r="AO368" i="23"/>
  <c r="AN368" i="23"/>
  <c r="AS368" i="23"/>
  <c r="AP368" i="23"/>
  <c r="AD365" i="7"/>
  <c r="AH364" i="7"/>
  <c r="AE364" i="7"/>
  <c r="AF364" i="7"/>
  <c r="AG364" i="7"/>
  <c r="AI364" i="7"/>
  <c r="AJ364" i="7"/>
  <c r="AK364" i="7"/>
  <c r="AK368" i="22"/>
  <c r="AJ368" i="22"/>
  <c r="AI368" i="22"/>
  <c r="AG368" i="22"/>
  <c r="AF368" i="22"/>
  <c r="AE368" i="22"/>
  <c r="AH368" i="22"/>
  <c r="AM364" i="7"/>
  <c r="AS363" i="7"/>
  <c r="AR363" i="7"/>
  <c r="AO363" i="7"/>
  <c r="AN363" i="7"/>
  <c r="AT363" i="7"/>
  <c r="AP363" i="7"/>
  <c r="AQ363" i="7"/>
  <c r="J367" i="23"/>
  <c r="I367" i="23"/>
  <c r="H367" i="23"/>
  <c r="C368" i="23"/>
  <c r="F367" i="23"/>
  <c r="D367" i="23"/>
  <c r="E367" i="23"/>
  <c r="G367" i="23"/>
  <c r="E368" i="22"/>
  <c r="J368" i="22"/>
  <c r="F368" i="22"/>
  <c r="G368" i="22"/>
  <c r="C369" i="22"/>
  <c r="D368" i="22"/>
  <c r="I368" i="22"/>
  <c r="H368" i="22"/>
  <c r="Q236" i="7"/>
  <c r="R236" i="7"/>
  <c r="H237" i="7"/>
  <c r="AB368" i="23"/>
  <c r="Z368" i="23"/>
  <c r="U369" i="23"/>
  <c r="W368" i="23"/>
  <c r="AA368" i="23"/>
  <c r="X368" i="23"/>
  <c r="V368" i="23"/>
  <c r="Y368" i="23"/>
  <c r="S370" i="23"/>
  <c r="Q370" i="23"/>
  <c r="L371" i="23"/>
  <c r="D72" i="28" s="1"/>
  <c r="N370" i="23"/>
  <c r="M370" i="23"/>
  <c r="R370" i="23"/>
  <c r="O370" i="23"/>
  <c r="P370" i="23"/>
  <c r="AD369" i="22"/>
  <c r="X369" i="22"/>
  <c r="AB369" i="22"/>
  <c r="W369" i="22"/>
  <c r="Z369" i="22"/>
  <c r="V369" i="22"/>
  <c r="AA369" i="22"/>
  <c r="U370" i="22"/>
  <c r="Y369" i="22"/>
  <c r="O368" i="22"/>
  <c r="R368" i="22"/>
  <c r="N368" i="22"/>
  <c r="L369" i="22"/>
  <c r="S368" i="22"/>
  <c r="Q368" i="22"/>
  <c r="M368" i="22"/>
  <c r="P368" i="22"/>
  <c r="S236" i="7"/>
  <c r="M237" i="7"/>
  <c r="N237" i="7"/>
  <c r="P237" i="7"/>
  <c r="O237" i="7"/>
  <c r="I237" i="7"/>
  <c r="J237" i="7"/>
  <c r="G239" i="7"/>
  <c r="E238" i="7"/>
  <c r="D238" i="7"/>
  <c r="F238" i="7"/>
  <c r="Y238" i="7"/>
  <c r="AA238" i="7"/>
  <c r="U239" i="7"/>
  <c r="W238" i="7"/>
  <c r="X238" i="7"/>
  <c r="Z238" i="7"/>
  <c r="V238" i="7"/>
  <c r="AB238" i="7"/>
  <c r="AQ369" i="22" l="1"/>
  <c r="AN369" i="22"/>
  <c r="AM370" i="22"/>
  <c r="AT369" i="22"/>
  <c r="AS369" i="22"/>
  <c r="AR369" i="22"/>
  <c r="AP369" i="22"/>
  <c r="AO369" i="22"/>
  <c r="AK369" i="23"/>
  <c r="AI369" i="23"/>
  <c r="AG369" i="23"/>
  <c r="AD370" i="23"/>
  <c r="AJ369" i="23"/>
  <c r="AH369" i="23"/>
  <c r="AF369" i="23"/>
  <c r="AE369" i="23"/>
  <c r="AP369" i="23"/>
  <c r="AM370" i="23"/>
  <c r="AQ369" i="23"/>
  <c r="AS369" i="23"/>
  <c r="AN369" i="23"/>
  <c r="AT369" i="23"/>
  <c r="AR369" i="23"/>
  <c r="AO369" i="23"/>
  <c r="AD366" i="7"/>
  <c r="AH365" i="7"/>
  <c r="AE365" i="7"/>
  <c r="AF365" i="7"/>
  <c r="AG365" i="7"/>
  <c r="AI365" i="7"/>
  <c r="AJ365" i="7"/>
  <c r="AK365" i="7"/>
  <c r="AK369" i="22"/>
  <c r="AJ369" i="22"/>
  <c r="AI369" i="22"/>
  <c r="AG369" i="22"/>
  <c r="AF369" i="22"/>
  <c r="AE369" i="22"/>
  <c r="AH369" i="22"/>
  <c r="AQ364" i="7"/>
  <c r="AM365" i="7"/>
  <c r="AS364" i="7"/>
  <c r="AP364" i="7"/>
  <c r="AO364" i="7"/>
  <c r="AR364" i="7"/>
  <c r="AT364" i="7"/>
  <c r="AN364" i="7"/>
  <c r="I368" i="23"/>
  <c r="F368" i="23"/>
  <c r="E368" i="23"/>
  <c r="D368" i="23"/>
  <c r="J368" i="23"/>
  <c r="H368" i="23"/>
  <c r="C369" i="23"/>
  <c r="G368" i="23"/>
  <c r="J369" i="22"/>
  <c r="H369" i="22"/>
  <c r="G369" i="22"/>
  <c r="C370" i="22"/>
  <c r="D369" i="22"/>
  <c r="F369" i="22"/>
  <c r="E369" i="22"/>
  <c r="I369" i="22"/>
  <c r="S237" i="7"/>
  <c r="R237" i="7"/>
  <c r="H238" i="7"/>
  <c r="S371" i="23"/>
  <c r="R371" i="23"/>
  <c r="Q371" i="23"/>
  <c r="O371" i="23"/>
  <c r="M371" i="23"/>
  <c r="N371" i="23"/>
  <c r="P371" i="23"/>
  <c r="AB369" i="23"/>
  <c r="AA369" i="23"/>
  <c r="Z369" i="23"/>
  <c r="U370" i="23"/>
  <c r="X369" i="23"/>
  <c r="V369" i="23"/>
  <c r="W369" i="23"/>
  <c r="Y369" i="23"/>
  <c r="AA370" i="22"/>
  <c r="AB370" i="22"/>
  <c r="X370" i="22"/>
  <c r="W370" i="22"/>
  <c r="Z370" i="22"/>
  <c r="U371" i="22"/>
  <c r="V370" i="22"/>
  <c r="Y370" i="22"/>
  <c r="Q369" i="22"/>
  <c r="N369" i="22"/>
  <c r="R369" i="22"/>
  <c r="O369" i="22"/>
  <c r="M369" i="22"/>
  <c r="L370" i="22"/>
  <c r="S369" i="22"/>
  <c r="P369" i="22"/>
  <c r="AD370" i="22"/>
  <c r="Q237" i="7"/>
  <c r="O238" i="7"/>
  <c r="N238" i="7"/>
  <c r="P238" i="7"/>
  <c r="M238" i="7"/>
  <c r="I238" i="7"/>
  <c r="J238" i="7"/>
  <c r="Y239" i="7"/>
  <c r="Z239" i="7"/>
  <c r="AA239" i="7"/>
  <c r="AB239" i="7"/>
  <c r="U240" i="7"/>
  <c r="X239" i="7"/>
  <c r="W239" i="7"/>
  <c r="V239" i="7"/>
  <c r="G240" i="7"/>
  <c r="D239" i="7"/>
  <c r="E239" i="7"/>
  <c r="F239" i="7"/>
  <c r="AM371" i="22" l="1"/>
  <c r="AT370" i="22"/>
  <c r="AS370" i="22"/>
  <c r="AR370" i="22"/>
  <c r="AQ370" i="22"/>
  <c r="AP370" i="22"/>
  <c r="AO370" i="22"/>
  <c r="AN370" i="22"/>
  <c r="AD371" i="23"/>
  <c r="AK370" i="23"/>
  <c r="AJ370" i="23"/>
  <c r="AI370" i="23"/>
  <c r="AH370" i="23"/>
  <c r="AG370" i="23"/>
  <c r="AF370" i="23"/>
  <c r="AE370" i="23"/>
  <c r="AS370" i="23"/>
  <c r="AN370" i="23"/>
  <c r="AT370" i="23"/>
  <c r="AQ370" i="23"/>
  <c r="AM371" i="23"/>
  <c r="AP370" i="23"/>
  <c r="AO370" i="23"/>
  <c r="AR370" i="23"/>
  <c r="AD367" i="7"/>
  <c r="AH366" i="7"/>
  <c r="AE366" i="7"/>
  <c r="AF366" i="7"/>
  <c r="AG366" i="7"/>
  <c r="AI366" i="7"/>
  <c r="AJ366" i="7"/>
  <c r="AK366" i="7"/>
  <c r="AK370" i="22"/>
  <c r="AJ370" i="22"/>
  <c r="AI370" i="22"/>
  <c r="AG370" i="22"/>
  <c r="AF370" i="22"/>
  <c r="AE370" i="22"/>
  <c r="AH370" i="22"/>
  <c r="AQ365" i="7"/>
  <c r="AN365" i="7"/>
  <c r="AM366" i="7"/>
  <c r="AT365" i="7"/>
  <c r="AS365" i="7"/>
  <c r="AR365" i="7"/>
  <c r="AP365" i="7"/>
  <c r="AO365" i="7"/>
  <c r="J369" i="23"/>
  <c r="H369" i="23"/>
  <c r="C370" i="23"/>
  <c r="E369" i="23"/>
  <c r="I369" i="23"/>
  <c r="D369" i="23"/>
  <c r="F369" i="23"/>
  <c r="G369" i="23"/>
  <c r="F370" i="22"/>
  <c r="C371" i="22"/>
  <c r="I370" i="22"/>
  <c r="E370" i="22"/>
  <c r="G370" i="22"/>
  <c r="H370" i="22"/>
  <c r="J370" i="22"/>
  <c r="D370" i="22"/>
  <c r="H239" i="7"/>
  <c r="Q238" i="7"/>
  <c r="S238" i="7"/>
  <c r="X370" i="23"/>
  <c r="W370" i="23"/>
  <c r="V370" i="23"/>
  <c r="AB370" i="23"/>
  <c r="AA370" i="23"/>
  <c r="Z370" i="23"/>
  <c r="U371" i="23"/>
  <c r="Y370" i="23"/>
  <c r="S370" i="22"/>
  <c r="Q370" i="22"/>
  <c r="L371" i="22"/>
  <c r="D72" i="27" s="1"/>
  <c r="M370" i="22"/>
  <c r="O370" i="22"/>
  <c r="N370" i="22"/>
  <c r="R370" i="22"/>
  <c r="P370" i="22"/>
  <c r="AD371" i="22"/>
  <c r="AB371" i="22"/>
  <c r="Z371" i="22"/>
  <c r="X371" i="22"/>
  <c r="W371" i="22"/>
  <c r="AA371" i="22"/>
  <c r="V371" i="22"/>
  <c r="Y371" i="22"/>
  <c r="R238" i="7"/>
  <c r="O239" i="7"/>
  <c r="P239" i="7"/>
  <c r="M239" i="7"/>
  <c r="N239" i="7"/>
  <c r="I239" i="7"/>
  <c r="J239" i="7"/>
  <c r="D240" i="7"/>
  <c r="E240" i="7"/>
  <c r="F240" i="7"/>
  <c r="G241" i="7"/>
  <c r="Y240" i="7"/>
  <c r="W240" i="7"/>
  <c r="V240" i="7"/>
  <c r="X240" i="7"/>
  <c r="Z240" i="7"/>
  <c r="AB240" i="7"/>
  <c r="U241" i="7"/>
  <c r="AA240" i="7"/>
  <c r="AN371" i="22" l="1"/>
  <c r="AT371" i="22"/>
  <c r="AS371" i="22"/>
  <c r="AP371" i="22"/>
  <c r="AR371" i="22"/>
  <c r="AO371" i="22"/>
  <c r="AQ371" i="22"/>
  <c r="AK371" i="23"/>
  <c r="AJ371" i="23"/>
  <c r="AI371" i="23"/>
  <c r="AH371" i="23"/>
  <c r="AG371" i="23"/>
  <c r="AF371" i="23"/>
  <c r="AE371" i="23"/>
  <c r="AN371" i="23"/>
  <c r="AP371" i="23"/>
  <c r="AQ371" i="23"/>
  <c r="AR371" i="23"/>
  <c r="AO371" i="23"/>
  <c r="AS371" i="23"/>
  <c r="AT371" i="23"/>
  <c r="AD368" i="7"/>
  <c r="AH367" i="7"/>
  <c r="AE367" i="7"/>
  <c r="AF367" i="7"/>
  <c r="AG367" i="7"/>
  <c r="AI367" i="7"/>
  <c r="AJ367" i="7"/>
  <c r="AK367" i="7"/>
  <c r="AK371" i="22"/>
  <c r="AJ371" i="22"/>
  <c r="AI371" i="22"/>
  <c r="AG371" i="22"/>
  <c r="AF371" i="22"/>
  <c r="AE371" i="22"/>
  <c r="AH371" i="22"/>
  <c r="AS366" i="7"/>
  <c r="AP366" i="7"/>
  <c r="AT366" i="7"/>
  <c r="AO366" i="7"/>
  <c r="AQ366" i="7"/>
  <c r="AM367" i="7"/>
  <c r="AR366" i="7"/>
  <c r="AN366" i="7"/>
  <c r="J370" i="23"/>
  <c r="I370" i="23"/>
  <c r="H370" i="23"/>
  <c r="C371" i="23"/>
  <c r="F370" i="23"/>
  <c r="D370" i="23"/>
  <c r="E370" i="23"/>
  <c r="G370" i="23"/>
  <c r="F371" i="22"/>
  <c r="H371" i="22"/>
  <c r="E371" i="22"/>
  <c r="J371" i="22"/>
  <c r="D371" i="22"/>
  <c r="G371" i="22"/>
  <c r="I371" i="22"/>
  <c r="Q239" i="7"/>
  <c r="R239" i="7"/>
  <c r="S239" i="7"/>
  <c r="AB371" i="23"/>
  <c r="Z371" i="23"/>
  <c r="W371" i="23"/>
  <c r="AA371" i="23"/>
  <c r="X371" i="23"/>
  <c r="V371" i="23"/>
  <c r="Y371" i="23"/>
  <c r="O371" i="22"/>
  <c r="Q371" i="22"/>
  <c r="S371" i="22"/>
  <c r="M371" i="22"/>
  <c r="R371" i="22"/>
  <c r="N371" i="22"/>
  <c r="P371" i="22"/>
  <c r="O240" i="7"/>
  <c r="P240" i="7"/>
  <c r="M240" i="7"/>
  <c r="N240" i="7"/>
  <c r="I240" i="7"/>
  <c r="J240" i="7"/>
  <c r="H240" i="7"/>
  <c r="Y241" i="7"/>
  <c r="W241" i="7"/>
  <c r="X241" i="7"/>
  <c r="AA241" i="7"/>
  <c r="Z241" i="7"/>
  <c r="AB241" i="7"/>
  <c r="U242" i="7"/>
  <c r="V241" i="7"/>
  <c r="G242" i="7"/>
  <c r="E241" i="7"/>
  <c r="D241" i="7"/>
  <c r="F241" i="7"/>
  <c r="AF36" i="27" l="1"/>
  <c r="AF102" i="27" s="1"/>
  <c r="AJ36" i="27"/>
  <c r="AJ102" i="27" s="1"/>
  <c r="AM35" i="27"/>
  <c r="AL35" i="27"/>
  <c r="AE36" i="27"/>
  <c r="AE102" i="27" s="1"/>
  <c r="AC36" i="27"/>
  <c r="AC102" i="27" s="1"/>
  <c r="AH36" i="27"/>
  <c r="AH102" i="27" s="1"/>
  <c r="G36" i="27"/>
  <c r="G102" i="27" s="1"/>
  <c r="AD35" i="27"/>
  <c r="AH35" i="27"/>
  <c r="AI35" i="27"/>
  <c r="V35" i="27"/>
  <c r="U35" i="27"/>
  <c r="AK36" i="27"/>
  <c r="AK102" i="27" s="1"/>
  <c r="Z36" i="27"/>
  <c r="Z102" i="27" s="1"/>
  <c r="R35" i="27"/>
  <c r="AD36" i="27"/>
  <c r="AD102" i="27" s="1"/>
  <c r="M36" i="27"/>
  <c r="M102" i="27" s="1"/>
  <c r="K35" i="27"/>
  <c r="S35" i="27"/>
  <c r="Y36" i="27"/>
  <c r="Y102" i="27" s="1"/>
  <c r="I36" i="27"/>
  <c r="I102" i="27" s="1"/>
  <c r="L35" i="27"/>
  <c r="N35" i="27"/>
  <c r="AJ35" i="27"/>
  <c r="T35" i="27"/>
  <c r="AG36" i="27"/>
  <c r="AG102" i="27" s="1"/>
  <c r="H36" i="27"/>
  <c r="H102" i="27" s="1"/>
  <c r="W36" i="27"/>
  <c r="W102" i="27" s="1"/>
  <c r="AB36" i="27"/>
  <c r="AB102" i="27" s="1"/>
  <c r="W35" i="27"/>
  <c r="R36" i="27"/>
  <c r="R102" i="27" s="1"/>
  <c r="V36" i="27"/>
  <c r="V102" i="27" s="1"/>
  <c r="X35" i="27"/>
  <c r="X36" i="27"/>
  <c r="X102" i="27" s="1"/>
  <c r="J35" i="27"/>
  <c r="AG35" i="27"/>
  <c r="AM36" i="27"/>
  <c r="AM102" i="27" s="1"/>
  <c r="U36" i="27"/>
  <c r="U102" i="27" s="1"/>
  <c r="E36" i="27"/>
  <c r="E102" i="27" s="1"/>
  <c r="AF35" i="27"/>
  <c r="J36" i="27"/>
  <c r="J102" i="27" s="1"/>
  <c r="K36" i="27"/>
  <c r="K102" i="27" s="1"/>
  <c r="AE35" i="27"/>
  <c r="O35" i="27"/>
  <c r="Q36" i="27"/>
  <c r="Q102" i="27" s="1"/>
  <c r="E35" i="27"/>
  <c r="AI36" i="27"/>
  <c r="AI102" i="27" s="1"/>
  <c r="Y35" i="27"/>
  <c r="AC35" i="27"/>
  <c r="T36" i="27"/>
  <c r="T102" i="27" s="1"/>
  <c r="F35" i="27"/>
  <c r="N36" i="27"/>
  <c r="N102" i="27" s="1"/>
  <c r="AN36" i="27"/>
  <c r="AN102" i="27" s="1"/>
  <c r="AA36" i="27"/>
  <c r="AA102" i="27" s="1"/>
  <c r="S36" i="27"/>
  <c r="S102" i="27" s="1"/>
  <c r="AA35" i="27"/>
  <c r="Q35" i="27"/>
  <c r="G35" i="27"/>
  <c r="AB35" i="27"/>
  <c r="P35" i="27"/>
  <c r="Z35" i="27"/>
  <c r="AN35" i="27"/>
  <c r="AK35" i="27"/>
  <c r="M35" i="27"/>
  <c r="L36" i="27"/>
  <c r="L102" i="27" s="1"/>
  <c r="I35" i="27"/>
  <c r="P36" i="27"/>
  <c r="P102" i="27" s="1"/>
  <c r="H35" i="27"/>
  <c r="F36" i="27"/>
  <c r="F102" i="27" s="1"/>
  <c r="AL36" i="27"/>
  <c r="AL102" i="27" s="1"/>
  <c r="O36" i="27"/>
  <c r="O102" i="27" s="1"/>
  <c r="AD369" i="7"/>
  <c r="AH368" i="7"/>
  <c r="AE368" i="7"/>
  <c r="AF368" i="7"/>
  <c r="AG368" i="7"/>
  <c r="AI368" i="7"/>
  <c r="AJ368" i="7"/>
  <c r="AK368" i="7"/>
  <c r="AO367" i="7"/>
  <c r="AM368" i="7"/>
  <c r="AT367" i="7"/>
  <c r="AS367" i="7"/>
  <c r="AR367" i="7"/>
  <c r="AQ367" i="7"/>
  <c r="AP367" i="7"/>
  <c r="AN367" i="7"/>
  <c r="R240" i="7"/>
  <c r="F371" i="23"/>
  <c r="I371" i="23"/>
  <c r="G371" i="23"/>
  <c r="E371" i="23"/>
  <c r="J371" i="23"/>
  <c r="H371" i="23"/>
  <c r="D371" i="23"/>
  <c r="Q240" i="7"/>
  <c r="S240" i="7"/>
  <c r="O241" i="7"/>
  <c r="M241" i="7"/>
  <c r="N241" i="7"/>
  <c r="P241" i="7"/>
  <c r="I241" i="7"/>
  <c r="J241" i="7"/>
  <c r="H241" i="7"/>
  <c r="D242" i="7"/>
  <c r="E242" i="7"/>
  <c r="F242" i="7"/>
  <c r="G243" i="7"/>
  <c r="Y242" i="7"/>
  <c r="X242" i="7"/>
  <c r="Z242" i="7"/>
  <c r="AA242" i="7"/>
  <c r="AB242" i="7"/>
  <c r="W242" i="7"/>
  <c r="V242" i="7"/>
  <c r="U243" i="7"/>
  <c r="E35" i="28" l="1"/>
  <c r="G36" i="28"/>
  <c r="G102" i="28" s="1"/>
  <c r="H35" i="28"/>
  <c r="I35" i="28"/>
  <c r="G35" i="28"/>
  <c r="J36" i="28"/>
  <c r="J102" i="28" s="1"/>
  <c r="F35" i="28"/>
  <c r="J35" i="28"/>
  <c r="H36" i="28"/>
  <c r="H102" i="28" s="1"/>
  <c r="F36" i="28"/>
  <c r="F102" i="28" s="1"/>
  <c r="I36" i="28"/>
  <c r="I102" i="28" s="1"/>
  <c r="E36" i="28"/>
  <c r="E102" i="28" s="1"/>
  <c r="AH35" i="28"/>
  <c r="AG36" i="28"/>
  <c r="AG102" i="28" s="1"/>
  <c r="L35" i="28"/>
  <c r="X35" i="28"/>
  <c r="AG35" i="28"/>
  <c r="AM35" i="28"/>
  <c r="AE35" i="28"/>
  <c r="Z36" i="28"/>
  <c r="Z102" i="28" s="1"/>
  <c r="O36" i="28"/>
  <c r="O102" i="28" s="1"/>
  <c r="S35" i="28"/>
  <c r="K35" i="28"/>
  <c r="M36" i="28"/>
  <c r="M102" i="28" s="1"/>
  <c r="Z35" i="28"/>
  <c r="AF36" i="28"/>
  <c r="AF102" i="28" s="1"/>
  <c r="AN36" i="28"/>
  <c r="AN102" i="28" s="1"/>
  <c r="AN35" i="28"/>
  <c r="S36" i="28"/>
  <c r="S102" i="28" s="1"/>
  <c r="P36" i="28"/>
  <c r="P102" i="28" s="1"/>
  <c r="AC35" i="28"/>
  <c r="T35" i="28"/>
  <c r="AB35" i="28"/>
  <c r="AJ35" i="28"/>
  <c r="Y36" i="28"/>
  <c r="Y102" i="28" s="1"/>
  <c r="K36" i="28"/>
  <c r="K102" i="28" s="1"/>
  <c r="N36" i="28"/>
  <c r="N102" i="28" s="1"/>
  <c r="AK36" i="28"/>
  <c r="AK102" i="28" s="1"/>
  <c r="AH36" i="28"/>
  <c r="AH102" i="28" s="1"/>
  <c r="P35" i="28"/>
  <c r="AL36" i="28"/>
  <c r="AL102" i="28" s="1"/>
  <c r="AD36" i="28"/>
  <c r="AD102" i="28" s="1"/>
  <c r="AA35" i="28"/>
  <c r="V35" i="28"/>
  <c r="L36" i="28"/>
  <c r="L102" i="28" s="1"/>
  <c r="R36" i="28"/>
  <c r="R102" i="28" s="1"/>
  <c r="Y35" i="28"/>
  <c r="W35" i="28"/>
  <c r="AE36" i="28"/>
  <c r="AE102" i="28" s="1"/>
  <c r="N35" i="28"/>
  <c r="AK35" i="28"/>
  <c r="AB36" i="28"/>
  <c r="AB102" i="28" s="1"/>
  <c r="W36" i="28"/>
  <c r="W102" i="28" s="1"/>
  <c r="AJ36" i="28"/>
  <c r="AJ102" i="28" s="1"/>
  <c r="Q36" i="28"/>
  <c r="Q102" i="28" s="1"/>
  <c r="X36" i="28"/>
  <c r="X102" i="28" s="1"/>
  <c r="AC36" i="28"/>
  <c r="AC102" i="28" s="1"/>
  <c r="O35" i="28"/>
  <c r="AL35" i="28"/>
  <c r="Q35" i="28"/>
  <c r="U36" i="28"/>
  <c r="U102" i="28" s="1"/>
  <c r="M35" i="28"/>
  <c r="T36" i="28"/>
  <c r="T102" i="28" s="1"/>
  <c r="AD35" i="28"/>
  <c r="U35" i="28"/>
  <c r="R35" i="28"/>
  <c r="AI35" i="28"/>
  <c r="AF35" i="28"/>
  <c r="V36" i="28"/>
  <c r="V102" i="28" s="1"/>
  <c r="AI36" i="28"/>
  <c r="AI102" i="28" s="1"/>
  <c r="AM36" i="28"/>
  <c r="AM102" i="28" s="1"/>
  <c r="AA36" i="28"/>
  <c r="AA102" i="28" s="1"/>
  <c r="E90" i="27"/>
  <c r="E97" i="27" s="1"/>
  <c r="AM101" i="27"/>
  <c r="AM90" i="27"/>
  <c r="AM97" i="27" s="1"/>
  <c r="AL101" i="27"/>
  <c r="AL90" i="27"/>
  <c r="AL97" i="27" s="1"/>
  <c r="AD90" i="27"/>
  <c r="AD97" i="27" s="1"/>
  <c r="AD101" i="27"/>
  <c r="AH90" i="27"/>
  <c r="AH97" i="27" s="1"/>
  <c r="AH101" i="27"/>
  <c r="AI101" i="27"/>
  <c r="AI90" i="27"/>
  <c r="AI97" i="27" s="1"/>
  <c r="V90" i="27"/>
  <c r="V97" i="27" s="1"/>
  <c r="V101" i="27"/>
  <c r="U90" i="27"/>
  <c r="U97" i="27" s="1"/>
  <c r="U101" i="27"/>
  <c r="R101" i="27"/>
  <c r="R90" i="27"/>
  <c r="R97" i="27" s="1"/>
  <c r="K90" i="27"/>
  <c r="K97" i="27" s="1"/>
  <c r="K101" i="27"/>
  <c r="S90" i="27"/>
  <c r="S97" i="27" s="1"/>
  <c r="S101" i="27"/>
  <c r="L90" i="27"/>
  <c r="L97" i="27" s="1"/>
  <c r="L101" i="27"/>
  <c r="N90" i="27"/>
  <c r="N97" i="27" s="1"/>
  <c r="N101" i="27"/>
  <c r="AJ90" i="27"/>
  <c r="AJ97" i="27" s="1"/>
  <c r="AJ101" i="27"/>
  <c r="T90" i="27"/>
  <c r="T97" i="27" s="1"/>
  <c r="T101" i="27"/>
  <c r="W90" i="27"/>
  <c r="W97" i="27" s="1"/>
  <c r="W101" i="27"/>
  <c r="X90" i="27"/>
  <c r="X97" i="27" s="1"/>
  <c r="X101" i="27"/>
  <c r="J90" i="27"/>
  <c r="J97" i="27" s="1"/>
  <c r="J101" i="27"/>
  <c r="AG90" i="27"/>
  <c r="AG97" i="27" s="1"/>
  <c r="AG101" i="27"/>
  <c r="AF90" i="27"/>
  <c r="AF97" i="27" s="1"/>
  <c r="AF101" i="27"/>
  <c r="AE101" i="27"/>
  <c r="AE90" i="27"/>
  <c r="AE97" i="27" s="1"/>
  <c r="O90" i="27"/>
  <c r="O97" i="27" s="1"/>
  <c r="O101" i="27"/>
  <c r="E101" i="27"/>
  <c r="E103" i="27" s="1"/>
  <c r="Y90" i="27"/>
  <c r="Y97" i="27" s="1"/>
  <c r="Y101" i="27"/>
  <c r="AC90" i="27"/>
  <c r="AC97" i="27" s="1"/>
  <c r="AC101" i="27"/>
  <c r="F101" i="27"/>
  <c r="F90" i="27"/>
  <c r="F97" i="27" s="1"/>
  <c r="AA90" i="27"/>
  <c r="AA97" i="27" s="1"/>
  <c r="AA101" i="27"/>
  <c r="Q90" i="27"/>
  <c r="Q97" i="27" s="1"/>
  <c r="Q101" i="27"/>
  <c r="G90" i="27"/>
  <c r="G97" i="27" s="1"/>
  <c r="G101" i="27"/>
  <c r="AB101" i="27"/>
  <c r="AB90" i="27"/>
  <c r="AB97" i="27" s="1"/>
  <c r="P90" i="27"/>
  <c r="P97" i="27" s="1"/>
  <c r="P101" i="27"/>
  <c r="Z90" i="27"/>
  <c r="Z97" i="27" s="1"/>
  <c r="Z101" i="27"/>
  <c r="AN90" i="27"/>
  <c r="AN97" i="27" s="1"/>
  <c r="AN101" i="27"/>
  <c r="AK90" i="27"/>
  <c r="AK97" i="27" s="1"/>
  <c r="AK101" i="27"/>
  <c r="M101" i="27"/>
  <c r="M90" i="27"/>
  <c r="M97" i="27" s="1"/>
  <c r="I90" i="27"/>
  <c r="I97" i="27" s="1"/>
  <c r="I101" i="27"/>
  <c r="H90" i="27"/>
  <c r="H97" i="27" s="1"/>
  <c r="H101" i="27"/>
  <c r="AD370" i="7"/>
  <c r="AH369" i="7"/>
  <c r="AE369" i="7"/>
  <c r="AF369" i="7"/>
  <c r="AG369" i="7"/>
  <c r="AI369" i="7"/>
  <c r="AJ369" i="7"/>
  <c r="AK369" i="7"/>
  <c r="AR368" i="7"/>
  <c r="AM369" i="7"/>
  <c r="AT368" i="7"/>
  <c r="AS368" i="7"/>
  <c r="AQ368" i="7"/>
  <c r="AP368" i="7"/>
  <c r="AO368" i="7"/>
  <c r="AN368" i="7"/>
  <c r="Q241" i="7"/>
  <c r="S241" i="7"/>
  <c r="R241" i="7"/>
  <c r="H242" i="7"/>
  <c r="I242" i="7"/>
  <c r="O242" i="7"/>
  <c r="P242" i="7"/>
  <c r="M242" i="7"/>
  <c r="N242" i="7"/>
  <c r="Y243" i="7"/>
  <c r="AA243" i="7"/>
  <c r="Z243" i="7"/>
  <c r="W243" i="7"/>
  <c r="X243" i="7"/>
  <c r="U244" i="7"/>
  <c r="AB243" i="7"/>
  <c r="V243" i="7"/>
  <c r="G244" i="7"/>
  <c r="D243" i="7"/>
  <c r="E243" i="7"/>
  <c r="F243" i="7"/>
  <c r="J242" i="7"/>
  <c r="H18" i="19" l="1"/>
  <c r="AI107" i="27"/>
  <c r="AE107" i="27"/>
  <c r="AL107" i="27"/>
  <c r="M107" i="27"/>
  <c r="E90" i="28"/>
  <c r="E97" i="28" s="1"/>
  <c r="E101" i="28"/>
  <c r="E103" i="28" s="1"/>
  <c r="H90" i="28"/>
  <c r="H97" i="28" s="1"/>
  <c r="H101" i="28"/>
  <c r="I90" i="28"/>
  <c r="I97" i="28" s="1"/>
  <c r="I101" i="28"/>
  <c r="G90" i="28"/>
  <c r="G97" i="28" s="1"/>
  <c r="G101" i="28"/>
  <c r="F90" i="28"/>
  <c r="F97" i="28" s="1"/>
  <c r="F101" i="28"/>
  <c r="J90" i="28"/>
  <c r="J97" i="28" s="1"/>
  <c r="J101" i="28"/>
  <c r="AH90" i="28"/>
  <c r="AH97" i="28" s="1"/>
  <c r="AH101" i="28"/>
  <c r="L101" i="28"/>
  <c r="L90" i="28"/>
  <c r="L97" i="28" s="1"/>
  <c r="X101" i="28"/>
  <c r="X90" i="28"/>
  <c r="X97" i="28" s="1"/>
  <c r="AG101" i="28"/>
  <c r="AG90" i="28"/>
  <c r="AG97" i="28" s="1"/>
  <c r="AM90" i="28"/>
  <c r="AM97" i="28" s="1"/>
  <c r="AM101" i="28"/>
  <c r="AE101" i="28"/>
  <c r="AE90" i="28"/>
  <c r="AE97" i="28" s="1"/>
  <c r="S90" i="28"/>
  <c r="S97" i="28" s="1"/>
  <c r="S101" i="28"/>
  <c r="K90" i="28"/>
  <c r="K97" i="28" s="1"/>
  <c r="K101" i="28"/>
  <c r="Z90" i="28"/>
  <c r="Z97" i="28" s="1"/>
  <c r="Z101" i="28"/>
  <c r="AN90" i="28"/>
  <c r="AN97" i="28" s="1"/>
  <c r="AN101" i="28"/>
  <c r="AC90" i="28"/>
  <c r="AC97" i="28" s="1"/>
  <c r="AC101" i="28"/>
  <c r="T101" i="28"/>
  <c r="T90" i="28"/>
  <c r="T97" i="28" s="1"/>
  <c r="AB90" i="28"/>
  <c r="AB97" i="28" s="1"/>
  <c r="AB101" i="28"/>
  <c r="AJ90" i="28"/>
  <c r="AJ97" i="28" s="1"/>
  <c r="AJ101" i="28"/>
  <c r="P90" i="28"/>
  <c r="P97" i="28" s="1"/>
  <c r="P101" i="28"/>
  <c r="AA101" i="28"/>
  <c r="AA90" i="28"/>
  <c r="AA97" i="28" s="1"/>
  <c r="V90" i="28"/>
  <c r="V97" i="28" s="1"/>
  <c r="V101" i="28"/>
  <c r="Y101" i="28"/>
  <c r="Y90" i="28"/>
  <c r="Y97" i="28" s="1"/>
  <c r="W90" i="28"/>
  <c r="W97" i="28" s="1"/>
  <c r="W101" i="28"/>
  <c r="N101" i="28"/>
  <c r="N90" i="28"/>
  <c r="N97" i="28" s="1"/>
  <c r="AK101" i="28"/>
  <c r="AK90" i="28"/>
  <c r="AK97" i="28" s="1"/>
  <c r="O90" i="28"/>
  <c r="O97" i="28" s="1"/>
  <c r="O101" i="28"/>
  <c r="AL90" i="28"/>
  <c r="AL97" i="28" s="1"/>
  <c r="AL101" i="28"/>
  <c r="Q90" i="28"/>
  <c r="Q97" i="28" s="1"/>
  <c r="Q101" i="28"/>
  <c r="M90" i="28"/>
  <c r="M97" i="28" s="1"/>
  <c r="M101" i="28"/>
  <c r="AD101" i="28"/>
  <c r="AD90" i="28"/>
  <c r="AD97" i="28" s="1"/>
  <c r="U90" i="28"/>
  <c r="U97" i="28" s="1"/>
  <c r="U101" i="28"/>
  <c r="R90" i="28"/>
  <c r="R97" i="28" s="1"/>
  <c r="R101" i="28"/>
  <c r="AI90" i="28"/>
  <c r="AI97" i="28" s="1"/>
  <c r="AI101" i="28"/>
  <c r="AF90" i="28"/>
  <c r="AF97" i="28" s="1"/>
  <c r="AF101" i="28"/>
  <c r="R107" i="27"/>
  <c r="J4" i="27"/>
  <c r="K4" i="27" s="1"/>
  <c r="L4" i="27" s="1"/>
  <c r="M4" i="27" s="1"/>
  <c r="N4" i="27" s="1"/>
  <c r="O4" i="27" s="1"/>
  <c r="P4" i="27" s="1"/>
  <c r="Q4" i="27" s="1"/>
  <c r="R4" i="27" s="1"/>
  <c r="S4" i="27" s="1"/>
  <c r="T4" i="27" s="1"/>
  <c r="U4" i="27" s="1"/>
  <c r="V4" i="27" s="1"/>
  <c r="W4" i="27" s="1"/>
  <c r="X4" i="27" s="1"/>
  <c r="Y4" i="27" s="1"/>
  <c r="Z4" i="27" s="1"/>
  <c r="AA4" i="27" s="1"/>
  <c r="AB4" i="27" s="1"/>
  <c r="AC4" i="27" s="1"/>
  <c r="AD4" i="27" s="1"/>
  <c r="AE4" i="27" s="1"/>
  <c r="AF4" i="27" s="1"/>
  <c r="AG4" i="27" s="1"/>
  <c r="AH4" i="27" s="1"/>
  <c r="AI4" i="27" s="1"/>
  <c r="AJ4" i="27" s="1"/>
  <c r="AK4" i="27" s="1"/>
  <c r="AL4" i="27" s="1"/>
  <c r="AM4" i="27" s="1"/>
  <c r="AN4" i="27" s="1"/>
  <c r="AB107" i="27"/>
  <c r="AN107" i="27"/>
  <c r="AH107" i="27"/>
  <c r="V107" i="27"/>
  <c r="U107" i="27"/>
  <c r="K107" i="27"/>
  <c r="AF107" i="27"/>
  <c r="AC107" i="27"/>
  <c r="F107" i="27"/>
  <c r="Q107" i="27"/>
  <c r="G107" i="27"/>
  <c r="P107" i="27"/>
  <c r="Z107" i="27"/>
  <c r="AK107" i="27"/>
  <c r="I107" i="27"/>
  <c r="H107" i="27"/>
  <c r="AM107" i="27"/>
  <c r="F18" i="19"/>
  <c r="O107" i="27"/>
  <c r="E18" i="19"/>
  <c r="E98" i="27"/>
  <c r="F98" i="27" s="1"/>
  <c r="G98" i="27" s="1"/>
  <c r="H98" i="27" s="1"/>
  <c r="I98" i="27" s="1"/>
  <c r="J98" i="27" s="1"/>
  <c r="K98" i="27" s="1"/>
  <c r="L98" i="27" s="1"/>
  <c r="M98" i="27" s="1"/>
  <c r="N98" i="27" s="1"/>
  <c r="E107" i="27"/>
  <c r="E108" i="27" s="1"/>
  <c r="G18" i="19"/>
  <c r="AA107" i="27"/>
  <c r="AD107" i="27"/>
  <c r="S107" i="27"/>
  <c r="L107" i="27"/>
  <c r="N107" i="27"/>
  <c r="AJ107" i="27"/>
  <c r="T107" i="27"/>
  <c r="W107" i="27"/>
  <c r="X107" i="27"/>
  <c r="J107" i="27"/>
  <c r="AG107" i="27"/>
  <c r="F103" i="27"/>
  <c r="G103" i="27" s="1"/>
  <c r="H103" i="27" s="1"/>
  <c r="I103" i="27" s="1"/>
  <c r="J103" i="27" s="1"/>
  <c r="K103" i="27" s="1"/>
  <c r="L103" i="27" s="1"/>
  <c r="M103" i="27" s="1"/>
  <c r="N103" i="27" s="1"/>
  <c r="O103" i="27" s="1"/>
  <c r="P103" i="27" s="1"/>
  <c r="Q103" i="27" s="1"/>
  <c r="R103" i="27" s="1"/>
  <c r="S103" i="27" s="1"/>
  <c r="T103" i="27" s="1"/>
  <c r="U103" i="27" s="1"/>
  <c r="V103" i="27" s="1"/>
  <c r="W103" i="27" s="1"/>
  <c r="X103" i="27" s="1"/>
  <c r="Y103" i="27" s="1"/>
  <c r="Z103" i="27" s="1"/>
  <c r="AA103" i="27" s="1"/>
  <c r="AB103" i="27" s="1"/>
  <c r="AC103" i="27" s="1"/>
  <c r="AD103" i="27" s="1"/>
  <c r="AE103" i="27" s="1"/>
  <c r="AF103" i="27" s="1"/>
  <c r="AG103" i="27" s="1"/>
  <c r="AH103" i="27" s="1"/>
  <c r="AI103" i="27" s="1"/>
  <c r="AJ103" i="27" s="1"/>
  <c r="AK103" i="27" s="1"/>
  <c r="AL103" i="27" s="1"/>
  <c r="AM103" i="27" s="1"/>
  <c r="AN103" i="27" s="1"/>
  <c r="Y107" i="27"/>
  <c r="AD371" i="7"/>
  <c r="AH370" i="7"/>
  <c r="AE370" i="7"/>
  <c r="AF370" i="7"/>
  <c r="AG370" i="7"/>
  <c r="AI370" i="7"/>
  <c r="AJ370" i="7"/>
  <c r="AK370" i="7"/>
  <c r="AT369" i="7"/>
  <c r="AM370" i="7"/>
  <c r="AS369" i="7"/>
  <c r="AR369" i="7"/>
  <c r="AQ369" i="7"/>
  <c r="AP369" i="7"/>
  <c r="AO369" i="7"/>
  <c r="AN369" i="7"/>
  <c r="Q242" i="7"/>
  <c r="R242" i="7"/>
  <c r="S242" i="7"/>
  <c r="N243" i="7"/>
  <c r="P243" i="7"/>
  <c r="M243" i="7"/>
  <c r="O243" i="7"/>
  <c r="J243" i="7"/>
  <c r="I243" i="7"/>
  <c r="H243" i="7"/>
  <c r="G245" i="7"/>
  <c r="E244" i="7"/>
  <c r="D244" i="7"/>
  <c r="F244" i="7"/>
  <c r="Y244" i="7"/>
  <c r="V244" i="7"/>
  <c r="AB244" i="7"/>
  <c r="W244" i="7"/>
  <c r="X244" i="7"/>
  <c r="Z244" i="7"/>
  <c r="AA244" i="7"/>
  <c r="U245" i="7"/>
  <c r="H21" i="19" l="1"/>
  <c r="AG107" i="28"/>
  <c r="X107" i="28"/>
  <c r="AD107" i="28"/>
  <c r="L107" i="28"/>
  <c r="T107" i="28"/>
  <c r="AE107" i="28"/>
  <c r="N107" i="28"/>
  <c r="AK107" i="28"/>
  <c r="H107" i="28"/>
  <c r="I107" i="28"/>
  <c r="F107" i="28"/>
  <c r="Y107" i="28"/>
  <c r="G107" i="28"/>
  <c r="F103" i="28"/>
  <c r="G103" i="28" s="1"/>
  <c r="H103" i="28" s="1"/>
  <c r="I103" i="28" s="1"/>
  <c r="J103" i="28" s="1"/>
  <c r="K103" i="28" s="1"/>
  <c r="L103" i="28" s="1"/>
  <c r="M103" i="28" s="1"/>
  <c r="N103" i="28" s="1"/>
  <c r="O103" i="28" s="1"/>
  <c r="P103" i="28" s="1"/>
  <c r="Q103" i="28" s="1"/>
  <c r="R103" i="28" s="1"/>
  <c r="S103" i="28" s="1"/>
  <c r="T103" i="28" s="1"/>
  <c r="U103" i="28" s="1"/>
  <c r="V103" i="28" s="1"/>
  <c r="W103" i="28" s="1"/>
  <c r="X103" i="28" s="1"/>
  <c r="Y103" i="28" s="1"/>
  <c r="Z103" i="28" s="1"/>
  <c r="AA103" i="28" s="1"/>
  <c r="AB103" i="28" s="1"/>
  <c r="AC103" i="28" s="1"/>
  <c r="AD103" i="28" s="1"/>
  <c r="AE103" i="28" s="1"/>
  <c r="AF103" i="28" s="1"/>
  <c r="AG103" i="28" s="1"/>
  <c r="AH103" i="28" s="1"/>
  <c r="AI103" i="28" s="1"/>
  <c r="AJ103" i="28" s="1"/>
  <c r="AK103" i="28" s="1"/>
  <c r="AL103" i="28" s="1"/>
  <c r="AM103" i="28" s="1"/>
  <c r="AN103" i="28" s="1"/>
  <c r="E98" i="28"/>
  <c r="F98" i="28" s="1"/>
  <c r="G98" i="28" s="1"/>
  <c r="H98" i="28" s="1"/>
  <c r="I98" i="28" s="1"/>
  <c r="J98" i="28" s="1"/>
  <c r="K98" i="28" s="1"/>
  <c r="L98" i="28" s="1"/>
  <c r="M98" i="28" s="1"/>
  <c r="N98" i="28" s="1"/>
  <c r="O98" i="28" s="1"/>
  <c r="P98" i="28" s="1"/>
  <c r="Q98" i="28" s="1"/>
  <c r="R98" i="28" s="1"/>
  <c r="S98" i="28" s="1"/>
  <c r="T98" i="28" s="1"/>
  <c r="U98" i="28" s="1"/>
  <c r="V98" i="28" s="1"/>
  <c r="W98" i="28" s="1"/>
  <c r="X98" i="28" s="1"/>
  <c r="Y98" i="28" s="1"/>
  <c r="Z98" i="28" s="1"/>
  <c r="AA98" i="28" s="1"/>
  <c r="AB98" i="28" s="1"/>
  <c r="AC98" i="28" s="1"/>
  <c r="AD98" i="28" s="1"/>
  <c r="AE98" i="28" s="1"/>
  <c r="AF98" i="28" s="1"/>
  <c r="AG98" i="28" s="1"/>
  <c r="AH98" i="28" s="1"/>
  <c r="AI98" i="28" s="1"/>
  <c r="AJ98" i="28" s="1"/>
  <c r="AK98" i="28" s="1"/>
  <c r="AL98" i="28" s="1"/>
  <c r="AM98" i="28" s="1"/>
  <c r="AN98" i="28" s="1"/>
  <c r="H22" i="19" s="1"/>
  <c r="E107" i="28"/>
  <c r="E108" i="28" s="1"/>
  <c r="J4" i="28"/>
  <c r="K4" i="28" s="1"/>
  <c r="L4" i="28" s="1"/>
  <c r="M4" i="28" s="1"/>
  <c r="N4" i="28" s="1"/>
  <c r="O4" i="28" s="1"/>
  <c r="P4" i="28" s="1"/>
  <c r="Q4" i="28" s="1"/>
  <c r="R4" i="28" s="1"/>
  <c r="S4" i="28" s="1"/>
  <c r="T4" i="28" s="1"/>
  <c r="U4" i="28" s="1"/>
  <c r="V4" i="28" s="1"/>
  <c r="W4" i="28" s="1"/>
  <c r="X4" i="28" s="1"/>
  <c r="Y4" i="28" s="1"/>
  <c r="Z4" i="28" s="1"/>
  <c r="AA4" i="28" s="1"/>
  <c r="AB4" i="28" s="1"/>
  <c r="AC4" i="28" s="1"/>
  <c r="AD4" i="28" s="1"/>
  <c r="AE4" i="28" s="1"/>
  <c r="AF4" i="28" s="1"/>
  <c r="AG4" i="28" s="1"/>
  <c r="AH4" i="28" s="1"/>
  <c r="AI4" i="28" s="1"/>
  <c r="AJ4" i="28" s="1"/>
  <c r="AK4" i="28" s="1"/>
  <c r="AL4" i="28" s="1"/>
  <c r="AM4" i="28" s="1"/>
  <c r="AN4" i="28" s="1"/>
  <c r="J107" i="28"/>
  <c r="G21" i="19"/>
  <c r="E21" i="19"/>
  <c r="F21" i="19"/>
  <c r="AA107" i="28"/>
  <c r="AH107" i="28"/>
  <c r="AM107" i="28"/>
  <c r="S107" i="28"/>
  <c r="AN107" i="28"/>
  <c r="AC107" i="28"/>
  <c r="AB107" i="28"/>
  <c r="AJ107" i="28"/>
  <c r="P107" i="28"/>
  <c r="V107" i="28"/>
  <c r="W107" i="28"/>
  <c r="O107" i="28"/>
  <c r="AL107" i="28"/>
  <c r="Q107" i="28"/>
  <c r="K107" i="28"/>
  <c r="Z107" i="28"/>
  <c r="M107" i="28"/>
  <c r="U107" i="28"/>
  <c r="R107" i="28"/>
  <c r="AI107" i="28"/>
  <c r="AF107" i="28"/>
  <c r="E8" i="19"/>
  <c r="F108" i="27"/>
  <c r="G108" i="27" s="1"/>
  <c r="H108" i="27" s="1"/>
  <c r="I108" i="27" s="1"/>
  <c r="J108" i="27" s="1"/>
  <c r="K108" i="27" s="1"/>
  <c r="L108" i="27" s="1"/>
  <c r="M108" i="27" s="1"/>
  <c r="N108" i="27" s="1"/>
  <c r="O98" i="27"/>
  <c r="P98" i="27" s="1"/>
  <c r="Q98" i="27" s="1"/>
  <c r="AH371" i="7"/>
  <c r="AE371" i="7"/>
  <c r="AF371" i="7"/>
  <c r="AG371" i="7"/>
  <c r="AI371" i="7"/>
  <c r="AJ371" i="7"/>
  <c r="AK371" i="7"/>
  <c r="AT370" i="7"/>
  <c r="AS370" i="7"/>
  <c r="AR370" i="7"/>
  <c r="AO370" i="7"/>
  <c r="AM371" i="7"/>
  <c r="AP370" i="7"/>
  <c r="AQ370" i="7"/>
  <c r="AN370" i="7"/>
  <c r="S243" i="7"/>
  <c r="R243" i="7"/>
  <c r="Q243" i="7"/>
  <c r="N244" i="7"/>
  <c r="M244" i="7"/>
  <c r="O244" i="7"/>
  <c r="P244" i="7"/>
  <c r="I244" i="7"/>
  <c r="H244" i="7"/>
  <c r="J244" i="7"/>
  <c r="Y245" i="7"/>
  <c r="W245" i="7"/>
  <c r="X245" i="7"/>
  <c r="Z245" i="7"/>
  <c r="AA245" i="7"/>
  <c r="V245" i="7"/>
  <c r="U246" i="7"/>
  <c r="AB245" i="7"/>
  <c r="F245" i="7"/>
  <c r="G246" i="7"/>
  <c r="D245" i="7"/>
  <c r="E245" i="7"/>
  <c r="F108" i="28" l="1"/>
  <c r="G108" i="28" s="1"/>
  <c r="H108" i="28" s="1"/>
  <c r="I108" i="28" s="1"/>
  <c r="J108" i="28" s="1"/>
  <c r="K108" i="28" s="1"/>
  <c r="L108" i="28" s="1"/>
  <c r="M108" i="28" s="1"/>
  <c r="N108" i="28" s="1"/>
  <c r="R98" i="27"/>
  <c r="S98" i="27" s="1"/>
  <c r="T98" i="27" s="1"/>
  <c r="U98" i="27" s="1"/>
  <c r="V98" i="27" s="1"/>
  <c r="W98" i="27" s="1"/>
  <c r="X98" i="27" s="1"/>
  <c r="Y98" i="27" s="1"/>
  <c r="Z98" i="27" s="1"/>
  <c r="AA98" i="27" s="1"/>
  <c r="AB98" i="27" s="1"/>
  <c r="AC98" i="27" s="1"/>
  <c r="E19" i="19"/>
  <c r="O108" i="27"/>
  <c r="P108" i="27" s="1"/>
  <c r="Q108" i="27" s="1"/>
  <c r="AT371" i="7"/>
  <c r="AS371" i="7"/>
  <c r="AR371" i="7"/>
  <c r="AP371" i="7"/>
  <c r="AO371" i="7"/>
  <c r="AQ371" i="7"/>
  <c r="AN371" i="7"/>
  <c r="S244" i="7"/>
  <c r="R244" i="7"/>
  <c r="J245" i="7"/>
  <c r="Q244" i="7"/>
  <c r="O245" i="7"/>
  <c r="N245" i="7"/>
  <c r="P245" i="7"/>
  <c r="M245" i="7"/>
  <c r="I245" i="7"/>
  <c r="H245" i="7"/>
  <c r="D246" i="7"/>
  <c r="E246" i="7"/>
  <c r="F246" i="7"/>
  <c r="G247" i="7"/>
  <c r="Y246" i="7"/>
  <c r="W246" i="7"/>
  <c r="X246" i="7"/>
  <c r="Z246" i="7"/>
  <c r="AA246" i="7"/>
  <c r="V246" i="7"/>
  <c r="AB246" i="7"/>
  <c r="U247" i="7"/>
  <c r="O108" i="28" l="1"/>
  <c r="P108" i="28" s="1"/>
  <c r="Q108" i="28" s="1"/>
  <c r="R108" i="28" s="1"/>
  <c r="S108" i="28" s="1"/>
  <c r="T108" i="28" s="1"/>
  <c r="U108" i="28" s="1"/>
  <c r="V108" i="28" s="1"/>
  <c r="W108" i="28" s="1"/>
  <c r="X108" i="28" s="1"/>
  <c r="Y108" i="28" s="1"/>
  <c r="Z108" i="28" s="1"/>
  <c r="E23" i="19"/>
  <c r="F19" i="19"/>
  <c r="AD98" i="27"/>
  <c r="AE98" i="27" s="1"/>
  <c r="AF98" i="27" s="1"/>
  <c r="AG98" i="27" s="1"/>
  <c r="AH98" i="27" s="1"/>
  <c r="AI98" i="27" s="1"/>
  <c r="AJ98" i="27" s="1"/>
  <c r="AK98" i="27" s="1"/>
  <c r="AL98" i="27" s="1"/>
  <c r="R108" i="27"/>
  <c r="S108" i="27" s="1"/>
  <c r="T108" i="27" s="1"/>
  <c r="U108" i="27" s="1"/>
  <c r="V108" i="27" s="1"/>
  <c r="W108" i="27" s="1"/>
  <c r="X108" i="27" s="1"/>
  <c r="Y108" i="27" s="1"/>
  <c r="Z108" i="27" s="1"/>
  <c r="AA108" i="27" s="1"/>
  <c r="AB108" i="27" s="1"/>
  <c r="AC108" i="27" s="1"/>
  <c r="E20" i="19"/>
  <c r="M73" i="3"/>
  <c r="M102" i="3" s="1"/>
  <c r="E24" i="3"/>
  <c r="E19" i="3" s="1"/>
  <c r="E100" i="3" s="1"/>
  <c r="AF24" i="3"/>
  <c r="AD24" i="3"/>
  <c r="M24" i="3"/>
  <c r="H24" i="3"/>
  <c r="X24" i="3"/>
  <c r="I24" i="3"/>
  <c r="N24" i="3"/>
  <c r="V24" i="3"/>
  <c r="K24" i="3"/>
  <c r="AM24" i="3"/>
  <c r="AK24" i="3"/>
  <c r="L24" i="3"/>
  <c r="R24" i="3"/>
  <c r="Q24" i="3"/>
  <c r="S24" i="3"/>
  <c r="P24" i="3"/>
  <c r="AC24" i="3"/>
  <c r="AH24" i="3"/>
  <c r="AJ24" i="3"/>
  <c r="F24" i="3"/>
  <c r="AG24" i="3"/>
  <c r="Z24" i="3"/>
  <c r="AA24" i="3"/>
  <c r="J24" i="3"/>
  <c r="T24" i="3"/>
  <c r="U24" i="3"/>
  <c r="AB24" i="3"/>
  <c r="O24" i="3"/>
  <c r="D24" i="3"/>
  <c r="W24" i="3"/>
  <c r="AI24" i="3"/>
  <c r="G24" i="3"/>
  <c r="AL24" i="3"/>
  <c r="Y24" i="3"/>
  <c r="AE24" i="3"/>
  <c r="AN24" i="3"/>
  <c r="U73" i="3"/>
  <c r="U102" i="3" s="1"/>
  <c r="J72" i="3"/>
  <c r="AD72" i="3"/>
  <c r="AE72" i="3"/>
  <c r="I73" i="3"/>
  <c r="I102" i="3" s="1"/>
  <c r="P72" i="3"/>
  <c r="F72" i="3"/>
  <c r="AE73" i="3"/>
  <c r="AE102" i="3" s="1"/>
  <c r="M72" i="3"/>
  <c r="AA73" i="3"/>
  <c r="AA102" i="3" s="1"/>
  <c r="H73" i="3"/>
  <c r="H102" i="3" s="1"/>
  <c r="K72" i="3"/>
  <c r="AJ73" i="3"/>
  <c r="AJ102" i="3" s="1"/>
  <c r="AI73" i="3"/>
  <c r="AI102" i="3" s="1"/>
  <c r="H72" i="3"/>
  <c r="R73" i="3"/>
  <c r="R102" i="3" s="1"/>
  <c r="Q73" i="3"/>
  <c r="Q102" i="3" s="1"/>
  <c r="W73" i="3"/>
  <c r="W102" i="3" s="1"/>
  <c r="Y73" i="3"/>
  <c r="Y102" i="3" s="1"/>
  <c r="AG73" i="3"/>
  <c r="AG102" i="3" s="1"/>
  <c r="AK72" i="3"/>
  <c r="AL73" i="3"/>
  <c r="AL102" i="3" s="1"/>
  <c r="S72" i="3"/>
  <c r="AL72" i="3"/>
  <c r="AI72" i="3"/>
  <c r="Y72" i="3"/>
  <c r="AM72" i="3"/>
  <c r="AH72" i="3"/>
  <c r="R72" i="3"/>
  <c r="AA72" i="3"/>
  <c r="L73" i="3"/>
  <c r="L102" i="3" s="1"/>
  <c r="AC72" i="3"/>
  <c r="L72" i="3"/>
  <c r="I72" i="3"/>
  <c r="V73" i="3"/>
  <c r="V102" i="3" s="1"/>
  <c r="AN73" i="3"/>
  <c r="AN102" i="3" s="1"/>
  <c r="S73" i="3"/>
  <c r="S102" i="3" s="1"/>
  <c r="K73" i="3"/>
  <c r="K102" i="3" s="1"/>
  <c r="AB72" i="3"/>
  <c r="N73" i="3"/>
  <c r="N102" i="3" s="1"/>
  <c r="Z73" i="3"/>
  <c r="Z102" i="3" s="1"/>
  <c r="AG72" i="3"/>
  <c r="AJ72" i="3"/>
  <c r="V72" i="3"/>
  <c r="G73" i="3"/>
  <c r="G102" i="3" s="1"/>
  <c r="O102" i="3"/>
  <c r="AF73" i="3"/>
  <c r="AF102" i="3" s="1"/>
  <c r="X72" i="3"/>
  <c r="U72" i="3"/>
  <c r="T73" i="3"/>
  <c r="T102" i="3" s="1"/>
  <c r="AF72" i="3"/>
  <c r="W72" i="3"/>
  <c r="P73" i="3"/>
  <c r="P102" i="3" s="1"/>
  <c r="T72" i="3"/>
  <c r="AH73" i="3"/>
  <c r="AH102" i="3" s="1"/>
  <c r="F73" i="3"/>
  <c r="F102" i="3" s="1"/>
  <c r="AD73" i="3"/>
  <c r="AD102" i="3" s="1"/>
  <c r="AB73" i="3"/>
  <c r="AB102" i="3" s="1"/>
  <c r="AC73" i="3"/>
  <c r="AC102" i="3" s="1"/>
  <c r="J73" i="3"/>
  <c r="J102" i="3" s="1"/>
  <c r="AN72" i="3"/>
  <c r="O72" i="3"/>
  <c r="X73" i="3"/>
  <c r="X102" i="3" s="1"/>
  <c r="Q72" i="3"/>
  <c r="Z72" i="3"/>
  <c r="AK73" i="3"/>
  <c r="AK102" i="3" s="1"/>
  <c r="AM73" i="3"/>
  <c r="AM102" i="3" s="1"/>
  <c r="G72" i="3"/>
  <c r="N72" i="3"/>
  <c r="Q245" i="7"/>
  <c r="R245" i="7"/>
  <c r="S245" i="7"/>
  <c r="I246" i="7"/>
  <c r="M246" i="7"/>
  <c r="N246" i="7"/>
  <c r="P246" i="7"/>
  <c r="O246" i="7"/>
  <c r="H246" i="7"/>
  <c r="J246" i="7"/>
  <c r="G248" i="7"/>
  <c r="E247" i="7"/>
  <c r="D247" i="7"/>
  <c r="F247" i="7"/>
  <c r="Y247" i="7"/>
  <c r="U248" i="7"/>
  <c r="V247" i="7"/>
  <c r="W247" i="7"/>
  <c r="X247" i="7"/>
  <c r="Z247" i="7"/>
  <c r="AA247" i="7"/>
  <c r="AB247" i="7"/>
  <c r="F23" i="19" l="1"/>
  <c r="AA108" i="28"/>
  <c r="AB108" i="28" s="1"/>
  <c r="AC108" i="28" s="1"/>
  <c r="AD108" i="28" s="1"/>
  <c r="AE108" i="28" s="1"/>
  <c r="AF108" i="28" s="1"/>
  <c r="AG108" i="28" s="1"/>
  <c r="AH108" i="28" s="1"/>
  <c r="AI108" i="28" s="1"/>
  <c r="AJ108" i="28" s="1"/>
  <c r="AK108" i="28" s="1"/>
  <c r="AL108" i="28" s="1"/>
  <c r="AM98" i="27"/>
  <c r="AN98" i="27" s="1"/>
  <c r="H19" i="19" s="1"/>
  <c r="G19" i="19"/>
  <c r="AD108" i="27"/>
  <c r="AE108" i="27" s="1"/>
  <c r="AF108" i="27" s="1"/>
  <c r="AG108" i="27" s="1"/>
  <c r="AH108" i="27" s="1"/>
  <c r="AI108" i="27" s="1"/>
  <c r="AJ108" i="27" s="1"/>
  <c r="AK108" i="27" s="1"/>
  <c r="AL108" i="27" s="1"/>
  <c r="F20" i="19"/>
  <c r="J90" i="3"/>
  <c r="J101" i="3"/>
  <c r="AD101" i="3"/>
  <c r="AE101" i="3"/>
  <c r="P90" i="3"/>
  <c r="P101" i="3"/>
  <c r="F90" i="3"/>
  <c r="F101" i="3"/>
  <c r="M101" i="3"/>
  <c r="M90" i="3"/>
  <c r="K90" i="3"/>
  <c r="K101" i="3"/>
  <c r="H101" i="3"/>
  <c r="H90" i="3"/>
  <c r="AK101" i="3"/>
  <c r="S90" i="3"/>
  <c r="S101" i="3"/>
  <c r="AL101" i="3"/>
  <c r="AI101" i="3"/>
  <c r="Y101" i="3"/>
  <c r="Y90" i="3"/>
  <c r="AM101" i="3"/>
  <c r="AH101" i="3"/>
  <c r="R90" i="3"/>
  <c r="R101" i="3"/>
  <c r="AA101" i="3"/>
  <c r="AC101" i="3"/>
  <c r="L90" i="3"/>
  <c r="L101" i="3"/>
  <c r="I101" i="3"/>
  <c r="I90" i="3"/>
  <c r="AB101" i="3"/>
  <c r="AG101" i="3"/>
  <c r="AJ101" i="3"/>
  <c r="V90" i="3"/>
  <c r="V101" i="3"/>
  <c r="X101" i="3"/>
  <c r="X90" i="3"/>
  <c r="U90" i="3"/>
  <c r="U101" i="3"/>
  <c r="AF101" i="3"/>
  <c r="W101" i="3"/>
  <c r="W90" i="3"/>
  <c r="T90" i="3"/>
  <c r="T101" i="3"/>
  <c r="AN101" i="3"/>
  <c r="O101" i="3"/>
  <c r="O90" i="3"/>
  <c r="Q90" i="3"/>
  <c r="Q101" i="3"/>
  <c r="Z101" i="3"/>
  <c r="Z90" i="3"/>
  <c r="G90" i="3"/>
  <c r="G101" i="3"/>
  <c r="N90" i="3"/>
  <c r="N101" i="3"/>
  <c r="R246" i="7"/>
  <c r="S246" i="7"/>
  <c r="Q246" i="7"/>
  <c r="M247" i="7"/>
  <c r="O247" i="7"/>
  <c r="P247" i="7"/>
  <c r="N247" i="7"/>
  <c r="J247" i="7"/>
  <c r="H247" i="7"/>
  <c r="I247" i="7"/>
  <c r="G249" i="7"/>
  <c r="D248" i="7"/>
  <c r="E248" i="7"/>
  <c r="F248" i="7"/>
  <c r="Y248" i="7"/>
  <c r="V248" i="7"/>
  <c r="AB248" i="7"/>
  <c r="W248" i="7"/>
  <c r="X248" i="7"/>
  <c r="Z248" i="7"/>
  <c r="AA248" i="7"/>
  <c r="U249" i="7"/>
  <c r="G23" i="19" l="1"/>
  <c r="AM108" i="28"/>
  <c r="AN108" i="28" s="1"/>
  <c r="H23" i="19" s="1"/>
  <c r="AM108" i="27"/>
  <c r="AN108" i="27" s="1"/>
  <c r="H20" i="19" s="1"/>
  <c r="G20" i="19"/>
  <c r="R247" i="7"/>
  <c r="S247" i="7"/>
  <c r="I248" i="7"/>
  <c r="Q247" i="7"/>
  <c r="M248" i="7"/>
  <c r="P248" i="7"/>
  <c r="O248" i="7"/>
  <c r="N248" i="7"/>
  <c r="J248" i="7"/>
  <c r="H248" i="7"/>
  <c r="Y249" i="7"/>
  <c r="AB249" i="7"/>
  <c r="U250" i="7"/>
  <c r="W249" i="7"/>
  <c r="X249" i="7"/>
  <c r="Z249" i="7"/>
  <c r="V249" i="7"/>
  <c r="AA249" i="7"/>
  <c r="D249" i="7"/>
  <c r="E249" i="7"/>
  <c r="F249" i="7"/>
  <c r="G250" i="7"/>
  <c r="F22" i="19" l="1"/>
  <c r="E22" i="19"/>
  <c r="G22" i="19"/>
  <c r="R248" i="7"/>
  <c r="Q248" i="7"/>
  <c r="S248" i="7"/>
  <c r="P249" i="7"/>
  <c r="N249" i="7"/>
  <c r="M249" i="7"/>
  <c r="O249" i="7"/>
  <c r="J249" i="7"/>
  <c r="I249" i="7"/>
  <c r="H249" i="7"/>
  <c r="Y250" i="7"/>
  <c r="W250" i="7"/>
  <c r="X250" i="7"/>
  <c r="Z250" i="7"/>
  <c r="V250" i="7"/>
  <c r="U251" i="7"/>
  <c r="AA250" i="7"/>
  <c r="AB250" i="7"/>
  <c r="G251" i="7"/>
  <c r="E250" i="7"/>
  <c r="D250" i="7"/>
  <c r="F250" i="7"/>
  <c r="Q249" i="7" l="1"/>
  <c r="S249" i="7"/>
  <c r="R249" i="7"/>
  <c r="O250" i="7"/>
  <c r="P250" i="7"/>
  <c r="M250" i="7"/>
  <c r="N250" i="7"/>
  <c r="J250" i="7"/>
  <c r="H250" i="7"/>
  <c r="I250" i="7"/>
  <c r="D251" i="7"/>
  <c r="E251" i="7"/>
  <c r="F251" i="7"/>
  <c r="G252" i="7"/>
  <c r="Y251" i="7"/>
  <c r="U252" i="7"/>
  <c r="V251" i="7"/>
  <c r="W251" i="7"/>
  <c r="X251" i="7"/>
  <c r="Z251" i="7"/>
  <c r="AA251" i="7"/>
  <c r="AB251" i="7"/>
  <c r="Q250" i="7" l="1"/>
  <c r="R250" i="7"/>
  <c r="S250" i="7"/>
  <c r="H251" i="7"/>
  <c r="P251" i="7"/>
  <c r="N251" i="7"/>
  <c r="M251" i="7"/>
  <c r="O251" i="7"/>
  <c r="I251" i="7"/>
  <c r="J251" i="7"/>
  <c r="Y252" i="7"/>
  <c r="U253" i="7"/>
  <c r="V252" i="7"/>
  <c r="W252" i="7"/>
  <c r="X252" i="7"/>
  <c r="Z252" i="7"/>
  <c r="AA252" i="7"/>
  <c r="AB252" i="7"/>
  <c r="G253" i="7"/>
  <c r="D252" i="7"/>
  <c r="E252" i="7"/>
  <c r="F252" i="7"/>
  <c r="Q251" i="7" l="1"/>
  <c r="S251" i="7"/>
  <c r="R251" i="7"/>
  <c r="M252" i="7"/>
  <c r="N252" i="7"/>
  <c r="P252" i="7"/>
  <c r="O252" i="7"/>
  <c r="R252" i="7"/>
  <c r="J252" i="7"/>
  <c r="I252" i="7"/>
  <c r="H252" i="7"/>
  <c r="G254" i="7"/>
  <c r="E253" i="7"/>
  <c r="D253" i="7"/>
  <c r="F253" i="7"/>
  <c r="Y253" i="7"/>
  <c r="AA253" i="7"/>
  <c r="Z253" i="7"/>
  <c r="AB253" i="7"/>
  <c r="W253" i="7"/>
  <c r="U254" i="7"/>
  <c r="X253" i="7"/>
  <c r="V253" i="7"/>
  <c r="S252" i="7" l="1"/>
  <c r="Q252" i="7"/>
  <c r="H253" i="7"/>
  <c r="P253" i="7"/>
  <c r="O253" i="7"/>
  <c r="M253" i="7"/>
  <c r="N253" i="7"/>
  <c r="R253" i="7" s="1"/>
  <c r="I253" i="7"/>
  <c r="J253" i="7"/>
  <c r="F254" i="7"/>
  <c r="G255" i="7"/>
  <c r="E254" i="7"/>
  <c r="D254" i="7"/>
  <c r="Y254" i="7"/>
  <c r="U255" i="7"/>
  <c r="X254" i="7"/>
  <c r="W254" i="7"/>
  <c r="Z254" i="7"/>
  <c r="AB254" i="7"/>
  <c r="V254" i="7"/>
  <c r="AA254" i="7"/>
  <c r="S253" i="7" l="1"/>
  <c r="Q253" i="7"/>
  <c r="N254" i="7"/>
  <c r="M254" i="7"/>
  <c r="O254" i="7"/>
  <c r="P254" i="7"/>
  <c r="R254" i="7"/>
  <c r="J254" i="7"/>
  <c r="I254" i="7"/>
  <c r="H254" i="7"/>
  <c r="D255" i="7"/>
  <c r="E255" i="7"/>
  <c r="F255" i="7"/>
  <c r="G256" i="7"/>
  <c r="Y255" i="7"/>
  <c r="V255" i="7"/>
  <c r="X255" i="7"/>
  <c r="AB255" i="7"/>
  <c r="AA255" i="7"/>
  <c r="W255" i="7"/>
  <c r="Z255" i="7"/>
  <c r="U256" i="7"/>
  <c r="Q254" i="7" l="1"/>
  <c r="S254" i="7"/>
  <c r="F8" i="19"/>
  <c r="H255" i="7"/>
  <c r="I255" i="7"/>
  <c r="N255" i="7"/>
  <c r="O255" i="7"/>
  <c r="P255" i="7"/>
  <c r="M255" i="7"/>
  <c r="R255" i="7"/>
  <c r="S255" i="7"/>
  <c r="Q255" i="7"/>
  <c r="J255" i="7"/>
  <c r="G257" i="7"/>
  <c r="E256" i="7"/>
  <c r="D256" i="7"/>
  <c r="F256" i="7"/>
  <c r="Y256" i="7"/>
  <c r="AB256" i="7"/>
  <c r="X256" i="7"/>
  <c r="Z256" i="7"/>
  <c r="U257" i="7"/>
  <c r="W256" i="7"/>
  <c r="AA256" i="7"/>
  <c r="V256" i="7"/>
  <c r="H256" i="7" l="1"/>
  <c r="I256" i="7"/>
  <c r="P256" i="7"/>
  <c r="M256" i="7"/>
  <c r="O256" i="7"/>
  <c r="N256" i="7"/>
  <c r="R256" i="7" s="1"/>
  <c r="J256" i="7"/>
  <c r="G258" i="7"/>
  <c r="D257" i="7"/>
  <c r="F257" i="7"/>
  <c r="E257" i="7"/>
  <c r="Y257" i="7"/>
  <c r="U258" i="7"/>
  <c r="X257" i="7"/>
  <c r="W257" i="7"/>
  <c r="Z257" i="7"/>
  <c r="AB257" i="7"/>
  <c r="V257" i="7"/>
  <c r="AA257" i="7"/>
  <c r="Q256" i="7" l="1"/>
  <c r="S256" i="7"/>
  <c r="J257" i="7"/>
  <c r="I257" i="7"/>
  <c r="P257" i="7"/>
  <c r="O257" i="7"/>
  <c r="Q257" i="7"/>
  <c r="N257" i="7"/>
  <c r="M257" i="7"/>
  <c r="S257" i="7"/>
  <c r="R257" i="7"/>
  <c r="H257" i="7"/>
  <c r="Y258" i="7"/>
  <c r="AA258" i="7"/>
  <c r="V258" i="7"/>
  <c r="W258" i="7"/>
  <c r="AB258" i="7"/>
  <c r="U259" i="7"/>
  <c r="X258" i="7"/>
  <c r="Z258" i="7"/>
  <c r="D258" i="7"/>
  <c r="E258" i="7"/>
  <c r="F258" i="7"/>
  <c r="G259" i="7"/>
  <c r="J258" i="7" l="1"/>
  <c r="P258" i="7"/>
  <c r="M258" i="7"/>
  <c r="O258" i="7"/>
  <c r="N258" i="7"/>
  <c r="R258" i="7" s="1"/>
  <c r="I258" i="7"/>
  <c r="H258" i="7"/>
  <c r="F259" i="7"/>
  <c r="G260" i="7"/>
  <c r="D259" i="7"/>
  <c r="E259" i="7"/>
  <c r="Y259" i="7"/>
  <c r="Z259" i="7"/>
  <c r="V259" i="7"/>
  <c r="AB259" i="7"/>
  <c r="AA259" i="7"/>
  <c r="U260" i="7"/>
  <c r="X259" i="7"/>
  <c r="W259" i="7"/>
  <c r="Q258" i="7" l="1"/>
  <c r="S258" i="7"/>
  <c r="H259" i="7"/>
  <c r="O259" i="7"/>
  <c r="M259" i="7"/>
  <c r="P259" i="7"/>
  <c r="Q259" i="7"/>
  <c r="N259" i="7"/>
  <c r="S259" i="7"/>
  <c r="R259" i="7"/>
  <c r="I259" i="7"/>
  <c r="J259" i="7"/>
  <c r="Y260" i="7"/>
  <c r="U261" i="7"/>
  <c r="X260" i="7"/>
  <c r="AA260" i="7"/>
  <c r="AB260" i="7"/>
  <c r="V260" i="7"/>
  <c r="Z260" i="7"/>
  <c r="W260" i="7"/>
  <c r="G261" i="7"/>
  <c r="D260" i="7"/>
  <c r="F260" i="7"/>
  <c r="E260" i="7"/>
  <c r="H260" i="7" l="1"/>
  <c r="P260" i="7"/>
  <c r="N260" i="7"/>
  <c r="O260" i="7"/>
  <c r="S260" i="7" s="1"/>
  <c r="M260" i="7"/>
  <c r="R260" i="7" s="1"/>
  <c r="Q260" i="7"/>
  <c r="I260" i="7"/>
  <c r="J260" i="7"/>
  <c r="D261" i="7"/>
  <c r="E261" i="7"/>
  <c r="F261" i="7"/>
  <c r="G262" i="7"/>
  <c r="Y261" i="7"/>
  <c r="W261" i="7"/>
  <c r="X261" i="7"/>
  <c r="AB261" i="7"/>
  <c r="Z261" i="7"/>
  <c r="AA261" i="7"/>
  <c r="U262" i="7"/>
  <c r="V261" i="7"/>
  <c r="H261" i="7" l="1"/>
  <c r="M261" i="7"/>
  <c r="N261" i="7"/>
  <c r="R261" i="7" s="1"/>
  <c r="O261" i="7"/>
  <c r="Q261" i="7" s="1"/>
  <c r="P261" i="7"/>
  <c r="S261" i="7"/>
  <c r="J261" i="7"/>
  <c r="I261" i="7"/>
  <c r="F262" i="7"/>
  <c r="G263" i="7"/>
  <c r="D262" i="7"/>
  <c r="E262" i="7"/>
  <c r="Y262" i="7"/>
  <c r="V262" i="7"/>
  <c r="U263" i="7"/>
  <c r="AB262" i="7"/>
  <c r="Z262" i="7"/>
  <c r="X262" i="7"/>
  <c r="AA262" i="7"/>
  <c r="W262" i="7"/>
  <c r="H262" i="7" l="1"/>
  <c r="M262" i="7"/>
  <c r="N262" i="7"/>
  <c r="R262" i="7" s="1"/>
  <c r="O262" i="7"/>
  <c r="P262" i="7"/>
  <c r="I262" i="7"/>
  <c r="J262" i="7"/>
  <c r="Y263" i="7"/>
  <c r="AA263" i="7"/>
  <c r="X263" i="7"/>
  <c r="Z263" i="7"/>
  <c r="W263" i="7"/>
  <c r="V263" i="7"/>
  <c r="U264" i="7"/>
  <c r="AB263" i="7"/>
  <c r="G264" i="7"/>
  <c r="D263" i="7"/>
  <c r="F263" i="7"/>
  <c r="E263" i="7"/>
  <c r="S262" i="7" l="1"/>
  <c r="Q262" i="7"/>
  <c r="H263" i="7"/>
  <c r="O263" i="7"/>
  <c r="M263" i="7"/>
  <c r="S263" i="7"/>
  <c r="P263" i="7"/>
  <c r="Q263" i="7"/>
  <c r="N263" i="7"/>
  <c r="R263" i="7" s="1"/>
  <c r="I263" i="7"/>
  <c r="J263" i="7"/>
  <c r="D264" i="7"/>
  <c r="E264" i="7"/>
  <c r="F264" i="7"/>
  <c r="G265" i="7"/>
  <c r="Y264" i="7"/>
  <c r="W264" i="7"/>
  <c r="AB264" i="7"/>
  <c r="U265" i="7"/>
  <c r="V264" i="7"/>
  <c r="X264" i="7"/>
  <c r="Z264" i="7"/>
  <c r="AA264" i="7"/>
  <c r="H264" i="7" l="1"/>
  <c r="M264" i="7"/>
  <c r="O264" i="7"/>
  <c r="Q264" i="7" s="1"/>
  <c r="N264" i="7"/>
  <c r="R264" i="7" s="1"/>
  <c r="P264" i="7"/>
  <c r="S264" i="7"/>
  <c r="I264" i="7"/>
  <c r="J264" i="7"/>
  <c r="F265" i="7"/>
  <c r="G266" i="7"/>
  <c r="D265" i="7"/>
  <c r="E265" i="7"/>
  <c r="Y265" i="7"/>
  <c r="V265" i="7"/>
  <c r="Z265" i="7"/>
  <c r="U266" i="7"/>
  <c r="W265" i="7"/>
  <c r="AA265" i="7"/>
  <c r="AB265" i="7"/>
  <c r="X265" i="7"/>
  <c r="H265" i="7" l="1"/>
  <c r="I265" i="7"/>
  <c r="M265" i="7"/>
  <c r="P265" i="7"/>
  <c r="N265" i="7"/>
  <c r="R265" i="7" s="1"/>
  <c r="O265" i="7"/>
  <c r="J265" i="7"/>
  <c r="Y266" i="7"/>
  <c r="Z266" i="7"/>
  <c r="U267" i="7"/>
  <c r="AA266" i="7"/>
  <c r="V266" i="7"/>
  <c r="AB266" i="7"/>
  <c r="X266" i="7"/>
  <c r="W266" i="7"/>
  <c r="G267" i="7"/>
  <c r="D266" i="7"/>
  <c r="F266" i="7"/>
  <c r="E266" i="7"/>
  <c r="Q265" i="7" l="1"/>
  <c r="S265" i="7"/>
  <c r="H266" i="7"/>
  <c r="O266" i="7"/>
  <c r="N266" i="7"/>
  <c r="P266" i="7"/>
  <c r="M266" i="7"/>
  <c r="S266" i="7" s="1"/>
  <c r="R266" i="7"/>
  <c r="Q266" i="7"/>
  <c r="J266" i="7"/>
  <c r="I266" i="7"/>
  <c r="D267" i="7"/>
  <c r="E267" i="7"/>
  <c r="F267" i="7"/>
  <c r="G268" i="7"/>
  <c r="Y267" i="7"/>
  <c r="U268" i="7"/>
  <c r="W267" i="7"/>
  <c r="X267" i="7"/>
  <c r="AB267" i="7"/>
  <c r="V267" i="7"/>
  <c r="AA267" i="7"/>
  <c r="Z267" i="7"/>
  <c r="H267" i="7" l="1"/>
  <c r="I267" i="7"/>
  <c r="M267" i="7"/>
  <c r="P267" i="7"/>
  <c r="O267" i="7"/>
  <c r="N267" i="7"/>
  <c r="R267" i="7" s="1"/>
  <c r="J267" i="7"/>
  <c r="Y268" i="7"/>
  <c r="Z268" i="7"/>
  <c r="U269" i="7"/>
  <c r="W268" i="7"/>
  <c r="X268" i="7"/>
  <c r="AB268" i="7"/>
  <c r="AA268" i="7"/>
  <c r="V268" i="7"/>
  <c r="F268" i="7"/>
  <c r="G269" i="7"/>
  <c r="D268" i="7"/>
  <c r="E268" i="7"/>
  <c r="Q267" i="7" l="1"/>
  <c r="S267" i="7"/>
  <c r="I268" i="7"/>
  <c r="N268" i="7"/>
  <c r="M268" i="7"/>
  <c r="R268" i="7"/>
  <c r="O268" i="7"/>
  <c r="P268" i="7"/>
  <c r="Q268" i="7"/>
  <c r="S268" i="7"/>
  <c r="J268" i="7"/>
  <c r="H268" i="7"/>
  <c r="G270" i="7"/>
  <c r="D269" i="7"/>
  <c r="F269" i="7"/>
  <c r="E269" i="7"/>
  <c r="Y269" i="7"/>
  <c r="AA269" i="7"/>
  <c r="AB269" i="7"/>
  <c r="Z269" i="7"/>
  <c r="U270" i="7"/>
  <c r="X269" i="7"/>
  <c r="W269" i="7"/>
  <c r="V269" i="7"/>
  <c r="I269" i="7" l="1"/>
  <c r="H269" i="7"/>
  <c r="O269" i="7"/>
  <c r="M269" i="7"/>
  <c r="Q269" i="7"/>
  <c r="S269" i="7"/>
  <c r="N269" i="7"/>
  <c r="R269" i="7" s="1"/>
  <c r="P269" i="7"/>
  <c r="J269" i="7"/>
  <c r="Y270" i="7"/>
  <c r="AB270" i="7"/>
  <c r="U271" i="7"/>
  <c r="X270" i="7"/>
  <c r="W270" i="7"/>
  <c r="Z270" i="7"/>
  <c r="V270" i="7"/>
  <c r="AA270" i="7"/>
  <c r="D270" i="7"/>
  <c r="E270" i="7"/>
  <c r="F270" i="7"/>
  <c r="G271" i="7"/>
  <c r="J270" i="7" l="1"/>
  <c r="I270" i="7"/>
  <c r="O270" i="7"/>
  <c r="Q270" i="7" s="1"/>
  <c r="P270" i="7"/>
  <c r="M270" i="7"/>
  <c r="S270" i="7" s="1"/>
  <c r="N270" i="7"/>
  <c r="R270" i="7" s="1"/>
  <c r="H270" i="7"/>
  <c r="Y271" i="7"/>
  <c r="Z271" i="7"/>
  <c r="U272" i="7"/>
  <c r="AB271" i="7"/>
  <c r="V271" i="7"/>
  <c r="W271" i="7"/>
  <c r="X271" i="7"/>
  <c r="AA271" i="7"/>
  <c r="F271" i="7"/>
  <c r="G272" i="7"/>
  <c r="D271" i="7"/>
  <c r="E271" i="7"/>
  <c r="I271" i="7" l="1"/>
  <c r="P271" i="7"/>
  <c r="O271" i="7"/>
  <c r="Q271" i="7"/>
  <c r="M271" i="7"/>
  <c r="S271" i="7" s="1"/>
  <c r="N271" i="7"/>
  <c r="R271" i="7" s="1"/>
  <c r="J271" i="7"/>
  <c r="H271" i="7"/>
  <c r="Y272" i="7"/>
  <c r="Z272" i="7"/>
  <c r="U273" i="7"/>
  <c r="V272" i="7"/>
  <c r="W272" i="7"/>
  <c r="X272" i="7"/>
  <c r="AA272" i="7"/>
  <c r="AB272" i="7"/>
  <c r="G273" i="7"/>
  <c r="D272" i="7"/>
  <c r="F272" i="7"/>
  <c r="E272" i="7"/>
  <c r="M272" i="7" l="1"/>
  <c r="O272" i="7"/>
  <c r="P272" i="7"/>
  <c r="N272" i="7"/>
  <c r="R272" i="7" s="1"/>
  <c r="J272" i="7"/>
  <c r="I272" i="7"/>
  <c r="H272" i="7"/>
  <c r="Y273" i="7"/>
  <c r="AA273" i="7"/>
  <c r="V273" i="7"/>
  <c r="Z273" i="7"/>
  <c r="U274" i="7"/>
  <c r="AB273" i="7"/>
  <c r="X273" i="7"/>
  <c r="W273" i="7"/>
  <c r="D273" i="7"/>
  <c r="E273" i="7"/>
  <c r="F273" i="7"/>
  <c r="G274" i="7"/>
  <c r="S272" i="7" l="1"/>
  <c r="Q272" i="7"/>
  <c r="M273" i="7"/>
  <c r="O273" i="7"/>
  <c r="Q273" i="7" s="1"/>
  <c r="P273" i="7"/>
  <c r="S273" i="7"/>
  <c r="N273" i="7"/>
  <c r="R273" i="7" s="1"/>
  <c r="I273" i="7"/>
  <c r="H273" i="7"/>
  <c r="J273" i="7"/>
  <c r="Y274" i="7"/>
  <c r="AB274" i="7"/>
  <c r="AA274" i="7"/>
  <c r="V274" i="7"/>
  <c r="X274" i="7"/>
  <c r="U275" i="7"/>
  <c r="W274" i="7"/>
  <c r="Z274" i="7"/>
  <c r="F274" i="7"/>
  <c r="G275" i="7"/>
  <c r="D274" i="7"/>
  <c r="E274" i="7"/>
  <c r="M274" i="7" l="1"/>
  <c r="N274" i="7"/>
  <c r="R274" i="7" s="1"/>
  <c r="P274" i="7"/>
  <c r="O274" i="7"/>
  <c r="J274" i="7"/>
  <c r="I274" i="7"/>
  <c r="H274" i="7"/>
  <c r="Y275" i="7"/>
  <c r="Z275" i="7"/>
  <c r="V275" i="7"/>
  <c r="W275" i="7"/>
  <c r="X275" i="7"/>
  <c r="AA275" i="7"/>
  <c r="AB275" i="7"/>
  <c r="U276" i="7"/>
  <c r="G276" i="7"/>
  <c r="D275" i="7"/>
  <c r="F275" i="7"/>
  <c r="E275" i="7"/>
  <c r="Q274" i="7" l="1"/>
  <c r="Q275" i="7" s="1"/>
  <c r="S274" i="7"/>
  <c r="P275" i="7"/>
  <c r="N275" i="7"/>
  <c r="O275" i="7"/>
  <c r="M275" i="7"/>
  <c r="S275" i="7"/>
  <c r="R275" i="7"/>
  <c r="I275" i="7"/>
  <c r="J275" i="7"/>
  <c r="H275" i="7"/>
  <c r="Y276" i="7"/>
  <c r="Z276" i="7"/>
  <c r="V276" i="7"/>
  <c r="W276" i="7"/>
  <c r="X276" i="7"/>
  <c r="AA276" i="7"/>
  <c r="AB276" i="7"/>
  <c r="U277" i="7"/>
  <c r="D276" i="7"/>
  <c r="E276" i="7"/>
  <c r="F276" i="7"/>
  <c r="G277" i="7"/>
  <c r="O276" i="7" l="1"/>
  <c r="S276" i="7" s="1"/>
  <c r="M276" i="7"/>
  <c r="N276" i="7"/>
  <c r="R276" i="7" s="1"/>
  <c r="Q276" i="7"/>
  <c r="P276" i="7"/>
  <c r="I276" i="7"/>
  <c r="H276" i="7"/>
  <c r="J276" i="7"/>
  <c r="F277" i="7"/>
  <c r="D277" i="7"/>
  <c r="E277" i="7"/>
  <c r="Y277" i="7"/>
  <c r="Z277" i="7"/>
  <c r="X277" i="7"/>
  <c r="AA277" i="7"/>
  <c r="AB277" i="7"/>
  <c r="U278" i="7"/>
  <c r="U279" i="7" s="1"/>
  <c r="V277" i="7"/>
  <c r="W277" i="7"/>
  <c r="I277" i="7" l="1"/>
  <c r="P277" i="7"/>
  <c r="M277" i="7"/>
  <c r="O277" i="7"/>
  <c r="N277" i="7"/>
  <c r="R277" i="7" s="1"/>
  <c r="H277" i="7"/>
  <c r="J277" i="7"/>
  <c r="Z279" i="7"/>
  <c r="W279" i="7"/>
  <c r="X279" i="7"/>
  <c r="Y279" i="7"/>
  <c r="V279" i="7"/>
  <c r="U280" i="7"/>
  <c r="AB279" i="7"/>
  <c r="AA279" i="7"/>
  <c r="G278" i="7"/>
  <c r="Y278" i="7"/>
  <c r="Z278" i="7"/>
  <c r="AA278" i="7"/>
  <c r="V278" i="7"/>
  <c r="W278" i="7"/>
  <c r="X278" i="7"/>
  <c r="AB278" i="7"/>
  <c r="D278" i="7"/>
  <c r="F278" i="7"/>
  <c r="E278" i="7"/>
  <c r="S277" i="7" l="1"/>
  <c r="Q277" i="7"/>
  <c r="I278" i="7"/>
  <c r="N278" i="7"/>
  <c r="P278" i="7"/>
  <c r="M278" i="7"/>
  <c r="S278" i="7" s="1"/>
  <c r="O278" i="7"/>
  <c r="Q278" i="7" s="1"/>
  <c r="R278" i="7"/>
  <c r="H278" i="7"/>
  <c r="J278" i="7"/>
  <c r="Y280" i="7"/>
  <c r="Z280" i="7"/>
  <c r="AB280" i="7"/>
  <c r="V280" i="7"/>
  <c r="X280" i="7"/>
  <c r="W280" i="7"/>
  <c r="AA280" i="7"/>
  <c r="U281" i="7"/>
  <c r="E279" i="7"/>
  <c r="D279" i="7"/>
  <c r="F279" i="7"/>
  <c r="G279" i="7"/>
  <c r="M279" i="7" l="1"/>
  <c r="P279" i="7"/>
  <c r="N279" i="7"/>
  <c r="R279" i="7"/>
  <c r="O279" i="7"/>
  <c r="Q279" i="7"/>
  <c r="S279" i="7"/>
  <c r="J279" i="7"/>
  <c r="I279" i="7"/>
  <c r="H279" i="7"/>
  <c r="Y281" i="7"/>
  <c r="U282" i="7"/>
  <c r="V281" i="7"/>
  <c r="W281" i="7"/>
  <c r="X281" i="7"/>
  <c r="Z281" i="7"/>
  <c r="AA281" i="7"/>
  <c r="AB281" i="7"/>
  <c r="G280" i="7"/>
  <c r="F280" i="7"/>
  <c r="E280" i="7"/>
  <c r="D280" i="7"/>
  <c r="M280" i="7" l="1"/>
  <c r="O280" i="7"/>
  <c r="P280" i="7"/>
  <c r="N280" i="7"/>
  <c r="R280" i="7" s="1"/>
  <c r="H280" i="7"/>
  <c r="I280" i="7"/>
  <c r="J280" i="7"/>
  <c r="Y282" i="7"/>
  <c r="V282" i="7"/>
  <c r="X282" i="7"/>
  <c r="Z282" i="7"/>
  <c r="AA282" i="7"/>
  <c r="AB282" i="7"/>
  <c r="U283" i="7"/>
  <c r="W282" i="7"/>
  <c r="G281" i="7"/>
  <c r="E281" i="7"/>
  <c r="F281" i="7"/>
  <c r="D281" i="7"/>
  <c r="S280" i="7" l="1"/>
  <c r="Q280" i="7"/>
  <c r="M281" i="7"/>
  <c r="P281" i="7"/>
  <c r="N281" i="7"/>
  <c r="R281" i="7" s="1"/>
  <c r="O281" i="7"/>
  <c r="Q281" i="7" s="1"/>
  <c r="S281" i="7"/>
  <c r="I281" i="7"/>
  <c r="H281" i="7"/>
  <c r="J281" i="7"/>
  <c r="Y283" i="7"/>
  <c r="Z283" i="7"/>
  <c r="AA283" i="7"/>
  <c r="AB283" i="7"/>
  <c r="V283" i="7"/>
  <c r="X283" i="7"/>
  <c r="W283" i="7"/>
  <c r="U284" i="7"/>
  <c r="G282" i="7"/>
  <c r="F282" i="7"/>
  <c r="E282" i="7"/>
  <c r="D282" i="7"/>
  <c r="H282" i="7" l="1"/>
  <c r="P282" i="7"/>
  <c r="M282" i="7"/>
  <c r="O282" i="7"/>
  <c r="N282" i="7"/>
  <c r="R282" i="7" s="1"/>
  <c r="J282" i="7"/>
  <c r="I282" i="7"/>
  <c r="Y284" i="7"/>
  <c r="U285" i="7"/>
  <c r="V284" i="7"/>
  <c r="W284" i="7"/>
  <c r="X284" i="7"/>
  <c r="Z284" i="7"/>
  <c r="AB284" i="7"/>
  <c r="AA284" i="7"/>
  <c r="G283" i="7"/>
  <c r="E283" i="7"/>
  <c r="F283" i="7"/>
  <c r="D283" i="7"/>
  <c r="S282" i="7" l="1"/>
  <c r="Q282" i="7"/>
  <c r="H283" i="7"/>
  <c r="J283" i="7"/>
  <c r="M283" i="7"/>
  <c r="O283" i="7"/>
  <c r="S283" i="7" s="1"/>
  <c r="N283" i="7"/>
  <c r="R283" i="7" s="1"/>
  <c r="P283" i="7"/>
  <c r="Q283" i="7"/>
  <c r="I283" i="7"/>
  <c r="Y285" i="7"/>
  <c r="V285" i="7"/>
  <c r="AA285" i="7"/>
  <c r="W285" i="7"/>
  <c r="X285" i="7"/>
  <c r="AB285" i="7"/>
  <c r="Z285" i="7"/>
  <c r="U286" i="7"/>
  <c r="G284" i="7"/>
  <c r="E284" i="7"/>
  <c r="F284" i="7"/>
  <c r="D284" i="7"/>
  <c r="H284" i="7" l="1"/>
  <c r="J284" i="7"/>
  <c r="N284" i="7"/>
  <c r="O284" i="7"/>
  <c r="M284" i="7"/>
  <c r="S284" i="7" s="1"/>
  <c r="P284" i="7"/>
  <c r="Q284" i="7"/>
  <c r="R284" i="7"/>
  <c r="I284" i="7"/>
  <c r="Y286" i="7"/>
  <c r="Z286" i="7"/>
  <c r="V286" i="7"/>
  <c r="W286" i="7"/>
  <c r="AB286" i="7"/>
  <c r="X286" i="7"/>
  <c r="AA286" i="7"/>
  <c r="U287" i="7"/>
  <c r="G285" i="7"/>
  <c r="F285" i="7"/>
  <c r="D285" i="7"/>
  <c r="E285" i="7"/>
  <c r="H285" i="7" l="1"/>
  <c r="N285" i="7"/>
  <c r="P285" i="7"/>
  <c r="O285" i="7"/>
  <c r="M285" i="7"/>
  <c r="Q285" i="7"/>
  <c r="I285" i="7"/>
  <c r="J285" i="7"/>
  <c r="Y287" i="7"/>
  <c r="U288" i="7"/>
  <c r="W287" i="7"/>
  <c r="Z287" i="7"/>
  <c r="AA287" i="7"/>
  <c r="V287" i="7"/>
  <c r="X287" i="7"/>
  <c r="AB287" i="7"/>
  <c r="G286" i="7"/>
  <c r="E286" i="7"/>
  <c r="F286" i="7"/>
  <c r="D286" i="7"/>
  <c r="S285" i="7" l="1"/>
  <c r="R285" i="7"/>
  <c r="N286" i="7"/>
  <c r="R286" i="7" s="1"/>
  <c r="O286" i="7"/>
  <c r="P286" i="7"/>
  <c r="M286" i="7"/>
  <c r="S286" i="7" s="1"/>
  <c r="Q286" i="7"/>
  <c r="J286" i="7"/>
  <c r="H286" i="7"/>
  <c r="I286" i="7"/>
  <c r="Y288" i="7"/>
  <c r="V288" i="7"/>
  <c r="AA288" i="7"/>
  <c r="U289" i="7"/>
  <c r="X288" i="7"/>
  <c r="Z288" i="7"/>
  <c r="AB288" i="7"/>
  <c r="W288" i="7"/>
  <c r="G287" i="7"/>
  <c r="F287" i="7"/>
  <c r="D287" i="7"/>
  <c r="E287" i="7"/>
  <c r="O287" i="7" l="1"/>
  <c r="Q287" i="7"/>
  <c r="P287" i="7"/>
  <c r="N287" i="7"/>
  <c r="R287" i="7" s="1"/>
  <c r="M287" i="7"/>
  <c r="S287" i="7" s="1"/>
  <c r="H287" i="7"/>
  <c r="I287" i="7"/>
  <c r="J287" i="7"/>
  <c r="Y289" i="7"/>
  <c r="Z289" i="7"/>
  <c r="X289" i="7"/>
  <c r="AA289" i="7"/>
  <c r="AB289" i="7"/>
  <c r="V289" i="7"/>
  <c r="W289" i="7"/>
  <c r="U290" i="7"/>
  <c r="G288" i="7"/>
  <c r="E288" i="7"/>
  <c r="F288" i="7"/>
  <c r="D288" i="7"/>
  <c r="O288" i="7" l="1"/>
  <c r="Q288" i="7" s="1"/>
  <c r="P288" i="7"/>
  <c r="M288" i="7"/>
  <c r="S288" i="7"/>
  <c r="N288" i="7"/>
  <c r="R288" i="7" s="1"/>
  <c r="I288" i="7"/>
  <c r="J288" i="7"/>
  <c r="H288" i="7"/>
  <c r="Y290" i="7"/>
  <c r="U291" i="7"/>
  <c r="X290" i="7"/>
  <c r="AB290" i="7"/>
  <c r="V290" i="7"/>
  <c r="Z290" i="7"/>
  <c r="AA290" i="7"/>
  <c r="W290" i="7"/>
  <c r="G289" i="7"/>
  <c r="D289" i="7"/>
  <c r="E289" i="7"/>
  <c r="F289" i="7"/>
  <c r="H289" i="7" l="1"/>
  <c r="O289" i="7"/>
  <c r="S289" i="7" s="1"/>
  <c r="P289" i="7"/>
  <c r="N289" i="7"/>
  <c r="M289" i="7"/>
  <c r="R289" i="7" s="1"/>
  <c r="Q289" i="7"/>
  <c r="I289" i="7"/>
  <c r="J289" i="7"/>
  <c r="Y291" i="7"/>
  <c r="V291" i="7"/>
  <c r="X291" i="7"/>
  <c r="Z291" i="7"/>
  <c r="AA291" i="7"/>
  <c r="AB291" i="7"/>
  <c r="U292" i="7"/>
  <c r="W291" i="7"/>
  <c r="G290" i="7"/>
  <c r="F290" i="7"/>
  <c r="E290" i="7"/>
  <c r="D290" i="7"/>
  <c r="N290" i="7" l="1"/>
  <c r="R290" i="7" s="1"/>
  <c r="M290" i="7"/>
  <c r="O290" i="7"/>
  <c r="Q290" i="7" s="1"/>
  <c r="P290" i="7"/>
  <c r="S290" i="7"/>
  <c r="I290" i="7"/>
  <c r="J290" i="7"/>
  <c r="H290" i="7"/>
  <c r="Y292" i="7"/>
  <c r="Z292" i="7"/>
  <c r="W292" i="7"/>
  <c r="U293" i="7"/>
  <c r="AB292" i="7"/>
  <c r="X292" i="7"/>
  <c r="AA292" i="7"/>
  <c r="V292" i="7"/>
  <c r="G291" i="7"/>
  <c r="D291" i="7"/>
  <c r="E291" i="7"/>
  <c r="F291" i="7"/>
  <c r="J291" i="7" l="1"/>
  <c r="I291" i="7"/>
  <c r="N291" i="7"/>
  <c r="R291" i="7" s="1"/>
  <c r="P291" i="7"/>
  <c r="O291" i="7"/>
  <c r="M291" i="7"/>
  <c r="H291" i="7"/>
  <c r="Y293" i="7"/>
  <c r="U294" i="7"/>
  <c r="W293" i="7"/>
  <c r="Z293" i="7"/>
  <c r="V293" i="7"/>
  <c r="X293" i="7"/>
  <c r="AB293" i="7"/>
  <c r="AA293" i="7"/>
  <c r="G292" i="7"/>
  <c r="D292" i="7"/>
  <c r="E292" i="7"/>
  <c r="F292" i="7"/>
  <c r="Q291" i="7" l="1"/>
  <c r="S291" i="7"/>
  <c r="I292" i="7"/>
  <c r="H292" i="7"/>
  <c r="P292" i="7"/>
  <c r="N292" i="7"/>
  <c r="R292" i="7" s="1"/>
  <c r="M292" i="7"/>
  <c r="O292" i="7"/>
  <c r="Q292" i="7" s="1"/>
  <c r="S292" i="7"/>
  <c r="J292" i="7"/>
  <c r="Y294" i="7"/>
  <c r="V294" i="7"/>
  <c r="X294" i="7"/>
  <c r="Z294" i="7"/>
  <c r="AA294" i="7"/>
  <c r="AB294" i="7"/>
  <c r="U295" i="7"/>
  <c r="W294" i="7"/>
  <c r="G293" i="7"/>
  <c r="E293" i="7"/>
  <c r="F293" i="7"/>
  <c r="D293" i="7"/>
  <c r="H293" i="7" l="1"/>
  <c r="I293" i="7"/>
  <c r="P293" i="7"/>
  <c r="O293" i="7"/>
  <c r="M293" i="7"/>
  <c r="Q293" i="7"/>
  <c r="S293" i="7"/>
  <c r="N293" i="7"/>
  <c r="R293" i="7" s="1"/>
  <c r="J293" i="7"/>
  <c r="Y295" i="7"/>
  <c r="Z295" i="7"/>
  <c r="X295" i="7"/>
  <c r="AA295" i="7"/>
  <c r="AB295" i="7"/>
  <c r="W295" i="7"/>
  <c r="U296" i="7"/>
  <c r="V295" i="7"/>
  <c r="D294" i="7"/>
  <c r="E294" i="7"/>
  <c r="F294" i="7"/>
  <c r="G294" i="7"/>
  <c r="H294" i="7" l="1"/>
  <c r="O294" i="7"/>
  <c r="N294" i="7"/>
  <c r="R294" i="7" s="1"/>
  <c r="P294" i="7"/>
  <c r="M294" i="7"/>
  <c r="I294" i="7"/>
  <c r="J294" i="7"/>
  <c r="Y296" i="7"/>
  <c r="U297" i="7"/>
  <c r="V296" i="7"/>
  <c r="W296" i="7"/>
  <c r="X296" i="7"/>
  <c r="Z296" i="7"/>
  <c r="AB296" i="7"/>
  <c r="AA296" i="7"/>
  <c r="E295" i="7"/>
  <c r="F295" i="7"/>
  <c r="G295" i="7"/>
  <c r="D295" i="7"/>
  <c r="S294" i="7" l="1"/>
  <c r="Q294" i="7"/>
  <c r="H295" i="7"/>
  <c r="P295" i="7"/>
  <c r="N295" i="7"/>
  <c r="O295" i="7"/>
  <c r="M295" i="7"/>
  <c r="Q295" i="7"/>
  <c r="R295" i="7"/>
  <c r="S295" i="7"/>
  <c r="I295" i="7"/>
  <c r="J295" i="7"/>
  <c r="Y297" i="7"/>
  <c r="V297" i="7"/>
  <c r="AA297" i="7"/>
  <c r="AB297" i="7"/>
  <c r="W297" i="7"/>
  <c r="X297" i="7"/>
  <c r="U298" i="7"/>
  <c r="Z297" i="7"/>
  <c r="G296" i="7"/>
  <c r="E296" i="7"/>
  <c r="D296" i="7"/>
  <c r="F296" i="7"/>
  <c r="H296" i="7" l="1"/>
  <c r="P296" i="7"/>
  <c r="M296" i="7"/>
  <c r="O296" i="7"/>
  <c r="Q296" i="7"/>
  <c r="N296" i="7"/>
  <c r="R296" i="7" s="1"/>
  <c r="S296" i="7"/>
  <c r="I296" i="7"/>
  <c r="J296" i="7"/>
  <c r="Y298" i="7"/>
  <c r="Z298" i="7"/>
  <c r="AB298" i="7"/>
  <c r="V298" i="7"/>
  <c r="W298" i="7"/>
  <c r="X298" i="7"/>
  <c r="AA298" i="7"/>
  <c r="U299" i="7"/>
  <c r="G297" i="7"/>
  <c r="E297" i="7"/>
  <c r="F297" i="7"/>
  <c r="D297" i="7"/>
  <c r="H297" i="7" l="1"/>
  <c r="I297" i="7"/>
  <c r="M297" i="7"/>
  <c r="R297" i="7" s="1"/>
  <c r="N297" i="7"/>
  <c r="O297" i="7"/>
  <c r="P297" i="7"/>
  <c r="Q297" i="7"/>
  <c r="S297" i="7"/>
  <c r="J297" i="7"/>
  <c r="Y299" i="7"/>
  <c r="U300" i="7"/>
  <c r="X299" i="7"/>
  <c r="AB299" i="7"/>
  <c r="V299" i="7"/>
  <c r="Z299" i="7"/>
  <c r="AA299" i="7"/>
  <c r="W299" i="7"/>
  <c r="G298" i="7"/>
  <c r="E298" i="7"/>
  <c r="D298" i="7"/>
  <c r="F298" i="7"/>
  <c r="H298" i="7" l="1"/>
  <c r="J298" i="7"/>
  <c r="N298" i="7"/>
  <c r="R298" i="7" s="1"/>
  <c r="O298" i="7"/>
  <c r="S298" i="7" s="1"/>
  <c r="M298" i="7"/>
  <c r="P298" i="7"/>
  <c r="Q298" i="7"/>
  <c r="I298" i="7"/>
  <c r="Y300" i="7"/>
  <c r="V300" i="7"/>
  <c r="Z300" i="7"/>
  <c r="AA300" i="7"/>
  <c r="U301" i="7"/>
  <c r="X300" i="7"/>
  <c r="W300" i="7"/>
  <c r="AB300" i="7"/>
  <c r="G299" i="7"/>
  <c r="E299" i="7"/>
  <c r="F299" i="7"/>
  <c r="D299" i="7"/>
  <c r="H299" i="7" l="1"/>
  <c r="O299" i="7"/>
  <c r="P299" i="7"/>
  <c r="M299" i="7"/>
  <c r="Q299" i="7"/>
  <c r="N299" i="7"/>
  <c r="R299" i="7" s="1"/>
  <c r="S299" i="7"/>
  <c r="I299" i="7"/>
  <c r="J299" i="7"/>
  <c r="Y301" i="7"/>
  <c r="Z301" i="7"/>
  <c r="X301" i="7"/>
  <c r="U302" i="7"/>
  <c r="AB301" i="7"/>
  <c r="W301" i="7"/>
  <c r="V301" i="7"/>
  <c r="AA301" i="7"/>
  <c r="G300" i="7"/>
  <c r="E300" i="7"/>
  <c r="F300" i="7"/>
  <c r="D300" i="7"/>
  <c r="H300" i="7" l="1"/>
  <c r="J300" i="7"/>
  <c r="P300" i="7"/>
  <c r="M300" i="7"/>
  <c r="N300" i="7"/>
  <c r="R300" i="7"/>
  <c r="O300" i="7"/>
  <c r="I300" i="7"/>
  <c r="Y302" i="7"/>
  <c r="U303" i="7"/>
  <c r="W302" i="7"/>
  <c r="Z302" i="7"/>
  <c r="V302" i="7"/>
  <c r="AB302" i="7"/>
  <c r="AA302" i="7"/>
  <c r="X302" i="7"/>
  <c r="G301" i="7"/>
  <c r="D301" i="7"/>
  <c r="F301" i="7"/>
  <c r="E301" i="7"/>
  <c r="Q300" i="7" l="1"/>
  <c r="Q301" i="7" s="1"/>
  <c r="S300" i="7"/>
  <c r="H301" i="7"/>
  <c r="O301" i="7"/>
  <c r="M301" i="7"/>
  <c r="P301" i="7"/>
  <c r="N301" i="7"/>
  <c r="R301" i="7" s="1"/>
  <c r="S301" i="7"/>
  <c r="I301" i="7"/>
  <c r="J301" i="7"/>
  <c r="Y303" i="7"/>
  <c r="V303" i="7"/>
  <c r="AA303" i="7"/>
  <c r="U304" i="7"/>
  <c r="X303" i="7"/>
  <c r="AB303" i="7"/>
  <c r="W303" i="7"/>
  <c r="Z303" i="7"/>
  <c r="G302" i="7"/>
  <c r="E302" i="7"/>
  <c r="D302" i="7"/>
  <c r="F302" i="7"/>
  <c r="J302" i="7" l="1"/>
  <c r="O302" i="7"/>
  <c r="P302" i="7"/>
  <c r="N302" i="7"/>
  <c r="R302" i="7" s="1"/>
  <c r="M302" i="7"/>
  <c r="S302" i="7" s="1"/>
  <c r="Q302" i="7"/>
  <c r="I302" i="7"/>
  <c r="H302" i="7"/>
  <c r="Y304" i="7"/>
  <c r="Z304" i="7"/>
  <c r="AA304" i="7"/>
  <c r="AB304" i="7"/>
  <c r="X304" i="7"/>
  <c r="U305" i="7"/>
  <c r="V304" i="7"/>
  <c r="W304" i="7"/>
  <c r="G303" i="7"/>
  <c r="D303" i="7"/>
  <c r="E303" i="7"/>
  <c r="F303" i="7"/>
  <c r="H303" i="7" l="1"/>
  <c r="J303" i="7"/>
  <c r="N303" i="7"/>
  <c r="P303" i="7"/>
  <c r="O303" i="7"/>
  <c r="Q303" i="7"/>
  <c r="M303" i="7"/>
  <c r="R303" i="7"/>
  <c r="S303" i="7"/>
  <c r="I303" i="7"/>
  <c r="Y305" i="7"/>
  <c r="U306" i="7"/>
  <c r="X305" i="7"/>
  <c r="AB305" i="7"/>
  <c r="AA305" i="7"/>
  <c r="V305" i="7"/>
  <c r="W305" i="7"/>
  <c r="Z305" i="7"/>
  <c r="G304" i="7"/>
  <c r="F304" i="7"/>
  <c r="E304" i="7"/>
  <c r="D304" i="7"/>
  <c r="J304" i="7" l="1"/>
  <c r="O304" i="7"/>
  <c r="Q304" i="7" s="1"/>
  <c r="N304" i="7"/>
  <c r="R304" i="7" s="1"/>
  <c r="P304" i="7"/>
  <c r="M304" i="7"/>
  <c r="S304" i="7" s="1"/>
  <c r="I304" i="7"/>
  <c r="H304" i="7"/>
  <c r="Y306" i="7"/>
  <c r="V306" i="7"/>
  <c r="AA306" i="7"/>
  <c r="U307" i="7"/>
  <c r="X306" i="7"/>
  <c r="AB306" i="7"/>
  <c r="Z306" i="7"/>
  <c r="W306" i="7"/>
  <c r="G305" i="7"/>
  <c r="E305" i="7"/>
  <c r="D305" i="7"/>
  <c r="F305" i="7"/>
  <c r="J305" i="7" l="1"/>
  <c r="I305" i="7"/>
  <c r="P305" i="7"/>
  <c r="N305" i="7"/>
  <c r="O305" i="7"/>
  <c r="Q305" i="7" s="1"/>
  <c r="M305" i="7"/>
  <c r="R305" i="7" s="1"/>
  <c r="S305" i="7"/>
  <c r="H305" i="7"/>
  <c r="Y307" i="7"/>
  <c r="Z307" i="7"/>
  <c r="V307" i="7"/>
  <c r="X307" i="7"/>
  <c r="U308" i="7"/>
  <c r="AB307" i="7"/>
  <c r="W307" i="7"/>
  <c r="AA307" i="7"/>
  <c r="G306" i="7"/>
  <c r="E306" i="7"/>
  <c r="D306" i="7"/>
  <c r="F306" i="7"/>
  <c r="H306" i="7" l="1"/>
  <c r="N306" i="7"/>
  <c r="R306" i="7" s="1"/>
  <c r="M306" i="7"/>
  <c r="P306" i="7"/>
  <c r="O306" i="7"/>
  <c r="Q306" i="7" s="1"/>
  <c r="S306" i="7"/>
  <c r="I306" i="7"/>
  <c r="J306" i="7"/>
  <c r="Y308" i="7"/>
  <c r="U309" i="7"/>
  <c r="W308" i="7"/>
  <c r="Z308" i="7"/>
  <c r="AB308" i="7"/>
  <c r="V308" i="7"/>
  <c r="X308" i="7"/>
  <c r="AA308" i="7"/>
  <c r="G307" i="7"/>
  <c r="E307" i="7"/>
  <c r="D307" i="7"/>
  <c r="F307" i="7"/>
  <c r="I307" i="7" l="1"/>
  <c r="M307" i="7"/>
  <c r="P307" i="7"/>
  <c r="N307" i="7"/>
  <c r="R307" i="7" s="1"/>
  <c r="O307" i="7"/>
  <c r="J307" i="7"/>
  <c r="H307" i="7"/>
  <c r="Y309" i="7"/>
  <c r="V309" i="7"/>
  <c r="AA309" i="7"/>
  <c r="AB309" i="7"/>
  <c r="X309" i="7"/>
  <c r="U310" i="7"/>
  <c r="Z309" i="7"/>
  <c r="W309" i="7"/>
  <c r="G308" i="7"/>
  <c r="E308" i="7"/>
  <c r="F308" i="7"/>
  <c r="D308" i="7"/>
  <c r="Q307" i="7" l="1"/>
  <c r="S307" i="7"/>
  <c r="J308" i="7"/>
  <c r="I308" i="7"/>
  <c r="P308" i="7"/>
  <c r="N308" i="7"/>
  <c r="O308" i="7"/>
  <c r="S308" i="7" s="1"/>
  <c r="M308" i="7"/>
  <c r="R308" i="7"/>
  <c r="Q308" i="7"/>
  <c r="H308" i="7"/>
  <c r="Y310" i="7"/>
  <c r="Z310" i="7"/>
  <c r="W310" i="7"/>
  <c r="AA310" i="7"/>
  <c r="AB310" i="7"/>
  <c r="X310" i="7"/>
  <c r="U311" i="7"/>
  <c r="V310" i="7"/>
  <c r="G309" i="7"/>
  <c r="E309" i="7"/>
  <c r="D309" i="7"/>
  <c r="F309" i="7"/>
  <c r="H309" i="7" l="1"/>
  <c r="P309" i="7"/>
  <c r="O309" i="7"/>
  <c r="M309" i="7"/>
  <c r="N309" i="7"/>
  <c r="R309" i="7"/>
  <c r="I309" i="7"/>
  <c r="J309" i="7"/>
  <c r="Y311" i="7"/>
  <c r="U312" i="7"/>
  <c r="X311" i="7"/>
  <c r="AB311" i="7"/>
  <c r="V311" i="7"/>
  <c r="Z311" i="7"/>
  <c r="AA311" i="7"/>
  <c r="W311" i="7"/>
  <c r="G310" i="7"/>
  <c r="D310" i="7"/>
  <c r="F310" i="7"/>
  <c r="E310" i="7"/>
  <c r="S309" i="7" l="1"/>
  <c r="Q309" i="7"/>
  <c r="Q310" i="7" s="1"/>
  <c r="H310" i="7"/>
  <c r="N310" i="7"/>
  <c r="P310" i="7"/>
  <c r="O310" i="7"/>
  <c r="M310" i="7"/>
  <c r="I310" i="7"/>
  <c r="J310" i="7"/>
  <c r="Y312" i="7"/>
  <c r="V312" i="7"/>
  <c r="AA312" i="7"/>
  <c r="U313" i="7"/>
  <c r="W312" i="7"/>
  <c r="X312" i="7"/>
  <c r="Z312" i="7"/>
  <c r="AB312" i="7"/>
  <c r="G311" i="7"/>
  <c r="E311" i="7"/>
  <c r="D311" i="7"/>
  <c r="F311" i="7"/>
  <c r="S310" i="7" l="1"/>
  <c r="R310" i="7"/>
  <c r="H311" i="7"/>
  <c r="M311" i="7"/>
  <c r="O311" i="7"/>
  <c r="Q311" i="7"/>
  <c r="S311" i="7"/>
  <c r="N311" i="7"/>
  <c r="R311" i="7" s="1"/>
  <c r="P311" i="7"/>
  <c r="I311" i="7"/>
  <c r="J311" i="7"/>
  <c r="Y313" i="7"/>
  <c r="Z313" i="7"/>
  <c r="V313" i="7"/>
  <c r="W313" i="7"/>
  <c r="X313" i="7"/>
  <c r="AA313" i="7"/>
  <c r="AB313" i="7"/>
  <c r="U314" i="7"/>
  <c r="G312" i="7"/>
  <c r="J312" i="7"/>
  <c r="I312" i="7"/>
  <c r="D312" i="7"/>
  <c r="F312" i="7"/>
  <c r="E312" i="7"/>
  <c r="H312" i="7"/>
  <c r="O312" i="7" l="1"/>
  <c r="S312" i="7" s="1"/>
  <c r="Q312" i="7"/>
  <c r="P312" i="7"/>
  <c r="N312" i="7"/>
  <c r="R312" i="7" s="1"/>
  <c r="M312" i="7"/>
  <c r="Y314" i="7"/>
  <c r="U315" i="7"/>
  <c r="W314" i="7"/>
  <c r="X314" i="7"/>
  <c r="Z314" i="7"/>
  <c r="AA314" i="7"/>
  <c r="V314" i="7"/>
  <c r="AB314" i="7"/>
  <c r="G313" i="7"/>
  <c r="D313" i="7"/>
  <c r="F313" i="7"/>
  <c r="H313" i="7"/>
  <c r="I313" i="7"/>
  <c r="J313" i="7"/>
  <c r="E313" i="7"/>
  <c r="O313" i="7" l="1"/>
  <c r="Q313" i="7" s="1"/>
  <c r="M313" i="7"/>
  <c r="N313" i="7"/>
  <c r="R313" i="7" s="1"/>
  <c r="P313" i="7"/>
  <c r="S313" i="7"/>
  <c r="Y315" i="7"/>
  <c r="V315" i="7"/>
  <c r="AB315" i="7"/>
  <c r="X315" i="7"/>
  <c r="Z315" i="7"/>
  <c r="U316" i="7"/>
  <c r="AA315" i="7"/>
  <c r="W315" i="7"/>
  <c r="G314" i="7"/>
  <c r="H314" i="7"/>
  <c r="E314" i="7"/>
  <c r="J314" i="7"/>
  <c r="F314" i="7"/>
  <c r="D314" i="7"/>
  <c r="I314" i="7"/>
  <c r="M314" i="7" l="1"/>
  <c r="P314" i="7"/>
  <c r="N314" i="7"/>
  <c r="R314" i="7" s="1"/>
  <c r="O314" i="7"/>
  <c r="Y316" i="7"/>
  <c r="Z316" i="7"/>
  <c r="X316" i="7"/>
  <c r="AB316" i="7"/>
  <c r="V316" i="7"/>
  <c r="AA316" i="7"/>
  <c r="W316" i="7"/>
  <c r="U317" i="7"/>
  <c r="D315" i="7"/>
  <c r="G315" i="7"/>
  <c r="J315" i="7"/>
  <c r="I315" i="7"/>
  <c r="H315" i="7"/>
  <c r="E315" i="7"/>
  <c r="F315" i="7"/>
  <c r="Q314" i="7" l="1"/>
  <c r="S314" i="7"/>
  <c r="N315" i="7"/>
  <c r="O315" i="7"/>
  <c r="Q315" i="7" s="1"/>
  <c r="P315" i="7"/>
  <c r="M315" i="7"/>
  <c r="R315" i="7"/>
  <c r="S315" i="7"/>
  <c r="Y317" i="7"/>
  <c r="U318" i="7"/>
  <c r="X317" i="7"/>
  <c r="AA317" i="7"/>
  <c r="V317" i="7"/>
  <c r="Z317" i="7"/>
  <c r="AB317" i="7"/>
  <c r="W317" i="7"/>
  <c r="G316" i="7"/>
  <c r="H316" i="7"/>
  <c r="J316" i="7"/>
  <c r="D316" i="7"/>
  <c r="I316" i="7"/>
  <c r="F316" i="7"/>
  <c r="E316" i="7"/>
  <c r="P316" i="7" l="1"/>
  <c r="N316" i="7"/>
  <c r="R316" i="7" s="1"/>
  <c r="M316" i="7"/>
  <c r="O316" i="7"/>
  <c r="Y318" i="7"/>
  <c r="V318" i="7"/>
  <c r="AA318" i="7"/>
  <c r="AB318" i="7"/>
  <c r="W318" i="7"/>
  <c r="X318" i="7"/>
  <c r="Z318" i="7"/>
  <c r="U319" i="7"/>
  <c r="G317" i="7"/>
  <c r="D317" i="7"/>
  <c r="E317" i="7"/>
  <c r="F317" i="7"/>
  <c r="H317" i="7"/>
  <c r="I317" i="7"/>
  <c r="J317" i="7"/>
  <c r="Q316" i="7" l="1"/>
  <c r="S316" i="7"/>
  <c r="N317" i="7"/>
  <c r="O317" i="7"/>
  <c r="M317" i="7"/>
  <c r="S317" i="7" s="1"/>
  <c r="P317" i="7"/>
  <c r="Q317" i="7"/>
  <c r="R317" i="7"/>
  <c r="Y319" i="7"/>
  <c r="Z319" i="7"/>
  <c r="U320" i="7"/>
  <c r="V319" i="7"/>
  <c r="W319" i="7"/>
  <c r="AA319" i="7"/>
  <c r="AB319" i="7"/>
  <c r="X319" i="7"/>
  <c r="G318" i="7"/>
  <c r="D318" i="7"/>
  <c r="E318" i="7"/>
  <c r="F318" i="7"/>
  <c r="H318" i="7"/>
  <c r="I318" i="7"/>
  <c r="J318" i="7"/>
  <c r="O318" i="7" l="1"/>
  <c r="S318" i="7" s="1"/>
  <c r="P318" i="7"/>
  <c r="Q318" i="7"/>
  <c r="M318" i="7"/>
  <c r="N318" i="7"/>
  <c r="R318" i="7" s="1"/>
  <c r="Y320" i="7"/>
  <c r="U321" i="7"/>
  <c r="W320" i="7"/>
  <c r="X320" i="7"/>
  <c r="Z320" i="7"/>
  <c r="V320" i="7"/>
  <c r="AB320" i="7"/>
  <c r="AA320" i="7"/>
  <c r="G319" i="7"/>
  <c r="H319" i="7"/>
  <c r="I319" i="7"/>
  <c r="J319" i="7"/>
  <c r="E319" i="7"/>
  <c r="D319" i="7"/>
  <c r="F319" i="7"/>
  <c r="P319" i="7" l="1"/>
  <c r="O319" i="7"/>
  <c r="M319" i="7"/>
  <c r="S319" i="7" s="1"/>
  <c r="Q319" i="7"/>
  <c r="N319" i="7"/>
  <c r="R319" i="7" s="1"/>
  <c r="Y321" i="7"/>
  <c r="V321" i="7"/>
  <c r="U322" i="7"/>
  <c r="X321" i="7"/>
  <c r="Z321" i="7"/>
  <c r="W321" i="7"/>
  <c r="AA321" i="7"/>
  <c r="AB321" i="7"/>
  <c r="G320" i="7"/>
  <c r="H320" i="7"/>
  <c r="I320" i="7"/>
  <c r="E320" i="7"/>
  <c r="J320" i="7"/>
  <c r="D320" i="7"/>
  <c r="F320" i="7"/>
  <c r="P320" i="7" l="1"/>
  <c r="O320" i="7"/>
  <c r="S320" i="7" s="1"/>
  <c r="N320" i="7"/>
  <c r="R320" i="7" s="1"/>
  <c r="Q320" i="7"/>
  <c r="M320" i="7"/>
  <c r="Y322" i="7"/>
  <c r="Z322" i="7"/>
  <c r="W322" i="7"/>
  <c r="AB322" i="7"/>
  <c r="V322" i="7"/>
  <c r="X322" i="7"/>
  <c r="AA322" i="7"/>
  <c r="U323" i="7"/>
  <c r="G321" i="7"/>
  <c r="H321" i="7"/>
  <c r="J321" i="7"/>
  <c r="D321" i="7"/>
  <c r="I321" i="7"/>
  <c r="F321" i="7"/>
  <c r="E321" i="7"/>
  <c r="N321" i="7" l="1"/>
  <c r="O321" i="7"/>
  <c r="M321" i="7"/>
  <c r="R321" i="7"/>
  <c r="P321" i="7"/>
  <c r="S321" i="7"/>
  <c r="Q321" i="7"/>
  <c r="Y323" i="7"/>
  <c r="U324" i="7"/>
  <c r="X323" i="7"/>
  <c r="AB323" i="7"/>
  <c r="AA323" i="7"/>
  <c r="V323" i="7"/>
  <c r="W323" i="7"/>
  <c r="Z323" i="7"/>
  <c r="G322" i="7"/>
  <c r="D322" i="7"/>
  <c r="E322" i="7"/>
  <c r="H322" i="7"/>
  <c r="J322" i="7"/>
  <c r="F322" i="7"/>
  <c r="I322" i="7"/>
  <c r="O322" i="7" l="1"/>
  <c r="S322" i="7" s="1"/>
  <c r="M322" i="7"/>
  <c r="N322" i="7"/>
  <c r="R322" i="7" s="1"/>
  <c r="Q322" i="7"/>
  <c r="P322" i="7"/>
  <c r="Y324" i="7"/>
  <c r="V324" i="7"/>
  <c r="U325" i="7"/>
  <c r="W324" i="7"/>
  <c r="Z324" i="7"/>
  <c r="AB324" i="7"/>
  <c r="X324" i="7"/>
  <c r="AA324" i="7"/>
  <c r="G323" i="7"/>
  <c r="H323" i="7"/>
  <c r="D323" i="7"/>
  <c r="F323" i="7"/>
  <c r="I323" i="7"/>
  <c r="J323" i="7"/>
  <c r="E323" i="7"/>
  <c r="O323" i="7" l="1"/>
  <c r="N323" i="7"/>
  <c r="P323" i="7"/>
  <c r="M323" i="7"/>
  <c r="Q323" i="7"/>
  <c r="Y325" i="7"/>
  <c r="Z325" i="7"/>
  <c r="X325" i="7"/>
  <c r="U326" i="7"/>
  <c r="V325" i="7"/>
  <c r="AA325" i="7"/>
  <c r="AB325" i="7"/>
  <c r="W325" i="7"/>
  <c r="G324" i="7"/>
  <c r="D324" i="7"/>
  <c r="E324" i="7"/>
  <c r="F324" i="7"/>
  <c r="H324" i="7"/>
  <c r="I324" i="7"/>
  <c r="J324" i="7"/>
  <c r="R323" i="7" l="1"/>
  <c r="S323" i="7"/>
  <c r="M324" i="7"/>
  <c r="N324" i="7"/>
  <c r="R324" i="7" s="1"/>
  <c r="O324" i="7"/>
  <c r="P324" i="7"/>
  <c r="Y326" i="7"/>
  <c r="U327" i="7"/>
  <c r="W326" i="7"/>
  <c r="X326" i="7"/>
  <c r="AB326" i="7"/>
  <c r="V326" i="7"/>
  <c r="Z326" i="7"/>
  <c r="AA326" i="7"/>
  <c r="G325" i="7"/>
  <c r="H325" i="7"/>
  <c r="J325" i="7"/>
  <c r="D325" i="7"/>
  <c r="I325" i="7"/>
  <c r="E325" i="7"/>
  <c r="F325" i="7"/>
  <c r="Q324" i="7" l="1"/>
  <c r="S324" i="7"/>
  <c r="O325" i="7"/>
  <c r="S325" i="7" s="1"/>
  <c r="N325" i="7"/>
  <c r="M325" i="7"/>
  <c r="R325" i="7" s="1"/>
  <c r="Q325" i="7"/>
  <c r="P325" i="7"/>
  <c r="Y327" i="7"/>
  <c r="V327" i="7"/>
  <c r="Z327" i="7"/>
  <c r="U328" i="7"/>
  <c r="AA327" i="7"/>
  <c r="W327" i="7"/>
  <c r="X327" i="7"/>
  <c r="AB327" i="7"/>
  <c r="G326" i="7"/>
  <c r="D326" i="7"/>
  <c r="I326" i="7"/>
  <c r="E326" i="7"/>
  <c r="F326" i="7"/>
  <c r="H326" i="7"/>
  <c r="J326" i="7"/>
  <c r="M326" i="7" l="1"/>
  <c r="P326" i="7"/>
  <c r="O326" i="7"/>
  <c r="N326" i="7"/>
  <c r="R326" i="7" s="1"/>
  <c r="Y328" i="7"/>
  <c r="V328" i="7"/>
  <c r="W328" i="7"/>
  <c r="AB328" i="7"/>
  <c r="AA328" i="7"/>
  <c r="X328" i="7"/>
  <c r="U329" i="7"/>
  <c r="Z328" i="7"/>
  <c r="G327" i="7"/>
  <c r="E327" i="7"/>
  <c r="H327" i="7"/>
  <c r="J327" i="7"/>
  <c r="F327" i="7"/>
  <c r="I327" i="7"/>
  <c r="D327" i="7"/>
  <c r="S326" i="7" l="1"/>
  <c r="Q326" i="7"/>
  <c r="N327" i="7"/>
  <c r="R327" i="7" s="1"/>
  <c r="M327" i="7"/>
  <c r="P327" i="7"/>
  <c r="O327" i="7"/>
  <c r="S327" i="7"/>
  <c r="Q327" i="7"/>
  <c r="Y329" i="7"/>
  <c r="U330" i="7"/>
  <c r="AB329" i="7"/>
  <c r="V329" i="7"/>
  <c r="X329" i="7"/>
  <c r="Z329" i="7"/>
  <c r="AA329" i="7"/>
  <c r="W329" i="7"/>
  <c r="G328" i="7"/>
  <c r="H328" i="7"/>
  <c r="I328" i="7"/>
  <c r="J328" i="7"/>
  <c r="D328" i="7"/>
  <c r="E328" i="7"/>
  <c r="F328" i="7"/>
  <c r="O328" i="7" l="1"/>
  <c r="N328" i="7"/>
  <c r="R328" i="7" s="1"/>
  <c r="Q328" i="7"/>
  <c r="P328" i="7"/>
  <c r="M328" i="7"/>
  <c r="S328" i="7" s="1"/>
  <c r="Y330" i="7"/>
  <c r="Z330" i="7"/>
  <c r="W330" i="7"/>
  <c r="AA330" i="7"/>
  <c r="AB330" i="7"/>
  <c r="U331" i="7"/>
  <c r="X330" i="7"/>
  <c r="V330" i="7"/>
  <c r="G329" i="7"/>
  <c r="D329" i="7"/>
  <c r="E329" i="7"/>
  <c r="F329" i="7"/>
  <c r="H329" i="7"/>
  <c r="I329" i="7"/>
  <c r="J329" i="7"/>
  <c r="O329" i="7" l="1"/>
  <c r="S329" i="7" s="1"/>
  <c r="N329" i="7"/>
  <c r="R329" i="7" s="1"/>
  <c r="M329" i="7"/>
  <c r="P329" i="7"/>
  <c r="Q329" i="7"/>
  <c r="Y331" i="7"/>
  <c r="V331" i="7"/>
  <c r="AB331" i="7"/>
  <c r="W331" i="7"/>
  <c r="AA331" i="7"/>
  <c r="X331" i="7"/>
  <c r="U332" i="7"/>
  <c r="Z331" i="7"/>
  <c r="G330" i="7"/>
  <c r="D330" i="7"/>
  <c r="E330" i="7"/>
  <c r="F330" i="7"/>
  <c r="H330" i="7"/>
  <c r="J330" i="7"/>
  <c r="I330" i="7"/>
  <c r="M330" i="7" l="1"/>
  <c r="O330" i="7"/>
  <c r="Q330" i="7" s="1"/>
  <c r="N330" i="7"/>
  <c r="R330" i="7" s="1"/>
  <c r="P330" i="7"/>
  <c r="S330" i="7"/>
  <c r="Y332" i="7"/>
  <c r="U333" i="7"/>
  <c r="V332" i="7"/>
  <c r="AA332" i="7"/>
  <c r="W332" i="7"/>
  <c r="X332" i="7"/>
  <c r="AB332" i="7"/>
  <c r="Z332" i="7"/>
  <c r="G331" i="7"/>
  <c r="H331" i="7"/>
  <c r="I331" i="7"/>
  <c r="J331" i="7"/>
  <c r="D331" i="7"/>
  <c r="F331" i="7"/>
  <c r="E331" i="7"/>
  <c r="M331" i="7" l="1"/>
  <c r="P331" i="7"/>
  <c r="O331" i="7"/>
  <c r="N331" i="7"/>
  <c r="R331" i="7" s="1"/>
  <c r="Y333" i="7"/>
  <c r="Z333" i="7"/>
  <c r="U334" i="7"/>
  <c r="W333" i="7"/>
  <c r="AA333" i="7"/>
  <c r="AB333" i="7"/>
  <c r="V333" i="7"/>
  <c r="X333" i="7"/>
  <c r="G332" i="7"/>
  <c r="D332" i="7"/>
  <c r="F332" i="7"/>
  <c r="H332" i="7"/>
  <c r="E332" i="7"/>
  <c r="I332" i="7"/>
  <c r="J332" i="7"/>
  <c r="Q331" i="7" l="1"/>
  <c r="S331" i="7"/>
  <c r="O332" i="7"/>
  <c r="P332" i="7"/>
  <c r="Q332" i="7"/>
  <c r="N332" i="7"/>
  <c r="R332" i="7" s="1"/>
  <c r="M332" i="7"/>
  <c r="S332" i="7" s="1"/>
  <c r="Y334" i="7"/>
  <c r="V334" i="7"/>
  <c r="Z334" i="7"/>
  <c r="W334" i="7"/>
  <c r="AB334" i="7"/>
  <c r="X334" i="7"/>
  <c r="U335" i="7"/>
  <c r="AA334" i="7"/>
  <c r="G333" i="7"/>
  <c r="D333" i="7"/>
  <c r="E333" i="7"/>
  <c r="H333" i="7"/>
  <c r="I333" i="7"/>
  <c r="J333" i="7"/>
  <c r="F333" i="7"/>
  <c r="P333" i="7" l="1"/>
  <c r="O333" i="7"/>
  <c r="S333" i="7" s="1"/>
  <c r="N333" i="7"/>
  <c r="R333" i="7" s="1"/>
  <c r="M333" i="7"/>
  <c r="Q333" i="7"/>
  <c r="Y335" i="7"/>
  <c r="U336" i="7"/>
  <c r="X335" i="7"/>
  <c r="Z335" i="7"/>
  <c r="AA335" i="7"/>
  <c r="V335" i="7"/>
  <c r="W335" i="7"/>
  <c r="AB335" i="7"/>
  <c r="G334" i="7"/>
  <c r="H334" i="7"/>
  <c r="I334" i="7"/>
  <c r="D334" i="7"/>
  <c r="E334" i="7"/>
  <c r="F334" i="7"/>
  <c r="J334" i="7"/>
  <c r="N334" i="7" l="1"/>
  <c r="M334" i="7"/>
  <c r="R334" i="7" s="1"/>
  <c r="P334" i="7"/>
  <c r="O334" i="7"/>
  <c r="Y336" i="7"/>
  <c r="Z336" i="7"/>
  <c r="AA336" i="7"/>
  <c r="AB336" i="7"/>
  <c r="V336" i="7"/>
  <c r="X336" i="7"/>
  <c r="U337" i="7"/>
  <c r="W336" i="7"/>
  <c r="D335" i="7"/>
  <c r="E335" i="7"/>
  <c r="F335" i="7"/>
  <c r="G335" i="7"/>
  <c r="H335" i="7"/>
  <c r="J335" i="7"/>
  <c r="I335" i="7"/>
  <c r="Q334" i="7" l="1"/>
  <c r="S334" i="7"/>
  <c r="N335" i="7"/>
  <c r="P335" i="7"/>
  <c r="O335" i="7"/>
  <c r="M335" i="7"/>
  <c r="R335" i="7" s="1"/>
  <c r="Y337" i="7"/>
  <c r="V337" i="7"/>
  <c r="AB337" i="7"/>
  <c r="W337" i="7"/>
  <c r="AA337" i="7"/>
  <c r="X337" i="7"/>
  <c r="Z337" i="7"/>
  <c r="U338" i="7"/>
  <c r="E336" i="7"/>
  <c r="D336" i="7"/>
  <c r="F336" i="7"/>
  <c r="G336" i="7"/>
  <c r="H336" i="7"/>
  <c r="I336" i="7"/>
  <c r="J336" i="7"/>
  <c r="S335" i="7" l="1"/>
  <c r="Q335" i="7"/>
  <c r="P336" i="7"/>
  <c r="M336" i="7"/>
  <c r="O336" i="7"/>
  <c r="S336" i="7" s="1"/>
  <c r="N336" i="7"/>
  <c r="Q336" i="7"/>
  <c r="R336" i="7"/>
  <c r="Y338" i="7"/>
  <c r="U339" i="7"/>
  <c r="V338" i="7"/>
  <c r="W338" i="7"/>
  <c r="X338" i="7"/>
  <c r="Z338" i="7"/>
  <c r="AA338" i="7"/>
  <c r="AB338" i="7"/>
  <c r="G337" i="7"/>
  <c r="J337" i="7"/>
  <c r="I337" i="7"/>
  <c r="H337" i="7"/>
  <c r="F337" i="7"/>
  <c r="E337" i="7"/>
  <c r="D337" i="7"/>
  <c r="M337" i="7" l="1"/>
  <c r="N337" i="7"/>
  <c r="R337" i="7" s="1"/>
  <c r="P337" i="7"/>
  <c r="O337" i="7"/>
  <c r="Y339" i="7"/>
  <c r="Z339" i="7"/>
  <c r="U340" i="7"/>
  <c r="AA339" i="7"/>
  <c r="AB339" i="7"/>
  <c r="V339" i="7"/>
  <c r="W339" i="7"/>
  <c r="X339" i="7"/>
  <c r="G338" i="7"/>
  <c r="D338" i="7"/>
  <c r="F338" i="7"/>
  <c r="H338" i="7"/>
  <c r="I338" i="7"/>
  <c r="J338" i="7"/>
  <c r="E338" i="7"/>
  <c r="Q337" i="7" l="1"/>
  <c r="S337" i="7"/>
  <c r="N338" i="7"/>
  <c r="O338" i="7"/>
  <c r="M338" i="7"/>
  <c r="R338" i="7"/>
  <c r="P338" i="7"/>
  <c r="Y340" i="7"/>
  <c r="V340" i="7"/>
  <c r="W340" i="7"/>
  <c r="Z340" i="7"/>
  <c r="U341" i="7"/>
  <c r="AA340" i="7"/>
  <c r="AB340" i="7"/>
  <c r="X340" i="7"/>
  <c r="G339" i="7"/>
  <c r="E339" i="7"/>
  <c r="F339" i="7"/>
  <c r="I339" i="7"/>
  <c r="H339" i="7"/>
  <c r="J339" i="7"/>
  <c r="D339" i="7"/>
  <c r="S338" i="7" l="1"/>
  <c r="Q338" i="7"/>
  <c r="Q339" i="7" s="1"/>
  <c r="N339" i="7"/>
  <c r="O339" i="7"/>
  <c r="S339" i="7" s="1"/>
  <c r="P339" i="7"/>
  <c r="M339" i="7"/>
  <c r="R339" i="7" s="1"/>
  <c r="Y341" i="7"/>
  <c r="U342" i="7"/>
  <c r="X341" i="7"/>
  <c r="V341" i="7"/>
  <c r="Z341" i="7"/>
  <c r="AB341" i="7"/>
  <c r="W341" i="7"/>
  <c r="AA341" i="7"/>
  <c r="G340" i="7"/>
  <c r="H340" i="7"/>
  <c r="I340" i="7"/>
  <c r="J340" i="7"/>
  <c r="F340" i="7"/>
  <c r="D340" i="7"/>
  <c r="E340" i="7"/>
  <c r="O340" i="7" l="1"/>
  <c r="M340" i="7"/>
  <c r="N340" i="7"/>
  <c r="R340" i="7" s="1"/>
  <c r="P340" i="7"/>
  <c r="Y342" i="7"/>
  <c r="Z342" i="7"/>
  <c r="AB342" i="7"/>
  <c r="V342" i="7"/>
  <c r="U343" i="7"/>
  <c r="AA342" i="7"/>
  <c r="W342" i="7"/>
  <c r="X342" i="7"/>
  <c r="G341" i="7"/>
  <c r="J341" i="7"/>
  <c r="E341" i="7"/>
  <c r="F341" i="7"/>
  <c r="H341" i="7"/>
  <c r="I341" i="7"/>
  <c r="D341" i="7"/>
  <c r="S340" i="7" l="1"/>
  <c r="Q340" i="7"/>
  <c r="O341" i="7"/>
  <c r="P341" i="7"/>
  <c r="M341" i="7"/>
  <c r="N341" i="7"/>
  <c r="R341" i="7" s="1"/>
  <c r="Q341" i="7"/>
  <c r="S341" i="7"/>
  <c r="Y343" i="7"/>
  <c r="V343" i="7"/>
  <c r="AA343" i="7"/>
  <c r="U344" i="7"/>
  <c r="W343" i="7"/>
  <c r="Z343" i="7"/>
  <c r="AB343" i="7"/>
  <c r="X343" i="7"/>
  <c r="G342" i="7"/>
  <c r="E342" i="7"/>
  <c r="F342" i="7"/>
  <c r="D342" i="7"/>
  <c r="H342" i="7"/>
  <c r="J342" i="7"/>
  <c r="I342" i="7"/>
  <c r="P342" i="7" l="1"/>
  <c r="O342" i="7"/>
  <c r="M342" i="7"/>
  <c r="Q342" i="7"/>
  <c r="S342" i="7"/>
  <c r="N342" i="7"/>
  <c r="R342" i="7" s="1"/>
  <c r="Y344" i="7"/>
  <c r="U345" i="7"/>
  <c r="W344" i="7"/>
  <c r="Z344" i="7"/>
  <c r="AB344" i="7"/>
  <c r="V344" i="7"/>
  <c r="X344" i="7"/>
  <c r="AA344" i="7"/>
  <c r="G343" i="7"/>
  <c r="E343" i="7"/>
  <c r="J343" i="7"/>
  <c r="F343" i="7"/>
  <c r="H343" i="7"/>
  <c r="D343" i="7"/>
  <c r="I343" i="7"/>
  <c r="M343" i="7" l="1"/>
  <c r="P343" i="7"/>
  <c r="O343" i="7"/>
  <c r="Q343" i="7" s="1"/>
  <c r="N343" i="7"/>
  <c r="R343" i="7" s="1"/>
  <c r="S343" i="7"/>
  <c r="Y345" i="7"/>
  <c r="Z345" i="7"/>
  <c r="AB345" i="7"/>
  <c r="W345" i="7"/>
  <c r="U346" i="7"/>
  <c r="AA345" i="7"/>
  <c r="V345" i="7"/>
  <c r="X345" i="7"/>
  <c r="G344" i="7"/>
  <c r="F344" i="7"/>
  <c r="H344" i="7"/>
  <c r="I344" i="7"/>
  <c r="J344" i="7"/>
  <c r="D344" i="7"/>
  <c r="E344" i="7"/>
  <c r="M344" i="7" l="1"/>
  <c r="O344" i="7"/>
  <c r="P344" i="7"/>
  <c r="N344" i="7"/>
  <c r="R344" i="7" s="1"/>
  <c r="Y346" i="7"/>
  <c r="V346" i="7"/>
  <c r="Z346" i="7"/>
  <c r="W346" i="7"/>
  <c r="U347" i="7"/>
  <c r="AA346" i="7"/>
  <c r="AB346" i="7"/>
  <c r="X346" i="7"/>
  <c r="G345" i="7"/>
  <c r="H345" i="7"/>
  <c r="J345" i="7"/>
  <c r="D345" i="7"/>
  <c r="E345" i="7"/>
  <c r="F345" i="7"/>
  <c r="I345" i="7"/>
  <c r="Q344" i="7" l="1"/>
  <c r="S344" i="7"/>
  <c r="O345" i="7"/>
  <c r="Q345" i="7"/>
  <c r="M345" i="7"/>
  <c r="S345" i="7" s="1"/>
  <c r="P345" i="7"/>
  <c r="N345" i="7"/>
  <c r="R345" i="7" s="1"/>
  <c r="Y347" i="7"/>
  <c r="U348" i="7"/>
  <c r="X347" i="7"/>
  <c r="AA347" i="7"/>
  <c r="V347" i="7"/>
  <c r="W347" i="7"/>
  <c r="Z347" i="7"/>
  <c r="AB347" i="7"/>
  <c r="G346" i="7"/>
  <c r="F346" i="7"/>
  <c r="H346" i="7"/>
  <c r="I346" i="7"/>
  <c r="D346" i="7"/>
  <c r="E346" i="7"/>
  <c r="J346" i="7"/>
  <c r="N346" i="7" l="1"/>
  <c r="O346" i="7"/>
  <c r="S346" i="7" s="1"/>
  <c r="M346" i="7"/>
  <c r="P346" i="7"/>
  <c r="R346" i="7"/>
  <c r="Q346" i="7"/>
  <c r="Y348" i="7"/>
  <c r="Z348" i="7"/>
  <c r="AA348" i="7"/>
  <c r="AB348" i="7"/>
  <c r="U349" i="7"/>
  <c r="V348" i="7"/>
  <c r="W348" i="7"/>
  <c r="X348" i="7"/>
  <c r="G347" i="7"/>
  <c r="D347" i="7"/>
  <c r="E347" i="7"/>
  <c r="H347" i="7"/>
  <c r="I347" i="7"/>
  <c r="F347" i="7"/>
  <c r="J347" i="7"/>
  <c r="P347" i="7" l="1"/>
  <c r="M347" i="7"/>
  <c r="O347" i="7"/>
  <c r="N347" i="7"/>
  <c r="R347" i="7"/>
  <c r="Y349" i="7"/>
  <c r="V349" i="7"/>
  <c r="AA349" i="7"/>
  <c r="Z349" i="7"/>
  <c r="W349" i="7"/>
  <c r="X349" i="7"/>
  <c r="AB349" i="7"/>
  <c r="U350" i="7"/>
  <c r="J348" i="7"/>
  <c r="D348" i="7"/>
  <c r="E348" i="7"/>
  <c r="F348" i="7"/>
  <c r="G348" i="7"/>
  <c r="H348" i="7"/>
  <c r="I348" i="7"/>
  <c r="Q347" i="7" l="1"/>
  <c r="S347" i="7"/>
  <c r="O348" i="7"/>
  <c r="Q348" i="7"/>
  <c r="M348" i="7"/>
  <c r="N348" i="7"/>
  <c r="R348" i="7" s="1"/>
  <c r="S348" i="7"/>
  <c r="P348" i="7"/>
  <c r="Y350" i="7"/>
  <c r="U351" i="7"/>
  <c r="W350" i="7"/>
  <c r="Z350" i="7"/>
  <c r="AB350" i="7"/>
  <c r="V350" i="7"/>
  <c r="X350" i="7"/>
  <c r="AA350" i="7"/>
  <c r="G349" i="7"/>
  <c r="F349" i="7"/>
  <c r="D349" i="7"/>
  <c r="E349" i="7"/>
  <c r="I349" i="7"/>
  <c r="J349" i="7"/>
  <c r="H349" i="7"/>
  <c r="M349" i="7" l="1"/>
  <c r="N349" i="7"/>
  <c r="R349" i="7" s="1"/>
  <c r="O349" i="7"/>
  <c r="P349" i="7"/>
  <c r="Y351" i="7"/>
  <c r="Z351" i="7"/>
  <c r="U352" i="7"/>
  <c r="AA351" i="7"/>
  <c r="AB351" i="7"/>
  <c r="V351" i="7"/>
  <c r="X351" i="7"/>
  <c r="W351" i="7"/>
  <c r="G350" i="7"/>
  <c r="D350" i="7"/>
  <c r="F350" i="7"/>
  <c r="E350" i="7"/>
  <c r="I350" i="7"/>
  <c r="J350" i="7"/>
  <c r="H350" i="7"/>
  <c r="Q349" i="7" l="1"/>
  <c r="S349" i="7"/>
  <c r="M350" i="7"/>
  <c r="O350" i="7"/>
  <c r="S350" i="7" s="1"/>
  <c r="P350" i="7"/>
  <c r="N350" i="7"/>
  <c r="R350" i="7" s="1"/>
  <c r="Q350" i="7"/>
  <c r="Y352" i="7"/>
  <c r="V352" i="7"/>
  <c r="X352" i="7"/>
  <c r="U353" i="7"/>
  <c r="Z352" i="7"/>
  <c r="W352" i="7"/>
  <c r="AA352" i="7"/>
  <c r="AB352" i="7"/>
  <c r="G351" i="7"/>
  <c r="H351" i="7"/>
  <c r="J351" i="7"/>
  <c r="E351" i="7"/>
  <c r="F351" i="7"/>
  <c r="I351" i="7"/>
  <c r="D351" i="7"/>
  <c r="O351" i="7" l="1"/>
  <c r="Q351" i="7" s="1"/>
  <c r="N351" i="7"/>
  <c r="R351" i="7" s="1"/>
  <c r="P351" i="7"/>
  <c r="M351" i="7"/>
  <c r="S351" i="7" s="1"/>
  <c r="Y353" i="7"/>
  <c r="U354" i="7"/>
  <c r="W353" i="7"/>
  <c r="AB353" i="7"/>
  <c r="V353" i="7"/>
  <c r="X353" i="7"/>
  <c r="AA353" i="7"/>
  <c r="Z353" i="7"/>
  <c r="G352" i="7"/>
  <c r="E352" i="7"/>
  <c r="D352" i="7"/>
  <c r="F352" i="7"/>
  <c r="H352" i="7"/>
  <c r="I352" i="7"/>
  <c r="J352" i="7"/>
  <c r="M352" i="7" l="1"/>
  <c r="N352" i="7"/>
  <c r="P352" i="7"/>
  <c r="R352" i="7"/>
  <c r="O352" i="7"/>
  <c r="Y354" i="7"/>
  <c r="Z354" i="7"/>
  <c r="U355" i="7"/>
  <c r="W354" i="7"/>
  <c r="AA354" i="7"/>
  <c r="AB354" i="7"/>
  <c r="X354" i="7"/>
  <c r="V354" i="7"/>
  <c r="G353" i="7"/>
  <c r="H353" i="7"/>
  <c r="F353" i="7"/>
  <c r="I353" i="7"/>
  <c r="E353" i="7"/>
  <c r="J353" i="7"/>
  <c r="D353" i="7"/>
  <c r="Q352" i="7" l="1"/>
  <c r="S352" i="7"/>
  <c r="M353" i="7"/>
  <c r="P353" i="7"/>
  <c r="N353" i="7"/>
  <c r="R353" i="7"/>
  <c r="O353" i="7"/>
  <c r="S353" i="7"/>
  <c r="Q353" i="7"/>
  <c r="Y355" i="7"/>
  <c r="V355" i="7"/>
  <c r="X355" i="7"/>
  <c r="U356" i="7"/>
  <c r="W355" i="7"/>
  <c r="Z355" i="7"/>
  <c r="AA355" i="7"/>
  <c r="AB355" i="7"/>
  <c r="G354" i="7"/>
  <c r="F354" i="7"/>
  <c r="E354" i="7"/>
  <c r="I354" i="7"/>
  <c r="D354" i="7"/>
  <c r="H354" i="7"/>
  <c r="J354" i="7"/>
  <c r="P354" i="7" l="1"/>
  <c r="O354" i="7"/>
  <c r="Q354" i="7" s="1"/>
  <c r="N354" i="7"/>
  <c r="R354" i="7" s="1"/>
  <c r="M354" i="7"/>
  <c r="S354" i="7" s="1"/>
  <c r="Y356" i="7"/>
  <c r="U357" i="7"/>
  <c r="W356" i="7"/>
  <c r="X356" i="7"/>
  <c r="AB356" i="7"/>
  <c r="V356" i="7"/>
  <c r="Z356" i="7"/>
  <c r="AA356" i="7"/>
  <c r="G355" i="7"/>
  <c r="I355" i="7"/>
  <c r="J355" i="7"/>
  <c r="H355" i="7"/>
  <c r="E355" i="7"/>
  <c r="D355" i="7"/>
  <c r="F355" i="7"/>
  <c r="P355" i="7" l="1"/>
  <c r="O355" i="7"/>
  <c r="M355" i="7"/>
  <c r="N355" i="7"/>
  <c r="R355" i="7" s="1"/>
  <c r="Y357" i="7"/>
  <c r="Z357" i="7"/>
  <c r="AB357" i="7"/>
  <c r="U358" i="7"/>
  <c r="AA357" i="7"/>
  <c r="X357" i="7"/>
  <c r="V357" i="7"/>
  <c r="W357" i="7"/>
  <c r="G356" i="7"/>
  <c r="H356" i="7"/>
  <c r="I356" i="7"/>
  <c r="D356" i="7"/>
  <c r="F356" i="7"/>
  <c r="E356" i="7"/>
  <c r="J356" i="7"/>
  <c r="Q355" i="7" l="1"/>
  <c r="S355" i="7"/>
  <c r="N356" i="7"/>
  <c r="M356" i="7"/>
  <c r="O356" i="7"/>
  <c r="Q356" i="7" s="1"/>
  <c r="P356" i="7"/>
  <c r="S356" i="7"/>
  <c r="R356" i="7"/>
  <c r="Y358" i="7"/>
  <c r="V358" i="7"/>
  <c r="X358" i="7"/>
  <c r="U359" i="7"/>
  <c r="W358" i="7"/>
  <c r="AA358" i="7"/>
  <c r="AB358" i="7"/>
  <c r="Z358" i="7"/>
  <c r="G357" i="7"/>
  <c r="H357" i="7"/>
  <c r="F357" i="7"/>
  <c r="J357" i="7"/>
  <c r="D357" i="7"/>
  <c r="E357" i="7"/>
  <c r="I357" i="7"/>
  <c r="M357" i="7" l="1"/>
  <c r="O357" i="7"/>
  <c r="N357" i="7"/>
  <c r="R357" i="7" s="1"/>
  <c r="P357" i="7"/>
  <c r="Y359" i="7"/>
  <c r="U360" i="7"/>
  <c r="V359" i="7"/>
  <c r="W359" i="7"/>
  <c r="Z359" i="7"/>
  <c r="AA359" i="7"/>
  <c r="AB359" i="7"/>
  <c r="X359" i="7"/>
  <c r="J358" i="7"/>
  <c r="F358" i="7"/>
  <c r="G358" i="7"/>
  <c r="H358" i="7"/>
  <c r="I358" i="7"/>
  <c r="D358" i="7"/>
  <c r="E358" i="7"/>
  <c r="Q357" i="7" l="1"/>
  <c r="S357" i="7"/>
  <c r="P358" i="7"/>
  <c r="O358" i="7"/>
  <c r="Q358" i="7"/>
  <c r="N358" i="7"/>
  <c r="R358" i="7" s="1"/>
  <c r="M358" i="7"/>
  <c r="S358" i="7" s="1"/>
  <c r="Y360" i="7"/>
  <c r="Z360" i="7"/>
  <c r="AB360" i="7"/>
  <c r="V360" i="7"/>
  <c r="AA360" i="7"/>
  <c r="W360" i="7"/>
  <c r="X360" i="7"/>
  <c r="U361" i="7"/>
  <c r="G359" i="7"/>
  <c r="D359" i="7"/>
  <c r="E359" i="7"/>
  <c r="I359" i="7"/>
  <c r="F359" i="7"/>
  <c r="J359" i="7"/>
  <c r="H359" i="7"/>
  <c r="N359" i="7" l="1"/>
  <c r="O359" i="7"/>
  <c r="M359" i="7"/>
  <c r="R359" i="7"/>
  <c r="Q359" i="7"/>
  <c r="S359" i="7"/>
  <c r="P359" i="7"/>
  <c r="Y361" i="7"/>
  <c r="V361" i="7"/>
  <c r="W361" i="7"/>
  <c r="X361" i="7"/>
  <c r="Z361" i="7"/>
  <c r="AA361" i="7"/>
  <c r="AB361" i="7"/>
  <c r="U362" i="7"/>
  <c r="G360" i="7"/>
  <c r="H360" i="7"/>
  <c r="D360" i="7"/>
  <c r="E360" i="7"/>
  <c r="F360" i="7"/>
  <c r="J360" i="7"/>
  <c r="I360" i="7"/>
  <c r="P360" i="7" l="1"/>
  <c r="N360" i="7"/>
  <c r="R360" i="7" s="1"/>
  <c r="O360" i="7"/>
  <c r="M360" i="7"/>
  <c r="Y362" i="7"/>
  <c r="U363" i="7"/>
  <c r="X362" i="7"/>
  <c r="AA362" i="7"/>
  <c r="V362" i="7"/>
  <c r="W362" i="7"/>
  <c r="Z362" i="7"/>
  <c r="AB362" i="7"/>
  <c r="G361" i="7"/>
  <c r="F361" i="7"/>
  <c r="D361" i="7"/>
  <c r="I361" i="7"/>
  <c r="J361" i="7"/>
  <c r="H361" i="7"/>
  <c r="E361" i="7"/>
  <c r="S360" i="7" l="1"/>
  <c r="Q360" i="7"/>
  <c r="Q361" i="7" s="1"/>
  <c r="M361" i="7"/>
  <c r="N361" i="7"/>
  <c r="R361" i="7" s="1"/>
  <c r="O361" i="7"/>
  <c r="S361" i="7" s="1"/>
  <c r="P361" i="7"/>
  <c r="Y363" i="7"/>
  <c r="Z363" i="7"/>
  <c r="AB363" i="7"/>
  <c r="X363" i="7"/>
  <c r="AA363" i="7"/>
  <c r="V363" i="7"/>
  <c r="U364" i="7"/>
  <c r="W363" i="7"/>
  <c r="G362" i="7"/>
  <c r="I362" i="7"/>
  <c r="J362" i="7"/>
  <c r="F362" i="7"/>
  <c r="H362" i="7"/>
  <c r="E362" i="7"/>
  <c r="D362" i="7"/>
  <c r="M362" i="7" l="1"/>
  <c r="N362" i="7"/>
  <c r="R362" i="7" s="1"/>
  <c r="P362" i="7"/>
  <c r="O362" i="7"/>
  <c r="Y364" i="7"/>
  <c r="V364" i="7"/>
  <c r="W364" i="7"/>
  <c r="X364" i="7"/>
  <c r="Z364" i="7"/>
  <c r="AB364" i="7"/>
  <c r="U365" i="7"/>
  <c r="AA364" i="7"/>
  <c r="G363" i="7"/>
  <c r="H363" i="7"/>
  <c r="D363" i="7"/>
  <c r="I363" i="7"/>
  <c r="E363" i="7"/>
  <c r="J363" i="7"/>
  <c r="F363" i="7"/>
  <c r="Q362" i="7" l="1"/>
  <c r="S362" i="7"/>
  <c r="O363" i="7"/>
  <c r="N363" i="7"/>
  <c r="R363" i="7" s="1"/>
  <c r="P363" i="7"/>
  <c r="M363" i="7"/>
  <c r="Q363" i="7"/>
  <c r="S363" i="7"/>
  <c r="Y365" i="7"/>
  <c r="U366" i="7"/>
  <c r="W365" i="7"/>
  <c r="Z365" i="7"/>
  <c r="V365" i="7"/>
  <c r="X365" i="7"/>
  <c r="AA365" i="7"/>
  <c r="AB365" i="7"/>
  <c r="G364" i="7"/>
  <c r="H364" i="7"/>
  <c r="E364" i="7"/>
  <c r="I364" i="7"/>
  <c r="J364" i="7"/>
  <c r="F364" i="7"/>
  <c r="D364" i="7"/>
  <c r="M364" i="7" l="1"/>
  <c r="N364" i="7"/>
  <c r="R364" i="7" s="1"/>
  <c r="P364" i="7"/>
  <c r="O364" i="7"/>
  <c r="Y366" i="7"/>
  <c r="Z366" i="7"/>
  <c r="AB366" i="7"/>
  <c r="W366" i="7"/>
  <c r="X366" i="7"/>
  <c r="AA366" i="7"/>
  <c r="V366" i="7"/>
  <c r="U367" i="7"/>
  <c r="G365" i="7"/>
  <c r="J365" i="7"/>
  <c r="F365" i="7"/>
  <c r="E365" i="7"/>
  <c r="H365" i="7"/>
  <c r="I365" i="7"/>
  <c r="D365" i="7"/>
  <c r="S364" i="7" l="1"/>
  <c r="Q364" i="7"/>
  <c r="Q365" i="7" s="1"/>
  <c r="N365" i="7"/>
  <c r="O365" i="7"/>
  <c r="S365" i="7" s="1"/>
  <c r="M365" i="7"/>
  <c r="R365" i="7" s="1"/>
  <c r="P365" i="7"/>
  <c r="Y367" i="7"/>
  <c r="V367" i="7"/>
  <c r="Z367" i="7"/>
  <c r="AB367" i="7"/>
  <c r="W367" i="7"/>
  <c r="X367" i="7"/>
  <c r="AA367" i="7"/>
  <c r="U368" i="7"/>
  <c r="G366" i="7"/>
  <c r="D366" i="7"/>
  <c r="E366" i="7"/>
  <c r="J366" i="7"/>
  <c r="H366" i="7"/>
  <c r="F366" i="7"/>
  <c r="I366" i="7"/>
  <c r="P366" i="7" l="1"/>
  <c r="M366" i="7"/>
  <c r="O366" i="7"/>
  <c r="Q366" i="7" s="1"/>
  <c r="N366" i="7"/>
  <c r="R366" i="7" s="1"/>
  <c r="S366" i="7"/>
  <c r="Y368" i="7"/>
  <c r="U369" i="7"/>
  <c r="V368" i="7"/>
  <c r="W368" i="7"/>
  <c r="Z368" i="7"/>
  <c r="AA368" i="7"/>
  <c r="AB368" i="7"/>
  <c r="X368" i="7"/>
  <c r="D367" i="7"/>
  <c r="E367" i="7"/>
  <c r="F367" i="7"/>
  <c r="G367" i="7"/>
  <c r="H367" i="7"/>
  <c r="J367" i="7"/>
  <c r="I367" i="7"/>
  <c r="P367" i="7" l="1"/>
  <c r="M367" i="7"/>
  <c r="N367" i="7"/>
  <c r="R367" i="7"/>
  <c r="O367" i="7"/>
  <c r="S367" i="7" s="1"/>
  <c r="Q367" i="7"/>
  <c r="Y369" i="7"/>
  <c r="Z369" i="7"/>
  <c r="AB369" i="7"/>
  <c r="W369" i="7"/>
  <c r="U370" i="7"/>
  <c r="AA369" i="7"/>
  <c r="X369" i="7"/>
  <c r="V369" i="7"/>
  <c r="G368" i="7"/>
  <c r="H368" i="7"/>
  <c r="E368" i="7"/>
  <c r="D368" i="7"/>
  <c r="F368" i="7"/>
  <c r="I368" i="7"/>
  <c r="J368" i="7"/>
  <c r="M368" i="7" l="1"/>
  <c r="O368" i="7"/>
  <c r="S368" i="7" s="1"/>
  <c r="N368" i="7"/>
  <c r="R368" i="7" s="1"/>
  <c r="Q368" i="7"/>
  <c r="P368" i="7"/>
  <c r="Y370" i="7"/>
  <c r="V370" i="7"/>
  <c r="X370" i="7"/>
  <c r="AA370" i="7"/>
  <c r="W370" i="7"/>
  <c r="U371" i="7"/>
  <c r="Z370" i="7"/>
  <c r="AB370" i="7"/>
  <c r="G369" i="7"/>
  <c r="E369" i="7"/>
  <c r="H369" i="7"/>
  <c r="I369" i="7"/>
  <c r="J369" i="7"/>
  <c r="F369" i="7"/>
  <c r="D369" i="7"/>
  <c r="N369" i="7" l="1"/>
  <c r="O369" i="7"/>
  <c r="M369" i="7"/>
  <c r="R369" i="7" s="1"/>
  <c r="P369" i="7"/>
  <c r="Y371" i="7"/>
  <c r="V371" i="7"/>
  <c r="X371" i="7"/>
  <c r="AA371" i="7"/>
  <c r="W371" i="7"/>
  <c r="Z371" i="7"/>
  <c r="AB371" i="7"/>
  <c r="G370" i="7"/>
  <c r="H370" i="7"/>
  <c r="I370" i="7"/>
  <c r="E370" i="7"/>
  <c r="J370" i="7"/>
  <c r="F370" i="7"/>
  <c r="D370" i="7"/>
  <c r="Q369" i="7" l="1"/>
  <c r="S369" i="7"/>
  <c r="O370" i="7"/>
  <c r="N370" i="7"/>
  <c r="R370" i="7" s="1"/>
  <c r="P370" i="7"/>
  <c r="Q370" i="7"/>
  <c r="M370" i="7"/>
  <c r="S370" i="7" s="1"/>
  <c r="G371" i="7"/>
  <c r="D371" i="7"/>
  <c r="F371" i="7"/>
  <c r="I371" i="7"/>
  <c r="E371" i="7"/>
  <c r="J371" i="7"/>
  <c r="H371" i="7"/>
  <c r="O371" i="7" l="1"/>
  <c r="M371" i="7"/>
  <c r="R371" i="7"/>
  <c r="P371" i="7"/>
  <c r="N371" i="7"/>
  <c r="S371" i="7"/>
  <c r="Q371" i="7"/>
  <c r="D19" i="3" l="1"/>
  <c r="D28" i="3" s="1"/>
  <c r="I19" i="3"/>
  <c r="I100" i="3" s="1"/>
  <c r="N19" i="3"/>
  <c r="N100" i="3" s="1"/>
  <c r="R19" i="3"/>
  <c r="R100" i="3" s="1"/>
  <c r="T19" i="3"/>
  <c r="T100" i="3" s="1"/>
  <c r="AD19" i="3"/>
  <c r="AD100" i="3" s="1"/>
  <c r="Z19" i="3"/>
  <c r="Z100" i="3" s="1"/>
  <c r="AE19" i="3"/>
  <c r="AE100" i="3" s="1"/>
  <c r="F19" i="3"/>
  <c r="F100" i="3" s="1"/>
  <c r="V19" i="3"/>
  <c r="V100" i="3" s="1"/>
  <c r="AJ19" i="3"/>
  <c r="AJ100" i="3" s="1"/>
  <c r="M19" i="3"/>
  <c r="M100" i="3" s="1"/>
  <c r="W19" i="3"/>
  <c r="W100" i="3" s="1"/>
  <c r="U19" i="3"/>
  <c r="U100" i="3" s="1"/>
  <c r="AB19" i="3"/>
  <c r="AB100" i="3" s="1"/>
  <c r="G19" i="3"/>
  <c r="G100" i="3" s="1"/>
  <c r="AK19" i="3"/>
  <c r="AK100" i="3" s="1"/>
  <c r="Q19" i="3"/>
  <c r="Q100" i="3" s="1"/>
  <c r="AG19" i="3"/>
  <c r="AG100" i="3" s="1"/>
  <c r="AI19" i="3"/>
  <c r="AI100" i="3" s="1"/>
  <c r="H19" i="3"/>
  <c r="H100" i="3" s="1"/>
  <c r="P19" i="3"/>
  <c r="P100" i="3" s="1"/>
  <c r="AM19" i="3"/>
  <c r="AM100" i="3" s="1"/>
  <c r="E28" i="3"/>
  <c r="E73" i="3"/>
  <c r="E102" i="3" s="1"/>
  <c r="L19" i="3"/>
  <c r="L100" i="3" s="1"/>
  <c r="AL19" i="3"/>
  <c r="AL100" i="3" s="1"/>
  <c r="AN19" i="3"/>
  <c r="AN100" i="3" s="1"/>
  <c r="E72" i="3"/>
  <c r="X19" i="3"/>
  <c r="X100" i="3" s="1"/>
  <c r="AC19" i="3"/>
  <c r="AC100" i="3" s="1"/>
  <c r="J19" i="3"/>
  <c r="J100" i="3" s="1"/>
  <c r="S19" i="3"/>
  <c r="S100" i="3" s="1"/>
  <c r="Y19" i="3"/>
  <c r="Y100" i="3" s="1"/>
  <c r="AF19" i="3"/>
  <c r="AF100" i="3" s="1"/>
  <c r="O19" i="3"/>
  <c r="O100" i="3" s="1"/>
  <c r="AH19" i="3"/>
  <c r="AH100" i="3" s="1"/>
  <c r="AA19" i="3"/>
  <c r="AA100" i="3" s="1"/>
  <c r="K19" i="3"/>
  <c r="K100" i="3" s="1"/>
  <c r="E101" i="3" l="1"/>
  <c r="E90" i="3"/>
  <c r="E97" i="3" s="1"/>
  <c r="I28" i="3"/>
  <c r="I97" i="3" s="1"/>
  <c r="I107" i="3" s="1"/>
  <c r="N28" i="3"/>
  <c r="N97" i="3" s="1"/>
  <c r="N107" i="3" s="1"/>
  <c r="R28" i="3"/>
  <c r="R97" i="3" s="1"/>
  <c r="R107" i="3" s="1"/>
  <c r="T28" i="3"/>
  <c r="T97" i="3" s="1"/>
  <c r="T107" i="3" s="1"/>
  <c r="AD28" i="3"/>
  <c r="Z28" i="3"/>
  <c r="Z97" i="3" s="1"/>
  <c r="Z107" i="3" s="1"/>
  <c r="AE28" i="3"/>
  <c r="F28" i="3"/>
  <c r="F97" i="3" s="1"/>
  <c r="V28" i="3"/>
  <c r="V97" i="3" s="1"/>
  <c r="V107" i="3" s="1"/>
  <c r="AJ28" i="3"/>
  <c r="M28" i="3"/>
  <c r="M97" i="3" s="1"/>
  <c r="M107" i="3" s="1"/>
  <c r="W28" i="3"/>
  <c r="W97" i="3" s="1"/>
  <c r="W107" i="3" s="1"/>
  <c r="U28" i="3"/>
  <c r="U97" i="3" s="1"/>
  <c r="U107" i="3" s="1"/>
  <c r="AB28" i="3"/>
  <c r="G28" i="3"/>
  <c r="G97" i="3" s="1"/>
  <c r="G107" i="3" s="1"/>
  <c r="AK28" i="3"/>
  <c r="Q28" i="3"/>
  <c r="Q97" i="3" s="1"/>
  <c r="Q107" i="3" s="1"/>
  <c r="AG28" i="3"/>
  <c r="AI28" i="3"/>
  <c r="H28" i="3"/>
  <c r="H97" i="3" s="1"/>
  <c r="H107" i="3" s="1"/>
  <c r="P28" i="3"/>
  <c r="P97" i="3" s="1"/>
  <c r="P107" i="3" s="1"/>
  <c r="AM28" i="3"/>
  <c r="L28" i="3"/>
  <c r="L97" i="3" s="1"/>
  <c r="L107" i="3" s="1"/>
  <c r="AL28" i="3"/>
  <c r="AN28" i="3"/>
  <c r="X28" i="3"/>
  <c r="X97" i="3" s="1"/>
  <c r="X107" i="3" s="1"/>
  <c r="AC28" i="3"/>
  <c r="J28" i="3"/>
  <c r="J97" i="3" s="1"/>
  <c r="J107" i="3" s="1"/>
  <c r="S28" i="3"/>
  <c r="S97" i="3" s="1"/>
  <c r="S107" i="3" s="1"/>
  <c r="Y28" i="3"/>
  <c r="Y97" i="3" s="1"/>
  <c r="Y107" i="3" s="1"/>
  <c r="AF28" i="3"/>
  <c r="O28" i="3"/>
  <c r="O97" i="3" s="1"/>
  <c r="AH28" i="3"/>
  <c r="AA28" i="3"/>
  <c r="K28" i="3"/>
  <c r="K97" i="3" s="1"/>
  <c r="K107" i="3" s="1"/>
  <c r="D100" i="3"/>
  <c r="D10" i="19" s="1"/>
  <c r="D11" i="19" s="1"/>
  <c r="J4" i="3" l="1"/>
  <c r="K4" i="3" s="1"/>
  <c r="L4" i="3" s="1"/>
  <c r="M4" i="3" s="1"/>
  <c r="N4" i="3" s="1"/>
  <c r="O4" i="3" s="1"/>
  <c r="P4" i="3" s="1"/>
  <c r="Q4" i="3" s="1"/>
  <c r="R4" i="3" s="1"/>
  <c r="S4" i="3" s="1"/>
  <c r="T4" i="3" s="1"/>
  <c r="U4" i="3" s="1"/>
  <c r="V4" i="3" s="1"/>
  <c r="W4" i="3" s="1"/>
  <c r="X4" i="3" s="1"/>
  <c r="Y4" i="3" s="1"/>
  <c r="Z4" i="3" s="1"/>
  <c r="E15" i="19"/>
  <c r="O107" i="3"/>
  <c r="E107" i="3"/>
  <c r="E98" i="3"/>
  <c r="F98" i="3" s="1"/>
  <c r="G98" i="3" s="1"/>
  <c r="H98" i="3" s="1"/>
  <c r="I98" i="3" s="1"/>
  <c r="J98" i="3" s="1"/>
  <c r="K98" i="3" s="1"/>
  <c r="L98" i="3" s="1"/>
  <c r="M98" i="3" s="1"/>
  <c r="N98" i="3" s="1"/>
  <c r="F107" i="3"/>
  <c r="D107" i="3"/>
  <c r="D108" i="3" s="1"/>
  <c r="D17" i="19" s="1"/>
  <c r="D103" i="3"/>
  <c r="E103" i="3" s="1"/>
  <c r="F103" i="3" s="1"/>
  <c r="G103" i="3" s="1"/>
  <c r="H103" i="3" s="1"/>
  <c r="I103" i="3" s="1"/>
  <c r="J103" i="3" s="1"/>
  <c r="K103" i="3" s="1"/>
  <c r="L103" i="3" s="1"/>
  <c r="M103" i="3" s="1"/>
  <c r="N103" i="3" s="1"/>
  <c r="O103" i="3" s="1"/>
  <c r="P103" i="3" s="1"/>
  <c r="Q103" i="3" s="1"/>
  <c r="R103" i="3" s="1"/>
  <c r="S103" i="3" s="1"/>
  <c r="T103" i="3" s="1"/>
  <c r="U103" i="3" s="1"/>
  <c r="V103" i="3" s="1"/>
  <c r="W103" i="3" s="1"/>
  <c r="X103" i="3" s="1"/>
  <c r="Y103" i="3" s="1"/>
  <c r="Z103" i="3" s="1"/>
  <c r="AA103" i="3" s="1"/>
  <c r="AB103" i="3" s="1"/>
  <c r="AC103" i="3" s="1"/>
  <c r="AD103" i="3" s="1"/>
  <c r="AE103" i="3" s="1"/>
  <c r="AF103" i="3" s="1"/>
  <c r="AG103" i="3" s="1"/>
  <c r="AH103" i="3" s="1"/>
  <c r="AI103" i="3" s="1"/>
  <c r="AJ103" i="3" s="1"/>
  <c r="AK103" i="3" s="1"/>
  <c r="AL103" i="3" s="1"/>
  <c r="AM103" i="3" s="1"/>
  <c r="AN103" i="3" s="1"/>
  <c r="O98" i="3" l="1"/>
  <c r="P98" i="3" s="1"/>
  <c r="Q98" i="3" s="1"/>
  <c r="E108" i="3"/>
  <c r="F108" i="3" s="1"/>
  <c r="G108" i="3" s="1"/>
  <c r="H108" i="3" s="1"/>
  <c r="I108" i="3" s="1"/>
  <c r="J108" i="3" s="1"/>
  <c r="K108" i="3" s="1"/>
  <c r="L108" i="3" s="1"/>
  <c r="M108" i="3" s="1"/>
  <c r="N108" i="3" s="1"/>
  <c r="R98" i="3" l="1"/>
  <c r="S98" i="3" s="1"/>
  <c r="T98" i="3" s="1"/>
  <c r="U98" i="3" s="1"/>
  <c r="V98" i="3" s="1"/>
  <c r="W98" i="3" s="1"/>
  <c r="X98" i="3" s="1"/>
  <c r="Y98" i="3" s="1"/>
  <c r="Z98" i="3" s="1"/>
  <c r="E16" i="19"/>
  <c r="O108" i="3"/>
  <c r="P108" i="3" s="1"/>
  <c r="Q108" i="3" s="1"/>
  <c r="R108" i="3" l="1"/>
  <c r="S108" i="3" s="1"/>
  <c r="T108" i="3" s="1"/>
  <c r="U108" i="3" s="1"/>
  <c r="V108" i="3" s="1"/>
  <c r="W108" i="3" s="1"/>
  <c r="X108" i="3" s="1"/>
  <c r="Y108" i="3" s="1"/>
  <c r="Z108" i="3" s="1"/>
  <c r="E17" i="19"/>
  <c r="D111" i="17" l="1"/>
  <c r="AA61" i="3" l="1"/>
  <c r="AA50" i="3" s="1"/>
  <c r="AB61" i="3"/>
  <c r="AB50" i="3" s="1"/>
  <c r="AC61" i="3"/>
  <c r="AC50" i="3" s="1"/>
  <c r="AD61" i="3"/>
  <c r="AD50" i="3" s="1"/>
  <c r="AE61" i="3"/>
  <c r="AE50" i="3" s="1"/>
  <c r="AF61" i="3"/>
  <c r="AF50" i="3" s="1"/>
  <c r="AG61" i="3"/>
  <c r="AG50" i="3" s="1"/>
  <c r="AH61" i="3"/>
  <c r="AH50" i="3" s="1"/>
  <c r="AI61" i="3"/>
  <c r="AI50" i="3" s="1"/>
  <c r="AJ61" i="3"/>
  <c r="AJ50" i="3" s="1"/>
  <c r="AK61" i="3"/>
  <c r="AK50" i="3" s="1"/>
  <c r="AL61" i="3"/>
  <c r="AL50" i="3" s="1"/>
  <c r="AM61" i="3"/>
  <c r="AM50" i="3" s="1"/>
  <c r="AN61" i="3"/>
  <c r="AN50" i="3" s="1"/>
  <c r="AA44" i="3"/>
  <c r="AB44" i="3"/>
  <c r="AC44" i="3"/>
  <c r="AD44" i="3"/>
  <c r="AE44" i="3"/>
  <c r="AF44" i="3"/>
  <c r="AG44" i="3"/>
  <c r="AH44" i="3"/>
  <c r="AI44" i="3"/>
  <c r="AJ44" i="3"/>
  <c r="AK44" i="3"/>
  <c r="AL44" i="3"/>
  <c r="AM44" i="3"/>
  <c r="AN44" i="3"/>
  <c r="AA45" i="3" l="1"/>
  <c r="AA40" i="3" s="1"/>
  <c r="AA90" i="3" s="1"/>
  <c r="AA97" i="3" s="1"/>
  <c r="AB45" i="3"/>
  <c r="AB40" i="3" s="1"/>
  <c r="AB90" i="3" s="1"/>
  <c r="AB97" i="3" s="1"/>
  <c r="AB107" i="3" s="1"/>
  <c r="AC45" i="3"/>
  <c r="AC40" i="3" s="1"/>
  <c r="AC90" i="3" s="1"/>
  <c r="AC97" i="3" s="1"/>
  <c r="AC107" i="3" s="1"/>
  <c r="AD45" i="3"/>
  <c r="AD40" i="3" s="1"/>
  <c r="AD90" i="3" s="1"/>
  <c r="AD97" i="3" s="1"/>
  <c r="AD107" i="3" s="1"/>
  <c r="AE45" i="3"/>
  <c r="AE40" i="3" s="1"/>
  <c r="AE90" i="3" s="1"/>
  <c r="AE97" i="3" s="1"/>
  <c r="AE107" i="3" s="1"/>
  <c r="AF45" i="3"/>
  <c r="AF40" i="3" s="1"/>
  <c r="AF90" i="3" s="1"/>
  <c r="AF97" i="3" s="1"/>
  <c r="AF107" i="3" s="1"/>
  <c r="AG45" i="3"/>
  <c r="AG40" i="3" s="1"/>
  <c r="AG90" i="3" s="1"/>
  <c r="AG97" i="3" s="1"/>
  <c r="AG107" i="3" s="1"/>
  <c r="AH45" i="3"/>
  <c r="AH40" i="3" s="1"/>
  <c r="AH90" i="3" s="1"/>
  <c r="AH97" i="3" s="1"/>
  <c r="AH107" i="3" s="1"/>
  <c r="AI45" i="3"/>
  <c r="AI40" i="3" s="1"/>
  <c r="AI90" i="3" s="1"/>
  <c r="AI97" i="3" s="1"/>
  <c r="AI107" i="3" s="1"/>
  <c r="AJ45" i="3"/>
  <c r="AJ40" i="3" s="1"/>
  <c r="AJ90" i="3" s="1"/>
  <c r="AJ97" i="3" s="1"/>
  <c r="AJ107" i="3" s="1"/>
  <c r="AK45" i="3"/>
  <c r="AK40" i="3" s="1"/>
  <c r="AK90" i="3" s="1"/>
  <c r="AK97" i="3" s="1"/>
  <c r="AK107" i="3" s="1"/>
  <c r="AL45" i="3"/>
  <c r="AL40" i="3" s="1"/>
  <c r="AL90" i="3" s="1"/>
  <c r="AL97" i="3" s="1"/>
  <c r="AL107" i="3" s="1"/>
  <c r="AM45" i="3"/>
  <c r="AM40" i="3" s="1"/>
  <c r="AM90" i="3" s="1"/>
  <c r="AM97" i="3" s="1"/>
  <c r="H15" i="19" s="1"/>
  <c r="AN45" i="3"/>
  <c r="AN40" i="3" s="1"/>
  <c r="AN90" i="3" s="1"/>
  <c r="AN97" i="3" s="1"/>
  <c r="AN107" i="3" s="1"/>
  <c r="AA4" i="3" l="1"/>
  <c r="AB4" i="3" s="1"/>
  <c r="AC4" i="3" s="1"/>
  <c r="AD4" i="3" s="1"/>
  <c r="AE4" i="3" s="1"/>
  <c r="AF4" i="3" s="1"/>
  <c r="AG4" i="3" s="1"/>
  <c r="AH4" i="3" s="1"/>
  <c r="AI4" i="3" s="1"/>
  <c r="AJ4" i="3" s="1"/>
  <c r="AK4" i="3" s="1"/>
  <c r="AL4" i="3" s="1"/>
  <c r="AM4" i="3" s="1"/>
  <c r="AN4" i="3" s="1"/>
  <c r="F15" i="19"/>
  <c r="AM107" i="3"/>
  <c r="G15" i="19"/>
  <c r="AA98" i="3"/>
  <c r="AB98" i="3" s="1"/>
  <c r="AC98" i="3" s="1"/>
  <c r="AA107" i="3"/>
  <c r="AA108" i="3" s="1"/>
  <c r="AB108" i="3" s="1"/>
  <c r="AC108" i="3" s="1"/>
  <c r="AD98" i="3" l="1"/>
  <c r="AE98" i="3" s="1"/>
  <c r="AF98" i="3" s="1"/>
  <c r="AG98" i="3" s="1"/>
  <c r="AH98" i="3" s="1"/>
  <c r="AI98" i="3" s="1"/>
  <c r="AJ98" i="3" s="1"/>
  <c r="AK98" i="3" s="1"/>
  <c r="AL98" i="3" s="1"/>
  <c r="F16" i="19"/>
  <c r="AD108" i="3"/>
  <c r="AE108" i="3" s="1"/>
  <c r="AF108" i="3" s="1"/>
  <c r="AG108" i="3" s="1"/>
  <c r="AH108" i="3" s="1"/>
  <c r="AI108" i="3" s="1"/>
  <c r="AJ108" i="3" s="1"/>
  <c r="AK108" i="3" s="1"/>
  <c r="AL108" i="3" s="1"/>
  <c r="F17" i="19"/>
  <c r="AM108" i="3" l="1"/>
  <c r="AN108" i="3" s="1"/>
  <c r="H17" i="19" s="1"/>
  <c r="G17" i="19"/>
  <c r="AM98" i="3"/>
  <c r="AN98" i="3" s="1"/>
  <c r="G16" i="19" l="1"/>
  <c r="H16" i="19"/>
  <c r="D8" i="19"/>
</calcChain>
</file>

<file path=xl/sharedStrings.xml><?xml version="1.0" encoding="utf-8"?>
<sst xmlns="http://schemas.openxmlformats.org/spreadsheetml/2006/main" count="736" uniqueCount="332">
  <si>
    <t>Food</t>
  </si>
  <si>
    <t>Insurance</t>
  </si>
  <si>
    <t>Month</t>
  </si>
  <si>
    <t>Payment</t>
  </si>
  <si>
    <t>Interest</t>
  </si>
  <si>
    <t>Principal</t>
  </si>
  <si>
    <t>Balance</t>
  </si>
  <si>
    <t>% Interest</t>
  </si>
  <si>
    <t>% Principal</t>
  </si>
  <si>
    <t>Credit Vehicle 1</t>
  </si>
  <si>
    <t>Credit Vehicle 2</t>
  </si>
  <si>
    <t>Credit Vehicle 3</t>
  </si>
  <si>
    <t>Donations</t>
  </si>
  <si>
    <t>Amount Borrowed</t>
  </si>
  <si>
    <t xml:space="preserve">Amount Borrowed </t>
  </si>
  <si>
    <t>APR</t>
  </si>
  <si>
    <t>Repayment Term (Mos)</t>
  </si>
  <si>
    <t>Month Acquired</t>
  </si>
  <si>
    <t>Grants</t>
  </si>
  <si>
    <t>Utilities</t>
  </si>
  <si>
    <t>Year</t>
  </si>
  <si>
    <t>Total Debt Outstanding</t>
  </si>
  <si>
    <t>Monthly Net Cash Flow</t>
  </si>
  <si>
    <t>Supportive Services</t>
  </si>
  <si>
    <t>Income / Inflows</t>
  </si>
  <si>
    <t>Expenses / Outflows</t>
  </si>
  <si>
    <t>Cash Inflow</t>
  </si>
  <si>
    <t>Cash Inflow from Financing</t>
  </si>
  <si>
    <t>Inputs &amp; Assumptions</t>
  </si>
  <si>
    <t>Notes</t>
  </si>
  <si>
    <t>Base</t>
  </si>
  <si>
    <t>Best</t>
  </si>
  <si>
    <t>Worst</t>
  </si>
  <si>
    <t>GENERAL</t>
  </si>
  <si>
    <t>months</t>
  </si>
  <si>
    <t>&lt;&lt;&lt;CLICK TO EXPAND OR COLLAPSE</t>
  </si>
  <si>
    <t>Anticipated annual inflation rate</t>
  </si>
  <si>
    <t>Sq Ft</t>
  </si>
  <si>
    <t>per SF per year</t>
  </si>
  <si>
    <t>Credit Vehicle 4</t>
  </si>
  <si>
    <t>Marketing</t>
  </si>
  <si>
    <t>Disposables / Supplies</t>
  </si>
  <si>
    <t>Financing terms for purchase of space</t>
  </si>
  <si>
    <t>&lt;---Check that total is 100%</t>
  </si>
  <si>
    <t>BASE CASE MODEL</t>
  </si>
  <si>
    <t>Startup Costs</t>
  </si>
  <si>
    <t>Hidden - Operating Month Tag</t>
  </si>
  <si>
    <t>Purchase Price for Space</t>
  </si>
  <si>
    <t>Down Payment %</t>
  </si>
  <si>
    <t>% of purchase price</t>
  </si>
  <si>
    <t>Closing costs</t>
  </si>
  <si>
    <t>Mortgage if Purchased Space</t>
  </si>
  <si>
    <t>Mortgage Interest Rate</t>
  </si>
  <si>
    <t>TOTAL Expenses / Outflows</t>
  </si>
  <si>
    <t>Repayment Term (Years)</t>
  </si>
  <si>
    <t xml:space="preserve"> Interest Rate</t>
  </si>
  <si>
    <t>Cumulative Net Operating Cash Flows</t>
  </si>
  <si>
    <t>Cumulative Net Cash Flow</t>
  </si>
  <si>
    <t>Hidden - Tag for Operating Breakeven</t>
  </si>
  <si>
    <t>Total Startup Capital Required</t>
  </si>
  <si>
    <t>Hidden - Tag for Dashboard Values</t>
  </si>
  <si>
    <t>1-12</t>
  </si>
  <si>
    <t>2-12</t>
  </si>
  <si>
    <t>3-12</t>
  </si>
  <si>
    <t>Hidden - Dashboard Tags</t>
  </si>
  <si>
    <t>Monthly Net Operating Cash Flow</t>
  </si>
  <si>
    <t>Cumulative Net Operating Cash Flow</t>
  </si>
  <si>
    <t>Average net operating cash flows taken as average of all operating months in that year.</t>
  </si>
  <si>
    <t>Avg. Monthly Net Operating Cash Flows</t>
  </si>
  <si>
    <t>Dashboard</t>
  </si>
  <si>
    <t>BEST CASE MODEL</t>
  </si>
  <si>
    <t>WORST CASE MODEL</t>
  </si>
  <si>
    <t>Number of open days per week</t>
  </si>
  <si>
    <t>Avg number of open hours per day</t>
  </si>
  <si>
    <t>If this is not the same for every open day (e.g., longer weekend hours), then enter the AVERAGE for all days.</t>
  </si>
  <si>
    <t>Fill in the below for a NEW BUSINESS only</t>
  </si>
  <si>
    <t>per SF</t>
  </si>
  <si>
    <t>Months in first Calendar Year of operations</t>
  </si>
  <si>
    <t>Grants, Calendar Year (CY) 1</t>
  </si>
  <si>
    <t>Target total revenvue for Calendar Year (CY) 1</t>
  </si>
  <si>
    <t>Donations, CY 1</t>
  </si>
  <si>
    <t>Donations, CY 2</t>
  </si>
  <si>
    <t>Donations, CY 3</t>
  </si>
  <si>
    <t>Other Contributions, CY 1</t>
  </si>
  <si>
    <t>Other Contributions, CY 2</t>
  </si>
  <si>
    <t>Other Contributions, CY 3</t>
  </si>
  <si>
    <t>Average # of orders per day, CY1</t>
  </si>
  <si>
    <t>Gut check - does this look reasonable? If not, adjust target total revenue and/or the average per order size</t>
  </si>
  <si>
    <t>Year-over-Year (YoY) Revenue Growth - CY 2 (%)</t>
  </si>
  <si>
    <t>Year-over-Year (YoY) Revenue Growth - CY 3 (%)</t>
  </si>
  <si>
    <t>Average # of orders per day, CY2</t>
  </si>
  <si>
    <t>Average # of orders per day, CY3</t>
  </si>
  <si>
    <t>Target total revenvue for CY 2</t>
  </si>
  <si>
    <t>Average per-order size, CY 1</t>
  </si>
  <si>
    <t>Average per-order size, CY 2</t>
  </si>
  <si>
    <t>Gut check - does this look reasonable? If not, adjust the YoY growth estimate above</t>
  </si>
  <si>
    <t>Gut check - does this look reasonable? If not, adjust YoY increase estimates and/or the average per order size</t>
  </si>
  <si>
    <t>Target total revenvue for CY 3</t>
  </si>
  <si>
    <t>Average per-order size, CY 3</t>
  </si>
  <si>
    <t>Enter a reasonable increase in revenue from CY 1. Use the gut checks below to determine if this is a reasonable estimate</t>
  </si>
  <si>
    <t>Enter a reasonable increase in revenue from CY 2. Use the gut checks below to determine if this is a reasonable estimate</t>
  </si>
  <si>
    <t>Contributed Revenue Estimates</t>
  </si>
  <si>
    <t>Earned Revenue Estimates</t>
  </si>
  <si>
    <t>orders</t>
  </si>
  <si>
    <t>Lease prices are fixed (ie, no adjustment YoY over period of model)</t>
  </si>
  <si>
    <t>Cost of Goods Sold (COGS)</t>
  </si>
  <si>
    <t>This includes all of the ingredients used in and to prepare the products sold.</t>
  </si>
  <si>
    <t>This includes the non-food items used to package and deliver the products.</t>
  </si>
  <si>
    <t>This may not be applicable for your business. This is usually only relevant if using 3rd party delivery service for your business.</t>
  </si>
  <si>
    <t>Food (as % of Earned Revenue), Calendar Year (CY) 1</t>
  </si>
  <si>
    <t>Food (as % of Earned Revenue), CY 2</t>
  </si>
  <si>
    <t>Food (as % of Earned Revenue), CY 3</t>
  </si>
  <si>
    <t>Disposables / Supplies (as % of Earned Revenue), CY 1</t>
  </si>
  <si>
    <t>Disposables / Supplies (as % of Earned Revenue), CY 2</t>
  </si>
  <si>
    <t>Disposables / Supplies (as % of Earned Revenue), CY 3</t>
  </si>
  <si>
    <t>Delivery / Shipping (as % of Earned Revenue), CY 1</t>
  </si>
  <si>
    <t>Delivery / Shipping (as % of Earned Revenue), CY 2</t>
  </si>
  <si>
    <t>Delivery / Shipping (as % of Earned Revenue), CY 3</t>
  </si>
  <si>
    <t>Payment Processing (as % of Earned Revenue), CY 1</t>
  </si>
  <si>
    <t>Payment Processing (as % of Earned Revenue), CY 2</t>
  </si>
  <si>
    <t>Payment Processing (as % of Earned Revenue), CY 3</t>
  </si>
  <si>
    <t xml:space="preserve">This includes credit card fees, etc. </t>
  </si>
  <si>
    <t>Direct Labor (non-supervisor) Hourly Wage (not including benefits), CY 1</t>
  </si>
  <si>
    <t>Direct Labor Avg FTEs per day, CY 1</t>
  </si>
  <si>
    <t>Number of open weeks per year</t>
  </si>
  <si>
    <t>Gut check - does this look reasonable? Think of this as the average # of non-supervisor individuals you think will be needed to staff the establishment on a given day. If this doesn't look right, adjust the numbers above</t>
  </si>
  <si>
    <t>It's a good idea to have this number *at least* be equal to the anticipated annual inflation rate (see the top of this sheet)</t>
  </si>
  <si>
    <t>Supervisor Hourly Wage (not including benefits), CY 1</t>
  </si>
  <si>
    <t>Use the Direct Labor Avg FTEs per day, above, as a reference point</t>
  </si>
  <si>
    <t>Gut check - does this look reasonable? Think of this as the average # of supervisors you expect to be at the establishment every day. Note that since Supervisors are assumed to be full time, this number is rounded UP</t>
  </si>
  <si>
    <t>Operating Expenses</t>
  </si>
  <si>
    <t>Year-Over-Year Direct Labor wage growth for CY 2 and CY 3</t>
  </si>
  <si>
    <t>Year-Over-Year Supervisor wage growth for CY 2 and CY 3</t>
  </si>
  <si>
    <t>Indirect Labor - Fill in the orange cells below according to your ESE's operating model. Include ALL indirect labor.</t>
  </si>
  <si>
    <t>Benefits as % of Indirect Labor Salaries</t>
  </si>
  <si>
    <t>&lt;Indirect Labor Individual #3 Monthly Salary, CY 1&gt;</t>
  </si>
  <si>
    <t>&lt;Indirect Labor Individual #4 Monthly Salary, CY 1&gt;</t>
  </si>
  <si>
    <t>&lt;Indirect Labor Individual #5 Monthly Salary, CY 1&gt;</t>
  </si>
  <si>
    <t>&lt;Indirect Labor Individual #6 Monthly Salary, CY 1&gt;</t>
  </si>
  <si>
    <t>&lt;Indirect Labor Individual #7 Monthly Salary, CY 1&gt;</t>
  </si>
  <si>
    <t>&lt;Indirect Labor Individual #8 Monthly Salary, CY 1&gt;</t>
  </si>
  <si>
    <t>&lt;Indirect Labor Individual #9 Monthly Salary, CY 1&gt;</t>
  </si>
  <si>
    <t>Year-Over-Year Indirect Labor salary growth for (Calendar Year) CY 2 and CY 3</t>
  </si>
  <si>
    <t>Enter monthly salary for this individual for Calendar Year 1</t>
  </si>
  <si>
    <t>per month</t>
  </si>
  <si>
    <t>Units or Period</t>
  </si>
  <si>
    <t>Supportive Services can be fixed or semi-variable, and often depend on the number of Direct Labor FTEs. Use the rows below to define the Supportive Services Expenses.</t>
  </si>
  <si>
    <t>Monthly Supportive Services Expenses, CY 1</t>
  </si>
  <si>
    <t>Annual Supportive Services Expenses, CY 1</t>
  </si>
  <si>
    <t>Gut check - does this look reasonable? Change the expenses per Direct Labor FTE per day if not.</t>
  </si>
  <si>
    <t>Supportive Services expenses per Direct Labor FTE per day</t>
  </si>
  <si>
    <t>ESEs may include a variety of things such as bus passes, case management, etc. Use the gut checks below to determine if this amount is right. This will be used for all Calendar Years in the model. If you have a hybrid model or a separate nonprofit, you may consider excluding these expenses from this model.</t>
  </si>
  <si>
    <t>Marketing expenses are driven by a variety of factors. As you enter these estimates, consider your revenue targets at the top of this sheet.</t>
  </si>
  <si>
    <t>Monthly marketing expenses, Calendar Year (CY) 1</t>
  </si>
  <si>
    <t>Monthly marketing expenses, CY 2</t>
  </si>
  <si>
    <t>Lease price per Sq Ft per Year (only enter if Leasing)</t>
  </si>
  <si>
    <t>Purchase price per Sq Ft (only enter if Purchasing)</t>
  </si>
  <si>
    <t>Monthly software and technology expenses, CY 1</t>
  </si>
  <si>
    <t>Monthly utilities expenses, CY 1</t>
  </si>
  <si>
    <t>Monthly insurance expenses, CY 1</t>
  </si>
  <si>
    <t>Monthly lease expenses, CY 1</t>
  </si>
  <si>
    <t>&lt;Other Monthly Operating Expense #1, CY 1&gt;</t>
  </si>
  <si>
    <t>&lt;Other Monthly Operating Expense #2, CY 1&gt;</t>
  </si>
  <si>
    <t>&lt;Other Monthly Operating Expense #3, CY 1&gt;</t>
  </si>
  <si>
    <t>&lt;Other Monthly Operating Expense #4, CY 1&gt;</t>
  </si>
  <si>
    <t>&lt;Other Monthly Operating Expense #5, CY 1&gt;</t>
  </si>
  <si>
    <t>Enter this in the section at the top of the sheet.</t>
  </si>
  <si>
    <t>The below expenses are generally considered fixed. The model will automatically increase these expenses by the inflation rate (except for Lease expense)</t>
  </si>
  <si>
    <t>&lt;One-time purchase #1&gt;</t>
  </si>
  <si>
    <t>This is for an item like an equipment purchase, etc.</t>
  </si>
  <si>
    <t>&lt;One-time purchase #2&gt;</t>
  </si>
  <si>
    <t>&lt;One-time purchase #3&gt;</t>
  </si>
  <si>
    <t>&lt;One-time purchase #4&gt;</t>
  </si>
  <si>
    <t>&lt;One-time purchase #5&gt;</t>
  </si>
  <si>
    <t>&lt;Monthly expenses or cash outflow #3&gt;</t>
  </si>
  <si>
    <t>&lt;Monthly expenses or cash outflow #4&gt;</t>
  </si>
  <si>
    <t>&lt;Monthly expenses or cash outflow #5&gt;</t>
  </si>
  <si>
    <t>&lt;Monthly expenses or cash outflow #6&gt;</t>
  </si>
  <si>
    <t>&lt;Monthly expenses or cash outflow #7&gt;</t>
  </si>
  <si>
    <t>&lt;Monthly expenses or cash outflow #8&gt;</t>
  </si>
  <si>
    <t>Enter Calendar Year # for monthly expense or cash flow #1</t>
  </si>
  <si>
    <t>Enter Calendar Year # for monthly expense or cash flow #2</t>
  </si>
  <si>
    <t>Enter Calendar Year # for monthly expense or cash flow #3</t>
  </si>
  <si>
    <t>Enter Calendar Year # for monthly expense or cash flow #4</t>
  </si>
  <si>
    <t>Enter Calendar Year # for monthly expense or cash flow #5</t>
  </si>
  <si>
    <t>Enter Calendar Year # for monthly expense or cash flow #6</t>
  </si>
  <si>
    <t>Enter Calendar Year # for monthly expense or cash flow #7</t>
  </si>
  <si>
    <t>Enter Calendar Year # for monthly expense or cash flow #8</t>
  </si>
  <si>
    <t>Use this for any monthly expense or cash outflow not captured elsewhere</t>
  </si>
  <si>
    <t>Total Startup Costs</t>
  </si>
  <si>
    <t>Be sure to include calculated down payment and closing costs (if purchasing)</t>
  </si>
  <si>
    <t>Include this in your above total startup costs. These values come from the "FINANCING &amp; AVAILABLE STARTUP CAPITAL" section</t>
  </si>
  <si>
    <t>Other Contributed Revenue</t>
  </si>
  <si>
    <t>Hidden - tag for New or Existing Business</t>
  </si>
  <si>
    <t>Hidden - Operating Calendar Year Tag</t>
  </si>
  <si>
    <t>Seasonality Worksheet</t>
  </si>
  <si>
    <t>Approx total % of annual Earned Revenue each month</t>
  </si>
  <si>
    <t>Hidden - month #</t>
  </si>
  <si>
    <r>
      <rPr>
        <b/>
        <u/>
        <sz val="11"/>
        <color theme="1"/>
        <rFont val="Calibri"/>
        <family val="2"/>
        <scheme val="minor"/>
      </rPr>
      <t>Instructions:</t>
    </r>
    <r>
      <rPr>
        <sz val="11"/>
        <color theme="1"/>
        <rFont val="Calibri"/>
        <family val="2"/>
        <scheme val="minor"/>
      </rPr>
      <t xml:space="preserve"> Enter percentages in each month to reflect seasonality of Earned Revenue. Enter % of total annual revenue expected in that month in any given year. For reference, calculated monthly revenues for CALENDAR YEAR 2 displayed at bottom of table</t>
    </r>
  </si>
  <si>
    <t>Weighted monthly earned revenue - Hidden - See Seasonality Worksheet for more</t>
  </si>
  <si>
    <t>Total Contributed Revenue</t>
  </si>
  <si>
    <t>Total Earned Revenue</t>
  </si>
  <si>
    <t xml:space="preserve">Mortgage </t>
  </si>
  <si>
    <t>Mortgage</t>
  </si>
  <si>
    <t>Total Cash from Financing</t>
  </si>
  <si>
    <t>To account for discounts or additional fees not captured above</t>
  </si>
  <si>
    <t>Monthly Lease*</t>
  </si>
  <si>
    <t>Monthly Mortgage Principal Payments**</t>
  </si>
  <si>
    <t>Monthly Mortgage Interest Payments**</t>
  </si>
  <si>
    <t>Total Cost of Goods Sold (COGS)</t>
  </si>
  <si>
    <t>Delivery / Shipping</t>
  </si>
  <si>
    <t>Payment Processing</t>
  </si>
  <si>
    <t>Direct Labor (Non-Supervisor)</t>
  </si>
  <si>
    <t>Direct Labor (Supervisor)</t>
  </si>
  <si>
    <t>Direct Labor Avg FTEs per day, CY 2</t>
  </si>
  <si>
    <t>Direct Labor Avg FTEs per day, CY 3</t>
  </si>
  <si>
    <t>Avg number of Supervisors per day, CY 1</t>
  </si>
  <si>
    <t>Avg number of Supervisors per day, CY 2</t>
  </si>
  <si>
    <t>Avg number of Supervisors per day, CY 3</t>
  </si>
  <si>
    <t>*This row will fill only if the space is leased</t>
  </si>
  <si>
    <t>Total Operating Expenses</t>
  </si>
  <si>
    <t>Monthly Supportive Services Expenses, CY 2</t>
  </si>
  <si>
    <t>Annual Supportive Services Expenses, CY 2</t>
  </si>
  <si>
    <t>Monthly Supportive Services Expenses, CY 3</t>
  </si>
  <si>
    <t>Annual Supportive Services Expenses, CY 3</t>
  </si>
  <si>
    <t>Software &amp; Technology</t>
  </si>
  <si>
    <t>Total Other Expenses &amp; Cash Outflows</t>
  </si>
  <si>
    <t>Indirect Labor Benefits</t>
  </si>
  <si>
    <t>TOTAL Income / Inflows</t>
  </si>
  <si>
    <t>Monthly principal payments on loans</t>
  </si>
  <si>
    <t>Monthly interest payments on loans</t>
  </si>
  <si>
    <t>Net Cash Flows</t>
  </si>
  <si>
    <t>Startup Capital Raised or Accounted For</t>
  </si>
  <si>
    <t>Remaining Startup Capital Required</t>
  </si>
  <si>
    <t>Direct Labor (non-supervisor) as % of Earned Revenue, CY 2</t>
  </si>
  <si>
    <t>Direct Labor (non-supervisor) as % of Earned Revenue, CY 3</t>
  </si>
  <si>
    <t>Operating Breakeven Achieved On:</t>
  </si>
  <si>
    <t>Grants, CY 2</t>
  </si>
  <si>
    <t>Ratio of Direct Labor FTEs per Supervisor (or, how many Direct Labor FTEs a single Supervisor can support)</t>
  </si>
  <si>
    <t xml:space="preserve"> </t>
  </si>
  <si>
    <t>Is this cash flow model for the launch of a NEW BUSINESS, or modeling the cash flows for an EXISTING BUSINESS?</t>
  </si>
  <si>
    <t xml:space="preserve">Is (or will) the space be LEASED or PURCHASED? </t>
  </si>
  <si>
    <t>Include any cash raised or set aside to support Launch for New Businesses, or any available Cash On Hand at Start of Modeling Period for Existing Businesses</t>
  </si>
  <si>
    <t>All scenarios must have the same value</t>
  </si>
  <si>
    <t>If PURCHASED, enter Month &amp; Year of Purchase (MMM-YYYY)</t>
  </si>
  <si>
    <t xml:space="preserve">Enter any + or - adjustment here to the Calculated monthly Lease </t>
  </si>
  <si>
    <t>Operating Month Borrowed (if EXISTING BUSINESS, enter value greater than 0)</t>
  </si>
  <si>
    <t>TOTAL 
(QA Check)</t>
  </si>
  <si>
    <t>Calculated Monthly Revenues (BASE case) for CALENDAR YEAR 2 of Operations*</t>
  </si>
  <si>
    <t>Total startup costs (include down payment &amp; closing costs if purchasing plus any other startup costs)</t>
  </si>
  <si>
    <t>Fill in the below for a PURCHASED SPACE only</t>
  </si>
  <si>
    <t>Enter beginning Month and Year for start of financial model (if NEW BUSINESS, this should be the launch month of operations)</t>
  </si>
  <si>
    <t>FINANCING &amp; CAPITAL ON HAND</t>
  </si>
  <si>
    <t>See "FINANCING" Section at bottom of sheet</t>
  </si>
  <si>
    <t>Fill in the below for a LEASED SPACE only</t>
  </si>
  <si>
    <t>Calculated down payment and closing costs (if Purchasing) - Include this in your total startup costs, above</t>
  </si>
  <si>
    <t>Enter value between 1 and 36</t>
  </si>
  <si>
    <r>
      <t xml:space="preserve">CREDIT AMORTIZATION SCHEDULE </t>
    </r>
    <r>
      <rPr>
        <sz val="10"/>
        <color theme="1"/>
        <rFont val="Verdana"/>
        <family val="2"/>
      </rPr>
      <t xml:space="preserve"> - Assumes all financing has monthly payment frequency, monthly interest compounding, maximum 30 yr term and fixed APR</t>
    </r>
    <r>
      <rPr>
        <b/>
        <sz val="10"/>
        <color theme="1"/>
        <rFont val="Verdana"/>
        <family val="2"/>
      </rPr>
      <t>. Please make adjustments in the "Inputs" tab.</t>
    </r>
  </si>
  <si>
    <r>
      <t xml:space="preserve">Sheet is locked to prevent accidental changes. To unlock sheet, go to "Review"-&gt;"Unprotect Sheet" and type </t>
    </r>
    <r>
      <rPr>
        <b/>
        <sz val="10"/>
        <color theme="1"/>
        <rFont val="Verdana"/>
        <family val="2"/>
      </rPr>
      <t>Unlock</t>
    </r>
    <r>
      <rPr>
        <sz val="10"/>
        <color theme="1"/>
        <rFont val="Verdana"/>
        <family val="2"/>
      </rPr>
      <t xml:space="preserve"> when prompted (case sensitive).</t>
    </r>
  </si>
  <si>
    <r>
      <t xml:space="preserve">Sheet is locked to prevent accidental changes. To unlock sheet, go to "Review" 
-&gt;"Unprotect Sheet" and type </t>
    </r>
    <r>
      <rPr>
        <b/>
        <sz val="8"/>
        <color theme="1"/>
        <rFont val="Verdana"/>
        <family val="2"/>
      </rPr>
      <t>Unlock</t>
    </r>
    <r>
      <rPr>
        <sz val="8"/>
        <color theme="1"/>
        <rFont val="Verdana"/>
        <family val="2"/>
      </rPr>
      <t xml:space="preserve"> when prompted (case sensitive).</t>
    </r>
  </si>
  <si>
    <t>Total Sq Ft of space</t>
  </si>
  <si>
    <t>Enter Operating Month # for One-time purchase #1</t>
  </si>
  <si>
    <t>Enter Operating Month # for One-time purchase #2</t>
  </si>
  <si>
    <t>Enter Operating Month # for One-time purchase #3</t>
  </si>
  <si>
    <t>Enter Operating Month # for One-time purchase #4</t>
  </si>
  <si>
    <t>Enter Operating Month # for One-time purchase #5</t>
  </si>
  <si>
    <t>Loan #1</t>
  </si>
  <si>
    <t>Loan #2</t>
  </si>
  <si>
    <t>Loan #3</t>
  </si>
  <si>
    <t>Loan #4</t>
  </si>
  <si>
    <t xml:space="preserve">Enter as number value (e.g. 1, 2, 3…). Cash inflow will be recorded in month borrowed, and repayment will start following month. </t>
  </si>
  <si>
    <t>Use the reference of # of months in the first year as reference (ie, if you are only operating for 6 months in CY1, then be sure to enter a value for what you can expect only during those 6 months)</t>
  </si>
  <si>
    <t>Calculated monthly Lease Price (if Leasing)</t>
  </si>
  <si>
    <t>Enter financing terms for purchase at bottom of this sheet.</t>
  </si>
  <si>
    <t xml:space="preserve">Automatically calculated. Use this as reference when setting all first year targets. </t>
  </si>
  <si>
    <t>Enter only expected Unrestricted Grants or Restricted Grants that you expect to be released from restrictions during this period. Use the reference of # of months in the first year as reference (ie, if you are only operating for 6 months in CY1, then be sure to enter a value for what you can expect only during those 6 months)</t>
  </si>
  <si>
    <t>Enter only expected Unrestricted Grants or Restricted Grants that you expect to be released from restrictions during this period.</t>
  </si>
  <si>
    <t>Gut check - does this look reasonable? If not, adjust target total revenue in line above. Note that the exact monthly values will be adjusted based on what you enter in the "Seasonality Adjustment" tab.</t>
  </si>
  <si>
    <t>This is to assist with a gut check calculation. Remember this is an estimated average of ALL customer orders. In other words - what's the typical amount that a customer will spend when they purchase from your establishment?</t>
  </si>
  <si>
    <t>This is to assist with a gut check calculation. This may not change from CY 1. But - you may consider adjusting it if you're planning to introduce new items in CY 2, putting in place strategies to upsell, etc.</t>
  </si>
  <si>
    <t>This is to assist with a gut check calculation. This may not change from CY 2. But - you may consider adjusting it if you're planning to introduce new items in CY 3, putting in place strategies to upsell, etc.</t>
  </si>
  <si>
    <t>This does not often change unless you change payment processing providers.</t>
  </si>
  <si>
    <t>Direct Labor (non-supervisor) Hourly Wage as % of Earned Revenue, CY 1</t>
  </si>
  <si>
    <t>This could range from 30% to 60% for a food-based ESE</t>
  </si>
  <si>
    <t>This number could increase if sales volume increases, but that increase may be tempered by increased efficiency (ie, employees are able to do more due to improved training, management, processes, technology, etc.)</t>
  </si>
  <si>
    <t>Use this as a gut check. This number may decrease from previous year with increased efficiency. But, there likely won't be a *drastic* change. Adjust he "Direct Labor Avg FTEs per day" for this calendar year as needed.</t>
  </si>
  <si>
    <t>New or Existing Business:</t>
  </si>
  <si>
    <t>Lease or Purchase:</t>
  </si>
  <si>
    <t>Model Start Month-Year:</t>
  </si>
  <si>
    <t>Model End Month-Year:</t>
  </si>
  <si>
    <t>**These rows will fill only if the space is purchased</t>
  </si>
  <si>
    <t>Available Startup Capital or Cash On Hand Before Modeling Period</t>
  </si>
  <si>
    <t>Monthly Principal Payments on Financing</t>
  </si>
  <si>
    <t>Monthly Interest Payments on Financing</t>
  </si>
  <si>
    <t>Total Available Startup Capital or Cash On Hand Before Modeling Period</t>
  </si>
  <si>
    <t>Calculate this in "GENERAL"  at top of sheet</t>
  </si>
  <si>
    <t>*Since model may start mid-year in Calendar Year 1, CY 2 is used as a reference</t>
  </si>
  <si>
    <r>
      <t xml:space="preserve">Sheet is locked to prevent accidental changes. To unlock sheet, go to "Review" 
-&gt;"Unprotect Sheet" and type </t>
    </r>
    <r>
      <rPr>
        <b/>
        <sz val="9"/>
        <color theme="0"/>
        <rFont val="Verdana"/>
        <family val="2"/>
      </rPr>
      <t>Unlock</t>
    </r>
    <r>
      <rPr>
        <sz val="9"/>
        <color theme="0"/>
        <rFont val="Verdana"/>
        <family val="2"/>
      </rPr>
      <t xml:space="preserve"> when prompted (case sensitive).</t>
    </r>
  </si>
  <si>
    <t>New Business</t>
  </si>
  <si>
    <t>Consider that this number *may* decrease from year to year if you improve on food waste, negotiate bulk discounts, etc., or increase if you switch to more premium ingredients, etc.</t>
  </si>
  <si>
    <t>Consider that this number *may* decrease from year to year if you negotiate bulk discounts, etc., or may increase if you switch to branded or premium packaging, etc.</t>
  </si>
  <si>
    <t>Consider that this number *may* change from year to year if you have a change to 3rd party delivery services, etc.</t>
  </si>
  <si>
    <r>
      <t xml:space="preserve">Note: Do not modify </t>
    </r>
    <r>
      <rPr>
        <b/>
        <i/>
        <u/>
        <sz val="11"/>
        <color theme="1"/>
        <rFont val="Calibri"/>
        <family val="2"/>
        <scheme val="minor"/>
      </rPr>
      <t>any</t>
    </r>
    <r>
      <rPr>
        <b/>
        <i/>
        <sz val="11"/>
        <color theme="1"/>
        <rFont val="Calibri"/>
        <family val="2"/>
        <scheme val="minor"/>
      </rPr>
      <t xml:space="preserve"> data on this sheet.  All figures are pulled from other sheets automatically.</t>
    </r>
  </si>
  <si>
    <t>Operating Breakeven: Operating MONTHLY revenue covers operating MONTHLY expenses or outflows (outflows exclude principal payments). Calculated on 6-month rolling average.</t>
  </si>
  <si>
    <t>Cumulative Net Operating and Cumulative Net Cash Flows taken from December of each operating year for CY 1-3. If portion of 4th Calendar Year included in model, figure is taken from final month of that year in the model.</t>
  </si>
  <si>
    <t>Total Startup Capital Required includeds all startup costs, including down payment and closing costs for mortgage (if any).  Startup Capital Raised or Accounted For includes all cash on hand and financing secured in year 0. These cells will populated only for New Businesses.</t>
  </si>
  <si>
    <t xml:space="preserve">Cells in  gray are calculated or fixed cells. 
Be careful not to modify them </t>
  </si>
  <si>
    <t>Modify only cells in light blue</t>
  </si>
  <si>
    <t>Other ONE-TIME OPERATING EXPENSES: Fill in the orange cells below for ONE-TIME purchases and the Operating Month that the purchase will occur. Keep in mind that Month #1 is first operating month in the model.</t>
  </si>
  <si>
    <t>Other Operating Expenses &amp; Cash Outflows</t>
  </si>
  <si>
    <t>Take into account holidays, planned closures, etc. For restaurants this may be around 48 to 50 weeks per year.</t>
  </si>
  <si>
    <t>Affects yoy indirect non-labor operating expenses (excluding lease expenses). 3% is a common assumption here.</t>
  </si>
  <si>
    <t>REVENUE &amp; CASH INFLOW (Contributed &amp; Earned)</t>
  </si>
  <si>
    <t>Other MONTHLY OPERATING EXPENSES: Fill in the orange cells below for MONTHLY EXPENSES OR OUTFLOWS that are planned for Calendar Year 1, 2, 3, or 4 (if the model extends into a partial 4th calendar year). If a certain monthly expenses or cash outflow occurs in multiple years, enter the expense in a new line for each year in which the expense occurs.</t>
  </si>
  <si>
    <t>Enter a value between 1 and 4</t>
  </si>
  <si>
    <t>Direct Labor Fringe &amp; Benefits as % of Hourly Wages</t>
  </si>
  <si>
    <t>Supervisor Fringe &amp; Benefits as % of Hourly Wages</t>
  </si>
  <si>
    <t>Direct Labor Fringe &amp; Benefits (Non-Supervisor)</t>
  </si>
  <si>
    <t>Direct Labor Fringe &amp; Benefits (Supervisor)</t>
  </si>
  <si>
    <t>BASE</t>
  </si>
  <si>
    <t>BEST</t>
  </si>
  <si>
    <t>WORST</t>
  </si>
  <si>
    <r>
      <t xml:space="preserve">Sheet is locked to prevent accidental changes. To unlock sheet, go to "Review" -&gt;"Unprotect Sheet" and type </t>
    </r>
    <r>
      <rPr>
        <b/>
        <sz val="9"/>
        <color theme="1"/>
        <rFont val="Verdana"/>
        <family val="2"/>
      </rPr>
      <t>Unlock</t>
    </r>
    <r>
      <rPr>
        <sz val="9"/>
        <color theme="1"/>
        <rFont val="Verdana"/>
        <family val="2"/>
      </rPr>
      <t xml:space="preserve"> when prompted (case sensitive).</t>
    </r>
  </si>
  <si>
    <t>Straight line average monthly revenue, CY1</t>
  </si>
  <si>
    <t>Grants, CY 3</t>
  </si>
  <si>
    <t>EXPENSES &amp; CASH OUTFLOW 
(If NEW BUSINESS, these should be Post-Launch only)</t>
  </si>
  <si>
    <t>Executive Director</t>
  </si>
  <si>
    <t>Deputy Director</t>
  </si>
  <si>
    <t>Monthly marketing expenses, CY 3</t>
  </si>
  <si>
    <t>Purchase</t>
  </si>
  <si>
    <t>Insurance - CY 2</t>
  </si>
  <si>
    <t>Insurance - CY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</si>
</sst>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8" formatCode="&quot;$&quot;#,##0.00_);[Red]\(&quot;$&quot;#,##0.00\)"/>
    <numFmt numFmtId="44" formatCode="_(&quot;$&quot;* #,##0.00_);_(&quot;$&quot;* \(#,##0.00\);_(&quot;$&quot;* &quot;-&quot;??_);_(@_)"/>
    <numFmt numFmtId="43" formatCode="_(* #,##0.00_);_(* \(#,##0.00\);_(* &quot;-&quot;??_);_(@_)"/>
    <numFmt numFmtId="164" formatCode="&quot;$&quot;#,##0"/>
    <numFmt numFmtId="165" formatCode="_(&quot;$&quot;* #,##0_);_(&quot;$&quot;* \(#,##0\);_(&quot;$&quot;* &quot;-&quot;??_);_(@_)"/>
    <numFmt numFmtId="166" formatCode="[$-409]mmm\-yy;@"/>
    <numFmt numFmtId="167" formatCode="_(* #,##0_);_(* \(#,##0\);_(* &quot;-&quot;??_);_(@_)"/>
    <numFmt numFmtId="168" formatCode="yyyy"/>
    <numFmt numFmtId="169" formatCode="mmm"/>
    <numFmt numFmtId="170" formatCode="0.0"/>
    <numFmt numFmtId="171" formatCode="mmm\-yyyy"/>
    <numFmt numFmtId="172" formatCode="0.0%"/>
  </numFmts>
  <fonts count="52">
    <font>
      <sz val="11"/>
      <color theme="1"/>
      <name val="Calibri"/>
      <family val="2"/>
      <scheme val="minor"/>
    </font>
    <font>
      <sz val="11"/>
      <color theme="1"/>
      <name val="Calibri"/>
      <family val="2"/>
      <scheme val="minor"/>
    </font>
    <font>
      <sz val="8"/>
      <name val="Calibri"/>
      <family val="2"/>
      <scheme val="minor"/>
    </font>
    <font>
      <b/>
      <sz val="10"/>
      <color theme="1"/>
      <name val="Verdana"/>
      <family val="2"/>
    </font>
    <font>
      <sz val="10"/>
      <color theme="1"/>
      <name val="Verdana"/>
      <family val="2"/>
    </font>
    <font>
      <b/>
      <sz val="10"/>
      <color rgb="FF000000"/>
      <name val="Verdana"/>
      <family val="2"/>
    </font>
    <font>
      <sz val="12"/>
      <color theme="1"/>
      <name val="ＭＳ 明朝"/>
      <family val="2"/>
      <charset val="128"/>
    </font>
    <font>
      <b/>
      <sz val="11"/>
      <color theme="1"/>
      <name val="Calibri"/>
      <family val="2"/>
      <scheme val="minor"/>
    </font>
    <font>
      <sz val="8"/>
      <color theme="1"/>
      <name val="Verdana"/>
      <family val="2"/>
    </font>
    <font>
      <sz val="11"/>
      <color theme="1"/>
      <name val="Arial"/>
      <family val="2"/>
    </font>
    <font>
      <b/>
      <sz val="11"/>
      <color theme="1"/>
      <name val="Arial"/>
      <family val="2"/>
    </font>
    <font>
      <sz val="9"/>
      <color theme="1"/>
      <name val="Arial"/>
      <family val="2"/>
    </font>
    <font>
      <sz val="8"/>
      <color theme="1"/>
      <name val="Arial"/>
      <family val="2"/>
    </font>
    <font>
      <b/>
      <sz val="11"/>
      <color theme="0"/>
      <name val="Arial"/>
      <family val="2"/>
    </font>
    <font>
      <sz val="9"/>
      <color theme="0"/>
      <name val="Arial"/>
      <family val="2"/>
    </font>
    <font>
      <b/>
      <sz val="9"/>
      <color theme="1"/>
      <name val="Arial"/>
      <family val="2"/>
    </font>
    <font>
      <i/>
      <sz val="11"/>
      <color theme="1"/>
      <name val="Arial"/>
      <family val="2"/>
    </font>
    <font>
      <sz val="12"/>
      <color theme="1"/>
      <name val="Arial"/>
      <family val="2"/>
    </font>
    <font>
      <b/>
      <sz val="12"/>
      <color theme="0"/>
      <name val="Arial"/>
      <family val="2"/>
    </font>
    <font>
      <b/>
      <sz val="12"/>
      <color theme="1"/>
      <name val="Verdana"/>
      <family val="2"/>
    </font>
    <font>
      <b/>
      <sz val="12"/>
      <color theme="0"/>
      <name val="Verdana"/>
      <family val="2"/>
    </font>
    <font>
      <b/>
      <i/>
      <sz val="10"/>
      <color theme="1"/>
      <name val="Verdana"/>
      <family val="2"/>
    </font>
    <font>
      <b/>
      <sz val="8"/>
      <color theme="1"/>
      <name val="Verdana"/>
      <family val="2"/>
    </font>
    <font>
      <b/>
      <sz val="8"/>
      <color theme="1"/>
      <name val="Arial"/>
      <family val="2"/>
    </font>
    <font>
      <b/>
      <sz val="11"/>
      <color theme="0"/>
      <name val="Calibri"/>
      <family val="2"/>
      <scheme val="minor"/>
    </font>
    <font>
      <sz val="10"/>
      <color theme="1"/>
      <name val="Calibri"/>
      <family val="2"/>
      <scheme val="minor"/>
    </font>
    <font>
      <i/>
      <sz val="10"/>
      <color theme="1"/>
      <name val="Verdana"/>
      <family val="2"/>
    </font>
    <font>
      <sz val="12"/>
      <color theme="0"/>
      <name val="Calibri"/>
      <family val="2"/>
      <scheme val="minor"/>
    </font>
    <font>
      <b/>
      <sz val="9"/>
      <color theme="0"/>
      <name val="Arial"/>
      <family val="2"/>
    </font>
    <font>
      <sz val="8"/>
      <color theme="0"/>
      <name val="Arial"/>
      <family val="2"/>
    </font>
    <font>
      <b/>
      <u/>
      <sz val="11"/>
      <color theme="1"/>
      <name val="Calibri"/>
      <family val="2"/>
      <scheme val="minor"/>
    </font>
    <font>
      <b/>
      <sz val="10"/>
      <color theme="0"/>
      <name val="Arial"/>
      <family val="2"/>
    </font>
    <font>
      <sz val="9"/>
      <color theme="1"/>
      <name val="Verdana"/>
      <family val="2"/>
    </font>
    <font>
      <b/>
      <i/>
      <sz val="11"/>
      <color theme="1"/>
      <name val="Calibri"/>
      <family val="2"/>
      <scheme val="minor"/>
    </font>
    <font>
      <b/>
      <sz val="10"/>
      <color theme="1"/>
      <name val="Calibri"/>
      <family val="2"/>
      <scheme val="minor"/>
    </font>
    <font>
      <b/>
      <sz val="12"/>
      <color theme="1"/>
      <name val="Calibri "/>
    </font>
    <font>
      <sz val="9"/>
      <color theme="0"/>
      <name val="Verdana"/>
      <family val="2"/>
    </font>
    <font>
      <b/>
      <sz val="9"/>
      <color theme="0"/>
      <name val="Verdana"/>
      <family val="2"/>
    </font>
    <font>
      <b/>
      <sz val="10"/>
      <name val="Verdana"/>
      <family val="2"/>
    </font>
    <font>
      <sz val="10"/>
      <name val="Verdana"/>
      <family val="2"/>
    </font>
    <font>
      <b/>
      <sz val="10"/>
      <color theme="0"/>
      <name val="Verdana"/>
      <family val="2"/>
    </font>
    <font>
      <b/>
      <i/>
      <u/>
      <sz val="11"/>
      <color theme="1"/>
      <name val="Calibri"/>
      <family val="2"/>
      <scheme val="minor"/>
    </font>
    <font>
      <sz val="10"/>
      <color theme="3"/>
      <name val="Arial"/>
      <family val="2"/>
    </font>
    <font>
      <sz val="9"/>
      <color theme="3"/>
      <name val="Arial"/>
      <family val="2"/>
    </font>
    <font>
      <b/>
      <sz val="9"/>
      <color theme="7" tint="-0.499984740745262"/>
      <name val="Arial"/>
      <family val="2"/>
    </font>
    <font>
      <b/>
      <sz val="10"/>
      <color theme="7" tint="-0.499984740745262"/>
      <name val="Arial"/>
      <family val="2"/>
    </font>
    <font>
      <b/>
      <sz val="9"/>
      <color theme="1"/>
      <name val="Verdana"/>
      <family val="2"/>
    </font>
    <font>
      <b/>
      <sz val="9"/>
      <name val="Arial"/>
      <family val="2"/>
    </font>
    <font>
      <b/>
      <i/>
      <sz val="11"/>
      <color theme="0"/>
      <name val="Arial"/>
      <family val="2"/>
    </font>
    <font>
      <b/>
      <i/>
      <sz val="9"/>
      <name val="Arial"/>
      <family val="2"/>
    </font>
    <font>
      <b/>
      <sz val="12"/>
      <color theme="7" tint="-0.499984740745262"/>
      <name val="Arial"/>
      <family val="2"/>
    </font>
    <font>
      <sz val="10"/>
      <color theme="0"/>
      <name val="Verdana"/>
      <family val="2"/>
    </font>
  </fonts>
  <fills count="20">
    <fill>
      <patternFill patternType="none"/>
    </fill>
    <fill>
      <patternFill patternType="gray125"/>
    </fill>
    <fill>
      <patternFill patternType="solid">
        <fgColor theme="2"/>
        <bgColor indexed="64"/>
      </patternFill>
    </fill>
    <fill>
      <patternFill patternType="solid">
        <fgColor theme="4" tint="0.79998168889431442"/>
        <bgColor indexed="64"/>
      </patternFill>
    </fill>
    <fill>
      <patternFill patternType="solid">
        <fgColor theme="0"/>
        <bgColor indexed="64"/>
      </patternFill>
    </fill>
    <fill>
      <patternFill patternType="solid">
        <fgColor rgb="FFFFFFC0"/>
        <bgColor indexed="64"/>
      </patternFill>
    </fill>
    <fill>
      <patternFill patternType="solid">
        <fgColor theme="6" tint="0.79998168889431442"/>
        <bgColor indexed="64"/>
      </patternFill>
    </fill>
    <fill>
      <patternFill patternType="solid">
        <fgColor rgb="FF00FF00"/>
        <bgColor indexed="64"/>
      </patternFill>
    </fill>
    <fill>
      <patternFill patternType="solid">
        <fgColor theme="3" tint="0.249977111117893"/>
        <bgColor indexed="64"/>
      </patternFill>
    </fill>
    <fill>
      <patternFill patternType="solid">
        <fgColor theme="3"/>
        <bgColor indexed="64"/>
      </patternFill>
    </fill>
    <fill>
      <patternFill patternType="solid">
        <fgColor theme="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9E8F5"/>
        <bgColor indexed="64"/>
      </patternFill>
    </fill>
    <fill>
      <patternFill patternType="solid">
        <fgColor rgb="FFF6F7F9"/>
        <bgColor indexed="64"/>
      </patternFill>
    </fill>
    <fill>
      <patternFill patternType="solid">
        <fgColor rgb="FF2E3A46"/>
        <bgColor indexed="64"/>
      </patternFill>
    </fill>
    <fill>
      <patternFill patternType="solid">
        <fgColor rgb="FF2F6F6B"/>
        <bgColor indexed="64"/>
      </patternFill>
    </fill>
    <fill>
      <patternFill patternType="solid">
        <fgColor rgb="FFB07A2A"/>
        <bgColor indexed="64"/>
      </patternFill>
    </fill>
    <fill>
      <patternFill patternType="solid">
        <fgColor rgb="FF243447"/>
        <bgColor indexed="64"/>
      </patternFill>
    </fill>
    <fill>
      <patternFill patternType="solid">
        <fgColor rgb="FFFFF3CD"/>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medium">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auto="1"/>
      </top>
      <bottom style="thin">
        <color auto="1"/>
      </bottom>
      <diagonal/>
    </border>
    <border>
      <left style="medium">
        <color indexed="64"/>
      </left>
      <right/>
      <top style="thin">
        <color auto="1"/>
      </top>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ck">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ck">
        <color indexed="64"/>
      </left>
      <right style="thick">
        <color indexed="64"/>
      </right>
      <top/>
      <bottom/>
      <diagonal/>
    </border>
    <border>
      <left style="medium">
        <color indexed="64"/>
      </left>
      <right/>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ck">
        <color indexed="64"/>
      </top>
      <bottom/>
      <diagonal/>
    </border>
    <border>
      <left/>
      <right/>
      <top style="thick">
        <color indexed="64"/>
      </top>
      <bottom/>
      <diagonal/>
    </border>
  </borders>
  <cellStyleXfs count="5">
    <xf numFmtId="0" fontId="0" fillId="0" borderId="0"/>
    <xf numFmtId="0" fontId="6" fillId="0" borderId="0">
      <alignment vertical="center"/>
    </xf>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294">
    <xf numFmtId="0" fontId="0" fillId="0" borderId="0" xfId="0"/>
    <xf numFmtId="0" fontId="4" fillId="0" borderId="0" xfId="0" applyFont="1"/>
    <xf numFmtId="0" fontId="3" fillId="0" borderId="0" xfId="0" applyFont="1"/>
    <xf numFmtId="0" fontId="4" fillId="0" borderId="0" xfId="0" applyFont="1" applyAlignment="1">
      <alignment horizontal="center"/>
    </xf>
    <xf numFmtId="0" fontId="4" fillId="3" borderId="6" xfId="0" applyFont="1" applyFill="1" applyBorder="1" applyAlignment="1">
      <alignment horizontal="center"/>
    </xf>
    <xf numFmtId="8" fontId="4" fillId="0" borderId="1" xfId="0" applyNumberFormat="1" applyFont="1" applyBorder="1"/>
    <xf numFmtId="10" fontId="4" fillId="0" borderId="1" xfId="3" applyNumberFormat="1" applyFont="1" applyBorder="1"/>
    <xf numFmtId="0" fontId="4" fillId="3" borderId="10" xfId="0" applyFont="1" applyFill="1" applyBorder="1" applyAlignment="1">
      <alignment horizontal="center"/>
    </xf>
    <xf numFmtId="0" fontId="4" fillId="3" borderId="10" xfId="0" applyFont="1" applyFill="1" applyBorder="1" applyAlignment="1">
      <alignment horizontal="left"/>
    </xf>
    <xf numFmtId="0" fontId="4" fillId="3" borderId="0" xfId="0" applyFont="1" applyFill="1" applyAlignment="1">
      <alignment horizontal="left"/>
    </xf>
    <xf numFmtId="0" fontId="4" fillId="3" borderId="0" xfId="0" applyFont="1" applyFill="1" applyAlignment="1">
      <alignment horizontal="center"/>
    </xf>
    <xf numFmtId="0" fontId="4" fillId="3" borderId="11" xfId="0" applyFont="1" applyFill="1" applyBorder="1" applyAlignment="1">
      <alignment horizontal="center"/>
    </xf>
    <xf numFmtId="165" fontId="4" fillId="3" borderId="0" xfId="2" applyNumberFormat="1" applyFont="1" applyFill="1" applyBorder="1" applyAlignment="1">
      <alignment horizontal="left"/>
    </xf>
    <xf numFmtId="8" fontId="4" fillId="4" borderId="1" xfId="0" applyNumberFormat="1" applyFont="1" applyFill="1" applyBorder="1"/>
    <xf numFmtId="0" fontId="4" fillId="0" borderId="10" xfId="0" applyFont="1" applyBorder="1"/>
    <xf numFmtId="164" fontId="4" fillId="0" borderId="10" xfId="0" applyNumberFormat="1" applyFont="1" applyBorder="1"/>
    <xf numFmtId="164" fontId="4" fillId="0" borderId="0" xfId="0" applyNumberFormat="1" applyFont="1"/>
    <xf numFmtId="0" fontId="4" fillId="0" borderId="12" xfId="0" applyFont="1" applyBorder="1"/>
    <xf numFmtId="164" fontId="4" fillId="0" borderId="12" xfId="0" applyNumberFormat="1" applyFont="1" applyBorder="1"/>
    <xf numFmtId="164" fontId="4" fillId="0" borderId="13" xfId="0" applyNumberFormat="1" applyFont="1" applyBorder="1"/>
    <xf numFmtId="0" fontId="4" fillId="0" borderId="4" xfId="0" applyFont="1" applyBorder="1" applyAlignment="1">
      <alignment horizontal="center"/>
    </xf>
    <xf numFmtId="10" fontId="4" fillId="0" borderId="14" xfId="3" applyNumberFormat="1" applyFont="1" applyBorder="1"/>
    <xf numFmtId="0" fontId="4" fillId="0" borderId="5" xfId="0" applyFont="1" applyBorder="1" applyAlignment="1">
      <alignment horizontal="center"/>
    </xf>
    <xf numFmtId="8" fontId="4" fillId="0" borderId="3" xfId="0" applyNumberFormat="1" applyFont="1" applyBorder="1"/>
    <xf numFmtId="10" fontId="4" fillId="0" borderId="3" xfId="3" applyNumberFormat="1" applyFont="1" applyBorder="1"/>
    <xf numFmtId="10" fontId="4" fillId="0" borderId="8" xfId="3" applyNumberFormat="1" applyFont="1" applyBorder="1"/>
    <xf numFmtId="6" fontId="4" fillId="0" borderId="0" xfId="0" applyNumberFormat="1" applyFont="1"/>
    <xf numFmtId="10" fontId="4" fillId="3" borderId="0" xfId="0" applyNumberFormat="1" applyFont="1" applyFill="1" applyAlignment="1">
      <alignment horizontal="center"/>
    </xf>
    <xf numFmtId="44" fontId="4" fillId="4" borderId="1" xfId="0" applyNumberFormat="1" applyFont="1" applyFill="1" applyBorder="1"/>
    <xf numFmtId="0" fontId="4" fillId="7" borderId="0" xfId="0" applyFont="1" applyFill="1"/>
    <xf numFmtId="0" fontId="8" fillId="0" borderId="0" xfId="0" applyFont="1"/>
    <xf numFmtId="168" fontId="3" fillId="5" borderId="0" xfId="0" applyNumberFormat="1" applyFont="1" applyFill="1" applyAlignment="1">
      <alignment horizontal="center" vertical="center"/>
    </xf>
    <xf numFmtId="0" fontId="4" fillId="0" borderId="0" xfId="0" applyFont="1" applyAlignment="1">
      <alignment vertical="center"/>
    </xf>
    <xf numFmtId="0" fontId="4" fillId="0" borderId="12" xfId="0" applyFont="1" applyBorder="1" applyAlignment="1">
      <alignment vertical="center"/>
    </xf>
    <xf numFmtId="9" fontId="4" fillId="0" borderId="0" xfId="0" applyNumberFormat="1" applyFont="1" applyAlignment="1">
      <alignment vertical="center"/>
    </xf>
    <xf numFmtId="164" fontId="4" fillId="0" borderId="0" xfId="0" applyNumberFormat="1" applyFont="1" applyAlignment="1">
      <alignment vertical="center"/>
    </xf>
    <xf numFmtId="0" fontId="0" fillId="0" borderId="0" xfId="0" applyAlignment="1">
      <alignment horizontal="right" wrapText="1"/>
    </xf>
    <xf numFmtId="9" fontId="0" fillId="0" borderId="0" xfId="0" applyNumberFormat="1" applyAlignment="1">
      <alignment horizontal="center" vertical="center"/>
    </xf>
    <xf numFmtId="17" fontId="0" fillId="0" borderId="0" xfId="0" applyNumberFormat="1"/>
    <xf numFmtId="17" fontId="0" fillId="0" borderId="0" xfId="0" applyNumberFormat="1" applyAlignment="1">
      <alignment horizontal="center" vertical="center"/>
    </xf>
    <xf numFmtId="0" fontId="9" fillId="0" borderId="0" xfId="0" applyFont="1" applyProtection="1">
      <protection locked="0"/>
    </xf>
    <xf numFmtId="0" fontId="10" fillId="0" borderId="0" xfId="0" applyFont="1" applyProtection="1">
      <protection locked="0"/>
    </xf>
    <xf numFmtId="0" fontId="17" fillId="0" borderId="0" xfId="0" applyFont="1" applyAlignment="1" applyProtection="1">
      <alignment vertical="center"/>
      <protection locked="0"/>
    </xf>
    <xf numFmtId="0" fontId="22" fillId="7" borderId="0" xfId="0" applyFont="1" applyFill="1" applyAlignment="1">
      <alignment horizontal="right" wrapText="1"/>
    </xf>
    <xf numFmtId="0" fontId="4" fillId="7" borderId="0" xfId="0" applyFont="1" applyFill="1" applyAlignment="1">
      <alignment vertical="center"/>
    </xf>
    <xf numFmtId="0" fontId="5" fillId="0" borderId="0" xfId="0" applyFont="1"/>
    <xf numFmtId="2" fontId="8" fillId="0" borderId="0" xfId="0" applyNumberFormat="1" applyFont="1"/>
    <xf numFmtId="0" fontId="8" fillId="6" borderId="0" xfId="0" applyFont="1" applyFill="1"/>
    <xf numFmtId="0" fontId="3" fillId="0" borderId="0" xfId="0" applyFont="1" applyAlignment="1">
      <alignment vertical="center"/>
    </xf>
    <xf numFmtId="164" fontId="3" fillId="0" borderId="0" xfId="0" applyNumberFormat="1" applyFont="1"/>
    <xf numFmtId="0" fontId="26" fillId="0" borderId="0" xfId="0" applyFont="1"/>
    <xf numFmtId="9" fontId="3" fillId="0" borderId="0" xfId="0" applyNumberFormat="1" applyFont="1" applyAlignment="1">
      <alignment vertical="center"/>
    </xf>
    <xf numFmtId="164" fontId="3" fillId="0" borderId="10" xfId="0" applyNumberFormat="1" applyFont="1" applyBorder="1"/>
    <xf numFmtId="1" fontId="4" fillId="3" borderId="0" xfId="0" applyNumberFormat="1" applyFont="1" applyFill="1" applyAlignment="1">
      <alignment horizontal="center"/>
    </xf>
    <xf numFmtId="0" fontId="3" fillId="0" borderId="10" xfId="0" applyFont="1" applyBorder="1"/>
    <xf numFmtId="0" fontId="21" fillId="0" borderId="0" xfId="0" applyFont="1" applyAlignment="1">
      <alignment vertical="center"/>
    </xf>
    <xf numFmtId="0" fontId="3" fillId="0" borderId="11" xfId="0" applyFont="1" applyBorder="1" applyAlignment="1">
      <alignment vertical="center"/>
    </xf>
    <xf numFmtId="1" fontId="14" fillId="9" borderId="9" xfId="4" applyNumberFormat="1" applyFont="1" applyFill="1" applyBorder="1" applyAlignment="1" applyProtection="1">
      <alignment horizontal="center" vertical="center"/>
    </xf>
    <xf numFmtId="10" fontId="0" fillId="10" borderId="0" xfId="0" applyNumberFormat="1" applyFill="1" applyAlignment="1">
      <alignment horizontal="center" vertical="center"/>
    </xf>
    <xf numFmtId="2" fontId="8" fillId="7" borderId="0" xfId="0" applyNumberFormat="1" applyFont="1" applyFill="1" applyAlignment="1">
      <alignment horizontal="center" vertical="center" wrapText="1"/>
    </xf>
    <xf numFmtId="14" fontId="8" fillId="7" borderId="0" xfId="0" applyNumberFormat="1" applyFont="1" applyFill="1" applyAlignment="1">
      <alignment horizontal="center" vertical="center" wrapText="1"/>
    </xf>
    <xf numFmtId="2" fontId="7" fillId="7" borderId="0" xfId="0" applyNumberFormat="1" applyFont="1" applyFill="1" applyAlignment="1">
      <alignment horizontal="center"/>
    </xf>
    <xf numFmtId="0" fontId="25" fillId="7" borderId="0" xfId="0" applyFont="1" applyFill="1" applyAlignment="1">
      <alignment horizontal="right"/>
    </xf>
    <xf numFmtId="0" fontId="0" fillId="0" borderId="0" xfId="0" applyAlignment="1">
      <alignment vertical="center"/>
    </xf>
    <xf numFmtId="165" fontId="4" fillId="0" borderId="10" xfId="0" applyNumberFormat="1" applyFont="1" applyBorder="1"/>
    <xf numFmtId="165" fontId="4" fillId="0" borderId="0" xfId="0" applyNumberFormat="1" applyFont="1"/>
    <xf numFmtId="165" fontId="3" fillId="0" borderId="0" xfId="0" applyNumberFormat="1" applyFont="1"/>
    <xf numFmtId="165" fontId="4" fillId="0" borderId="0" xfId="0" applyNumberFormat="1" applyFont="1" applyAlignment="1">
      <alignment horizontal="left" indent="1"/>
    </xf>
    <xf numFmtId="165" fontId="3" fillId="0" borderId="0" xfId="0" applyNumberFormat="1" applyFont="1" applyAlignment="1">
      <alignment horizontal="left" indent="1"/>
    </xf>
    <xf numFmtId="0" fontId="4" fillId="7" borderId="10" xfId="0" applyFont="1" applyFill="1" applyBorder="1"/>
    <xf numFmtId="9" fontId="4" fillId="7" borderId="0" xfId="3" applyFont="1" applyFill="1"/>
    <xf numFmtId="164" fontId="26" fillId="0" borderId="0" xfId="0" applyNumberFormat="1" applyFont="1"/>
    <xf numFmtId="0" fontId="12" fillId="0" borderId="0" xfId="0" applyFont="1" applyAlignment="1">
      <alignment vertical="center" wrapText="1"/>
    </xf>
    <xf numFmtId="0" fontId="10" fillId="2" borderId="0" xfId="0" applyFont="1" applyFill="1" applyAlignment="1">
      <alignment horizontal="center" vertical="center" wrapText="1"/>
    </xf>
    <xf numFmtId="0" fontId="0" fillId="0" borderId="0" xfId="0" applyAlignment="1">
      <alignment wrapText="1"/>
    </xf>
    <xf numFmtId="0" fontId="17" fillId="0" borderId="0" xfId="0" applyFont="1" applyAlignment="1" applyProtection="1">
      <alignment horizontal="left" vertical="center"/>
      <protection locked="0"/>
    </xf>
    <xf numFmtId="1" fontId="4" fillId="0" borderId="4" xfId="0" applyNumberFormat="1" applyFont="1" applyBorder="1" applyAlignment="1">
      <alignment horizontal="center"/>
    </xf>
    <xf numFmtId="165" fontId="31" fillId="8" borderId="0" xfId="2" applyNumberFormat="1" applyFont="1" applyFill="1" applyBorder="1" applyAlignment="1" applyProtection="1">
      <alignment horizontal="center" vertical="center"/>
    </xf>
    <xf numFmtId="169" fontId="7" fillId="2" borderId="0" xfId="0" applyNumberFormat="1" applyFont="1" applyFill="1" applyAlignment="1">
      <alignment horizontal="center" wrapText="1"/>
    </xf>
    <xf numFmtId="0" fontId="7" fillId="2" borderId="0" xfId="0" applyFont="1" applyFill="1" applyAlignment="1">
      <alignment horizontal="center" wrapText="1"/>
    </xf>
    <xf numFmtId="168" fontId="21" fillId="5" borderId="0" xfId="0" applyNumberFormat="1" applyFont="1" applyFill="1" applyAlignment="1">
      <alignment horizontal="center" vertical="center"/>
    </xf>
    <xf numFmtId="0" fontId="9" fillId="0" borderId="0" xfId="0" applyFont="1" applyAlignment="1" applyProtection="1">
      <alignment vertical="center"/>
      <protection locked="0"/>
    </xf>
    <xf numFmtId="0" fontId="9" fillId="0" borderId="0" xfId="0" applyFont="1" applyAlignment="1" applyProtection="1">
      <alignment horizontal="left" vertical="center"/>
      <protection locked="0"/>
    </xf>
    <xf numFmtId="0" fontId="9" fillId="0" borderId="0" xfId="0" applyFont="1" applyAlignment="1" applyProtection="1">
      <alignment vertical="center" wrapText="1"/>
      <protection locked="0"/>
    </xf>
    <xf numFmtId="0" fontId="9" fillId="0" borderId="0" xfId="0" applyFont="1" applyAlignment="1">
      <alignment vertical="center"/>
    </xf>
    <xf numFmtId="0" fontId="10" fillId="0" borderId="0" xfId="0" applyFont="1" applyAlignment="1">
      <alignment vertical="center" wrapText="1"/>
    </xf>
    <xf numFmtId="0" fontId="9" fillId="0" borderId="0" xfId="0" applyFont="1" applyAlignment="1">
      <alignment vertical="center" wrapText="1"/>
    </xf>
    <xf numFmtId="0" fontId="9" fillId="0" borderId="0" xfId="0" applyFont="1" applyAlignment="1" applyProtection="1">
      <alignment horizontal="right" vertical="center"/>
      <protection locked="0"/>
    </xf>
    <xf numFmtId="0" fontId="11" fillId="0" borderId="8" xfId="0" applyFont="1" applyBorder="1" applyAlignment="1">
      <alignment horizontal="right" vertical="center" wrapText="1"/>
    </xf>
    <xf numFmtId="0" fontId="11" fillId="0" borderId="9" xfId="0" applyFont="1" applyBorder="1" applyAlignment="1">
      <alignment vertical="center"/>
    </xf>
    <xf numFmtId="0" fontId="11" fillId="0" borderId="10" xfId="0" applyFont="1" applyBorder="1" applyAlignment="1">
      <alignment horizontal="right" vertical="center" wrapText="1"/>
    </xf>
    <xf numFmtId="0" fontId="11" fillId="0" borderId="0" xfId="0" applyFont="1" applyAlignment="1">
      <alignment vertical="center"/>
    </xf>
    <xf numFmtId="0" fontId="11" fillId="0" borderId="21" xfId="0" applyFont="1" applyBorder="1" applyAlignment="1">
      <alignment horizontal="right" vertical="center" wrapText="1"/>
    </xf>
    <xf numFmtId="0" fontId="11" fillId="0" borderId="10" xfId="0" applyFont="1" applyBorder="1" applyAlignment="1">
      <alignment vertical="center"/>
    </xf>
    <xf numFmtId="0" fontId="14" fillId="9" borderId="9" xfId="0" applyFont="1" applyFill="1" applyBorder="1" applyAlignment="1">
      <alignment vertical="center"/>
    </xf>
    <xf numFmtId="0" fontId="11" fillId="0" borderId="10" xfId="0" applyFont="1" applyBorder="1" applyAlignment="1">
      <alignment horizontal="right" vertical="center"/>
    </xf>
    <xf numFmtId="0" fontId="11" fillId="0" borderId="19" xfId="0" applyFont="1" applyBorder="1" applyAlignment="1">
      <alignment horizontal="right" vertical="center"/>
    </xf>
    <xf numFmtId="0" fontId="11" fillId="0" borderId="6" xfId="0" applyFont="1" applyBorder="1" applyAlignment="1">
      <alignment vertical="center"/>
    </xf>
    <xf numFmtId="0" fontId="11" fillId="0" borderId="21" xfId="0" applyFont="1" applyBorder="1" applyAlignment="1">
      <alignment horizontal="right" vertical="center"/>
    </xf>
    <xf numFmtId="0" fontId="12" fillId="0" borderId="10" xfId="0" applyFont="1" applyBorder="1" applyAlignment="1">
      <alignment vertical="center"/>
    </xf>
    <xf numFmtId="0" fontId="11" fillId="0" borderId="2" xfId="0" applyFont="1" applyBorder="1" applyAlignment="1">
      <alignment horizontal="right" vertical="center"/>
    </xf>
    <xf numFmtId="0" fontId="12" fillId="0" borderId="19" xfId="0" applyFont="1" applyBorder="1" applyAlignment="1">
      <alignment vertical="center"/>
    </xf>
    <xf numFmtId="0" fontId="11" fillId="0" borderId="10" xfId="0" applyFont="1" applyBorder="1" applyAlignment="1">
      <alignment horizontal="left" vertical="center"/>
    </xf>
    <xf numFmtId="0" fontId="11" fillId="0" borderId="19" xfId="0" applyFont="1" applyBorder="1" applyAlignment="1">
      <alignment horizontal="right" vertical="center" wrapText="1"/>
    </xf>
    <xf numFmtId="0" fontId="23" fillId="0" borderId="0" xfId="0" applyFont="1" applyAlignment="1" applyProtection="1">
      <alignment vertical="center"/>
      <protection locked="0"/>
    </xf>
    <xf numFmtId="0" fontId="9" fillId="0" borderId="0" xfId="0" applyFont="1" applyAlignment="1">
      <alignment horizontal="right" vertical="center" wrapText="1"/>
    </xf>
    <xf numFmtId="0" fontId="10" fillId="2" borderId="0" xfId="0" applyFont="1" applyFill="1" applyAlignment="1">
      <alignment horizontal="right" vertical="center" wrapText="1"/>
    </xf>
    <xf numFmtId="0" fontId="10" fillId="2" borderId="0" xfId="0" applyFont="1" applyFill="1" applyAlignment="1" applyProtection="1">
      <alignment vertical="center"/>
      <protection locked="0"/>
    </xf>
    <xf numFmtId="0" fontId="10" fillId="2" borderId="0" xfId="0" applyFont="1" applyFill="1" applyAlignment="1">
      <alignment vertical="center"/>
    </xf>
    <xf numFmtId="43" fontId="11" fillId="0" borderId="0" xfId="0" applyNumberFormat="1" applyFont="1" applyAlignment="1" applyProtection="1">
      <alignment vertical="center"/>
      <protection locked="0"/>
    </xf>
    <xf numFmtId="0" fontId="15" fillId="2" borderId="0" xfId="0" applyFont="1" applyFill="1" applyAlignment="1" applyProtection="1">
      <alignment vertical="center"/>
      <protection locked="0"/>
    </xf>
    <xf numFmtId="0" fontId="15" fillId="2" borderId="0" xfId="0" applyFont="1" applyFill="1" applyAlignment="1">
      <alignment vertical="center"/>
    </xf>
    <xf numFmtId="0" fontId="10" fillId="2" borderId="0" xfId="0" applyFont="1" applyFill="1" applyAlignment="1">
      <alignment horizontal="right" vertical="center"/>
    </xf>
    <xf numFmtId="0" fontId="16" fillId="2" borderId="0" xfId="0" applyFont="1" applyFill="1" applyAlignment="1" applyProtection="1">
      <alignment vertical="center"/>
      <protection locked="0"/>
    </xf>
    <xf numFmtId="0" fontId="9" fillId="0" borderId="9" xfId="0" applyFont="1" applyBorder="1" applyAlignment="1">
      <alignment vertical="center"/>
    </xf>
    <xf numFmtId="0" fontId="11" fillId="0" borderId="2" xfId="0" applyFont="1" applyBorder="1" applyAlignment="1">
      <alignment horizontal="right" vertical="center" wrapText="1"/>
    </xf>
    <xf numFmtId="0" fontId="28" fillId="9" borderId="8" xfId="0" applyFont="1" applyFill="1" applyBorder="1" applyAlignment="1">
      <alignment horizontal="left" vertical="center" wrapText="1"/>
    </xf>
    <xf numFmtId="0" fontId="9" fillId="0" borderId="8" xfId="0" applyFont="1" applyBorder="1" applyAlignment="1">
      <alignment vertical="center"/>
    </xf>
    <xf numFmtId="0" fontId="9" fillId="0" borderId="10" xfId="0" applyFont="1" applyBorder="1" applyAlignment="1">
      <alignment vertical="center"/>
    </xf>
    <xf numFmtId="0" fontId="9" fillId="0" borderId="19" xfId="0" applyFont="1" applyBorder="1" applyAlignment="1">
      <alignment vertical="center"/>
    </xf>
    <xf numFmtId="0" fontId="9" fillId="0" borderId="6" xfId="0" applyFont="1" applyBorder="1" applyAlignment="1">
      <alignment vertical="center"/>
    </xf>
    <xf numFmtId="0" fontId="10" fillId="2" borderId="0" xfId="0" applyFont="1" applyFill="1" applyAlignment="1" applyProtection="1">
      <alignment horizontal="right" vertical="center" wrapText="1"/>
      <protection locked="0"/>
    </xf>
    <xf numFmtId="0" fontId="28" fillId="9" borderId="8" xfId="0" applyFont="1" applyFill="1" applyBorder="1" applyAlignment="1" applyProtection="1">
      <alignment horizontal="left" vertical="center" wrapText="1"/>
      <protection locked="0"/>
    </xf>
    <xf numFmtId="0" fontId="11" fillId="0" borderId="0" xfId="0" applyFont="1" applyAlignment="1">
      <alignment horizontal="right" vertical="center" wrapText="1"/>
    </xf>
    <xf numFmtId="0" fontId="9" fillId="0" borderId="0" xfId="0" applyFont="1" applyAlignment="1" applyProtection="1">
      <alignment horizontal="right" vertical="center" wrapText="1"/>
      <protection locked="0"/>
    </xf>
    <xf numFmtId="0" fontId="10" fillId="0" borderId="0" xfId="0" applyFont="1" applyAlignment="1" applyProtection="1">
      <alignment horizontal="right" vertical="center"/>
      <protection locked="0"/>
    </xf>
    <xf numFmtId="0" fontId="0" fillId="7" borderId="0" xfId="0" applyFill="1" applyAlignment="1">
      <alignment vertical="center"/>
    </xf>
    <xf numFmtId="0" fontId="24" fillId="9" borderId="0" xfId="0" applyFont="1" applyFill="1" applyAlignment="1">
      <alignment horizontal="center" vertical="center"/>
    </xf>
    <xf numFmtId="17" fontId="0" fillId="0" borderId="0" xfId="0" applyNumberFormat="1" applyAlignment="1">
      <alignment vertical="center"/>
    </xf>
    <xf numFmtId="8" fontId="0" fillId="0" borderId="0" xfId="0" applyNumberFormat="1" applyAlignment="1">
      <alignment vertical="center"/>
    </xf>
    <xf numFmtId="166" fontId="0" fillId="0" borderId="23" xfId="0" applyNumberFormat="1" applyBorder="1" applyAlignment="1">
      <alignment horizontal="center" vertical="center"/>
    </xf>
    <xf numFmtId="6" fontId="0" fillId="0" borderId="1" xfId="0" applyNumberFormat="1" applyBorder="1" applyAlignment="1">
      <alignment vertical="center"/>
    </xf>
    <xf numFmtId="6" fontId="0" fillId="0" borderId="26" xfId="0" applyNumberFormat="1" applyBorder="1" applyAlignment="1">
      <alignment vertical="center"/>
    </xf>
    <xf numFmtId="166" fontId="0" fillId="0" borderId="27" xfId="0" applyNumberFormat="1" applyBorder="1" applyAlignment="1">
      <alignment horizontal="center" vertical="center"/>
    </xf>
    <xf numFmtId="6" fontId="0" fillId="0" borderId="23" xfId="0" applyNumberFormat="1" applyBorder="1" applyAlignment="1">
      <alignment vertical="center"/>
    </xf>
    <xf numFmtId="6" fontId="0" fillId="0" borderId="14" xfId="0" applyNumberFormat="1" applyBorder="1" applyAlignment="1">
      <alignment vertical="center"/>
    </xf>
    <xf numFmtId="6" fontId="0" fillId="0" borderId="29" xfId="0" applyNumberFormat="1" applyBorder="1" applyAlignment="1">
      <alignment vertical="center"/>
    </xf>
    <xf numFmtId="6" fontId="0" fillId="0" borderId="27" xfId="0" applyNumberFormat="1" applyBorder="1" applyAlignment="1">
      <alignment vertical="center"/>
    </xf>
    <xf numFmtId="0" fontId="4" fillId="0" borderId="0" xfId="0" applyFont="1" applyAlignment="1">
      <alignment wrapText="1"/>
    </xf>
    <xf numFmtId="0" fontId="11" fillId="0" borderId="27" xfId="0" applyFont="1" applyBorder="1" applyAlignment="1">
      <alignment vertical="center"/>
    </xf>
    <xf numFmtId="0" fontId="11" fillId="0" borderId="35" xfId="0" applyFont="1" applyBorder="1" applyAlignment="1" applyProtection="1">
      <alignment horizontal="right" vertical="center" wrapText="1"/>
      <protection locked="0"/>
    </xf>
    <xf numFmtId="0" fontId="11" fillId="0" borderId="13" xfId="0" applyFont="1" applyBorder="1" applyAlignment="1">
      <alignment vertical="center"/>
    </xf>
    <xf numFmtId="0" fontId="11" fillId="0" borderId="36" xfId="0" applyFont="1" applyBorder="1" applyAlignment="1">
      <alignment vertical="center"/>
    </xf>
    <xf numFmtId="0" fontId="28" fillId="9" borderId="10" xfId="0" applyFont="1" applyFill="1" applyBorder="1" applyAlignment="1" applyProtection="1">
      <alignment horizontal="left" vertical="center" wrapText="1"/>
      <protection locked="0"/>
    </xf>
    <xf numFmtId="1" fontId="14" fillId="9" borderId="0" xfId="4" applyNumberFormat="1" applyFont="1" applyFill="1" applyBorder="1" applyAlignment="1" applyProtection="1">
      <alignment horizontal="center" vertical="center"/>
    </xf>
    <xf numFmtId="0" fontId="14" fillId="9" borderId="0" xfId="0" applyFont="1" applyFill="1" applyAlignment="1">
      <alignment vertical="center"/>
    </xf>
    <xf numFmtId="0" fontId="11" fillId="0" borderId="18" xfId="0" applyFont="1" applyBorder="1" applyAlignment="1">
      <alignment vertical="center"/>
    </xf>
    <xf numFmtId="0" fontId="11" fillId="0" borderId="17" xfId="0" applyFont="1" applyBorder="1" applyAlignment="1" applyProtection="1">
      <alignment horizontal="right" vertical="center" wrapText="1"/>
      <protection locked="0"/>
    </xf>
    <xf numFmtId="0" fontId="11" fillId="0" borderId="12" xfId="0" applyFont="1" applyBorder="1" applyAlignment="1">
      <alignment vertical="center"/>
    </xf>
    <xf numFmtId="0" fontId="12" fillId="0" borderId="5" xfId="0" applyFont="1" applyBorder="1" applyAlignment="1">
      <alignment vertical="center" wrapText="1"/>
    </xf>
    <xf numFmtId="0" fontId="12" fillId="0" borderId="11" xfId="0" applyFont="1" applyBorder="1" applyAlignment="1">
      <alignment vertical="center" wrapText="1"/>
    </xf>
    <xf numFmtId="0" fontId="29" fillId="9" borderId="5" xfId="0" applyFont="1" applyFill="1" applyBorder="1" applyAlignment="1">
      <alignment vertical="center" wrapText="1"/>
    </xf>
    <xf numFmtId="0" fontId="12" fillId="0" borderId="20" xfId="0" applyFont="1" applyBorder="1" applyAlignment="1">
      <alignment vertical="center" wrapText="1"/>
    </xf>
    <xf numFmtId="0" fontId="10" fillId="2" borderId="0" xfId="0" applyFont="1" applyFill="1" applyAlignment="1">
      <alignment vertical="center" wrapText="1"/>
    </xf>
    <xf numFmtId="0" fontId="23" fillId="2" borderId="0" xfId="0" applyFont="1" applyFill="1" applyAlignment="1">
      <alignment vertical="center" wrapText="1"/>
    </xf>
    <xf numFmtId="0" fontId="9" fillId="0" borderId="11" xfId="0" applyFont="1" applyBorder="1" applyAlignment="1">
      <alignment vertical="center" wrapText="1"/>
    </xf>
    <xf numFmtId="0" fontId="9" fillId="0" borderId="20" xfId="0" applyFont="1" applyBorder="1" applyAlignment="1">
      <alignment vertical="center" wrapText="1"/>
    </xf>
    <xf numFmtId="0" fontId="12" fillId="0" borderId="34" xfId="0" applyFont="1" applyBorder="1" applyAlignment="1">
      <alignment vertical="center" wrapText="1"/>
    </xf>
    <xf numFmtId="0" fontId="12" fillId="0" borderId="7" xfId="0" applyFont="1" applyBorder="1" applyAlignment="1">
      <alignment vertical="center" wrapText="1"/>
    </xf>
    <xf numFmtId="0" fontId="12" fillId="0" borderId="15" xfId="0" applyFont="1" applyBorder="1" applyAlignment="1">
      <alignment vertical="center" wrapText="1"/>
    </xf>
    <xf numFmtId="0" fontId="29" fillId="9" borderId="11" xfId="0" applyFont="1" applyFill="1" applyBorder="1" applyAlignment="1">
      <alignment vertical="center" wrapText="1"/>
    </xf>
    <xf numFmtId="2" fontId="12" fillId="0" borderId="0" xfId="0" applyNumberFormat="1" applyFont="1" applyAlignment="1" applyProtection="1">
      <alignment vertical="center"/>
      <protection locked="0"/>
    </xf>
    <xf numFmtId="170" fontId="12" fillId="0" borderId="0" xfId="0" applyNumberFormat="1" applyFont="1" applyAlignment="1" applyProtection="1">
      <alignment vertical="center"/>
      <protection locked="0"/>
    </xf>
    <xf numFmtId="0" fontId="24" fillId="9" borderId="0" xfId="0" applyFont="1" applyFill="1" applyAlignment="1">
      <alignment horizontal="center" vertical="center" wrapText="1"/>
    </xf>
    <xf numFmtId="10" fontId="0" fillId="0" borderId="0" xfId="0" applyNumberFormat="1" applyAlignment="1">
      <alignment vertical="center"/>
    </xf>
    <xf numFmtId="0" fontId="8" fillId="0" borderId="0" xfId="0" applyFont="1" applyAlignment="1">
      <alignment vertical="center"/>
    </xf>
    <xf numFmtId="171" fontId="35" fillId="0" borderId="33" xfId="3" applyNumberFormat="1" applyFont="1" applyFill="1" applyBorder="1" applyAlignment="1" applyProtection="1">
      <alignment horizontal="center" vertical="center"/>
      <protection locked="0"/>
    </xf>
    <xf numFmtId="0" fontId="7" fillId="11" borderId="37" xfId="0" applyFont="1" applyFill="1" applyBorder="1" applyAlignment="1">
      <alignment horizontal="right" vertical="center" wrapText="1"/>
    </xf>
    <xf numFmtId="0" fontId="7" fillId="11" borderId="38" xfId="0" applyFont="1" applyFill="1" applyBorder="1" applyAlignment="1">
      <alignment horizontal="right" vertical="center" wrapText="1"/>
    </xf>
    <xf numFmtId="171" fontId="35" fillId="0" borderId="32" xfId="3" applyNumberFormat="1" applyFont="1" applyFill="1" applyBorder="1" applyAlignment="1" applyProtection="1">
      <alignment horizontal="center" vertical="center"/>
      <protection locked="0"/>
    </xf>
    <xf numFmtId="2" fontId="35" fillId="0" borderId="32" xfId="0" applyNumberFormat="1" applyFont="1" applyBorder="1" applyAlignment="1">
      <alignment horizontal="center" vertical="center"/>
    </xf>
    <xf numFmtId="10" fontId="35" fillId="0" borderId="33" xfId="0" applyNumberFormat="1" applyFont="1" applyBorder="1" applyAlignment="1">
      <alignment horizontal="center" vertical="center"/>
    </xf>
    <xf numFmtId="2" fontId="0" fillId="0" borderId="39" xfId="0" applyNumberFormat="1" applyBorder="1" applyAlignment="1">
      <alignment vertical="center"/>
    </xf>
    <xf numFmtId="10" fontId="0" fillId="0" borderId="39" xfId="0" applyNumberFormat="1" applyBorder="1" applyAlignment="1">
      <alignment vertical="center"/>
    </xf>
    <xf numFmtId="0" fontId="7" fillId="12" borderId="22" xfId="0" applyFont="1" applyFill="1" applyBorder="1" applyAlignment="1">
      <alignment vertical="center"/>
    </xf>
    <xf numFmtId="0" fontId="7" fillId="12" borderId="24" xfId="0" applyFont="1" applyFill="1" applyBorder="1" applyAlignment="1">
      <alignment vertical="center"/>
    </xf>
    <xf numFmtId="0" fontId="7" fillId="12" borderId="25" xfId="0" applyFont="1" applyFill="1" applyBorder="1" applyAlignment="1">
      <alignment vertical="center"/>
    </xf>
    <xf numFmtId="0" fontId="4" fillId="0" borderId="0" xfId="0" applyFont="1" applyAlignment="1">
      <alignment vertical="center" wrapText="1"/>
    </xf>
    <xf numFmtId="165" fontId="4" fillId="0" borderId="0" xfId="0" applyNumberFormat="1" applyFont="1" applyAlignment="1">
      <alignment horizontal="left" wrapText="1"/>
    </xf>
    <xf numFmtId="164" fontId="4" fillId="0" borderId="0" xfId="0" applyNumberFormat="1" applyFont="1" applyAlignment="1">
      <alignment wrapText="1"/>
    </xf>
    <xf numFmtId="0" fontId="3" fillId="0" borderId="0" xfId="0" applyFont="1" applyAlignment="1">
      <alignment wrapText="1"/>
    </xf>
    <xf numFmtId="165" fontId="3" fillId="0" borderId="0" xfId="0" applyNumberFormat="1" applyFont="1" applyAlignment="1">
      <alignment horizontal="left" wrapText="1"/>
    </xf>
    <xf numFmtId="164" fontId="3" fillId="0" borderId="0" xfId="0" applyNumberFormat="1" applyFont="1" applyAlignment="1">
      <alignment wrapText="1"/>
    </xf>
    <xf numFmtId="9" fontId="0" fillId="0" borderId="0" xfId="0" applyNumberFormat="1" applyAlignment="1">
      <alignment horizontal="left" vertical="center"/>
    </xf>
    <xf numFmtId="0" fontId="34" fillId="0" borderId="0" xfId="0" applyFont="1" applyAlignment="1">
      <alignment horizontal="right" vertical="center" wrapText="1"/>
    </xf>
    <xf numFmtId="165" fontId="32" fillId="3" borderId="0" xfId="2" applyNumberFormat="1" applyFont="1" applyFill="1" applyBorder="1" applyAlignment="1">
      <alignment horizontal="left"/>
    </xf>
    <xf numFmtId="165" fontId="8" fillId="3" borderId="0" xfId="2" applyNumberFormat="1" applyFont="1" applyFill="1" applyBorder="1" applyAlignment="1">
      <alignment horizontal="left"/>
    </xf>
    <xf numFmtId="2" fontId="43" fillId="14" borderId="1" xfId="4" applyNumberFormat="1" applyFont="1" applyFill="1" applyBorder="1" applyAlignment="1" applyProtection="1">
      <alignment horizontal="center" vertical="center" wrapText="1"/>
    </xf>
    <xf numFmtId="171" fontId="43" fillId="14" borderId="3" xfId="4" applyNumberFormat="1" applyFont="1" applyFill="1" applyBorder="1" applyAlignment="1" applyProtection="1">
      <alignment horizontal="center" vertical="center"/>
    </xf>
    <xf numFmtId="167" fontId="43" fillId="14" borderId="1" xfId="4" applyNumberFormat="1" applyFont="1" applyFill="1" applyBorder="1" applyAlignment="1" applyProtection="1">
      <alignment horizontal="center" vertical="center"/>
    </xf>
    <xf numFmtId="0" fontId="18" fillId="15" borderId="0" xfId="0" applyFont="1" applyFill="1" applyAlignment="1">
      <alignment horizontal="center" vertical="center"/>
    </xf>
    <xf numFmtId="0" fontId="18" fillId="16" borderId="0" xfId="0" applyFont="1" applyFill="1" applyAlignment="1">
      <alignment horizontal="center" vertical="center"/>
    </xf>
    <xf numFmtId="0" fontId="18" fillId="17" borderId="0" xfId="0" applyFont="1" applyFill="1" applyAlignment="1">
      <alignment horizontal="center" vertical="center"/>
    </xf>
    <xf numFmtId="1" fontId="44" fillId="13" borderId="1" xfId="3" applyNumberFormat="1" applyFont="1" applyFill="1" applyBorder="1" applyAlignment="1" applyProtection="1">
      <alignment horizontal="center" vertical="center"/>
      <protection locked="0"/>
    </xf>
    <xf numFmtId="172" fontId="44" fillId="13" borderId="1" xfId="3" applyNumberFormat="1" applyFont="1" applyFill="1" applyBorder="1" applyAlignment="1" applyProtection="1">
      <alignment horizontal="center" vertical="center"/>
      <protection locked="0"/>
    </xf>
    <xf numFmtId="10" fontId="44" fillId="13" borderId="1" xfId="3" applyNumberFormat="1" applyFont="1" applyFill="1" applyBorder="1" applyAlignment="1" applyProtection="1">
      <alignment horizontal="center" vertical="center"/>
      <protection locked="0"/>
    </xf>
    <xf numFmtId="2" fontId="44" fillId="13" borderId="1" xfId="3" applyNumberFormat="1" applyFont="1" applyFill="1" applyBorder="1" applyAlignment="1" applyProtection="1">
      <alignment horizontal="center" vertical="center" wrapText="1"/>
      <protection locked="0"/>
    </xf>
    <xf numFmtId="171" fontId="44" fillId="13" borderId="3" xfId="3" applyNumberFormat="1" applyFont="1" applyFill="1" applyBorder="1" applyAlignment="1" applyProtection="1">
      <alignment horizontal="center" vertical="center"/>
      <protection locked="0"/>
    </xf>
    <xf numFmtId="167" fontId="44" fillId="13" borderId="1" xfId="4" applyNumberFormat="1" applyFont="1" applyFill="1" applyBorder="1" applyAlignment="1" applyProtection="1">
      <alignment horizontal="center" vertical="center"/>
      <protection locked="0"/>
    </xf>
    <xf numFmtId="2" fontId="42" fillId="14" borderId="1" xfId="4" applyNumberFormat="1" applyFont="1" applyFill="1" applyBorder="1" applyAlignment="1" applyProtection="1">
      <alignment horizontal="center" vertical="center" wrapText="1"/>
    </xf>
    <xf numFmtId="2" fontId="45" fillId="13" borderId="1" xfId="3" applyNumberFormat="1" applyFont="1" applyFill="1" applyBorder="1" applyAlignment="1" applyProtection="1">
      <alignment horizontal="center" vertical="center" wrapText="1"/>
      <protection locked="0"/>
    </xf>
    <xf numFmtId="0" fontId="13" fillId="18" borderId="0" xfId="0" applyFont="1" applyFill="1" applyAlignment="1">
      <alignment horizontal="right" vertical="center" wrapText="1"/>
    </xf>
    <xf numFmtId="0" fontId="11" fillId="0" borderId="5" xfId="0" applyFont="1" applyBorder="1" applyAlignment="1">
      <alignment vertical="center" wrapText="1"/>
    </xf>
    <xf numFmtId="0" fontId="11" fillId="0" borderId="11" xfId="0" applyFont="1" applyBorder="1" applyAlignment="1">
      <alignment vertical="center" wrapText="1"/>
    </xf>
    <xf numFmtId="44" fontId="44" fillId="13" borderId="1" xfId="2" applyFont="1" applyFill="1" applyBorder="1" applyAlignment="1" applyProtection="1">
      <alignment horizontal="center" vertical="center"/>
      <protection locked="0"/>
    </xf>
    <xf numFmtId="0" fontId="32" fillId="0" borderId="0" xfId="0" applyFont="1" applyAlignment="1">
      <alignment vertical="center" wrapText="1"/>
    </xf>
    <xf numFmtId="0" fontId="13" fillId="18" borderId="0" xfId="0" applyFont="1" applyFill="1" applyAlignment="1">
      <alignment horizontal="center" vertical="center" wrapText="1"/>
    </xf>
    <xf numFmtId="0" fontId="49" fillId="19" borderId="0" xfId="0" applyFont="1" applyFill="1" applyAlignment="1">
      <alignment horizontal="left" vertical="center" wrapText="1"/>
    </xf>
    <xf numFmtId="0" fontId="49" fillId="19" borderId="0" xfId="0" applyFont="1" applyFill="1" applyAlignment="1">
      <alignment horizontal="left" vertical="center"/>
    </xf>
    <xf numFmtId="0" fontId="0" fillId="7" borderId="0" xfId="0" quotePrefix="1" applyFill="1" applyAlignment="1">
      <alignment vertical="center"/>
    </xf>
    <xf numFmtId="165" fontId="43" fillId="14" borderId="1" xfId="2" applyNumberFormat="1" applyFont="1" applyFill="1" applyBorder="1" applyAlignment="1" applyProtection="1">
      <alignment horizontal="center" vertical="center"/>
    </xf>
    <xf numFmtId="165" fontId="44" fillId="13" borderId="1" xfId="2" applyNumberFormat="1" applyFont="1" applyFill="1" applyBorder="1" applyAlignment="1" applyProtection="1">
      <alignment horizontal="center" vertical="center"/>
      <protection locked="0"/>
    </xf>
    <xf numFmtId="1" fontId="43" fillId="14" borderId="1" xfId="4" applyNumberFormat="1" applyFont="1" applyFill="1" applyBorder="1" applyAlignment="1" applyProtection="1">
      <alignment horizontal="center" vertical="center"/>
    </xf>
    <xf numFmtId="171" fontId="43" fillId="14" borderId="3" xfId="4" applyNumberFormat="1" applyFont="1" applyFill="1" applyBorder="1" applyAlignment="1" applyProtection="1">
      <alignment horizontal="center" vertical="center" wrapText="1"/>
    </xf>
    <xf numFmtId="9" fontId="44" fillId="13" borderId="1" xfId="3" applyFont="1" applyFill="1" applyBorder="1" applyAlignment="1" applyProtection="1">
      <alignment horizontal="center" vertical="center"/>
      <protection locked="0"/>
    </xf>
    <xf numFmtId="172" fontId="43" fillId="14" borderId="1" xfId="3" applyNumberFormat="1" applyFont="1" applyFill="1" applyBorder="1" applyAlignment="1" applyProtection="1">
      <alignment horizontal="center" vertical="center"/>
    </xf>
    <xf numFmtId="172" fontId="50" fillId="13" borderId="1" xfId="3" applyNumberFormat="1" applyFont="1" applyFill="1" applyBorder="1" applyAlignment="1" applyProtection="1">
      <alignment horizontal="center" vertical="center"/>
      <protection locked="0"/>
    </xf>
    <xf numFmtId="0" fontId="21" fillId="7" borderId="0" xfId="0" applyFont="1" applyFill="1" applyAlignment="1">
      <alignment horizontal="center" vertical="center" wrapText="1"/>
    </xf>
    <xf numFmtId="1" fontId="8" fillId="7" borderId="0" xfId="0" applyNumberFormat="1" applyFont="1" applyFill="1" applyAlignment="1">
      <alignment horizontal="center" vertical="center"/>
    </xf>
    <xf numFmtId="164" fontId="4" fillId="7" borderId="0" xfId="0" applyNumberFormat="1" applyFont="1" applyFill="1"/>
    <xf numFmtId="164" fontId="4" fillId="7" borderId="0" xfId="0" applyNumberFormat="1" applyFont="1" applyFill="1" applyAlignment="1">
      <alignment horizontal="center"/>
    </xf>
    <xf numFmtId="0" fontId="18" fillId="15" borderId="0" xfId="0" applyFont="1" applyFill="1" applyAlignment="1">
      <alignment horizontal="left" vertical="center"/>
    </xf>
    <xf numFmtId="0" fontId="5" fillId="15" borderId="10" xfId="0" applyFont="1" applyFill="1" applyBorder="1"/>
    <xf numFmtId="0" fontId="5" fillId="15" borderId="0" xfId="0" applyFont="1" applyFill="1"/>
    <xf numFmtId="0" fontId="4" fillId="15" borderId="0" xfId="0" applyFont="1" applyFill="1"/>
    <xf numFmtId="0" fontId="4" fillId="15" borderId="10" xfId="0" applyFont="1" applyFill="1" applyBorder="1"/>
    <xf numFmtId="0" fontId="38" fillId="16" borderId="0" xfId="0" applyFont="1" applyFill="1"/>
    <xf numFmtId="0" fontId="38" fillId="16" borderId="10" xfId="0" applyFont="1" applyFill="1" applyBorder="1"/>
    <xf numFmtId="0" fontId="39" fillId="16" borderId="10" xfId="0" applyFont="1" applyFill="1" applyBorder="1"/>
    <xf numFmtId="0" fontId="39" fillId="16" borderId="0" xfId="0" applyFont="1" applyFill="1"/>
    <xf numFmtId="0" fontId="40" fillId="16" borderId="0" xfId="0" applyFont="1" applyFill="1"/>
    <xf numFmtId="0" fontId="40" fillId="16" borderId="0" xfId="0" applyFont="1" applyFill="1" applyAlignment="1">
      <alignment vertical="center"/>
    </xf>
    <xf numFmtId="0" fontId="20" fillId="16" borderId="0" xfId="0" applyFont="1" applyFill="1"/>
    <xf numFmtId="0" fontId="27" fillId="16" borderId="0" xfId="0" applyFont="1" applyFill="1" applyAlignment="1">
      <alignment wrapText="1"/>
    </xf>
    <xf numFmtId="0" fontId="27" fillId="16" borderId="11" xfId="0" applyFont="1" applyFill="1" applyBorder="1" applyAlignment="1">
      <alignment wrapText="1"/>
    </xf>
    <xf numFmtId="0" fontId="40" fillId="17" borderId="0" xfId="0" applyFont="1" applyFill="1"/>
    <xf numFmtId="0" fontId="40" fillId="17" borderId="0" xfId="0" applyFont="1" applyFill="1" applyAlignment="1">
      <alignment vertical="center"/>
    </xf>
    <xf numFmtId="0" fontId="40" fillId="17" borderId="10" xfId="0" applyFont="1" applyFill="1" applyBorder="1"/>
    <xf numFmtId="0" fontId="20" fillId="17" borderId="0" xfId="0" applyFont="1" applyFill="1"/>
    <xf numFmtId="0" fontId="27" fillId="17" borderId="0" xfId="0" applyFont="1" applyFill="1" applyAlignment="1">
      <alignment wrapText="1"/>
    </xf>
    <xf numFmtId="0" fontId="27" fillId="17" borderId="11" xfId="0" applyFont="1" applyFill="1" applyBorder="1" applyAlignment="1">
      <alignment wrapText="1"/>
    </xf>
    <xf numFmtId="0" fontId="51" fillId="17" borderId="10" xfId="0" applyFont="1" applyFill="1" applyBorder="1"/>
    <xf numFmtId="0" fontId="51" fillId="17" borderId="0" xfId="0" applyFont="1" applyFill="1"/>
    <xf numFmtId="170" fontId="44" fillId="13" borderId="1" xfId="3" applyNumberFormat="1" applyFont="1" applyFill="1" applyBorder="1" applyAlignment="1" applyProtection="1">
      <alignment horizontal="center" vertical="center"/>
      <protection locked="0"/>
    </xf>
    <xf numFmtId="0" fontId="4" fillId="12" borderId="0" xfId="0" applyFont="1" applyFill="1"/>
    <xf numFmtId="0" fontId="19" fillId="12" borderId="0" xfId="0" applyFont="1" applyFill="1" applyAlignment="1">
      <alignment horizontal="right"/>
    </xf>
    <xf numFmtId="169" fontId="3" fillId="12" borderId="18" xfId="0" applyNumberFormat="1" applyFont="1" applyFill="1" applyBorder="1" applyAlignment="1">
      <alignment horizontal="center" vertical="center"/>
    </xf>
    <xf numFmtId="0" fontId="21" fillId="12" borderId="0" xfId="0" applyFont="1" applyFill="1" applyAlignment="1">
      <alignment horizontal="center" vertical="center" wrapText="1"/>
    </xf>
    <xf numFmtId="0" fontId="0" fillId="2" borderId="31" xfId="0" applyFill="1" applyBorder="1" applyAlignment="1">
      <alignment horizontal="left" vertical="center" wrapText="1"/>
    </xf>
    <xf numFmtId="0" fontId="0" fillId="2" borderId="9" xfId="0" applyFill="1" applyBorder="1" applyAlignment="1">
      <alignment horizontal="left" vertical="center" wrapText="1"/>
    </xf>
    <xf numFmtId="0" fontId="0" fillId="0" borderId="9" xfId="0" applyBorder="1" applyAlignment="1">
      <alignment horizontal="left" vertical="center" wrapText="1"/>
    </xf>
    <xf numFmtId="0" fontId="0" fillId="0" borderId="16" xfId="0" applyBorder="1" applyAlignment="1">
      <alignment horizontal="left" vertical="center" wrapText="1"/>
    </xf>
    <xf numFmtId="0" fontId="0" fillId="0" borderId="0" xfId="0" applyAlignment="1">
      <alignment horizontal="left" vertical="center" wrapText="1"/>
    </xf>
    <xf numFmtId="0" fontId="0" fillId="0" borderId="40" xfId="0" applyBorder="1" applyAlignment="1">
      <alignment horizontal="left" vertical="center" wrapText="1"/>
    </xf>
    <xf numFmtId="0" fontId="0" fillId="0" borderId="6" xfId="0" applyBorder="1" applyAlignment="1">
      <alignment horizontal="left" vertical="center" wrapText="1"/>
    </xf>
    <xf numFmtId="0" fontId="0" fillId="2" borderId="28" xfId="0" applyFill="1" applyBorder="1" applyAlignment="1">
      <alignment horizontal="left" vertical="center" wrapText="1"/>
    </xf>
    <xf numFmtId="0" fontId="0" fillId="2" borderId="30" xfId="0" applyFill="1" applyBorder="1" applyAlignment="1">
      <alignment horizontal="left" vertical="center" wrapText="1"/>
    </xf>
    <xf numFmtId="0" fontId="0" fillId="0" borderId="30" xfId="0" applyBorder="1" applyAlignment="1">
      <alignment horizontal="left" vertical="center" wrapText="1"/>
    </xf>
    <xf numFmtId="0" fontId="7" fillId="2" borderId="0" xfId="0" applyFont="1" applyFill="1" applyAlignment="1">
      <alignment horizontal="center" vertical="center"/>
    </xf>
    <xf numFmtId="0" fontId="7" fillId="2" borderId="16" xfId="0" applyFont="1" applyFill="1" applyBorder="1" applyAlignment="1">
      <alignment horizontal="center" vertical="center"/>
    </xf>
    <xf numFmtId="0" fontId="0" fillId="0" borderId="0" xfId="0" applyAlignment="1">
      <alignment vertical="center"/>
    </xf>
    <xf numFmtId="0" fontId="47" fillId="19" borderId="0" xfId="0" applyFont="1" applyFill="1" applyAlignment="1">
      <alignment horizontal="left" vertical="center" wrapText="1"/>
    </xf>
    <xf numFmtId="0" fontId="48" fillId="18" borderId="0" xfId="0" applyFont="1" applyFill="1" applyAlignment="1">
      <alignment horizontal="center" vertical="center" wrapText="1"/>
    </xf>
    <xf numFmtId="2" fontId="43" fillId="14" borderId="14" xfId="4" applyNumberFormat="1" applyFont="1" applyFill="1" applyBorder="1" applyAlignment="1" applyProtection="1">
      <alignment horizontal="center" vertical="center" wrapText="1"/>
    </xf>
    <xf numFmtId="2" fontId="43" fillId="14" borderId="30" xfId="4" applyNumberFormat="1" applyFont="1" applyFill="1" applyBorder="1" applyAlignment="1" applyProtection="1">
      <alignment horizontal="center" vertical="center" wrapText="1"/>
    </xf>
    <xf numFmtId="2" fontId="43" fillId="14" borderId="4" xfId="4" applyNumberFormat="1" applyFont="1" applyFill="1" applyBorder="1" applyAlignment="1" applyProtection="1">
      <alignment horizontal="center" vertical="center" wrapText="1"/>
    </xf>
    <xf numFmtId="0" fontId="12" fillId="0" borderId="11" xfId="0" applyFont="1" applyBorder="1" applyAlignment="1">
      <alignment vertical="center" wrapText="1"/>
    </xf>
    <xf numFmtId="0" fontId="0" fillId="0" borderId="20" xfId="0" applyBorder="1" applyAlignment="1">
      <alignment vertical="center" wrapText="1"/>
    </xf>
    <xf numFmtId="0" fontId="0" fillId="0" borderId="11" xfId="0" applyBorder="1" applyAlignment="1">
      <alignment vertical="center" wrapText="1"/>
    </xf>
    <xf numFmtId="0" fontId="0" fillId="0" borderId="0" xfId="0" applyAlignment="1">
      <alignment wrapText="1"/>
    </xf>
    <xf numFmtId="0" fontId="0" fillId="0" borderId="0" xfId="0" applyAlignment="1">
      <alignment horizontal="center" vertical="center" wrapText="1"/>
    </xf>
    <xf numFmtId="0" fontId="3" fillId="0" borderId="0" xfId="0" applyFont="1" applyAlignment="1">
      <alignment wrapText="1"/>
    </xf>
    <xf numFmtId="0" fontId="36" fillId="15" borderId="0" xfId="0" applyFont="1" applyFill="1" applyAlignment="1">
      <alignment horizontal="left" wrapText="1"/>
    </xf>
    <xf numFmtId="0" fontId="36" fillId="15" borderId="11" xfId="0" applyFont="1" applyFill="1" applyBorder="1" applyAlignment="1">
      <alignment horizontal="left" wrapText="1"/>
    </xf>
    <xf numFmtId="0" fontId="36" fillId="16" borderId="0" xfId="0" applyFont="1" applyFill="1" applyAlignment="1">
      <alignment horizontal="left" wrapText="1"/>
    </xf>
    <xf numFmtId="0" fontId="36" fillId="16" borderId="11" xfId="0" applyFont="1" applyFill="1" applyBorder="1" applyAlignment="1">
      <alignment horizontal="left" wrapText="1"/>
    </xf>
    <xf numFmtId="0" fontId="36" fillId="17" borderId="0" xfId="0" applyFont="1" applyFill="1" applyAlignment="1">
      <alignment horizontal="left" wrapText="1"/>
    </xf>
    <xf numFmtId="0" fontId="36" fillId="17" borderId="11" xfId="0" applyFont="1" applyFill="1" applyBorder="1" applyAlignment="1">
      <alignment horizontal="left" wrapText="1"/>
    </xf>
    <xf numFmtId="0" fontId="3" fillId="3" borderId="8" xfId="0" applyFont="1" applyFill="1" applyBorder="1" applyAlignment="1">
      <alignment horizontal="center"/>
    </xf>
    <xf numFmtId="0" fontId="3" fillId="3" borderId="9" xfId="0" applyFont="1" applyFill="1" applyBorder="1" applyAlignment="1">
      <alignment horizontal="center"/>
    </xf>
    <xf numFmtId="0" fontId="3" fillId="3" borderId="5" xfId="0" applyFont="1" applyFill="1" applyBorder="1" applyAlignment="1">
      <alignment horizontal="center"/>
    </xf>
    <xf numFmtId="0" fontId="18" fillId="15" borderId="41" xfId="0" applyFont="1" applyFill="1"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18" fillId="16" borderId="41" xfId="0" applyFont="1" applyFill="1" applyBorder="1" applyAlignment="1">
      <alignment horizontal="center" vertical="center"/>
    </xf>
    <xf numFmtId="0" fontId="18" fillId="17" borderId="41" xfId="0" applyFont="1" applyFill="1" applyBorder="1" applyAlignment="1">
      <alignment horizontal="center" vertical="center"/>
    </xf>
    <xf numFmtId="6" fontId="0" fillId="0" borderId="44" xfId="0" applyNumberFormat="1" applyBorder="1" applyAlignment="1">
      <alignment vertical="center"/>
    </xf>
    <xf numFmtId="6" fontId="0" fillId="0" borderId="45" xfId="0" applyNumberFormat="1" applyBorder="1" applyAlignment="1">
      <alignment vertical="center"/>
    </xf>
    <xf numFmtId="6" fontId="0" fillId="0" borderId="46" xfId="0" applyNumberFormat="1" applyBorder="1" applyAlignment="1">
      <alignment vertical="center"/>
    </xf>
    <xf numFmtId="0" fontId="25" fillId="2" borderId="9" xfId="0" applyFont="1" applyFill="1" applyBorder="1" applyAlignment="1">
      <alignment horizontal="left" vertical="center" wrapText="1"/>
    </xf>
    <xf numFmtId="0" fontId="25" fillId="2" borderId="6" xfId="0" applyFont="1" applyFill="1" applyBorder="1" applyAlignment="1">
      <alignment horizontal="left" vertical="center" wrapText="1"/>
    </xf>
    <xf numFmtId="0" fontId="25" fillId="0" borderId="6" xfId="0" applyFont="1" applyBorder="1" applyAlignment="1">
      <alignment horizontal="left" vertical="center" wrapText="1"/>
    </xf>
    <xf numFmtId="0" fontId="0" fillId="0" borderId="48" xfId="0" applyBorder="1" applyAlignment="1">
      <alignment vertical="center"/>
    </xf>
    <xf numFmtId="171" fontId="35" fillId="0" borderId="47" xfId="3" applyNumberFormat="1" applyFont="1" applyFill="1" applyBorder="1" applyAlignment="1" applyProtection="1">
      <alignment horizontal="center" vertical="center"/>
      <protection locked="0"/>
    </xf>
  </cellXfs>
  <cellStyles count="5">
    <cellStyle name="Comma" xfId="4" builtinId="3"/>
    <cellStyle name="Currency" xfId="2" builtinId="4"/>
    <cellStyle name="Normal" xfId="0" builtinId="0"/>
    <cellStyle name="Normal 2" xfId="1" xr:uid="{CC40F7F0-514B-4B80-B162-3F5CDE6EF676}"/>
    <cellStyle name="Percent" xfId="3" builtinId="5"/>
  </cellStyles>
  <dxfs count="199">
    <dxf>
      <font>
        <color rgb="FF9C0006"/>
      </font>
      <fill>
        <patternFill>
          <bgColor rgb="FFFFC7CE"/>
        </patternFill>
      </fill>
    </dxf>
    <dxf>
      <font>
        <b/>
        <i val="0"/>
        <color theme="1"/>
      </font>
      <fill>
        <patternFill>
          <bgColor theme="3" tint="0.79998168889431442"/>
        </patternFill>
      </fill>
    </dxf>
    <dxf>
      <font>
        <b/>
        <i val="0"/>
        <color theme="0"/>
      </font>
      <fill>
        <patternFill>
          <bgColor theme="7" tint="-0.24994659260841701"/>
        </patternFill>
      </fill>
    </dxf>
    <dxf>
      <fill>
        <patternFill>
          <bgColor theme="4" tint="0.59996337778862885"/>
        </patternFill>
      </fill>
    </dxf>
    <dxf>
      <font>
        <color rgb="FF9C0006"/>
      </font>
      <fill>
        <patternFill>
          <bgColor rgb="FFFFC7CE"/>
        </patternFill>
      </fill>
    </dxf>
    <dxf>
      <font>
        <b/>
        <i val="0"/>
        <color theme="1"/>
      </font>
      <fill>
        <patternFill>
          <bgColor theme="3" tint="0.79998168889431442"/>
        </patternFill>
      </fill>
    </dxf>
    <dxf>
      <font>
        <b/>
        <i val="0"/>
        <color theme="0"/>
      </font>
      <fill>
        <patternFill>
          <bgColor theme="7" tint="-0.24994659260841701"/>
        </patternFill>
      </fill>
    </dxf>
    <dxf>
      <fill>
        <patternFill>
          <bgColor theme="4" tint="0.59996337778862885"/>
        </patternFill>
      </fill>
    </dxf>
    <dxf>
      <font>
        <color rgb="FF9C0006"/>
      </font>
      <fill>
        <patternFill>
          <bgColor rgb="FFFFC7CE"/>
        </patternFill>
      </fill>
    </dxf>
    <dxf>
      <font>
        <b/>
        <i val="0"/>
        <color theme="1"/>
      </font>
      <fill>
        <patternFill>
          <bgColor theme="3" tint="0.79998168889431442"/>
        </patternFill>
      </fill>
    </dxf>
    <dxf>
      <font>
        <b/>
        <i val="0"/>
        <color theme="0"/>
      </font>
      <fill>
        <patternFill>
          <bgColor theme="7" tint="-0.24994659260841701"/>
        </patternFill>
      </fill>
    </dxf>
    <dxf>
      <fill>
        <patternFill>
          <bgColor theme="4" tint="0.59996337778862885"/>
        </patternFill>
      </fill>
    </dxf>
    <dxf>
      <fill>
        <patternFill>
          <bgColor theme="5" tint="0.39994506668294322"/>
        </patternFill>
      </fill>
    </dxf>
    <dxf>
      <font>
        <color theme="0"/>
      </font>
      <fill>
        <patternFill>
          <bgColor rgb="FFFF0000"/>
        </patternFill>
      </fill>
    </dxf>
    <dxf>
      <font>
        <color rgb="FF5C1F1F"/>
      </font>
      <fill>
        <patternFill>
          <bgColor rgb="FFE6A19A"/>
        </patternFill>
      </fill>
    </dxf>
    <dxf>
      <font>
        <color rgb="FF5C1F1F"/>
      </font>
      <fill>
        <patternFill>
          <bgColor rgb="FFE6A19A"/>
        </patternFill>
      </fill>
    </dxf>
    <dxf>
      <font>
        <color rgb="FF5C1F1F"/>
      </font>
      <fill>
        <patternFill>
          <bgColor rgb="FFE6A19A"/>
        </patternFill>
      </fill>
    </dxf>
    <dxf>
      <font>
        <color rgb="FF5C1F1F"/>
      </font>
      <fill>
        <patternFill>
          <bgColor rgb="FFE6A19A"/>
        </patternFill>
      </fill>
    </dxf>
    <dxf>
      <font>
        <b/>
        <i val="0"/>
        <color rgb="FF5C1F1F"/>
      </font>
      <fill>
        <patternFill>
          <bgColor rgb="FFE6A19A"/>
        </patternFill>
      </fill>
    </dxf>
    <dxf>
      <font>
        <b val="0"/>
        <i val="0"/>
        <strike val="0"/>
        <condense val="0"/>
        <extend val="0"/>
        <outline val="0"/>
        <shadow val="0"/>
        <u val="none"/>
        <vertAlign val="baseline"/>
        <sz val="10"/>
        <color theme="1"/>
        <name val="Verdana"/>
        <family val="2"/>
        <scheme val="none"/>
      </font>
      <numFmt numFmtId="14" formatCode="0.0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4" formatCode="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2" formatCode="&quot;$&quot;#,##0.00_);[Red]\(&quot;$&quot;#,##0.00\)"/>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2" formatCode="&quot;$&quot;#,##0.00_);[Red]\(&quot;$&quot;#,##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2" formatCode="&quot;$&quot;#,##0.00_);[Red]\(&quot;$&quot;#,##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2" formatCode="&quot;$&quot;#,##0.00_);[Red]\(&quot;$&quot;#,##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2" formatCode="&quot;$&quot;#,##0.00_);[Red]\(&quot;$&quot;#,##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bottom style="thin">
          <color rgb="FF000000"/>
        </bottom>
      </border>
    </dxf>
    <dxf>
      <border outline="0">
        <bottom style="thin">
          <color rgb="FF000000"/>
        </bottom>
      </border>
    </dxf>
    <dxf>
      <font>
        <b val="0"/>
        <i val="0"/>
        <strike val="0"/>
        <condense val="0"/>
        <extend val="0"/>
        <outline val="0"/>
        <shadow val="0"/>
        <u val="none"/>
        <vertAlign val="baseline"/>
        <sz val="10"/>
        <color theme="1"/>
        <name val="Verdana"/>
        <family val="2"/>
        <scheme val="none"/>
      </font>
      <fill>
        <patternFill patternType="solid">
          <fgColor indexed="64"/>
          <bgColor theme="4" tint="0.79998168889431442"/>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Verdana"/>
        <family val="2"/>
        <scheme val="none"/>
      </font>
      <numFmt numFmtId="14" formatCode="0.0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4" formatCode="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2" formatCode="&quot;$&quot;#,##0.00_);[Red]\(&quot;$&quot;#,##0.00\)"/>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2" formatCode="&quot;$&quot;#,##0.00_);[Red]\(&quot;$&quot;#,##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2" formatCode="&quot;$&quot;#,##0.00_);[Red]\(&quot;$&quot;#,##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2" formatCode="&quot;$&quot;#,##0.00_);[Red]\(&quot;$&quot;#,##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2" formatCode="&quot;$&quot;#,##0.00_);[Red]\(&quot;$&quot;#,##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bottom style="thin">
          <color rgb="FF000000"/>
        </bottom>
      </border>
    </dxf>
    <dxf>
      <border outline="0">
        <bottom style="thin">
          <color rgb="FF000000"/>
        </bottom>
      </border>
    </dxf>
    <dxf>
      <font>
        <b val="0"/>
        <i val="0"/>
        <strike val="0"/>
        <condense val="0"/>
        <extend val="0"/>
        <outline val="0"/>
        <shadow val="0"/>
        <u val="none"/>
        <vertAlign val="baseline"/>
        <sz val="10"/>
        <color theme="1"/>
        <name val="Verdana"/>
        <family val="2"/>
        <scheme val="none"/>
      </font>
      <fill>
        <patternFill patternType="solid">
          <fgColor indexed="64"/>
          <bgColor theme="4" tint="0.79998168889431442"/>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Verdana"/>
        <family val="2"/>
        <scheme val="none"/>
      </font>
      <numFmt numFmtId="14" formatCode="0.0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4" formatCode="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2" formatCode="&quot;$&quot;#,##0.00_);[Red]\(&quot;$&quot;#,##0.00\)"/>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2" formatCode="&quot;$&quot;#,##0.00_);[Red]\(&quot;$&quot;#,##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2" formatCode="&quot;$&quot;#,##0.00_);[Red]\(&quot;$&quot;#,##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2" formatCode="&quot;$&quot;#,##0.00_);[Red]\(&quot;$&quot;#,##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2" formatCode="&quot;$&quot;#,##0.00_);[Red]\(&quot;$&quot;#,##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bottom style="thin">
          <color rgb="FF000000"/>
        </bottom>
      </border>
    </dxf>
    <dxf>
      <border outline="0">
        <bottom style="thin">
          <color rgb="FF000000"/>
        </bottom>
      </border>
    </dxf>
    <dxf>
      <font>
        <b val="0"/>
        <i val="0"/>
        <strike val="0"/>
        <condense val="0"/>
        <extend val="0"/>
        <outline val="0"/>
        <shadow val="0"/>
        <u val="none"/>
        <vertAlign val="baseline"/>
        <sz val="10"/>
        <color theme="1"/>
        <name val="Verdana"/>
        <family val="2"/>
        <scheme val="none"/>
      </font>
      <fill>
        <patternFill patternType="solid">
          <fgColor indexed="64"/>
          <bgColor theme="4" tint="0.79998168889431442"/>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Verdana"/>
        <family val="2"/>
        <scheme val="none"/>
      </font>
      <numFmt numFmtId="14" formatCode="0.0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4" formatCode="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2" formatCode="&quot;$&quot;#,##0.00_);[Red]\(&quot;$&quot;#,##0.00\)"/>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2" formatCode="&quot;$&quot;#,##0.00_);[Red]\(&quot;$&quot;#,##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2" formatCode="&quot;$&quot;#,##0.00_);[Red]\(&quot;$&quot;#,##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2" formatCode="&quot;$&quot;#,##0.00_);[Red]\(&quot;$&quot;#,##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2" formatCode="&quot;$&quot;#,##0.00_);[Red]\(&quot;$&quot;#,##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bottom style="thin">
          <color rgb="FF000000"/>
        </bottom>
      </border>
    </dxf>
    <dxf>
      <border outline="0">
        <bottom style="thin">
          <color rgb="FF000000"/>
        </bottom>
      </border>
    </dxf>
    <dxf>
      <font>
        <b val="0"/>
        <i val="0"/>
        <strike val="0"/>
        <condense val="0"/>
        <extend val="0"/>
        <outline val="0"/>
        <shadow val="0"/>
        <u val="none"/>
        <vertAlign val="baseline"/>
        <sz val="10"/>
        <color theme="1"/>
        <name val="Verdana"/>
        <family val="2"/>
        <scheme val="none"/>
      </font>
      <fill>
        <patternFill patternType="solid">
          <fgColor indexed="64"/>
          <bgColor theme="4" tint="0.79998168889431442"/>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Verdana"/>
        <family val="2"/>
        <scheme val="none"/>
      </font>
      <numFmt numFmtId="14" formatCode="0.0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4" formatCode="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2" formatCode="&quot;$&quot;#,##0.00_);[Red]\(&quot;$&quot;#,##0.00\)"/>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2" formatCode="&quot;$&quot;#,##0.00_);[Red]\(&quot;$&quot;#,##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2" formatCode="&quot;$&quot;#,##0.00_);[Red]\(&quot;$&quot;#,##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2" formatCode="&quot;$&quot;#,##0.00_);[Red]\(&quot;$&quot;#,##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2" formatCode="&quot;$&quot;#,##0.00_);[Red]\(&quot;$&quot;#,##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bottom style="thin">
          <color rgb="FF000000"/>
        </bottom>
      </border>
    </dxf>
    <dxf>
      <border outline="0">
        <bottom style="thin">
          <color rgb="FF000000"/>
        </bottom>
      </border>
    </dxf>
    <dxf>
      <font>
        <b val="0"/>
        <i val="0"/>
        <strike val="0"/>
        <condense val="0"/>
        <extend val="0"/>
        <outline val="0"/>
        <shadow val="0"/>
        <u val="none"/>
        <vertAlign val="baseline"/>
        <sz val="10"/>
        <color theme="1"/>
        <name val="Verdana"/>
        <family val="2"/>
        <scheme val="none"/>
      </font>
      <fill>
        <patternFill patternType="solid">
          <fgColor indexed="64"/>
          <bgColor theme="4" tint="0.79998168889431442"/>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Verdana"/>
        <family val="2"/>
        <scheme val="none"/>
      </font>
      <numFmt numFmtId="14" formatCode="0.0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4" formatCode="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2" formatCode="&quot;$&quot;#,##0.00_);[Red]\(&quot;$&quot;#,##0.00\)"/>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2" formatCode="&quot;$&quot;#,##0.00_);[Red]\(&quot;$&quot;#,##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2" formatCode="&quot;$&quot;#,##0.00_);[Red]\(&quot;$&quot;#,##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2" formatCode="&quot;$&quot;#,##0.00_);[Red]\(&quot;$&quot;#,##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2" formatCode="&quot;$&quot;#,##0.00_);[Red]\(&quot;$&quot;#,##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bottom style="thin">
          <color rgb="FF000000"/>
        </bottom>
      </border>
    </dxf>
    <dxf>
      <border outline="0">
        <bottom style="thin">
          <color rgb="FF000000"/>
        </bottom>
      </border>
    </dxf>
    <dxf>
      <font>
        <b val="0"/>
        <i val="0"/>
        <strike val="0"/>
        <condense val="0"/>
        <extend val="0"/>
        <outline val="0"/>
        <shadow val="0"/>
        <u val="none"/>
        <vertAlign val="baseline"/>
        <sz val="10"/>
        <color theme="1"/>
        <name val="Verdana"/>
        <family val="2"/>
        <scheme val="none"/>
      </font>
      <fill>
        <patternFill patternType="solid">
          <fgColor indexed="64"/>
          <bgColor theme="4" tint="0.79998168889431442"/>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Verdana"/>
        <family val="2"/>
        <scheme val="none"/>
      </font>
      <numFmt numFmtId="14" formatCode="0.0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4" formatCode="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2" formatCode="&quot;$&quot;#,##0.00_);[Red]\(&quot;$&quot;#,##0.00\)"/>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2" formatCode="&quot;$&quot;#,##0.00_);[Red]\(&quot;$&quot;#,##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2" formatCode="&quot;$&quot;#,##0.00_);[Red]\(&quot;$&quot;#,##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2" formatCode="&quot;$&quot;#,##0.00_);[Red]\(&quot;$&quot;#,##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2" formatCode="&quot;$&quot;#,##0.00_);[Red]\(&quot;$&quot;#,##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bottom style="thin">
          <color rgb="FF000000"/>
        </bottom>
      </border>
    </dxf>
    <dxf>
      <border outline="0">
        <bottom style="thin">
          <color rgb="FF000000"/>
        </bottom>
      </border>
    </dxf>
    <dxf>
      <font>
        <b val="0"/>
        <i val="0"/>
        <strike val="0"/>
        <condense val="0"/>
        <extend val="0"/>
        <outline val="0"/>
        <shadow val="0"/>
        <u val="none"/>
        <vertAlign val="baseline"/>
        <sz val="10"/>
        <color theme="1"/>
        <name val="Verdana"/>
        <family val="2"/>
        <scheme val="none"/>
      </font>
      <fill>
        <patternFill patternType="solid">
          <fgColor indexed="64"/>
          <bgColor theme="4" tint="0.79998168889431442"/>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Verdana"/>
        <family val="2"/>
        <scheme val="none"/>
      </font>
      <numFmt numFmtId="14" formatCode="0.0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4" formatCode="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2" formatCode="&quot;$&quot;#,##0.00_);[Red]\(&quot;$&quot;#,##0.00\)"/>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2" formatCode="&quot;$&quot;#,##0.00_);[Red]\(&quot;$&quot;#,##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2" formatCode="&quot;$&quot;#,##0.00_);[Red]\(&quot;$&quot;#,##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2" formatCode="&quot;$&quot;#,##0.00_);[Red]\(&quot;$&quot;#,##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2" formatCode="&quot;$&quot;#,##0.00_);[Red]\(&quot;$&quot;#,##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bottom style="thin">
          <color rgb="FF000000"/>
        </bottom>
      </border>
    </dxf>
    <dxf>
      <border outline="0">
        <bottom style="thin">
          <color rgb="FF000000"/>
        </bottom>
      </border>
    </dxf>
    <dxf>
      <font>
        <b val="0"/>
        <i val="0"/>
        <strike val="0"/>
        <condense val="0"/>
        <extend val="0"/>
        <outline val="0"/>
        <shadow val="0"/>
        <u val="none"/>
        <vertAlign val="baseline"/>
        <sz val="10"/>
        <color theme="1"/>
        <name val="Verdana"/>
        <family val="2"/>
        <scheme val="none"/>
      </font>
      <fill>
        <patternFill patternType="solid">
          <fgColor indexed="64"/>
          <bgColor theme="4" tint="0.79998168889431442"/>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Verdana"/>
        <family val="2"/>
        <scheme val="none"/>
      </font>
      <numFmt numFmtId="14" formatCode="0.0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4" formatCode="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2" formatCode="&quot;$&quot;#,##0.00_);[Red]\(&quot;$&quot;#,##0.00\)"/>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2" formatCode="&quot;$&quot;#,##0.00_);[Red]\(&quot;$&quot;#,##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2" formatCode="&quot;$&quot;#,##0.00_);[Red]\(&quot;$&quot;#,##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2" formatCode="&quot;$&quot;#,##0.00_);[Red]\(&quot;$&quot;#,##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2" formatCode="&quot;$&quot;#,##0.00_);[Red]\(&quot;$&quot;#,##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bottom style="thin">
          <color rgb="FF000000"/>
        </bottom>
      </border>
    </dxf>
    <dxf>
      <border outline="0">
        <bottom style="thin">
          <color rgb="FF000000"/>
        </bottom>
      </border>
    </dxf>
    <dxf>
      <font>
        <b val="0"/>
        <i val="0"/>
        <strike val="0"/>
        <condense val="0"/>
        <extend val="0"/>
        <outline val="0"/>
        <shadow val="0"/>
        <u val="none"/>
        <vertAlign val="baseline"/>
        <sz val="10"/>
        <color theme="1"/>
        <name val="Verdana"/>
        <family val="2"/>
        <scheme val="none"/>
      </font>
      <fill>
        <patternFill patternType="solid">
          <fgColor indexed="64"/>
          <bgColor theme="4" tint="0.79998168889431442"/>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Verdana"/>
        <family val="2"/>
        <scheme val="none"/>
      </font>
      <numFmt numFmtId="14" formatCode="0.0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4" formatCode="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2" formatCode="&quot;$&quot;#,##0.00_);[Red]\(&quot;$&quot;#,##0.00\)"/>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2" formatCode="&quot;$&quot;#,##0.00_);[Red]\(&quot;$&quot;#,##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2" formatCode="&quot;$&quot;#,##0.00_);[Red]\(&quot;$&quot;#,##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2" formatCode="&quot;$&quot;#,##0.00_);[Red]\(&quot;$&quot;#,##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2" formatCode="&quot;$&quot;#,##0.00_);[Red]\(&quot;$&quot;#,##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bottom style="thin">
          <color rgb="FF000000"/>
        </bottom>
      </border>
    </dxf>
    <dxf>
      <border outline="0">
        <bottom style="thin">
          <color rgb="FF000000"/>
        </bottom>
      </border>
    </dxf>
    <dxf>
      <font>
        <b val="0"/>
        <i val="0"/>
        <strike val="0"/>
        <condense val="0"/>
        <extend val="0"/>
        <outline val="0"/>
        <shadow val="0"/>
        <u val="none"/>
        <vertAlign val="baseline"/>
        <sz val="10"/>
        <color theme="1"/>
        <name val="Verdana"/>
        <family val="2"/>
        <scheme val="none"/>
      </font>
      <fill>
        <patternFill patternType="solid">
          <fgColor indexed="64"/>
          <bgColor theme="4" tint="0.79998168889431442"/>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Verdana"/>
        <family val="2"/>
        <scheme val="none"/>
      </font>
      <numFmt numFmtId="14" formatCode="0.0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4" formatCode="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2" formatCode="&quot;$&quot;#,##0.00_);[Red]\(&quot;$&quot;#,##0.00\)"/>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2" formatCode="&quot;$&quot;#,##0.00_);[Red]\(&quot;$&quot;#,##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2" formatCode="&quot;$&quot;#,##0.00_);[Red]\(&quot;$&quot;#,##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2" formatCode="&quot;$&quot;#,##0.00_);[Red]\(&quot;$&quot;#,##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2" formatCode="&quot;$&quot;#,##0.00_);[Red]\(&quot;$&quot;#,##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bottom style="thin">
          <color indexed="64"/>
        </bottom>
      </border>
    </dxf>
    <dxf>
      <border outline="0">
        <bottom style="thin">
          <color indexed="64"/>
        </bottom>
      </border>
    </dxf>
    <dxf>
      <font>
        <b val="0"/>
        <i val="0"/>
        <strike val="0"/>
        <condense val="0"/>
        <extend val="0"/>
        <outline val="0"/>
        <shadow val="0"/>
        <u val="none"/>
        <vertAlign val="baseline"/>
        <sz val="10"/>
        <color theme="1"/>
        <name val="Verdana"/>
        <family val="2"/>
        <scheme val="none"/>
      </font>
      <fill>
        <patternFill patternType="solid">
          <fgColor indexed="64"/>
          <bgColor theme="4" tint="0.79998168889431442"/>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Verdana"/>
        <family val="2"/>
        <scheme val="none"/>
      </font>
      <numFmt numFmtId="14" formatCode="0.0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4" formatCode="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2" formatCode="&quot;$&quot;#,##0.00_);[Red]\(&quot;$&quot;#,##0.00\)"/>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2" formatCode="&quot;$&quot;#,##0.00_);[Red]\(&quot;$&quot;#,##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2" formatCode="&quot;$&quot;#,##0.00_);[Red]\(&quot;$&quot;#,##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2" formatCode="&quot;$&quot;#,##0.00_);[Red]\(&quot;$&quot;#,##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2" formatCode="&quot;$&quot;#,##0.00_);[Red]\(&quot;$&quot;#,##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bottom style="thin">
          <color indexed="64"/>
        </bottom>
      </border>
    </dxf>
    <dxf>
      <border outline="0">
        <bottom style="thin">
          <color indexed="64"/>
        </bottom>
      </border>
    </dxf>
    <dxf>
      <font>
        <b val="0"/>
        <i val="0"/>
        <strike val="0"/>
        <condense val="0"/>
        <extend val="0"/>
        <outline val="0"/>
        <shadow val="0"/>
        <u val="none"/>
        <vertAlign val="baseline"/>
        <sz val="10"/>
        <color theme="1"/>
        <name val="Verdana"/>
        <family val="2"/>
        <scheme val="none"/>
      </font>
      <fill>
        <patternFill patternType="solid">
          <fgColor indexed="64"/>
          <bgColor theme="4" tint="0.79998168889431442"/>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Verdana"/>
        <family val="2"/>
        <scheme val="none"/>
      </font>
      <numFmt numFmtId="14" formatCode="0.0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4" formatCode="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2" formatCode="&quot;$&quot;#,##0.00_);[Red]\(&quot;$&quot;#,##0.00\)"/>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2" formatCode="&quot;$&quot;#,##0.00_);[Red]\(&quot;$&quot;#,##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2" formatCode="&quot;$&quot;#,##0.00_);[Red]\(&quot;$&quot;#,##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2" formatCode="&quot;$&quot;#,##0.00_);[Red]\(&quot;$&quot;#,##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2" formatCode="&quot;$&quot;#,##0.00_);[Red]\(&quot;$&quot;#,##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bottom style="thin">
          <color indexed="64"/>
        </bottom>
      </border>
    </dxf>
    <dxf>
      <border outline="0">
        <bottom style="thin">
          <color indexed="64"/>
        </bottom>
      </border>
    </dxf>
    <dxf>
      <font>
        <b val="0"/>
        <i val="0"/>
        <strike val="0"/>
        <condense val="0"/>
        <extend val="0"/>
        <outline val="0"/>
        <shadow val="0"/>
        <u val="none"/>
        <vertAlign val="baseline"/>
        <sz val="10"/>
        <color theme="1"/>
        <name val="Verdana"/>
        <family val="2"/>
        <scheme val="none"/>
      </font>
      <fill>
        <patternFill patternType="solid">
          <fgColor indexed="64"/>
          <bgColor theme="4" tint="0.79998168889431442"/>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Verdana"/>
        <family val="2"/>
        <scheme val="none"/>
      </font>
      <numFmt numFmtId="14" formatCode="0.0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4" formatCode="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2" formatCode="&quot;$&quot;#,##0.00_);[Red]\(&quot;$&quot;#,##0.00\)"/>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2" formatCode="&quot;$&quot;#,##0.00_);[Red]\(&quot;$&quot;#,##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2" formatCode="&quot;$&quot;#,##0.00_);[Red]\(&quot;$&quot;#,##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2" formatCode="&quot;$&quot;#,##0.00_);[Red]\(&quot;$&quot;#,##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2" formatCode="&quot;$&quot;#,##0.00_);[Red]\(&quot;$&quot;#,##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bottom style="thin">
          <color indexed="64"/>
        </bottom>
      </border>
    </dxf>
    <dxf>
      <border outline="0">
        <bottom style="thin">
          <color indexed="64"/>
        </bottom>
      </border>
    </dxf>
    <dxf>
      <font>
        <b val="0"/>
        <i val="0"/>
        <strike val="0"/>
        <condense val="0"/>
        <extend val="0"/>
        <outline val="0"/>
        <shadow val="0"/>
        <u val="none"/>
        <vertAlign val="baseline"/>
        <sz val="10"/>
        <color theme="1"/>
        <name val="Verdana"/>
        <family val="2"/>
        <scheme val="none"/>
      </font>
      <fill>
        <patternFill patternType="solid">
          <fgColor indexed="64"/>
          <bgColor theme="4" tint="0.79998168889431442"/>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Verdana"/>
        <family val="2"/>
        <scheme val="none"/>
      </font>
      <numFmt numFmtId="14" formatCode="0.0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4" formatCode="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2" formatCode="&quot;$&quot;#,##0.00_);[Red]\(&quot;$&quot;#,##0.00\)"/>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2" formatCode="&quot;$&quot;#,##0.00_);[Red]\(&quot;$&quot;#,##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2" formatCode="&quot;$&quot;#,##0.00_);[Red]\(&quot;$&quot;#,##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2" formatCode="&quot;$&quot;#,##0.00_);[Red]\(&quot;$&quot;#,##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2" formatCode="&quot;$&quot;#,##0.00_);[Red]\(&quot;$&quot;#,##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bottom style="thin">
          <color indexed="64"/>
        </bottom>
      </border>
    </dxf>
    <dxf>
      <border outline="0">
        <bottom style="thin">
          <color indexed="64"/>
        </bottom>
      </border>
    </dxf>
    <dxf>
      <font>
        <b val="0"/>
        <i val="0"/>
        <strike val="0"/>
        <condense val="0"/>
        <extend val="0"/>
        <outline val="0"/>
        <shadow val="0"/>
        <u val="none"/>
        <vertAlign val="baseline"/>
        <sz val="10"/>
        <color theme="1"/>
        <name val="Verdana"/>
        <family val="2"/>
        <scheme val="none"/>
      </font>
      <fill>
        <patternFill patternType="solid">
          <fgColor indexed="64"/>
          <bgColor theme="4" tint="0.79998168889431442"/>
        </patternFill>
      </fill>
      <alignment horizontal="center" vertical="bottom" textRotation="0" wrapText="0" indent="0" justifyLastLine="0" shrinkToFit="0" readingOrder="0"/>
    </dxf>
  </dxfs>
  <tableStyles count="0" defaultTableStyle="TableStyleMedium2" defaultPivotStyle="PivotStyleLight16"/>
  <colors>
    <mruColors>
      <color rgb="FFB07A2A"/>
      <color rgb="FF00FF00"/>
      <color rgb="FF2F6F6B"/>
      <color rgb="FF2E3A46"/>
      <color rgb="FF5C1F1F"/>
      <color rgb="FFE6A19A"/>
      <color rgb="FF6E3B00"/>
      <color rgb="FFF8C471"/>
      <color rgb="FF5F4B00"/>
      <color rgb="FFFFE0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en-US" b="1">
                <a:solidFill>
                  <a:schemeClr val="bg1"/>
                </a:solidFill>
              </a:rPr>
              <a:t>BASE Case Scenario</a:t>
            </a:r>
          </a:p>
        </c:rich>
      </c:tx>
      <c:overlay val="0"/>
      <c:spPr>
        <a:solidFill>
          <a:srgbClr val="2E3A46"/>
        </a:solid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barChart>
        <c:barDir val="col"/>
        <c:grouping val="clustered"/>
        <c:varyColors val="0"/>
        <c:ser>
          <c:idx val="0"/>
          <c:order val="0"/>
          <c:tx>
            <c:strRef>
              <c:f>Dashboard!$C$15</c:f>
              <c:strCache>
                <c:ptCount val="1"/>
                <c:pt idx="0">
                  <c:v>Avg. Monthly Net Operating Cash Flows</c:v>
                </c:pt>
              </c:strCache>
            </c:strRef>
          </c:tx>
          <c:spPr>
            <a:solidFill>
              <a:schemeClr val="accent3"/>
            </a:solidFill>
            <a:ln>
              <a:noFill/>
            </a:ln>
            <a:effectLst/>
          </c:spPr>
          <c:invertIfNegative val="0"/>
          <c:cat>
            <c:strRef>
              <c:f>Dashboard!$D$14:$H$14</c:f>
              <c:strCache>
                <c:ptCount val="5"/>
                <c:pt idx="0">
                  <c:v>Pre-Launch</c:v>
                </c:pt>
                <c:pt idx="1">
                  <c:v>2027</c:v>
                </c:pt>
                <c:pt idx="2">
                  <c:v>2028</c:v>
                </c:pt>
                <c:pt idx="3">
                  <c:v>2029</c:v>
                </c:pt>
                <c:pt idx="4">
                  <c:v>2030</c:v>
                </c:pt>
              </c:strCache>
            </c:strRef>
          </c:cat>
          <c:val>
            <c:numRef>
              <c:f>Dashboard!$D$15:$H$15</c:f>
              <c:numCache>
                <c:formatCode>"$"#,##0_);[Red]\("$"#,##0\)</c:formatCode>
                <c:ptCount val="5"/>
                <c:pt idx="0">
                  <c:v>0</c:v>
                </c:pt>
                <c:pt idx="1">
                  <c:v>-16921.598245385605</c:v>
                </c:pt>
                <c:pt idx="2">
                  <c:v>-20490.987068115403</c:v>
                </c:pt>
                <c:pt idx="3">
                  <c:v>-21506.829546426528</c:v>
                </c:pt>
                <c:pt idx="4">
                  <c:v>-21504.356406489227</c:v>
                </c:pt>
              </c:numCache>
            </c:numRef>
          </c:val>
          <c:extLst>
            <c:ext xmlns:c16="http://schemas.microsoft.com/office/drawing/2014/chart" uri="{C3380CC4-5D6E-409C-BE32-E72D297353CC}">
              <c16:uniqueId val="{00000000-BD0A-4BE2-8F25-6BC4808C9CE6}"/>
            </c:ext>
          </c:extLst>
        </c:ser>
        <c:ser>
          <c:idx val="1"/>
          <c:order val="1"/>
          <c:tx>
            <c:strRef>
              <c:f>Dashboard!$C$16</c:f>
              <c:strCache>
                <c:ptCount val="1"/>
                <c:pt idx="0">
                  <c:v>Cumulative Net Operating Cash Flows</c:v>
                </c:pt>
              </c:strCache>
            </c:strRef>
          </c:tx>
          <c:spPr>
            <a:solidFill>
              <a:srgbClr val="800000"/>
            </a:solidFill>
            <a:ln>
              <a:noFill/>
            </a:ln>
            <a:effectLst/>
          </c:spPr>
          <c:invertIfNegative val="0"/>
          <c:cat>
            <c:strRef>
              <c:f>Dashboard!$D$14:$H$14</c:f>
              <c:strCache>
                <c:ptCount val="5"/>
                <c:pt idx="0">
                  <c:v>Pre-Launch</c:v>
                </c:pt>
                <c:pt idx="1">
                  <c:v>2027</c:v>
                </c:pt>
                <c:pt idx="2">
                  <c:v>2028</c:v>
                </c:pt>
                <c:pt idx="3">
                  <c:v>2029</c:v>
                </c:pt>
                <c:pt idx="4">
                  <c:v>2030</c:v>
                </c:pt>
              </c:strCache>
            </c:strRef>
          </c:cat>
          <c:val>
            <c:numRef>
              <c:f>Dashboard!$D$16:$H$16</c:f>
              <c:numCache>
                <c:formatCode>"$"#,##0_);[Red]\("$"#,##0\)</c:formatCode>
                <c:ptCount val="5"/>
                <c:pt idx="0">
                  <c:v>0</c:v>
                </c:pt>
                <c:pt idx="1">
                  <c:v>-169215.98245385604</c:v>
                </c:pt>
                <c:pt idx="2">
                  <c:v>-415107.82727124088</c:v>
                </c:pt>
                <c:pt idx="3">
                  <c:v>-673189.78182835935</c:v>
                </c:pt>
                <c:pt idx="4">
                  <c:v>-716198.49464133778</c:v>
                </c:pt>
              </c:numCache>
            </c:numRef>
          </c:val>
          <c:extLst>
            <c:ext xmlns:c16="http://schemas.microsoft.com/office/drawing/2014/chart" uri="{C3380CC4-5D6E-409C-BE32-E72D297353CC}">
              <c16:uniqueId val="{00000001-BD0A-4BE2-8F25-6BC4808C9CE6}"/>
            </c:ext>
          </c:extLst>
        </c:ser>
        <c:dLbls>
          <c:showLegendKey val="0"/>
          <c:showVal val="0"/>
          <c:showCatName val="0"/>
          <c:showSerName val="0"/>
          <c:showPercent val="0"/>
          <c:showBubbleSize val="0"/>
        </c:dLbls>
        <c:gapWidth val="219"/>
        <c:axId val="1298895727"/>
        <c:axId val="1298896687"/>
      </c:barChart>
      <c:lineChart>
        <c:grouping val="standard"/>
        <c:varyColors val="0"/>
        <c:ser>
          <c:idx val="2"/>
          <c:order val="2"/>
          <c:tx>
            <c:strRef>
              <c:f>Dashboard!$C$17</c:f>
              <c:strCache>
                <c:ptCount val="1"/>
                <c:pt idx="0">
                  <c:v>Cumulative Net Cash Flow</c:v>
                </c:pt>
              </c:strCache>
            </c:strRef>
          </c:tx>
          <c:spPr>
            <a:ln w="28575" cap="rnd">
              <a:solidFill>
                <a:srgbClr val="002060"/>
              </a:solidFill>
              <a:round/>
            </a:ln>
            <a:effectLst/>
          </c:spPr>
          <c:marker>
            <c:symbol val="none"/>
          </c:marker>
          <c:cat>
            <c:strRef>
              <c:f>Dashboard!$D$14:$H$14</c:f>
              <c:strCache>
                <c:ptCount val="5"/>
                <c:pt idx="0">
                  <c:v>Pre-Launch</c:v>
                </c:pt>
                <c:pt idx="1">
                  <c:v>2027</c:v>
                </c:pt>
                <c:pt idx="2">
                  <c:v>2028</c:v>
                </c:pt>
                <c:pt idx="3">
                  <c:v>2029</c:v>
                </c:pt>
                <c:pt idx="4">
                  <c:v>2030</c:v>
                </c:pt>
              </c:strCache>
            </c:strRef>
          </c:cat>
          <c:val>
            <c:numRef>
              <c:f>Dashboard!$D$17:$H$17</c:f>
              <c:numCache>
                <c:formatCode>"$"#,##0_);[Red]\("$"#,##0\)</c:formatCode>
                <c:ptCount val="5"/>
                <c:pt idx="0">
                  <c:v>-125000</c:v>
                </c:pt>
                <c:pt idx="1">
                  <c:v>-291777.86493589263</c:v>
                </c:pt>
                <c:pt idx="2">
                  <c:v>-534521.8628589639</c:v>
                </c:pt>
                <c:pt idx="3">
                  <c:v>-789194.70078203478</c:v>
                </c:pt>
                <c:pt idx="4">
                  <c:v>-831608.32916921331</c:v>
                </c:pt>
              </c:numCache>
            </c:numRef>
          </c:val>
          <c:smooth val="0"/>
          <c:extLst>
            <c:ext xmlns:c16="http://schemas.microsoft.com/office/drawing/2014/chart" uri="{C3380CC4-5D6E-409C-BE32-E72D297353CC}">
              <c16:uniqueId val="{00000002-BD0A-4BE2-8F25-6BC4808C9CE6}"/>
            </c:ext>
          </c:extLst>
        </c:ser>
        <c:dLbls>
          <c:showLegendKey val="0"/>
          <c:showVal val="0"/>
          <c:showCatName val="0"/>
          <c:showSerName val="0"/>
          <c:showPercent val="0"/>
          <c:showBubbleSize val="0"/>
        </c:dLbls>
        <c:marker val="1"/>
        <c:smooth val="0"/>
        <c:axId val="1298895727"/>
        <c:axId val="1298896687"/>
      </c:lineChart>
      <c:catAx>
        <c:axId val="1298895727"/>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t" anchorCtr="0"/>
          <a:lstStyle/>
          <a:p>
            <a:pPr>
              <a:defRPr sz="1200" b="1" i="0" u="none" strike="noStrike" kern="1200" baseline="0">
                <a:solidFill>
                  <a:schemeClr val="tx1">
                    <a:lumMod val="65000"/>
                    <a:lumOff val="35000"/>
                  </a:schemeClr>
                </a:solidFill>
                <a:latin typeface="+mn-lt"/>
                <a:ea typeface="+mn-ea"/>
                <a:cs typeface="+mn-cs"/>
              </a:defRPr>
            </a:pPr>
            <a:endParaRPr lang="en-US"/>
          </a:p>
        </c:txPr>
        <c:crossAx val="1298896687"/>
        <c:crosses val="autoZero"/>
        <c:auto val="0"/>
        <c:lblAlgn val="ctr"/>
        <c:lblOffset val="100"/>
        <c:noMultiLvlLbl val="0"/>
      </c:catAx>
      <c:valAx>
        <c:axId val="1298896687"/>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12988957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2857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en-US" b="1">
                <a:solidFill>
                  <a:schemeClr val="bg1"/>
                </a:solidFill>
              </a:rPr>
              <a:t>BEST Case Scenario</a:t>
            </a:r>
          </a:p>
        </c:rich>
      </c:tx>
      <c:overlay val="0"/>
      <c:spPr>
        <a:solidFill>
          <a:srgbClr val="2F6F6B"/>
        </a:solid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barChart>
        <c:barDir val="col"/>
        <c:grouping val="clustered"/>
        <c:varyColors val="0"/>
        <c:ser>
          <c:idx val="0"/>
          <c:order val="0"/>
          <c:tx>
            <c:strRef>
              <c:f>Dashboard!$C$18</c:f>
              <c:strCache>
                <c:ptCount val="1"/>
                <c:pt idx="0">
                  <c:v>Avg. Monthly Net Operating Cash Flows</c:v>
                </c:pt>
              </c:strCache>
            </c:strRef>
          </c:tx>
          <c:spPr>
            <a:solidFill>
              <a:schemeClr val="accent3"/>
            </a:solidFill>
            <a:ln>
              <a:noFill/>
            </a:ln>
            <a:effectLst/>
          </c:spPr>
          <c:invertIfNegative val="0"/>
          <c:cat>
            <c:strRef>
              <c:f>Dashboard!$D$14:$H$14</c:f>
              <c:strCache>
                <c:ptCount val="5"/>
                <c:pt idx="0">
                  <c:v>Pre-Launch</c:v>
                </c:pt>
                <c:pt idx="1">
                  <c:v>2027</c:v>
                </c:pt>
                <c:pt idx="2">
                  <c:v>2028</c:v>
                </c:pt>
                <c:pt idx="3">
                  <c:v>2029</c:v>
                </c:pt>
                <c:pt idx="4">
                  <c:v>2030</c:v>
                </c:pt>
              </c:strCache>
            </c:strRef>
          </c:cat>
          <c:val>
            <c:numRef>
              <c:f>Dashboard!$D$18:$H$18</c:f>
              <c:numCache>
                <c:formatCode>"$"#,##0_);[Red]\("$"#,##0\)</c:formatCode>
                <c:ptCount val="5"/>
                <c:pt idx="0">
                  <c:v>0</c:v>
                </c:pt>
                <c:pt idx="1">
                  <c:v>-8503.5097464110258</c:v>
                </c:pt>
                <c:pt idx="2">
                  <c:v>-10560.18549742309</c:v>
                </c:pt>
                <c:pt idx="3">
                  <c:v>-3042.9396472206317</c:v>
                </c:pt>
                <c:pt idx="4">
                  <c:v>-12648.509505047172</c:v>
                </c:pt>
              </c:numCache>
            </c:numRef>
          </c:val>
          <c:extLst>
            <c:ext xmlns:c16="http://schemas.microsoft.com/office/drawing/2014/chart" uri="{C3380CC4-5D6E-409C-BE32-E72D297353CC}">
              <c16:uniqueId val="{00000000-E9A5-427C-AD9B-1111B3F83A29}"/>
            </c:ext>
          </c:extLst>
        </c:ser>
        <c:ser>
          <c:idx val="1"/>
          <c:order val="1"/>
          <c:tx>
            <c:strRef>
              <c:f>Dashboard!$C$19</c:f>
              <c:strCache>
                <c:ptCount val="1"/>
                <c:pt idx="0">
                  <c:v>Cumulative Net Operating Cash Flows</c:v>
                </c:pt>
              </c:strCache>
            </c:strRef>
          </c:tx>
          <c:spPr>
            <a:solidFill>
              <a:srgbClr val="800000"/>
            </a:solidFill>
            <a:ln>
              <a:noFill/>
            </a:ln>
            <a:effectLst/>
          </c:spPr>
          <c:invertIfNegative val="0"/>
          <c:cat>
            <c:strRef>
              <c:f>Dashboard!$D$14:$H$14</c:f>
              <c:strCache>
                <c:ptCount val="5"/>
                <c:pt idx="0">
                  <c:v>Pre-Launch</c:v>
                </c:pt>
                <c:pt idx="1">
                  <c:v>2027</c:v>
                </c:pt>
                <c:pt idx="2">
                  <c:v>2028</c:v>
                </c:pt>
                <c:pt idx="3">
                  <c:v>2029</c:v>
                </c:pt>
                <c:pt idx="4">
                  <c:v>2030</c:v>
                </c:pt>
              </c:strCache>
            </c:strRef>
          </c:cat>
          <c:val>
            <c:numRef>
              <c:f>Dashboard!$D$19:$H$19</c:f>
              <c:numCache>
                <c:formatCode>"$"#,##0_);[Red]\("$"#,##0\)</c:formatCode>
                <c:ptCount val="5"/>
                <c:pt idx="0">
                  <c:v>0</c:v>
                </c:pt>
                <c:pt idx="1">
                  <c:v>-85035.097464110266</c:v>
                </c:pt>
                <c:pt idx="2">
                  <c:v>-211757.32343318735</c:v>
                </c:pt>
                <c:pt idx="3">
                  <c:v>-248272.59919983492</c:v>
                </c:pt>
                <c:pt idx="4">
                  <c:v>-273569.61820992926</c:v>
                </c:pt>
              </c:numCache>
            </c:numRef>
          </c:val>
          <c:extLst>
            <c:ext xmlns:c16="http://schemas.microsoft.com/office/drawing/2014/chart" uri="{C3380CC4-5D6E-409C-BE32-E72D297353CC}">
              <c16:uniqueId val="{00000001-E9A5-427C-AD9B-1111B3F83A29}"/>
            </c:ext>
          </c:extLst>
        </c:ser>
        <c:dLbls>
          <c:showLegendKey val="0"/>
          <c:showVal val="0"/>
          <c:showCatName val="0"/>
          <c:showSerName val="0"/>
          <c:showPercent val="0"/>
          <c:showBubbleSize val="0"/>
        </c:dLbls>
        <c:gapWidth val="219"/>
        <c:axId val="1298895727"/>
        <c:axId val="1298896687"/>
      </c:barChart>
      <c:lineChart>
        <c:grouping val="standard"/>
        <c:varyColors val="0"/>
        <c:ser>
          <c:idx val="2"/>
          <c:order val="2"/>
          <c:tx>
            <c:strRef>
              <c:f>Dashboard!$C$20</c:f>
              <c:strCache>
                <c:ptCount val="1"/>
                <c:pt idx="0">
                  <c:v>Cumulative Net Cash Flow</c:v>
                </c:pt>
              </c:strCache>
            </c:strRef>
          </c:tx>
          <c:spPr>
            <a:ln w="28575" cap="rnd">
              <a:solidFill>
                <a:srgbClr val="002060"/>
              </a:solidFill>
              <a:round/>
            </a:ln>
            <a:effectLst/>
          </c:spPr>
          <c:marker>
            <c:symbol val="none"/>
          </c:marker>
          <c:cat>
            <c:strRef>
              <c:f>Dashboard!$D$14:$H$14</c:f>
              <c:strCache>
                <c:ptCount val="5"/>
                <c:pt idx="0">
                  <c:v>Pre-Launch</c:v>
                </c:pt>
                <c:pt idx="1">
                  <c:v>2027</c:v>
                </c:pt>
                <c:pt idx="2">
                  <c:v>2028</c:v>
                </c:pt>
                <c:pt idx="3">
                  <c:v>2029</c:v>
                </c:pt>
                <c:pt idx="4">
                  <c:v>2030</c:v>
                </c:pt>
              </c:strCache>
            </c:strRef>
          </c:cat>
          <c:val>
            <c:numRef>
              <c:f>Dashboard!$D$20:$H$20</c:f>
              <c:numCache>
                <c:formatCode>"$"#,##0_);[Red]\("$"#,##0\)</c:formatCode>
                <c:ptCount val="5"/>
                <c:pt idx="0">
                  <c:v>-125000</c:v>
                </c:pt>
                <c:pt idx="1">
                  <c:v>-208138.78383902757</c:v>
                </c:pt>
                <c:pt idx="2">
                  <c:v>-332412.68444586074</c:v>
                </c:pt>
                <c:pt idx="3">
                  <c:v>-366276.42505269375</c:v>
                </c:pt>
                <c:pt idx="4">
                  <c:v>-391110.60062049929</c:v>
                </c:pt>
              </c:numCache>
            </c:numRef>
          </c:val>
          <c:smooth val="0"/>
          <c:extLst>
            <c:ext xmlns:c16="http://schemas.microsoft.com/office/drawing/2014/chart" uri="{C3380CC4-5D6E-409C-BE32-E72D297353CC}">
              <c16:uniqueId val="{00000002-E9A5-427C-AD9B-1111B3F83A29}"/>
            </c:ext>
          </c:extLst>
        </c:ser>
        <c:dLbls>
          <c:showLegendKey val="0"/>
          <c:showVal val="0"/>
          <c:showCatName val="0"/>
          <c:showSerName val="0"/>
          <c:showPercent val="0"/>
          <c:showBubbleSize val="0"/>
        </c:dLbls>
        <c:marker val="1"/>
        <c:smooth val="0"/>
        <c:axId val="1298895727"/>
        <c:axId val="1298896687"/>
      </c:lineChart>
      <c:catAx>
        <c:axId val="1298895727"/>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t" anchorCtr="0"/>
          <a:lstStyle/>
          <a:p>
            <a:pPr>
              <a:defRPr sz="1200" b="1" i="0" u="none" strike="noStrike" kern="1200" baseline="0">
                <a:solidFill>
                  <a:schemeClr val="tx1">
                    <a:lumMod val="65000"/>
                    <a:lumOff val="35000"/>
                  </a:schemeClr>
                </a:solidFill>
                <a:latin typeface="+mn-lt"/>
                <a:ea typeface="+mn-ea"/>
                <a:cs typeface="+mn-cs"/>
              </a:defRPr>
            </a:pPr>
            <a:endParaRPr lang="en-US"/>
          </a:p>
        </c:txPr>
        <c:crossAx val="1298896687"/>
        <c:crosses val="autoZero"/>
        <c:auto val="0"/>
        <c:lblAlgn val="ctr"/>
        <c:lblOffset val="100"/>
        <c:noMultiLvlLbl val="0"/>
      </c:catAx>
      <c:valAx>
        <c:axId val="1298896687"/>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12988957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2857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en-US" b="1">
                <a:solidFill>
                  <a:schemeClr val="bg1"/>
                </a:solidFill>
              </a:rPr>
              <a:t>WORST Case Scenario</a:t>
            </a:r>
          </a:p>
        </c:rich>
      </c:tx>
      <c:overlay val="0"/>
      <c:spPr>
        <a:solidFill>
          <a:srgbClr val="B07A2A"/>
        </a:solid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barChart>
        <c:barDir val="col"/>
        <c:grouping val="clustered"/>
        <c:varyColors val="0"/>
        <c:ser>
          <c:idx val="0"/>
          <c:order val="0"/>
          <c:tx>
            <c:strRef>
              <c:f>Dashboard!$C$21</c:f>
              <c:strCache>
                <c:ptCount val="1"/>
                <c:pt idx="0">
                  <c:v>Avg. Monthly Net Operating Cash Flows</c:v>
                </c:pt>
              </c:strCache>
            </c:strRef>
          </c:tx>
          <c:spPr>
            <a:solidFill>
              <a:schemeClr val="accent3"/>
            </a:solidFill>
            <a:ln>
              <a:noFill/>
            </a:ln>
            <a:effectLst/>
          </c:spPr>
          <c:invertIfNegative val="0"/>
          <c:cat>
            <c:strRef>
              <c:f>Dashboard!$D$14:$H$14</c:f>
              <c:strCache>
                <c:ptCount val="5"/>
                <c:pt idx="0">
                  <c:v>Pre-Launch</c:v>
                </c:pt>
                <c:pt idx="1">
                  <c:v>2027</c:v>
                </c:pt>
                <c:pt idx="2">
                  <c:v>2028</c:v>
                </c:pt>
                <c:pt idx="3">
                  <c:v>2029</c:v>
                </c:pt>
                <c:pt idx="4">
                  <c:v>2030</c:v>
                </c:pt>
              </c:strCache>
            </c:strRef>
          </c:cat>
          <c:val>
            <c:numRef>
              <c:f>Dashboard!$D$21:$H$21</c:f>
              <c:numCache>
                <c:formatCode>"$"#,##0_);[Red]\("$"#,##0\)</c:formatCode>
                <c:ptCount val="5"/>
                <c:pt idx="0">
                  <c:v>0</c:v>
                </c:pt>
                <c:pt idx="1">
                  <c:v>-14363.664619616538</c:v>
                </c:pt>
                <c:pt idx="2">
                  <c:v>-14363.664619616538</c:v>
                </c:pt>
                <c:pt idx="3">
                  <c:v>-14363.664619616538</c:v>
                </c:pt>
                <c:pt idx="4">
                  <c:v>-34478.688957570761</c:v>
                </c:pt>
              </c:numCache>
            </c:numRef>
          </c:val>
          <c:extLst>
            <c:ext xmlns:c16="http://schemas.microsoft.com/office/drawing/2014/chart" uri="{C3380CC4-5D6E-409C-BE32-E72D297353CC}">
              <c16:uniqueId val="{00000000-42AB-4E16-804C-A4D55B9C0E20}"/>
            </c:ext>
          </c:extLst>
        </c:ser>
        <c:ser>
          <c:idx val="1"/>
          <c:order val="1"/>
          <c:tx>
            <c:strRef>
              <c:f>Dashboard!$C$22</c:f>
              <c:strCache>
                <c:ptCount val="1"/>
                <c:pt idx="0">
                  <c:v>Cumulative Net Operating Cash Flows</c:v>
                </c:pt>
              </c:strCache>
            </c:strRef>
          </c:tx>
          <c:spPr>
            <a:solidFill>
              <a:srgbClr val="800000"/>
            </a:solidFill>
            <a:ln>
              <a:noFill/>
            </a:ln>
            <a:effectLst/>
          </c:spPr>
          <c:invertIfNegative val="0"/>
          <c:cat>
            <c:strRef>
              <c:f>Dashboard!$D$14:$H$14</c:f>
              <c:strCache>
                <c:ptCount val="5"/>
                <c:pt idx="0">
                  <c:v>Pre-Launch</c:v>
                </c:pt>
                <c:pt idx="1">
                  <c:v>2027</c:v>
                </c:pt>
                <c:pt idx="2">
                  <c:v>2028</c:v>
                </c:pt>
                <c:pt idx="3">
                  <c:v>2029</c:v>
                </c:pt>
                <c:pt idx="4">
                  <c:v>2030</c:v>
                </c:pt>
              </c:strCache>
            </c:strRef>
          </c:cat>
          <c:val>
            <c:numRef>
              <c:f>Dashboard!$D$22:$H$22</c:f>
              <c:numCache>
                <c:formatCode>"$"#,##0_);[Red]\("$"#,##0\)</c:formatCode>
                <c:ptCount val="5"/>
                <c:pt idx="0">
                  <c:v>0</c:v>
                </c:pt>
                <c:pt idx="1">
                  <c:v>-143636.64619616538</c:v>
                </c:pt>
                <c:pt idx="2">
                  <c:v>-490824.70514978096</c:v>
                </c:pt>
                <c:pt idx="3">
                  <c:v>-911999.01879975246</c:v>
                </c:pt>
                <c:pt idx="4">
                  <c:v>-980956.39671489398</c:v>
                </c:pt>
              </c:numCache>
            </c:numRef>
          </c:val>
          <c:extLst>
            <c:ext xmlns:c16="http://schemas.microsoft.com/office/drawing/2014/chart" uri="{C3380CC4-5D6E-409C-BE32-E72D297353CC}">
              <c16:uniqueId val="{00000001-42AB-4E16-804C-A4D55B9C0E20}"/>
            </c:ext>
          </c:extLst>
        </c:ser>
        <c:dLbls>
          <c:showLegendKey val="0"/>
          <c:showVal val="0"/>
          <c:showCatName val="0"/>
          <c:showSerName val="0"/>
          <c:showPercent val="0"/>
          <c:showBubbleSize val="0"/>
        </c:dLbls>
        <c:gapWidth val="219"/>
        <c:axId val="1298895727"/>
        <c:axId val="1298896687"/>
      </c:barChart>
      <c:lineChart>
        <c:grouping val="standard"/>
        <c:varyColors val="0"/>
        <c:ser>
          <c:idx val="2"/>
          <c:order val="2"/>
          <c:tx>
            <c:strRef>
              <c:f>Dashboard!$C$23</c:f>
              <c:strCache>
                <c:ptCount val="1"/>
                <c:pt idx="0">
                  <c:v>Cumulative Net Cash Flow</c:v>
                </c:pt>
              </c:strCache>
            </c:strRef>
          </c:tx>
          <c:spPr>
            <a:ln w="28575" cap="rnd">
              <a:solidFill>
                <a:srgbClr val="002060"/>
              </a:solidFill>
              <a:round/>
            </a:ln>
            <a:effectLst/>
          </c:spPr>
          <c:marker>
            <c:symbol val="none"/>
          </c:marker>
          <c:cat>
            <c:strRef>
              <c:f>Dashboard!$D$14:$H$14</c:f>
              <c:strCache>
                <c:ptCount val="5"/>
                <c:pt idx="0">
                  <c:v>Pre-Launch</c:v>
                </c:pt>
                <c:pt idx="1">
                  <c:v>2027</c:v>
                </c:pt>
                <c:pt idx="2">
                  <c:v>2028</c:v>
                </c:pt>
                <c:pt idx="3">
                  <c:v>2029</c:v>
                </c:pt>
                <c:pt idx="4">
                  <c:v>2030</c:v>
                </c:pt>
              </c:strCache>
            </c:strRef>
          </c:cat>
          <c:val>
            <c:numRef>
              <c:f>Dashboard!$D$23:$H$23</c:f>
              <c:numCache>
                <c:formatCode>"$"#,##0_);[Red]\("$"#,##0\)</c:formatCode>
                <c:ptCount val="5"/>
                <c:pt idx="0">
                  <c:v>-137500</c:v>
                </c:pt>
                <c:pt idx="1">
                  <c:v>-278292.17575854133</c:v>
                </c:pt>
                <c:pt idx="2">
                  <c:v>-621807.7466687907</c:v>
                </c:pt>
                <c:pt idx="3">
                  <c:v>-1039004.7575790405</c:v>
                </c:pt>
                <c:pt idx="4">
                  <c:v>-1107267.8703307488</c:v>
                </c:pt>
              </c:numCache>
            </c:numRef>
          </c:val>
          <c:smooth val="0"/>
          <c:extLst>
            <c:ext xmlns:c16="http://schemas.microsoft.com/office/drawing/2014/chart" uri="{C3380CC4-5D6E-409C-BE32-E72D297353CC}">
              <c16:uniqueId val="{00000002-42AB-4E16-804C-A4D55B9C0E20}"/>
            </c:ext>
          </c:extLst>
        </c:ser>
        <c:dLbls>
          <c:showLegendKey val="0"/>
          <c:showVal val="0"/>
          <c:showCatName val="0"/>
          <c:showSerName val="0"/>
          <c:showPercent val="0"/>
          <c:showBubbleSize val="0"/>
        </c:dLbls>
        <c:marker val="1"/>
        <c:smooth val="0"/>
        <c:axId val="1298895727"/>
        <c:axId val="1298896687"/>
      </c:lineChart>
      <c:catAx>
        <c:axId val="1298895727"/>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t" anchorCtr="0"/>
          <a:lstStyle/>
          <a:p>
            <a:pPr>
              <a:defRPr sz="1200" b="1" i="0" u="none" strike="noStrike" kern="1200" baseline="0">
                <a:solidFill>
                  <a:schemeClr val="tx1">
                    <a:lumMod val="65000"/>
                    <a:lumOff val="35000"/>
                  </a:schemeClr>
                </a:solidFill>
                <a:latin typeface="+mn-lt"/>
                <a:ea typeface="+mn-ea"/>
                <a:cs typeface="+mn-cs"/>
              </a:defRPr>
            </a:pPr>
            <a:endParaRPr lang="en-US"/>
          </a:p>
        </c:txPr>
        <c:crossAx val="1298896687"/>
        <c:crosses val="autoZero"/>
        <c:auto val="0"/>
        <c:lblAlgn val="ctr"/>
        <c:lblOffset val="100"/>
        <c:noMultiLvlLbl val="0"/>
      </c:catAx>
      <c:valAx>
        <c:axId val="1298896687"/>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12988957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2857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696059</xdr:colOff>
      <xdr:row>23</xdr:row>
      <xdr:rowOff>85725</xdr:rowOff>
    </xdr:from>
    <xdr:to>
      <xdr:col>9</xdr:col>
      <xdr:colOff>371109</xdr:colOff>
      <xdr:row>50</xdr:row>
      <xdr:rowOff>12211</xdr:rowOff>
    </xdr:to>
    <xdr:graphicFrame macro="">
      <xdr:nvGraphicFramePr>
        <xdr:cNvPr id="2" name="Chart 1">
          <a:extLst>
            <a:ext uri="{FF2B5EF4-FFF2-40B4-BE49-F238E27FC236}">
              <a16:creationId xmlns:a16="http://schemas.microsoft.com/office/drawing/2014/main" id="{DAE953D0-CEEA-8F57-99FB-CC7AD88BF25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742750</xdr:colOff>
      <xdr:row>51</xdr:row>
      <xdr:rowOff>94142</xdr:rowOff>
    </xdr:from>
    <xdr:to>
      <xdr:col>9</xdr:col>
      <xdr:colOff>419954</xdr:colOff>
      <xdr:row>78</xdr:row>
      <xdr:rowOff>103668</xdr:rowOff>
    </xdr:to>
    <xdr:graphicFrame macro="">
      <xdr:nvGraphicFramePr>
        <xdr:cNvPr id="3" name="Chart 2">
          <a:extLst>
            <a:ext uri="{FF2B5EF4-FFF2-40B4-BE49-F238E27FC236}">
              <a16:creationId xmlns:a16="http://schemas.microsoft.com/office/drawing/2014/main" id="{F28F0B74-DA21-4697-9C1A-5A318C36E8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735385</xdr:colOff>
      <xdr:row>80</xdr:row>
      <xdr:rowOff>18489</xdr:rowOff>
    </xdr:from>
    <xdr:to>
      <xdr:col>9</xdr:col>
      <xdr:colOff>400050</xdr:colOff>
      <xdr:row>107</xdr:row>
      <xdr:rowOff>28015</xdr:rowOff>
    </xdr:to>
    <xdr:graphicFrame macro="">
      <xdr:nvGraphicFramePr>
        <xdr:cNvPr id="4" name="Chart 3">
          <a:extLst>
            <a:ext uri="{FF2B5EF4-FFF2-40B4-BE49-F238E27FC236}">
              <a16:creationId xmlns:a16="http://schemas.microsoft.com/office/drawing/2014/main" id="{297FB7EB-2DE4-4053-A2F7-8A4AB37247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1FA1279C-1720-44C8-8E67-FCCC8E0217E8}" name="MortgageAmortBASE" displayName="MortgageAmortBASE" ref="C10:J371" totalsRowShown="0" headerRowDxfId="198" headerRowBorderDxfId="197" tableBorderDxfId="196" totalsRowBorderDxfId="195">
  <autoFilter ref="C10:J371" xr:uid="{1FA1279C-1720-44C8-8E67-FCCC8E0217E8}"/>
  <tableColumns count="8">
    <tableColumn id="1" xr3:uid="{FDD325CB-6649-43FD-B9FB-37F3CF15EC3D}" name="Month" dataDxfId="194">
      <calculatedColumnFormula>C10+1</calculatedColumnFormula>
    </tableColumn>
    <tableColumn id="2" xr3:uid="{77CF16FD-8E99-4867-B276-BDC3F3E72123}" name="Payment" dataDxfId="193">
      <calculatedColumnFormula>IF(AND(C11&gt;='Amort. Sched.-BASE'!$I$8, C11&lt;= ($I$7+$I$8)), PMT('Amort. Sched.-BASE'!$E$8/12, 'Amort. Sched.-BASE'!$I$7, 'Amort. Sched.-BASE'!$E$7), 0)</calculatedColumnFormula>
    </tableColumn>
    <tableColumn id="3" xr3:uid="{8173F14F-8B61-449B-8EAE-BEF09A23C60C}" name="Interest" dataDxfId="192">
      <calculatedColumnFormula>IF(AND(C11&gt;='Amort. Sched.-BASE'!$I$8, C11&lt;= ($I$7+$I$8)), (IPMT($E$8/12, (C11-$I$8), $I$7, $E$7)), 0)</calculatedColumnFormula>
    </tableColumn>
    <tableColumn id="4" xr3:uid="{9AC984D6-8159-4D21-86BB-2C8DD1497AA0}" name="Principal" dataDxfId="191">
      <calculatedColumnFormula>IF(AND(C11&gt;='Amort. Sched.-BASE'!$I$8, C11&lt;= ($I$7+$I$8)), (PPMT($E$8/12, (C11-$I$8), $I$7, $E$7)), 0)</calculatedColumnFormula>
    </tableColumn>
    <tableColumn id="8" xr3:uid="{CEE1A9B6-6D84-47DF-A51D-CA45F6FEFD3C}" name="Cash Inflow" dataDxfId="190">
      <calculatedColumnFormula>IF(MortgageAmortBASE[[#This Row],[Month]]=I$8,E$7,0)</calculatedColumnFormula>
    </tableColumn>
    <tableColumn id="5" xr3:uid="{9A80EF11-863F-422C-B88A-ADC25B2C3383}" name="Balance" dataDxfId="189">
      <calculatedColumnFormula>IF(AND(C11&gt;='Amort. Sched.-BASE'!$I$8, C11&lt;= ($I$7+$I$8)), H10+F11, " ")</calculatedColumnFormula>
    </tableColumn>
    <tableColumn id="6" xr3:uid="{57298754-5AF9-4F8F-AA88-0190A0DAAD33}" name="% Interest" dataDxfId="188" dataCellStyle="Percent">
      <calculatedColumnFormula>IF(AND(C11&gt;='Amort. Sched.-BASE'!$I$8, C11&lt;= ($I$7+$I$8)), E11/D11, " ")</calculatedColumnFormula>
    </tableColumn>
    <tableColumn id="7" xr3:uid="{CC9D717C-E093-47EA-ABE7-F13F5376CA15}" name="% Principal" dataDxfId="187" dataCellStyle="Percent">
      <calculatedColumnFormula>IF(AND(C11&gt;='Amort. Sched.-BASE'!$I$8, C11&lt;= ($I$7+$I$8)), F11/D11, " ")</calculatedColumnFormula>
    </tableColumn>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6923741-7107-4E27-97B5-98DB3F4D307F}" name="CreditAmort4BEST" displayName="CreditAmort4BEST" ref="AM10:AT371" totalsRowShown="0" headerRowDxfId="90" headerRowBorderDxfId="89" tableBorderDxfId="88" totalsRowBorderDxfId="87">
  <autoFilter ref="AM10:AT371" xr:uid="{0228EB71-02C9-46F8-8122-B29A56370128}"/>
  <tableColumns count="8">
    <tableColumn id="1" xr3:uid="{846426D1-28E6-42D3-B529-F733CEF74A77}" name="Month" dataDxfId="86">
      <calculatedColumnFormula>AM10+1</calculatedColumnFormula>
    </tableColumn>
    <tableColumn id="2" xr3:uid="{07153C63-3F31-4F66-A601-132353667EAF}" name="Payment" dataDxfId="85">
      <calculatedColumnFormula>IF(AND(AM11&gt;='Amort. Sched.-BEST'!$AA$8, AM11&lt;= ($AA$7+$AA$8)), PMT('Amort. Sched.-BEST'!$W$8/12, 'Amort. Sched.-BEST'!$AA$7, 'Amort. Sched.-BEST'!$W$7), 0)</calculatedColumnFormula>
    </tableColumn>
    <tableColumn id="3" xr3:uid="{772C7EAE-EBB3-48F9-A58C-B086985776B4}" name="Interest" dataDxfId="84">
      <calculatedColumnFormula>IF(AND(AM11&gt;='Amort. Sched.-BEST'!$AA$8, AM11&lt;= ($AA$7+$AA$8)), (IPMT($W$8/12, (AM11-$AA$8), $AA$7, $W$7)), 0)</calculatedColumnFormula>
    </tableColumn>
    <tableColumn id="4" xr3:uid="{EFFAFEE0-34EC-46BB-86B9-20BF5EEBA188}" name="Principal" dataDxfId="83">
      <calculatedColumnFormula>IF(AND(AM11&gt;='Amort. Sched.-BEST'!$AA$8, AM11&lt;= ($AA$7+$AA$8)), (PPMT($W$8/12, (AM11-$AA$8), $AA$7, $W$7)), 0)</calculatedColumnFormula>
    </tableColumn>
    <tableColumn id="8" xr3:uid="{3E39D34B-9054-4B59-AB00-5CDA521FCEE3}" name="Cash Inflow" dataDxfId="82">
      <calculatedColumnFormula>IF(CreditAmort4BEST[[#This Row],[Month]]=AS$8,AO$7,0)</calculatedColumnFormula>
    </tableColumn>
    <tableColumn id="5" xr3:uid="{377B4223-59BF-471F-9BF4-70993546F5D8}" name="Balance" dataDxfId="81">
      <calculatedColumnFormula>IF(AND(AM11&gt;='Amort. Sched.-BEST'!$AA$8, AM11&lt;= ($AA$7+$AA$8)), AR10+AP11, " ")</calculatedColumnFormula>
    </tableColumn>
    <tableColumn id="6" xr3:uid="{DD3820A7-6D92-4324-8F64-0BBDC82709E8}" name="% Interest" dataDxfId="80" dataCellStyle="Percent">
      <calculatedColumnFormula>IF(AND(AM11&gt;='Amort. Sched.-BEST'!$AA$8, AM11&lt;= ($AA$7+$AA$8)), AO11/AN11, " ")</calculatedColumnFormula>
    </tableColumn>
    <tableColumn id="7" xr3:uid="{09140683-4FC4-43FC-89B2-AFEB0098E826}" name="% Principal" dataDxfId="79" dataCellStyle="Percent">
      <calculatedColumnFormula>IF(AND(AM11&gt;='Amort. Sched.-BEST'!$AA$8, AM11&lt;= ($AA$7+$AA$8)), AP11/AN11, " ")</calculatedColumnFormula>
    </tableColumn>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19519BE-32C3-454A-8338-58ACC140E5E7}" name="MortgageAmortWORST" displayName="MortgageAmortWORST" ref="C10:J371" totalsRowShown="0" headerRowDxfId="78" headerRowBorderDxfId="77" tableBorderDxfId="76" totalsRowBorderDxfId="75">
  <autoFilter ref="C10:J371" xr:uid="{1FA1279C-1720-44C8-8E67-FCCC8E0217E8}"/>
  <tableColumns count="8">
    <tableColumn id="1" xr3:uid="{CBB32E79-4184-47F1-A388-F65BF5BE10D8}" name="Month" dataDxfId="74">
      <calculatedColumnFormula>C10+1</calculatedColumnFormula>
    </tableColumn>
    <tableColumn id="2" xr3:uid="{0089D887-8144-4756-A78D-C1AE4FFA8117}" name="Payment" dataDxfId="73">
      <calculatedColumnFormula>IF(AND(C11&gt;='Amort. Sched.-WORST'!$I$8, C11&lt;= ($I$7+$I$8)), PMT('Amort. Sched.-WORST'!$E$8/12, 'Amort. Sched.-WORST'!$I$7, 'Amort. Sched.-WORST'!$E$7), 0)</calculatedColumnFormula>
    </tableColumn>
    <tableColumn id="3" xr3:uid="{5D7ED2F0-3A80-4BB5-B766-A688277EF9D0}" name="Interest" dataDxfId="72">
      <calculatedColumnFormula>IF(AND(C11&gt;='Amort. Sched.-WORST'!$I$8, C11&lt;= ($I$7+$I$8)), (IPMT($E$8/12, (C11-$I$8), $I$7, $E$7)), 0)</calculatedColumnFormula>
    </tableColumn>
    <tableColumn id="4" xr3:uid="{943BCA80-8E7C-4A06-9350-4C8A50769CD1}" name="Principal" dataDxfId="71">
      <calculatedColumnFormula>IF(AND(C11&gt;='Amort. Sched.-WORST'!$I$8, C11&lt;= ($I$7+$I$8)), (PPMT($E$8/12, (C11-$I$8), $I$7, $E$7)), 0)</calculatedColumnFormula>
    </tableColumn>
    <tableColumn id="8" xr3:uid="{E1F1B74B-B12C-4456-B6A3-330B7EB5D825}" name="Cash Inflow" dataDxfId="70">
      <calculatedColumnFormula>IF(MortgageAmortWORST[[#This Row],[Month]]=I$8,E$7,0)</calculatedColumnFormula>
    </tableColumn>
    <tableColumn id="5" xr3:uid="{72EBC977-63EC-4B6F-902F-75A68CC9EC78}" name="Balance" dataDxfId="69">
      <calculatedColumnFormula>IF(AND(C11&gt;='Amort. Sched.-WORST'!$I$8, C11&lt;= ($I$7+$I$8)), H10+F11, " ")</calculatedColumnFormula>
    </tableColumn>
    <tableColumn id="6" xr3:uid="{3F1DC27A-E1CA-48CE-A09D-0D08F09295C1}" name="% Interest" dataDxfId="68" dataCellStyle="Percent">
      <calculatedColumnFormula>IF(AND(C11&gt;='Amort. Sched.-WORST'!$I$8, C11&lt;= ($I$7+$I$8)), E11/D11, " ")</calculatedColumnFormula>
    </tableColumn>
    <tableColumn id="7" xr3:uid="{58CF108E-F7BD-4E60-93A0-1B29FDBE4D23}" name="% Principal" dataDxfId="67" dataCellStyle="Percent">
      <calculatedColumnFormula>IF(AND(C11&gt;='Amort. Sched.-WORST'!$I$8, C11&lt;= ($I$7+$I$8)), F11/D11, " ")</calculatedColumnFormula>
    </tableColumn>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552F676E-9658-4EBC-AF3E-84BF35B41BDB}" name="CreditAmort1WORST" displayName="CreditAmort1WORST" ref="L10:S371" totalsRowShown="0" headerRowDxfId="66" headerRowBorderDxfId="65" tableBorderDxfId="64" totalsRowBorderDxfId="63">
  <autoFilter ref="L10:S371" xr:uid="{7550CCFE-8BAC-4C63-B344-9B41A452DFBE}"/>
  <tableColumns count="8">
    <tableColumn id="1" xr3:uid="{4FB2421A-F713-4428-87CD-301CD26BB726}" name="Month" dataDxfId="62">
      <calculatedColumnFormula>L10+1</calculatedColumnFormula>
    </tableColumn>
    <tableColumn id="2" xr3:uid="{45E803A0-FCF9-48A5-B618-F1998AE62AD9}" name="Payment" dataDxfId="61">
      <calculatedColumnFormula>IF(AND(L11&gt;='Amort. Sched.-WORST'!$R$8, L11&lt;= ($R$7+$R$8)), PMT('Amort. Sched.-WORST'!$N$8/12, 'Amort. Sched.-WORST'!$R$7, 'Amort. Sched.-WORST'!$N$7), 0)</calculatedColumnFormula>
    </tableColumn>
    <tableColumn id="3" xr3:uid="{57E7549C-D250-4D74-99E2-8C7F295D1B05}" name="Interest" dataDxfId="60">
      <calculatedColumnFormula>IF(AND(L11&gt;='Amort. Sched.-WORST'!$R$8, L11&lt;= ($R$7+$R$8)), (IPMT($N$8/12, (L11-$R$8), $R$7, $N$7)), 0)</calculatedColumnFormula>
    </tableColumn>
    <tableColumn id="4" xr3:uid="{E059E592-183F-498E-8ECF-9A684BFF1DB9}" name="Principal" dataDxfId="59">
      <calculatedColumnFormula>IF(AND(L11&gt;='Amort. Sched.-WORST'!$R$8, L11&lt;= ($R$7+$R$8)), (PPMT($N$8/12, (L11-$R$8), $R$7, $N$7)), 0)</calculatedColumnFormula>
    </tableColumn>
    <tableColumn id="8" xr3:uid="{C4EC3DAA-E73E-4756-8E05-1BB4D08C7A1F}" name="Cash Inflow" dataDxfId="58">
      <calculatedColumnFormula>IF(CreditAmort1WORST[[#This Row],[Month]]=R$8,N$7,0)</calculatedColumnFormula>
    </tableColumn>
    <tableColumn id="5" xr3:uid="{7D4CB819-5475-4273-8404-3662BEE72A38}" name="Balance" dataDxfId="57">
      <calculatedColumnFormula>IF(AND(L11&gt;='Amort. Sched.-WORST'!$R$8, L11&lt;= ($R$7+$R$8)), Q10+O11, " ")</calculatedColumnFormula>
    </tableColumn>
    <tableColumn id="6" xr3:uid="{9DED557A-520C-4CE9-9F43-508031C28C1A}" name="% Interest" dataDxfId="56" dataCellStyle="Percent">
      <calculatedColumnFormula>IF(AND(L11&gt;='Amort. Sched.-WORST'!$R$8, L11&lt;= ($R$7+$R$8)), N11/M11, " ")</calculatedColumnFormula>
    </tableColumn>
    <tableColumn id="7" xr3:uid="{53D23573-2AD8-46F9-B025-8E010AADCDE6}" name="% Principal" dataDxfId="55" dataCellStyle="Percent">
      <calculatedColumnFormula>IF(AND(L11&gt;='Amort. Sched.-WORST'!$R$8, L11&lt;= ($R$7+$R$8)), O11/M11, " ")</calculatedColumnFormula>
    </tableColumn>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C0A4CE7B-741C-41ED-B3F5-D76F6B82BE88}" name="CreditAmort2WORST" displayName="CreditAmort2WORST" ref="U10:AB371" totalsRowShown="0" headerRowDxfId="54" headerRowBorderDxfId="53" tableBorderDxfId="52" totalsRowBorderDxfId="51">
  <autoFilter ref="U10:AB371" xr:uid="{5FBB90A3-1EB1-4595-A638-0D417A6991C5}"/>
  <tableColumns count="8">
    <tableColumn id="1" xr3:uid="{944314F5-EAED-4CB7-9CAA-DC5BF55FD5DE}" name="Month" dataDxfId="50">
      <calculatedColumnFormula>U10+1</calculatedColumnFormula>
    </tableColumn>
    <tableColumn id="2" xr3:uid="{695F29BF-6718-40EF-9D8C-0354DA33774A}" name="Payment" dataDxfId="49">
      <calculatedColumnFormula>IF(AND(U11&gt;='Amort. Sched.-WORST'!$AA$8, U11&lt;= ($AA$7+$AA$8)), PMT('Amort. Sched.-WORST'!$W$8/12, 'Amort. Sched.-WORST'!$AA$7, 'Amort. Sched.-WORST'!$W$7), 0)</calculatedColumnFormula>
    </tableColumn>
    <tableColumn id="3" xr3:uid="{DA528996-1290-413C-89C3-39D1A7F9959D}" name="Interest" dataDxfId="48">
      <calculatedColumnFormula>IF(AND(U11&gt;='Amort. Sched.-WORST'!$AA$8, U11&lt;= ($AA$7+$AA$8)), (IPMT($W$8/12, (U11-$AA$8), $AA$7, $W$7)), 0)</calculatedColumnFormula>
    </tableColumn>
    <tableColumn id="4" xr3:uid="{C15CD66C-27A2-41D7-8590-30838E86177E}" name="Principal" dataDxfId="47">
      <calculatedColumnFormula>IF(AND(U11&gt;='Amort. Sched.-WORST'!$AA$8, U11&lt;= ($AA$7+$AA$8)), (PPMT($W$8/12, (U11-$AA$8), $AA$7, $W$7)), 0)</calculatedColumnFormula>
    </tableColumn>
    <tableColumn id="8" xr3:uid="{F50DD73C-E95E-45B3-ACCD-3645677490C8}" name="Cash Inflow" dataDxfId="46">
      <calculatedColumnFormula>IF(CreditAmort2WORST[[#This Row],[Month]]=AA$8,W$7,0)</calculatedColumnFormula>
    </tableColumn>
    <tableColumn id="5" xr3:uid="{358EC128-A24C-4369-A731-33B594D096A5}" name="Balance" dataDxfId="45">
      <calculatedColumnFormula>IF(AND(U11&gt;='Amort. Sched.-WORST'!$AA$8, U11&lt;= ($AA$7+$AA$8)), Z10+X11, " ")</calculatedColumnFormula>
    </tableColumn>
    <tableColumn id="6" xr3:uid="{FBCD9D71-4D7F-4975-BF9B-28E1BC9B740C}" name="% Interest" dataDxfId="44" dataCellStyle="Percent">
      <calculatedColumnFormula>IF(AND(U11&gt;='Amort. Sched.-WORST'!$AA$8, U11&lt;= ($AA$7+$AA$8)), W11/V11, " ")</calculatedColumnFormula>
    </tableColumn>
    <tableColumn id="7" xr3:uid="{E30D68FE-58E8-465F-A1A2-AE082B5B7FE4}" name="% Principal" dataDxfId="43" dataCellStyle="Percent">
      <calculatedColumnFormula>IF(AND(U11&gt;='Amort. Sched.-WORST'!$AA$8, U11&lt;= ($AA$7+$AA$8)), X11/V11, " ")</calculatedColumnFormula>
    </tableColumn>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5B74974B-CCEE-422A-9901-686E97B9AE8E}" name="CreditAmort3WORST" displayName="CreditAmort3WORST" ref="AD10:AK371" totalsRowShown="0" headerRowDxfId="42" headerRowBorderDxfId="41" tableBorderDxfId="40" totalsRowBorderDxfId="39">
  <autoFilter ref="AD10:AK371" xr:uid="{14EB852F-97D0-4049-BD63-A0E26F40A10C}"/>
  <tableColumns count="8">
    <tableColumn id="1" xr3:uid="{CBBD8228-905F-4846-BFCE-71F5A4D82602}" name="Month" dataDxfId="38">
      <calculatedColumnFormula>AD10+1</calculatedColumnFormula>
    </tableColumn>
    <tableColumn id="2" xr3:uid="{216E009A-D7F2-4032-933D-F26D0548C84E}" name="Payment" dataDxfId="37">
      <calculatedColumnFormula>IF(AND(AD11&gt;='Amort. Sched.-WORST'!$AA$8, AD11&lt;= ($AA$7+$AA$8)), PMT('Amort. Sched.-WORST'!$W$8/12, 'Amort. Sched.-WORST'!$AA$7, 'Amort. Sched.-WORST'!$W$7), 0)</calculatedColumnFormula>
    </tableColumn>
    <tableColumn id="3" xr3:uid="{E03E6A2E-DAD9-41D5-A3FD-F796AB6A373D}" name="Interest" dataDxfId="36">
      <calculatedColumnFormula>IF(AND(AD11&gt;='Amort. Sched.-WORST'!$AA$8, AD11&lt;= ($AA$7+$AA$8)), (IPMT($W$8/12, (AD11-$AA$8), $AA$7, $W$7)), 0)</calculatedColumnFormula>
    </tableColumn>
    <tableColumn id="4" xr3:uid="{215E2875-86E1-41BA-8F71-1E4C3F67E1BF}" name="Principal" dataDxfId="35">
      <calculatedColumnFormula>IF(AND(AD11&gt;='Amort. Sched.-WORST'!$AA$8, AD11&lt;= ($AA$7+$AA$8)), (PPMT($W$8/12, (AD11-$AA$8), $AA$7, $W$7)), 0)</calculatedColumnFormula>
    </tableColumn>
    <tableColumn id="8" xr3:uid="{164E96B0-8B13-4BD2-A29F-AAAAFAB36ACF}" name="Cash Inflow" dataDxfId="34">
      <calculatedColumnFormula>IF(CreditAmort3WORST[[#This Row],[Month]]=AJ$8,AF$7,0)</calculatedColumnFormula>
    </tableColumn>
    <tableColumn id="5" xr3:uid="{1E5AE30A-6FA0-448E-823D-B2DD7E27657B}" name="Balance" dataDxfId="33">
      <calculatedColumnFormula>IF(AND(AD11&gt;='Amort. Sched.-WORST'!$AA$8, AD11&lt;= ($AA$7+$AA$8)), AI10+AG11, " ")</calculatedColumnFormula>
    </tableColumn>
    <tableColumn id="6" xr3:uid="{830AF0D8-B0AE-4255-B99B-79F6A4B5F492}" name="% Interest" dataDxfId="32" dataCellStyle="Percent">
      <calculatedColumnFormula>IF(AND(AD11&gt;='Amort. Sched.-WORST'!$AA$8, AD11&lt;= ($AA$7+$AA$8)), AF11/AE11, " ")</calculatedColumnFormula>
    </tableColumn>
    <tableColumn id="7" xr3:uid="{97915DA8-14DE-4C35-9752-1818ADCE4223}" name="% Principal" dataDxfId="31" dataCellStyle="Percent">
      <calculatedColumnFormula>IF(AND(AD11&gt;='Amort. Sched.-WORST'!$AA$8, AD11&lt;= ($AA$7+$AA$8)), AG11/AE11, " ")</calculatedColumnFormula>
    </tableColumn>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4CECEEBC-D519-410C-8F39-E2FE89372245}" name="CreditAmort4WORST" displayName="CreditAmort4WORST" ref="AM10:AT371" totalsRowShown="0" headerRowDxfId="30" headerRowBorderDxfId="29" tableBorderDxfId="28" totalsRowBorderDxfId="27">
  <autoFilter ref="AM10:AT371" xr:uid="{0228EB71-02C9-46F8-8122-B29A56370128}"/>
  <tableColumns count="8">
    <tableColumn id="1" xr3:uid="{46C6E45F-50D4-4AD0-9ABE-56D58D8279A6}" name="Month" dataDxfId="26">
      <calculatedColumnFormula>AM10+1</calculatedColumnFormula>
    </tableColumn>
    <tableColumn id="2" xr3:uid="{ED7D0E45-A875-48DB-B664-5A5A29897EAB}" name="Payment" dataDxfId="25">
      <calculatedColumnFormula>IF(AND(AM11&gt;='Amort. Sched.-WORST'!$AA$8, AM11&lt;= ($AA$7+$AA$8)), PMT('Amort. Sched.-WORST'!$W$8/12, 'Amort. Sched.-WORST'!$AA$7, 'Amort. Sched.-WORST'!$W$7), 0)</calculatedColumnFormula>
    </tableColumn>
    <tableColumn id="3" xr3:uid="{51900252-F5BF-42F2-8BC4-2BD8A6933D75}" name="Interest" dataDxfId="24">
      <calculatedColumnFormula>IF(AND(AM11&gt;='Amort. Sched.-WORST'!$AA$8, AM11&lt;= ($AA$7+$AA$8)), (IPMT($W$8/12, (AM11-$AA$8), $AA$7, $W$7)), 0)</calculatedColumnFormula>
    </tableColumn>
    <tableColumn id="4" xr3:uid="{104B0976-6A6F-427C-AEE2-ECF33EFAEB11}" name="Principal" dataDxfId="23">
      <calculatedColumnFormula>IF(AND(AM11&gt;='Amort. Sched.-WORST'!$AA$8, AM11&lt;= ($AA$7+$AA$8)), (PPMT($W$8/12, (AM11-$AA$8), $AA$7, $W$7)), 0)</calculatedColumnFormula>
    </tableColumn>
    <tableColumn id="8" xr3:uid="{ACFC42CF-549F-4BDF-B979-FDE5054FD7C8}" name="Cash Inflow" dataDxfId="22">
      <calculatedColumnFormula>IF(CreditAmort4WORST[[#This Row],[Month]]=AS$8,AO$7,0)</calculatedColumnFormula>
    </tableColumn>
    <tableColumn id="5" xr3:uid="{90965B19-947E-43B1-B7ED-07299D8EBC6D}" name="Balance" dataDxfId="21">
      <calculatedColumnFormula>IF(AND(AM11&gt;='Amort. Sched.-WORST'!$AA$8, AM11&lt;= ($AA$7+$AA$8)), AR10+AP11, " ")</calculatedColumnFormula>
    </tableColumn>
    <tableColumn id="6" xr3:uid="{B9316796-EF97-4738-BCC6-67CD73FBD0DA}" name="% Interest" dataDxfId="20" dataCellStyle="Percent">
      <calculatedColumnFormula>IF(AND(AM11&gt;='Amort. Sched.-WORST'!$AA$8, AM11&lt;= ($AA$7+$AA$8)), AO11/AN11, " ")</calculatedColumnFormula>
    </tableColumn>
    <tableColumn id="7" xr3:uid="{2A16D9D3-33B2-42AB-B2D3-BB1479BBF4A7}" name="% Principal" dataDxfId="19" dataCellStyle="Percent">
      <calculatedColumnFormula>IF(AND(AM11&gt;='Amort. Sched.-WORST'!$AA$8, AM11&lt;= ($AA$7+$AA$8)), AP11/AN11, " ")</calculatedColumnFormula>
    </tableColumn>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550CCFE-8BAC-4C63-B344-9B41A452DFBE}" name="CreditAmort1BASE" displayName="CreditAmort1BASE" ref="L10:S371" totalsRowShown="0" headerRowDxfId="186" headerRowBorderDxfId="185" tableBorderDxfId="184" totalsRowBorderDxfId="183">
  <autoFilter ref="L10:S371" xr:uid="{7550CCFE-8BAC-4C63-B344-9B41A452DFBE}"/>
  <tableColumns count="8">
    <tableColumn id="1" xr3:uid="{AFC5877E-8262-41B0-BAE3-7FAC995CDEC8}" name="Month" dataDxfId="182">
      <calculatedColumnFormula>L10+1</calculatedColumnFormula>
    </tableColumn>
    <tableColumn id="2" xr3:uid="{EFC82EB3-E8F1-476E-9E0C-A10101DB1199}" name="Payment" dataDxfId="181">
      <calculatedColumnFormula>IF(AND(L11&gt;='Amort. Sched.-BASE'!$R$8, L11&lt;= ($R$7+$R$8)), PMT('Amort. Sched.-BASE'!$N$8/12, 'Amort. Sched.-BASE'!$R$7, 'Amort. Sched.-BASE'!$N$7), 0)</calculatedColumnFormula>
    </tableColumn>
    <tableColumn id="3" xr3:uid="{500A516D-3DD8-48D2-A581-104A1ABC1FD1}" name="Interest" dataDxfId="180">
      <calculatedColumnFormula>IF(AND(L11&gt;='Amort. Sched.-BASE'!$R$8, L11&lt;= ($R$7+$R$8)), (IPMT($N$8/12, (L11-$R$8), $R$7, $N$7)), 0)</calculatedColumnFormula>
    </tableColumn>
    <tableColumn id="4" xr3:uid="{DA772519-23DD-43D2-9178-58D3949A9D9B}" name="Principal" dataDxfId="179">
      <calculatedColumnFormula>IF(AND(L11&gt;='Amort. Sched.-BASE'!$R$8, L11&lt;= ($R$7+$R$8)), (PPMT($N$8/12, (L11-$R$8), $R$7, $N$7)), 0)</calculatedColumnFormula>
    </tableColumn>
    <tableColumn id="8" xr3:uid="{AB48D249-B7E0-40ED-8740-20F7A280BC78}" name="Cash Inflow" dataDxfId="178">
      <calculatedColumnFormula>IF(CreditAmort1BASE[[#This Row],[Month]]=R$8,N$7,0)</calculatedColumnFormula>
    </tableColumn>
    <tableColumn id="5" xr3:uid="{E23017CD-10A4-4F89-8477-9EDB7B22A7B5}" name="Balance" dataDxfId="177">
      <calculatedColumnFormula>IF(AND(L11&gt;='Amort. Sched.-BASE'!$R$8, L11&lt;= ($R$7+$R$8)), Q10+O11, " ")</calculatedColumnFormula>
    </tableColumn>
    <tableColumn id="6" xr3:uid="{22B2053F-0708-4334-9B23-12ADAAC01DFA}" name="% Interest" dataDxfId="176" dataCellStyle="Percent">
      <calculatedColumnFormula>IF(AND(L11&gt;='Amort. Sched.-BASE'!$R$8, L11&lt;= ($R$7+$R$8)), N11/M11, " ")</calculatedColumnFormula>
    </tableColumn>
    <tableColumn id="7" xr3:uid="{2450072C-24F3-4502-9B7E-D7E43593BC2A}" name="% Principal" dataDxfId="175" dataCellStyle="Percent">
      <calculatedColumnFormula>IF(AND(L11&gt;='Amort. Sched.-BASE'!$R$8, L11&lt;= ($R$7+$R$8)), O11/M11, " ")</calculatedColumnFormula>
    </tableColumn>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5FBB90A3-1EB1-4595-A638-0D417A6991C5}" name="CreditAmort2BASE" displayName="CreditAmort2BASE" ref="U10:AB371" totalsRowShown="0" headerRowDxfId="174" headerRowBorderDxfId="173" tableBorderDxfId="172" totalsRowBorderDxfId="171">
  <autoFilter ref="U10:AB371" xr:uid="{5FBB90A3-1EB1-4595-A638-0D417A6991C5}"/>
  <tableColumns count="8">
    <tableColumn id="1" xr3:uid="{3797DAB2-60B6-4D7D-8F31-92BE38E7125F}" name="Month" dataDxfId="170">
      <calculatedColumnFormula>U10+1</calculatedColumnFormula>
    </tableColumn>
    <tableColumn id="2" xr3:uid="{1A02C80F-6FB4-4868-A1F7-C2D10BF18444}" name="Payment" dataDxfId="169">
      <calculatedColumnFormula>IF(AND(U11&gt;='Amort. Sched.-BASE'!$AA$8, U11&lt;= ($AA$7+$AA$8)), PMT('Amort. Sched.-BASE'!$W$8/12, 'Amort. Sched.-BASE'!$AA$7, 'Amort. Sched.-BASE'!$W$7), 0)</calculatedColumnFormula>
    </tableColumn>
    <tableColumn id="3" xr3:uid="{88CEDBF7-950B-495B-9866-4BCF5EDB80CF}" name="Interest" dataDxfId="168">
      <calculatedColumnFormula>IF(AND(U11&gt;='Amort. Sched.-BASE'!$AA$8, U11&lt;= ($AA$7+$AA$8)), (IPMT($W$8/12, (U11-$AA$8), $AA$7, $W$7)), 0)</calculatedColumnFormula>
    </tableColumn>
    <tableColumn id="4" xr3:uid="{C6C0E2F5-E870-470F-BDCE-4EDDBBD3468C}" name="Principal" dataDxfId="167">
      <calculatedColumnFormula>IF(AND(U11&gt;='Amort. Sched.-BASE'!$AA$8, U11&lt;= ($AA$7+$AA$8)), (PPMT($W$8/12, (U11-$AA$8), $AA$7, $W$7)), 0)</calculatedColumnFormula>
    </tableColumn>
    <tableColumn id="8" xr3:uid="{01CAE177-78E4-43EE-9384-61C88F1E414F}" name="Cash Inflow" dataDxfId="166">
      <calculatedColumnFormula>IF(CreditAmort2BASE[[#This Row],[Month]]=AA$8,W$7,0)</calculatedColumnFormula>
    </tableColumn>
    <tableColumn id="5" xr3:uid="{99AF9EF2-944E-4096-89E1-F1C1A98DBD7A}" name="Balance" dataDxfId="165">
      <calculatedColumnFormula>IF(AND(U11&gt;='Amort. Sched.-BASE'!$AA$8, U11&lt;= ($AA$7+$AA$8)), Z10+X11, " ")</calculatedColumnFormula>
    </tableColumn>
    <tableColumn id="6" xr3:uid="{FA645CAF-CCD6-4978-A878-F6D7F177ACA1}" name="% Interest" dataDxfId="164" dataCellStyle="Percent">
      <calculatedColumnFormula>IF(AND(U11&gt;='Amort. Sched.-BASE'!$AA$8, U11&lt;= ($AA$7+$AA$8)), W11/V11, " ")</calculatedColumnFormula>
    </tableColumn>
    <tableColumn id="7" xr3:uid="{EE6E917E-62AA-45EC-A089-7E66BF798DB7}" name="% Principal" dataDxfId="163" dataCellStyle="Percent">
      <calculatedColumnFormula>IF(AND(U11&gt;='Amort. Sched.-BASE'!$AA$8, U11&lt;= ($AA$7+$AA$8)), X11/V11, " ")</calculatedColumnFormula>
    </tableColumn>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4EB852F-97D0-4049-BD63-A0E26F40A10C}" name="CreditAmort3BASE" displayName="CreditAmort3BASE" ref="AD10:AK371" totalsRowShown="0" headerRowDxfId="162" headerRowBorderDxfId="161" tableBorderDxfId="160" totalsRowBorderDxfId="159">
  <autoFilter ref="AD10:AK371" xr:uid="{14EB852F-97D0-4049-BD63-A0E26F40A10C}"/>
  <tableColumns count="8">
    <tableColumn id="1" xr3:uid="{93F8E492-B34D-4B9D-9150-21BAC26FA287}" name="Month" dataDxfId="158">
      <calculatedColumnFormula>AD10+1</calculatedColumnFormula>
    </tableColumn>
    <tableColumn id="2" xr3:uid="{0055818C-A91A-4CF5-AC49-853D88A66736}" name="Payment" dataDxfId="157">
      <calculatedColumnFormula>IF(AND(AD11&gt;='Amort. Sched.-BASE'!$AA$8, AD11&lt;= ($AA$7+$AA$8)), PMT('Amort. Sched.-BASE'!$W$8/12, 'Amort. Sched.-BASE'!$AA$7, 'Amort. Sched.-BASE'!$W$7), 0)</calculatedColumnFormula>
    </tableColumn>
    <tableColumn id="3" xr3:uid="{0496562F-D2DB-4116-8CF0-BFB7BE787527}" name="Interest" dataDxfId="156">
      <calculatedColumnFormula>IF(AND(AD11&gt;='Amort. Sched.-BASE'!$AA$8, AD11&lt;= ($AA$7+$AA$8)), (IPMT($W$8/12, (AD11-$AA$8), $AA$7, $W$7)), 0)</calculatedColumnFormula>
    </tableColumn>
    <tableColumn id="4" xr3:uid="{61A4A57A-4AD9-4180-987F-7F997F04D994}" name="Principal" dataDxfId="155">
      <calculatedColumnFormula>IF(AND(AD11&gt;='Amort. Sched.-BASE'!$AA$8, AD11&lt;= ($AA$7+$AA$8)), (PPMT($W$8/12, (AD11-$AA$8), $AA$7, $W$7)), 0)</calculatedColumnFormula>
    </tableColumn>
    <tableColumn id="8" xr3:uid="{35C37B61-75BD-45B1-875C-5ED2470EABF7}" name="Cash Inflow" dataDxfId="154">
      <calculatedColumnFormula>IF(CreditAmort3BASE[[#This Row],[Month]]=AJ$8,AF$7,0)</calculatedColumnFormula>
    </tableColumn>
    <tableColumn id="5" xr3:uid="{53F35C00-AAC0-4C12-AFD8-F91E7E20EBDB}" name="Balance" dataDxfId="153">
      <calculatedColumnFormula>IF(AND(AD11&gt;='Amort. Sched.-BASE'!$AA$8, AD11&lt;= ($AA$7+$AA$8)), AI10+AG11, " ")</calculatedColumnFormula>
    </tableColumn>
    <tableColumn id="6" xr3:uid="{FB4FB55F-9CAA-4B35-905E-FA2697FD536C}" name="% Interest" dataDxfId="152" dataCellStyle="Percent">
      <calculatedColumnFormula>IF(AND(AD11&gt;='Amort. Sched.-BASE'!$AA$8, AD11&lt;= ($AA$7+$AA$8)), AF11/AE11, " ")</calculatedColumnFormula>
    </tableColumn>
    <tableColumn id="7" xr3:uid="{11ABCA33-9205-4D95-9A9E-7C2F2E40A6C8}" name="% Principal" dataDxfId="151" dataCellStyle="Percent">
      <calculatedColumnFormula>IF(AND(AD11&gt;='Amort. Sched.-BASE'!$AA$8, AD11&lt;= ($AA$7+$AA$8)), AG11/AE11, " ")</calculatedColumnFormula>
    </tableColumn>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228EB71-02C9-46F8-8122-B29A56370128}" name="CreditAmort4BASE" displayName="CreditAmort4BASE" ref="AM10:AT371" totalsRowShown="0" headerRowDxfId="150" headerRowBorderDxfId="149" tableBorderDxfId="148" totalsRowBorderDxfId="147">
  <autoFilter ref="AM10:AT371" xr:uid="{0228EB71-02C9-46F8-8122-B29A56370128}"/>
  <tableColumns count="8">
    <tableColumn id="1" xr3:uid="{A3E41A7F-1214-485C-8A56-6D0B15D9E3E1}" name="Month" dataDxfId="146">
      <calculatedColumnFormula>AM10+1</calculatedColumnFormula>
    </tableColumn>
    <tableColumn id="2" xr3:uid="{E3185067-3DC9-4429-A353-8FE494497594}" name="Payment" dataDxfId="145">
      <calculatedColumnFormula>IF(AND(AM11&gt;='Amort. Sched.-BASE'!$AA$8, AM11&lt;= ($AA$7+$AA$8)), PMT('Amort. Sched.-BASE'!$W$8/12, 'Amort. Sched.-BASE'!$AA$7, 'Amort. Sched.-BASE'!$W$7), 0)</calculatedColumnFormula>
    </tableColumn>
    <tableColumn id="3" xr3:uid="{A517F9DB-335D-4558-8FB3-DB3E3A3201B5}" name="Interest" dataDxfId="144">
      <calculatedColumnFormula>IF(AND(AM11&gt;='Amort. Sched.-BASE'!$AA$8, AM11&lt;= ($AA$7+$AA$8)), (IPMT($W$8/12, (AM11-$AA$8), $AA$7, $W$7)), 0)</calculatedColumnFormula>
    </tableColumn>
    <tableColumn id="4" xr3:uid="{3BE1A5F1-EA9A-4947-BA4D-F07542B6954E}" name="Principal" dataDxfId="143">
      <calculatedColumnFormula>IF(AND(AM11&gt;='Amort. Sched.-BASE'!$AA$8, AM11&lt;= ($AA$7+$AA$8)), (PPMT($W$8/12, (AM11-$AA$8), $AA$7, $W$7)), 0)</calculatedColumnFormula>
    </tableColumn>
    <tableColumn id="8" xr3:uid="{F2737BCC-7C85-4560-803D-9A90F5A6A708}" name="Cash Inflow" dataDxfId="142">
      <calculatedColumnFormula>IF(CreditAmort4BASE[[#This Row],[Month]]=AS$8,AO$7,0)</calculatedColumnFormula>
    </tableColumn>
    <tableColumn id="5" xr3:uid="{BEDA2A10-DB00-4CE9-8353-D35BA306FD4E}" name="Balance" dataDxfId="141">
      <calculatedColumnFormula>IF(AND(AM11&gt;='Amort. Sched.-BASE'!$AA$8, AM11&lt;= ($AA$7+$AA$8)), AR10+AP11, " ")</calculatedColumnFormula>
    </tableColumn>
    <tableColumn id="6" xr3:uid="{C212E856-143C-4F08-9201-CE799073F8C1}" name="% Interest" dataDxfId="140" dataCellStyle="Percent">
      <calculatedColumnFormula>IF(AND(AM11&gt;='Amort. Sched.-BASE'!$AA$8, AM11&lt;= ($AA$7+$AA$8)), AO11/AN11, " ")</calculatedColumnFormula>
    </tableColumn>
    <tableColumn id="7" xr3:uid="{0729C404-5B7C-44D0-8F11-C2278D787BEB}" name="% Principal" dataDxfId="139" dataCellStyle="Percent">
      <calculatedColumnFormula>IF(AND(AM11&gt;='Amort. Sched.-BASE'!$AA$8, AM11&lt;= ($AA$7+$AA$8)), AP11/AN11, " ")</calculatedColumnFormula>
    </tableColumn>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BFFE140-7C13-4146-BFB7-6291987F332E}" name="MortgageAmortBEST" displayName="MortgageAmortBEST" ref="C10:J371" totalsRowShown="0" headerRowDxfId="138" headerRowBorderDxfId="137" tableBorderDxfId="136" totalsRowBorderDxfId="135">
  <autoFilter ref="C10:J371" xr:uid="{1FA1279C-1720-44C8-8E67-FCCC8E0217E8}"/>
  <tableColumns count="8">
    <tableColumn id="1" xr3:uid="{82FD5630-99F7-49A7-B6F0-372B2F913CF2}" name="Month" dataDxfId="134">
      <calculatedColumnFormula>C10+1</calculatedColumnFormula>
    </tableColumn>
    <tableColumn id="2" xr3:uid="{C7B7FAA4-AE18-4D74-BE81-404CBBE47EB4}" name="Payment" dataDxfId="133">
      <calculatedColumnFormula>IF(AND(C11&gt;='Amort. Sched.-BEST'!$I$8, C11&lt;= ($I$7+$I$8)), PMT('Amort. Sched.-BEST'!$E$8/12, 'Amort. Sched.-BEST'!$I$7, 'Amort. Sched.-BEST'!$E$7), 0)</calculatedColumnFormula>
    </tableColumn>
    <tableColumn id="3" xr3:uid="{396299EA-E2BC-4446-A07E-BD3AF29BA060}" name="Interest" dataDxfId="132">
      <calculatedColumnFormula>IF(AND(C11&gt;='Amort. Sched.-BEST'!$I$8, C11&lt;= ($I$7+$I$8)), (IPMT($E$8/12, (C11-$I$8), $I$7, $E$7)), 0)</calculatedColumnFormula>
    </tableColumn>
    <tableColumn id="4" xr3:uid="{773F4609-7061-4BA9-A302-4DC5DF769212}" name="Principal" dataDxfId="131">
      <calculatedColumnFormula>IF(AND(C11&gt;='Amort. Sched.-BEST'!$I$8, C11&lt;= ($I$7+$I$8)), (PPMT($E$8/12, (C11-$I$8), $I$7, $E$7)), 0)</calculatedColumnFormula>
    </tableColumn>
    <tableColumn id="8" xr3:uid="{AD7A1E34-C34B-42C5-B84F-5BF8A9BB330B}" name="Cash Inflow" dataDxfId="130">
      <calculatedColumnFormula>IF(MortgageAmortBEST[[#This Row],[Month]]=I$8,E$7,0)</calculatedColumnFormula>
    </tableColumn>
    <tableColumn id="5" xr3:uid="{315019D5-905C-4CB2-8357-4410A8DE61D1}" name="Balance" dataDxfId="129">
      <calculatedColumnFormula>IF(AND(C11&gt;='Amort. Sched.-BEST'!$I$8, C11&lt;= ($I$7+$I$8)), H10+F11, " ")</calculatedColumnFormula>
    </tableColumn>
    <tableColumn id="6" xr3:uid="{C7636DA0-2D28-46E8-8E31-002F318D743A}" name="% Interest" dataDxfId="128" dataCellStyle="Percent">
      <calculatedColumnFormula>IF(AND(C11&gt;='Amort. Sched.-BEST'!$I$8, C11&lt;= ($I$7+$I$8)), E11/D11, " ")</calculatedColumnFormula>
    </tableColumn>
    <tableColumn id="7" xr3:uid="{7D8062BF-AB60-4720-8C03-DCEE0B5FED36}" name="% Principal" dataDxfId="127" dataCellStyle="Percent">
      <calculatedColumnFormula>IF(AND(C11&gt;='Amort. Sched.-BEST'!$I$8, C11&lt;= ($I$7+$I$8)), F11/D11, " ")</calculatedColumnFormula>
    </tableColumn>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42A5453-A2B1-4495-99E2-E2A724BF635F}" name="CreditAmort1BEST" displayName="CreditAmort1BEST" ref="L10:S371" totalsRowShown="0" headerRowDxfId="126" headerRowBorderDxfId="125" tableBorderDxfId="124" totalsRowBorderDxfId="123">
  <autoFilter ref="L10:S371" xr:uid="{7550CCFE-8BAC-4C63-B344-9B41A452DFBE}"/>
  <tableColumns count="8">
    <tableColumn id="1" xr3:uid="{8B8410C6-7976-4EEF-A3EA-FCFA15135744}" name="Month" dataDxfId="122">
      <calculatedColumnFormula>L10+1</calculatedColumnFormula>
    </tableColumn>
    <tableColumn id="2" xr3:uid="{A3A5B5AE-195C-4FA5-BB4B-AB97484D112B}" name="Payment" dataDxfId="121">
      <calculatedColumnFormula>IF(AND(L11&gt;='Amort. Sched.-BEST'!$R$8, L11&lt;= ($R$7+$R$8)), PMT('Amort. Sched.-BEST'!$N$8/12, 'Amort. Sched.-BEST'!$R$7, 'Amort. Sched.-BEST'!$N$7), 0)</calculatedColumnFormula>
    </tableColumn>
    <tableColumn id="3" xr3:uid="{904BABA5-5033-460C-A23D-5DC0C863F31E}" name="Interest" dataDxfId="120">
      <calculatedColumnFormula>IF(AND(L11&gt;='Amort. Sched.-BEST'!$R$8, L11&lt;= ($R$7+$R$8)), (IPMT($N$8/12, (L11-$R$8), $R$7, $N$7)), 0)</calculatedColumnFormula>
    </tableColumn>
    <tableColumn id="4" xr3:uid="{9232D9DC-AE13-494C-904E-DA7FC2F9D83F}" name="Principal" dataDxfId="119">
      <calculatedColumnFormula>IF(AND(L11&gt;='Amort. Sched.-BEST'!$R$8, L11&lt;= ($R$7+$R$8)), (PPMT($N$8/12, (L11-$R$8), $R$7, $N$7)), 0)</calculatedColumnFormula>
    </tableColumn>
    <tableColumn id="8" xr3:uid="{F2915EC5-C02E-4899-8C43-F8DDC56605D3}" name="Cash Inflow" dataDxfId="118">
      <calculatedColumnFormula>IF(CreditAmort1BEST[[#This Row],[Month]]=R$8,N$7,0)</calculatedColumnFormula>
    </tableColumn>
    <tableColumn id="5" xr3:uid="{CF03255E-CE7B-4ABB-A527-A8A44EB3DEF9}" name="Balance" dataDxfId="117">
      <calculatedColumnFormula>IF(AND(L11&gt;='Amort. Sched.-BEST'!$R$8, L11&lt;= ($R$7+$R$8)), Q10+O11, " ")</calculatedColumnFormula>
    </tableColumn>
    <tableColumn id="6" xr3:uid="{B27F5A27-1DEC-43BF-A5AD-D64D4B2E7EA0}" name="% Interest" dataDxfId="116" dataCellStyle="Percent">
      <calculatedColumnFormula>IF(AND(L11&gt;='Amort. Sched.-BEST'!$R$8, L11&lt;= ($R$7+$R$8)), N11/M11, " ")</calculatedColumnFormula>
    </tableColumn>
    <tableColumn id="7" xr3:uid="{4C40E2D1-CAEC-4EC9-A483-96311B90E478}" name="% Principal" dataDxfId="115" dataCellStyle="Percent">
      <calculatedColumnFormula>IF(AND(L11&gt;='Amort. Sched.-BEST'!$R$8, L11&lt;= ($R$7+$R$8)), O11/M11, " ")</calculatedColumnFormula>
    </tableColumn>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EF154A0F-2629-461F-AE2C-C6DA2527EE97}" name="CreditAmort2BEST" displayName="CreditAmort2BEST" ref="U10:AB371" totalsRowShown="0" headerRowDxfId="114" headerRowBorderDxfId="113" tableBorderDxfId="112" totalsRowBorderDxfId="111">
  <autoFilter ref="U10:AB371" xr:uid="{5FBB90A3-1EB1-4595-A638-0D417A6991C5}"/>
  <tableColumns count="8">
    <tableColumn id="1" xr3:uid="{B849D5C2-EF2E-43E7-A7E0-6E3A47CD56DF}" name="Month" dataDxfId="110">
      <calculatedColumnFormula>U10+1</calculatedColumnFormula>
    </tableColumn>
    <tableColumn id="2" xr3:uid="{E9A4924C-E778-4A25-A86F-3E387183DD3F}" name="Payment" dataDxfId="109">
      <calculatedColumnFormula>IF(AND(U11&gt;='Amort. Sched.-BEST'!$AA$8, U11&lt;= ($AA$7+$AA$8)), PMT('Amort. Sched.-BEST'!$W$8/12, 'Amort. Sched.-BEST'!$AA$7, 'Amort. Sched.-BEST'!$W$7), 0)</calculatedColumnFormula>
    </tableColumn>
    <tableColumn id="3" xr3:uid="{FB2A8261-FF29-4D41-8303-6F65065B66FF}" name="Interest" dataDxfId="108">
      <calculatedColumnFormula>IF(AND(U11&gt;='Amort. Sched.-BEST'!$AA$8, U11&lt;= ($AA$7+$AA$8)), (IPMT($W$8/12, (U11-$AA$8), $AA$7, $W$7)), 0)</calculatedColumnFormula>
    </tableColumn>
    <tableColumn id="4" xr3:uid="{DAC73E49-63F5-40BE-B06C-98C853CF365D}" name="Principal" dataDxfId="107">
      <calculatedColumnFormula>IF(AND(U11&gt;='Amort. Sched.-BEST'!$AA$8, U11&lt;= ($AA$7+$AA$8)), (PPMT($W$8/12, (U11-$AA$8), $AA$7, $W$7)), 0)</calculatedColumnFormula>
    </tableColumn>
    <tableColumn id="8" xr3:uid="{ACE43BD8-1C7A-49FB-A0A8-CE594433F28B}" name="Cash Inflow" dataDxfId="106">
      <calculatedColumnFormula>IF(CreditAmort2BEST[[#This Row],[Month]]=AA$8,W$7,0)</calculatedColumnFormula>
    </tableColumn>
    <tableColumn id="5" xr3:uid="{CA2BDC0F-847B-44CE-9335-64272AD239F0}" name="Balance" dataDxfId="105">
      <calculatedColumnFormula>IF(AND(U11&gt;='Amort. Sched.-BEST'!$AA$8, U11&lt;= ($AA$7+$AA$8)), Z10+X11, " ")</calculatedColumnFormula>
    </tableColumn>
    <tableColumn id="6" xr3:uid="{3383FB09-05D8-4E91-A115-6DE7CAAFD633}" name="% Interest" dataDxfId="104" dataCellStyle="Percent">
      <calculatedColumnFormula>IF(AND(U11&gt;='Amort. Sched.-BEST'!$AA$8, U11&lt;= ($AA$7+$AA$8)), W11/V11, " ")</calculatedColumnFormula>
    </tableColumn>
    <tableColumn id="7" xr3:uid="{412CA667-7CE5-45A5-A1E1-4736599B8F0C}" name="% Principal" dataDxfId="103" dataCellStyle="Percent">
      <calculatedColumnFormula>IF(AND(U11&gt;='Amort. Sched.-BEST'!$AA$8, U11&lt;= ($AA$7+$AA$8)), X11/V11, " ")</calculatedColumnFormula>
    </tableColumn>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3BBDE94A-9695-4004-9A92-204BD442D7EC}" name="CreditAmort3BEST" displayName="CreditAmort3BEST" ref="AD10:AK371" totalsRowShown="0" headerRowDxfId="102" headerRowBorderDxfId="101" tableBorderDxfId="100" totalsRowBorderDxfId="99">
  <autoFilter ref="AD10:AK371" xr:uid="{14EB852F-97D0-4049-BD63-A0E26F40A10C}"/>
  <tableColumns count="8">
    <tableColumn id="1" xr3:uid="{AFF551DD-1260-44A7-B133-5A0C1EFA1393}" name="Month" dataDxfId="98">
      <calculatedColumnFormula>AD10+1</calculatedColumnFormula>
    </tableColumn>
    <tableColumn id="2" xr3:uid="{29C98244-FBD5-4A99-B49D-08B3F7377203}" name="Payment" dataDxfId="97">
      <calculatedColumnFormula>IF(AND(AD11&gt;='Amort. Sched.-BEST'!$AA$8, AD11&lt;= ($AA$7+$AA$8)), PMT('Amort. Sched.-BEST'!$W$8/12, 'Amort. Sched.-BEST'!$AA$7, 'Amort. Sched.-BEST'!$W$7), 0)</calculatedColumnFormula>
    </tableColumn>
    <tableColumn id="3" xr3:uid="{74AE4F2E-8311-4DBA-BC24-01572BBC780A}" name="Interest" dataDxfId="96">
      <calculatedColumnFormula>IF(AND(AD11&gt;='Amort. Sched.-BEST'!$AA$8, AD11&lt;= ($AA$7+$AA$8)), (IPMT($W$8/12, (AD11-$AA$8), $AA$7, $W$7)), 0)</calculatedColumnFormula>
    </tableColumn>
    <tableColumn id="4" xr3:uid="{AE9FBD98-0B2F-4F16-8062-AA199804F6F0}" name="Principal" dataDxfId="95">
      <calculatedColumnFormula>IF(AND(AD11&gt;='Amort. Sched.-BEST'!$AA$8, AD11&lt;= ($AA$7+$AA$8)), (PPMT($W$8/12, (AD11-$AA$8), $AA$7, $W$7)), 0)</calculatedColumnFormula>
    </tableColumn>
    <tableColumn id="8" xr3:uid="{BE91AC1C-736C-4A51-9C7F-746A2E63CCCB}" name="Cash Inflow" dataDxfId="94">
      <calculatedColumnFormula>IF(CreditAmort3BEST[[#This Row],[Month]]=AJ$8,AF$7,0)</calculatedColumnFormula>
    </tableColumn>
    <tableColumn id="5" xr3:uid="{3167BF3B-15EE-4FEF-BE08-A63FA5C5396A}" name="Balance" dataDxfId="93">
      <calculatedColumnFormula>IF(AND(AD11&gt;='Amort. Sched.-BEST'!$AA$8, AD11&lt;= ($AA$7+$AA$8)), AI10+AG11, " ")</calculatedColumnFormula>
    </tableColumn>
    <tableColumn id="6" xr3:uid="{9AD0A431-06FB-4051-899F-12093F0F5672}" name="% Interest" dataDxfId="92" dataCellStyle="Percent">
      <calculatedColumnFormula>IF(AND(AD11&gt;='Amort. Sched.-BEST'!$AA$8, AD11&lt;= ($AA$7+$AA$8)), AF11/AE11, " ")</calculatedColumnFormula>
    </tableColumn>
    <tableColumn id="7" xr3:uid="{AE7C830D-D507-41C1-A288-B05EAD5B93EE}" name="% Principal" dataDxfId="91" dataCellStyle="Percent">
      <calculatedColumnFormula>IF(AND(AD11&gt;='Amort. Sched.-BEST'!$AA$8, AD11&lt;= ($AA$7+$AA$8)), AG11/AE11, " ")</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Deloitte US Color1">
      <a:dk1>
        <a:sysClr val="windowText" lastClr="000000"/>
      </a:dk1>
      <a:lt1>
        <a:sysClr val="window" lastClr="FFFFFF"/>
      </a:lt1>
      <a:dk2>
        <a:srgbClr val="53565A"/>
      </a:dk2>
      <a:lt2>
        <a:srgbClr val="D0D0CE"/>
      </a:lt2>
      <a:accent1>
        <a:srgbClr val="86BC25"/>
      </a:accent1>
      <a:accent2>
        <a:srgbClr val="046A38"/>
      </a:accent2>
      <a:accent3>
        <a:srgbClr val="62B5E5"/>
      </a:accent3>
      <a:accent4>
        <a:srgbClr val="012169"/>
      </a:accent4>
      <a:accent5>
        <a:srgbClr val="0097A9"/>
      </a:accent5>
      <a:accent6>
        <a:srgbClr val="75787B"/>
      </a:accent6>
      <a:hlink>
        <a:srgbClr val="00A3E0"/>
      </a:hlink>
      <a:folHlink>
        <a:srgbClr val="53565A"/>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6.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8.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printerSettings" Target="../printerSettings/printerSettings7.bin"/><Relationship Id="rId6" Type="http://schemas.openxmlformats.org/officeDocument/2006/relationships/table" Target="../tables/table10.xml"/><Relationship Id="rId5" Type="http://schemas.openxmlformats.org/officeDocument/2006/relationships/table" Target="../tables/table9.xml"/><Relationship Id="rId4" Type="http://schemas.openxmlformats.org/officeDocument/2006/relationships/table" Target="../tables/table8.xml"/></Relationships>
</file>

<file path=xl/worksheets/_rels/sheet9.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table" Target="../tables/table11.xml"/><Relationship Id="rId1" Type="http://schemas.openxmlformats.org/officeDocument/2006/relationships/printerSettings" Target="../printerSettings/printerSettings8.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C8814-921F-447C-AF9D-6A6BD94CAB9A}">
  <sheetPr>
    <tabColor theme="1"/>
  </sheetPr>
  <dimension ref="B2:BZ29"/>
  <sheetViews>
    <sheetView tabSelected="1" zoomScaleNormal="100" workbookViewId="0">
      <selection activeCell="B26" sqref="B26"/>
    </sheetView>
  </sheetViews>
  <sheetFormatPr defaultRowHeight="14.25"/>
  <cols>
    <col min="1" max="1" width="9.06640625" style="63"/>
    <col min="2" max="2" width="14.33203125" style="63" customWidth="1"/>
    <col min="3" max="3" width="33.59765625" style="63" customWidth="1"/>
    <col min="4" max="8" width="15.06640625" style="63" customWidth="1"/>
    <col min="9" max="68" width="15.59765625" style="63" customWidth="1"/>
    <col min="69" max="16384" width="9.06640625" style="63"/>
  </cols>
  <sheetData>
    <row r="2" spans="2:78">
      <c r="B2" s="125" t="s">
        <v>69</v>
      </c>
      <c r="C2" s="208" t="s">
        <v>302</v>
      </c>
      <c r="D2" s="207"/>
      <c r="E2" s="207"/>
      <c r="F2" s="207"/>
      <c r="G2" s="207"/>
    </row>
    <row r="3" spans="2:78" ht="14.65" thickBot="1">
      <c r="C3" s="165" t="s">
        <v>259</v>
      </c>
    </row>
    <row r="4" spans="2:78" ht="28.9" thickTop="1">
      <c r="B4" s="167" t="s">
        <v>286</v>
      </c>
      <c r="C4" s="170" t="str">
        <f>Inputs!D13</f>
        <v>New Business</v>
      </c>
      <c r="D4" s="172"/>
      <c r="E4" s="167" t="s">
        <v>288</v>
      </c>
      <c r="F4" s="169">
        <f>Inputs!D15</f>
        <v>46447</v>
      </c>
    </row>
    <row r="5" spans="2:78" ht="28.9" customHeight="1" thickBot="1">
      <c r="B5" s="168" t="s">
        <v>287</v>
      </c>
      <c r="C5" s="171" t="str">
        <f>Inputs!D14</f>
        <v>Purchase</v>
      </c>
      <c r="D5" s="173"/>
      <c r="E5" s="168" t="s">
        <v>289</v>
      </c>
      <c r="F5" s="166">
        <f>'Projections-BASE'!AN6</f>
        <v>47515</v>
      </c>
    </row>
    <row r="6" spans="2:78" ht="15.4" thickTop="1">
      <c r="B6" s="292"/>
      <c r="C6" s="293"/>
      <c r="D6" s="164"/>
    </row>
    <row r="7" spans="2:78" ht="15.4" thickBot="1">
      <c r="D7" s="190" t="s">
        <v>30</v>
      </c>
      <c r="E7" s="191" t="s">
        <v>31</v>
      </c>
      <c r="F7" s="192" t="s">
        <v>32</v>
      </c>
      <c r="G7" s="259" t="s">
        <v>29</v>
      </c>
      <c r="H7" s="258"/>
      <c r="I7" s="258"/>
      <c r="J7" s="258"/>
      <c r="K7" s="260"/>
    </row>
    <row r="8" spans="2:78" ht="25.5" customHeight="1">
      <c r="C8" s="174" t="s">
        <v>236</v>
      </c>
      <c r="D8" s="130" t="str">
        <f>IFERROR(HLOOKUP(C8,'Projections-BASE'!E4:AN6,3,FALSE),"Not Achieved")</f>
        <v>Not Achieved</v>
      </c>
      <c r="E8" s="130">
        <f>IFERROR(HLOOKUP(C8,'Projections-BEST'!E4:AN6,3,FALSE),"Not Achieved")</f>
        <v>47331</v>
      </c>
      <c r="F8" s="133" t="str">
        <f>IFERROR(HLOOKUP(C8,#REF!,3,FALSE),"Not Achieved")</f>
        <v>Not Achieved</v>
      </c>
      <c r="G8" s="255" t="s">
        <v>303</v>
      </c>
      <c r="H8" s="256"/>
      <c r="I8" s="257"/>
      <c r="J8" s="257"/>
      <c r="K8" s="257"/>
    </row>
    <row r="9" spans="2:78" ht="25.5" customHeight="1">
      <c r="C9" s="175" t="s">
        <v>59</v>
      </c>
      <c r="D9" s="131">
        <f>'Projections-BASE'!D32</f>
        <v>350000</v>
      </c>
      <c r="E9" s="131">
        <f>'Projections-BEST'!D32</f>
        <v>300000</v>
      </c>
      <c r="F9" s="131">
        <f>'Projections-WORST'!D32</f>
        <v>400000</v>
      </c>
      <c r="G9" s="248" t="s">
        <v>305</v>
      </c>
      <c r="H9" s="249"/>
      <c r="I9" s="250"/>
      <c r="J9" s="250"/>
      <c r="K9" s="250"/>
    </row>
    <row r="10" spans="2:78" ht="25.5" customHeight="1">
      <c r="C10" s="175" t="s">
        <v>232</v>
      </c>
      <c r="D10" s="131">
        <f>IF(C4="New Business",'Projections-BASE'!D100+'Projections-BASE'!D105,0)</f>
        <v>225000</v>
      </c>
      <c r="E10" s="131">
        <f>IF(C4="New Business",'Projections-BEST'!D100+'Projections-BEST'!D105,0)</f>
        <v>175000</v>
      </c>
      <c r="F10" s="131">
        <f>IF(C4="New Business",'Projections-WORST'!D100+'Projections-WORST'!D105,0)</f>
        <v>262500</v>
      </c>
      <c r="G10" s="251"/>
      <c r="H10" s="252"/>
      <c r="I10" s="252"/>
      <c r="J10" s="252"/>
      <c r="K10" s="252"/>
    </row>
    <row r="11" spans="2:78" ht="25.5" customHeight="1" thickBot="1">
      <c r="C11" s="176" t="s">
        <v>233</v>
      </c>
      <c r="D11" s="132">
        <f>IF(D9&gt;D10,D9-D10,0)</f>
        <v>125000</v>
      </c>
      <c r="E11" s="132">
        <f>IF(E9&gt;E10,E9-E10,0)</f>
        <v>125000</v>
      </c>
      <c r="F11" s="132">
        <f t="shared" ref="F11" si="0">IF(F9&gt;F10,F9-F10,0)</f>
        <v>137500</v>
      </c>
      <c r="G11" s="253"/>
      <c r="H11" s="254"/>
      <c r="I11" s="254"/>
      <c r="J11" s="254"/>
      <c r="K11" s="254"/>
    </row>
    <row r="13" spans="2:78" hidden="1">
      <c r="C13" s="126" t="s">
        <v>64</v>
      </c>
      <c r="D13" s="126"/>
      <c r="E13" s="209" t="s">
        <v>61</v>
      </c>
      <c r="F13" s="209" t="s">
        <v>62</v>
      </c>
      <c r="G13" s="209" t="s">
        <v>63</v>
      </c>
      <c r="H13" s="209" t="str">
        <f>'Projections-BASE'!AN94</f>
        <v>4-2</v>
      </c>
      <c r="I13" s="126"/>
      <c r="J13" s="126"/>
      <c r="K13" s="126"/>
    </row>
    <row r="14" spans="2:78" ht="14.65" thickBot="1">
      <c r="D14" s="163" t="str">
        <f>IF(Inputs!D13="New Business","Pre-Launch","Cash On Hand Before Modeling Period")</f>
        <v>Pre-Launch</v>
      </c>
      <c r="E14" s="127">
        <f>IF(Inputs!D15&lt;&gt;"",YEAR(Inputs!D15),"")</f>
        <v>2027</v>
      </c>
      <c r="F14" s="127">
        <f>IFERROR(E14+1,"")</f>
        <v>2028</v>
      </c>
      <c r="G14" s="127">
        <f>IFERROR(F14+1,"")</f>
        <v>2029</v>
      </c>
      <c r="H14" s="127">
        <f>IFERROR(IF(MONTH(F4)&lt;&gt;1,G14+1,""),"")</f>
        <v>2030</v>
      </c>
      <c r="I14" s="258" t="s">
        <v>29</v>
      </c>
      <c r="J14" s="258"/>
      <c r="K14" s="258"/>
      <c r="L14" s="128"/>
      <c r="M14" s="128"/>
      <c r="N14" s="128"/>
      <c r="O14" s="128"/>
      <c r="P14" s="128"/>
      <c r="Q14" s="128"/>
      <c r="R14" s="128"/>
      <c r="S14" s="128"/>
      <c r="T14" s="128"/>
      <c r="U14" s="128"/>
      <c r="V14" s="128"/>
      <c r="W14" s="128"/>
      <c r="X14" s="128"/>
      <c r="Y14" s="128"/>
      <c r="Z14" s="128"/>
      <c r="AA14" s="128"/>
      <c r="AB14" s="128"/>
      <c r="AC14" s="128"/>
      <c r="AD14" s="128"/>
      <c r="AE14" s="128"/>
      <c r="AF14" s="128"/>
      <c r="AG14" s="128"/>
      <c r="AH14" s="128"/>
      <c r="AI14" s="128"/>
      <c r="AJ14" s="128"/>
      <c r="AK14" s="128"/>
      <c r="AL14" s="128"/>
      <c r="AM14" s="128"/>
      <c r="AN14" s="128"/>
      <c r="AO14" s="128"/>
      <c r="AP14" s="128"/>
      <c r="AQ14" s="128"/>
      <c r="AR14" s="128"/>
      <c r="AS14" s="128"/>
      <c r="AT14" s="128"/>
      <c r="AU14" s="128"/>
      <c r="AV14" s="128"/>
      <c r="AW14" s="128"/>
      <c r="AX14" s="128"/>
      <c r="AY14" s="128"/>
      <c r="AZ14" s="128"/>
      <c r="BA14" s="128"/>
      <c r="BB14" s="128"/>
      <c r="BC14" s="128"/>
      <c r="BD14" s="128"/>
      <c r="BE14" s="128"/>
      <c r="BF14" s="128"/>
      <c r="BG14" s="128"/>
      <c r="BH14" s="128"/>
      <c r="BI14" s="128"/>
      <c r="BJ14" s="128"/>
      <c r="BK14" s="128"/>
      <c r="BL14" s="128"/>
      <c r="BM14" s="128"/>
      <c r="BN14" s="128"/>
      <c r="BO14" s="128"/>
      <c r="BP14" s="128"/>
      <c r="BQ14" s="128"/>
      <c r="BR14" s="128"/>
      <c r="BS14" s="128"/>
      <c r="BT14" s="128"/>
      <c r="BU14" s="128"/>
      <c r="BV14" s="128"/>
      <c r="BW14" s="128"/>
      <c r="BX14" s="128"/>
      <c r="BY14" s="128"/>
      <c r="BZ14" s="128"/>
    </row>
    <row r="15" spans="2:78" ht="25.5" customHeight="1">
      <c r="B15" s="281" t="s">
        <v>30</v>
      </c>
      <c r="C15" s="174" t="s">
        <v>68</v>
      </c>
      <c r="D15" s="134">
        <f>'Projections-BASE'!D97</f>
        <v>0</v>
      </c>
      <c r="E15" s="134">
        <f>SUMIF('Projections-BASE'!$E$9:$AN$9,1,'Projections-BASE'!$E$97:$AN$97)/COUNTIF('Projections-BASE'!$E$9:$AN$9,1)</f>
        <v>-16921.598245385605</v>
      </c>
      <c r="F15" s="134">
        <f>SUMIF('Projections-BASE'!$E$9:$AN$9,2,'Projections-BASE'!$E$97:$AN$97)/COUNTIF('Projections-BASE'!$E$9:$AN$9,2)</f>
        <v>-20490.987068115403</v>
      </c>
      <c r="G15" s="134">
        <f>SUMIF('Projections-BASE'!$E$9:$AN$9,3,'Projections-BASE'!$E$97:$AN$97)/COUNTIF('Projections-BASE'!$E$9:$AN$9,3)</f>
        <v>-21506.829546426528</v>
      </c>
      <c r="H15" s="286">
        <f>IF(H14&lt;&gt;"",IFERROR(SUMIF('Projections-BASE'!$E$9:$AN$9,4,'Projections-BASE'!$E$97:$AN$97)/COUNTIF('Projections-BASE'!$E$9:$AN$9,4),""),"")</f>
        <v>-21504.356406489227</v>
      </c>
      <c r="I15" s="290" t="s">
        <v>67</v>
      </c>
      <c r="J15" s="290"/>
      <c r="K15" s="291"/>
      <c r="L15" s="129"/>
      <c r="M15" s="129"/>
      <c r="N15" s="129"/>
      <c r="O15" s="129"/>
      <c r="P15" s="129"/>
      <c r="Q15" s="129"/>
      <c r="R15" s="129"/>
      <c r="S15" s="129"/>
      <c r="T15" s="129"/>
      <c r="U15" s="129"/>
      <c r="V15" s="129"/>
      <c r="W15" s="129"/>
      <c r="X15" s="129"/>
      <c r="Y15" s="129"/>
      <c r="Z15" s="129"/>
      <c r="AA15" s="129"/>
      <c r="AB15" s="129"/>
      <c r="AC15" s="129"/>
      <c r="AD15" s="129"/>
      <c r="AE15" s="129"/>
      <c r="AF15" s="129"/>
      <c r="AG15" s="129"/>
      <c r="AH15" s="129"/>
      <c r="AI15" s="129"/>
      <c r="AJ15" s="129"/>
      <c r="AK15" s="129"/>
      <c r="AL15" s="129"/>
      <c r="AM15" s="129"/>
      <c r="AN15" s="129"/>
      <c r="AO15" s="129"/>
      <c r="AP15" s="129"/>
      <c r="AQ15" s="129"/>
      <c r="AR15" s="129"/>
      <c r="AS15" s="129"/>
      <c r="AT15" s="129"/>
      <c r="AU15" s="129"/>
      <c r="AV15" s="129"/>
      <c r="AW15" s="129"/>
      <c r="AX15" s="129"/>
      <c r="AY15" s="129"/>
      <c r="AZ15" s="129"/>
      <c r="BA15" s="129"/>
      <c r="BB15" s="129"/>
      <c r="BC15" s="129"/>
      <c r="BD15" s="129"/>
      <c r="BE15" s="129"/>
      <c r="BF15" s="129"/>
      <c r="BG15" s="129"/>
      <c r="BH15" s="129"/>
      <c r="BI15" s="129"/>
      <c r="BJ15" s="129"/>
      <c r="BK15" s="129"/>
      <c r="BL15" s="129"/>
      <c r="BM15" s="129"/>
      <c r="BN15" s="129"/>
      <c r="BO15" s="129"/>
      <c r="BP15" s="129"/>
    </row>
    <row r="16" spans="2:78" ht="25.5" customHeight="1">
      <c r="B16" s="282"/>
      <c r="C16" s="175" t="s">
        <v>56</v>
      </c>
      <c r="D16" s="131">
        <f>'Projections-BASE'!D98</f>
        <v>0</v>
      </c>
      <c r="E16" s="131">
        <f>IFERROR(HLOOKUP(E13,'Projections-BASE'!$E$94:$AN$108,5,FALSE),"")</f>
        <v>-169215.98245385604</v>
      </c>
      <c r="F16" s="131">
        <f>IFERROR(HLOOKUP(F13,'Projections-BASE'!$E$94:$AN$108,5,FALSE),"")</f>
        <v>-415107.82727124088</v>
      </c>
      <c r="G16" s="131">
        <f>IFERROR(HLOOKUP(G13,'Projections-BASE'!$E$94:$AN$108,5,FALSE),"")</f>
        <v>-673189.78182835935</v>
      </c>
      <c r="H16" s="287">
        <f>IF(H14&lt;&gt;"",IFERROR(HLOOKUP(H13,'Projections-BASE'!$E$94:$AN$108,5,FALSE),""),"")</f>
        <v>-716198.49464133778</v>
      </c>
      <c r="I16" s="289" t="s">
        <v>304</v>
      </c>
      <c r="J16" s="289"/>
      <c r="K16" s="289"/>
      <c r="L16" s="129"/>
      <c r="M16" s="129"/>
      <c r="N16" s="129"/>
      <c r="O16" s="129"/>
      <c r="P16" s="129"/>
      <c r="Q16" s="129"/>
      <c r="R16" s="129"/>
      <c r="S16" s="129"/>
      <c r="T16" s="129"/>
      <c r="U16" s="129"/>
      <c r="V16" s="129"/>
      <c r="W16" s="129"/>
      <c r="X16" s="129"/>
      <c r="Y16" s="129"/>
      <c r="Z16" s="129"/>
      <c r="AA16" s="129"/>
      <c r="AB16" s="129"/>
      <c r="AC16" s="129"/>
      <c r="AD16" s="129"/>
      <c r="AE16" s="129"/>
      <c r="AF16" s="129"/>
      <c r="AG16" s="129"/>
      <c r="AH16" s="129"/>
      <c r="AI16" s="129"/>
      <c r="AJ16" s="129"/>
      <c r="AK16" s="129"/>
      <c r="AL16" s="129"/>
      <c r="AM16" s="129"/>
      <c r="AN16" s="129"/>
      <c r="AO16" s="129"/>
      <c r="AP16" s="129"/>
      <c r="AQ16" s="129"/>
      <c r="AR16" s="129"/>
      <c r="AS16" s="129"/>
      <c r="AT16" s="129"/>
      <c r="AU16" s="129"/>
      <c r="AV16" s="129"/>
      <c r="AW16" s="129"/>
      <c r="AX16" s="129"/>
      <c r="AY16" s="129"/>
      <c r="AZ16" s="129"/>
      <c r="BA16" s="129"/>
      <c r="BB16" s="129"/>
      <c r="BC16" s="129"/>
      <c r="BD16" s="129"/>
      <c r="BE16" s="129"/>
      <c r="BF16" s="129"/>
      <c r="BG16" s="129"/>
      <c r="BH16" s="129"/>
      <c r="BI16" s="129"/>
      <c r="BJ16" s="129"/>
      <c r="BK16" s="129"/>
      <c r="BL16" s="129"/>
      <c r="BM16" s="129"/>
      <c r="BN16" s="129"/>
      <c r="BO16" s="129"/>
      <c r="BP16" s="129"/>
    </row>
    <row r="17" spans="2:68" ht="25.5" customHeight="1" thickBot="1">
      <c r="B17" s="283"/>
      <c r="C17" s="176" t="s">
        <v>57</v>
      </c>
      <c r="D17" s="132">
        <f>'Projections-BASE'!D108</f>
        <v>-125000</v>
      </c>
      <c r="E17" s="132">
        <f>INDEX('Projections-BASE'!$C$94:$AN$108,MATCH(Dashboard!$C17,'Projections-BASE'!$C$94:$C$108,0),MATCH(Dashboard!E$13,'Projections-BASE'!$C$94:$AN$94,0))</f>
        <v>-291777.86493589263</v>
      </c>
      <c r="F17" s="132">
        <f>INDEX('Projections-BASE'!$C$94:$AN$108,MATCH(Dashboard!$C17,'Projections-BASE'!$C$94:$C$108,0),MATCH(Dashboard!F$13,'Projections-BASE'!$C$94:$AN$94,0))</f>
        <v>-534521.8628589639</v>
      </c>
      <c r="G17" s="132">
        <f>INDEX('Projections-BASE'!$C$94:$AN$108,MATCH(Dashboard!$C17,'Projections-BASE'!$C$94:$C$108,0),MATCH(Dashboard!G$13,'Projections-BASE'!$C$94:$AN$94,0))</f>
        <v>-789194.70078203478</v>
      </c>
      <c r="H17" s="288">
        <f>IF(H14&lt;&gt;"",IFERROR(HLOOKUP(H13,'Projections-BASE'!$E$94:$AN$108,15,FALSE),""),"")</f>
        <v>-831608.32916921331</v>
      </c>
      <c r="I17" s="290"/>
      <c r="J17" s="290"/>
      <c r="K17" s="290"/>
      <c r="L17" s="129"/>
      <c r="M17" s="129"/>
      <c r="N17" s="129"/>
      <c r="O17" s="129"/>
      <c r="P17" s="129"/>
      <c r="Q17" s="129"/>
      <c r="R17" s="129"/>
      <c r="S17" s="129"/>
      <c r="T17" s="129"/>
      <c r="U17" s="129"/>
      <c r="V17" s="129"/>
      <c r="W17" s="129"/>
      <c r="X17" s="129"/>
      <c r="Y17" s="129"/>
      <c r="Z17" s="129"/>
      <c r="AA17" s="129"/>
      <c r="AB17" s="129"/>
      <c r="AC17" s="129"/>
      <c r="AD17" s="129"/>
      <c r="AE17" s="129"/>
      <c r="AF17" s="129"/>
      <c r="AG17" s="129"/>
      <c r="AH17" s="129"/>
      <c r="AI17" s="129"/>
      <c r="AJ17" s="129"/>
      <c r="AK17" s="129"/>
      <c r="AL17" s="129"/>
      <c r="AM17" s="129"/>
      <c r="AN17" s="129"/>
      <c r="AO17" s="129"/>
      <c r="AP17" s="129"/>
      <c r="AQ17" s="129"/>
      <c r="AR17" s="129"/>
      <c r="AS17" s="129"/>
      <c r="AT17" s="129"/>
      <c r="AU17" s="129"/>
      <c r="AV17" s="129"/>
      <c r="AW17" s="129"/>
      <c r="AX17" s="129"/>
      <c r="AY17" s="129"/>
      <c r="AZ17" s="129"/>
      <c r="BA17" s="129"/>
      <c r="BB17" s="129"/>
      <c r="BC17" s="129"/>
      <c r="BD17" s="129"/>
      <c r="BE17" s="129"/>
      <c r="BF17" s="129"/>
      <c r="BG17" s="129"/>
      <c r="BH17" s="129"/>
      <c r="BI17" s="129"/>
      <c r="BJ17" s="129"/>
      <c r="BK17" s="129"/>
      <c r="BL17" s="129"/>
      <c r="BM17" s="129"/>
      <c r="BN17" s="129"/>
      <c r="BO17" s="129"/>
      <c r="BP17" s="129"/>
    </row>
    <row r="18" spans="2:68" ht="25.5" customHeight="1">
      <c r="B18" s="284" t="s">
        <v>31</v>
      </c>
      <c r="C18" s="174" t="s">
        <v>68</v>
      </c>
      <c r="D18" s="134">
        <f>'Projections-BEST'!D97</f>
        <v>0</v>
      </c>
      <c r="E18" s="134">
        <f>SUMIF('Projections-BEST'!$E$9:$AN$9,1,'Projections-BEST'!$E$97:$AN$97)/COUNTIF('Projections-BEST'!$E$9:$AN$9,1)</f>
        <v>-8503.5097464110258</v>
      </c>
      <c r="F18" s="134">
        <f>SUMIF('Projections-BEST'!$E$9:$AN$9,2,'Projections-BEST'!$E$97:$AN$97)/COUNTIF('Projections-BEST'!$E$9:$AN$9,2)</f>
        <v>-10560.18549742309</v>
      </c>
      <c r="G18" s="134">
        <f>SUMIF('Projections-BEST'!$E$9:$AN$9,3,'Projections-BEST'!$E$97:$AN$97)/COUNTIF('Projections-BEST'!$E$9:$AN$9,3)</f>
        <v>-3042.9396472206317</v>
      </c>
      <c r="H18" s="137">
        <f>IF(H14&lt;&gt;"",IFERROR(SUMIF('Projections-BEST'!$E$9:$AN$9,4,'Projections-BEST'!$E$97:$AN$97)/COUNTIF('Projections-BEST'!$E$9:$AN$9,4),""),"")</f>
        <v>-12648.509505047172</v>
      </c>
      <c r="I18" s="255"/>
      <c r="J18" s="256"/>
      <c r="K18" s="257"/>
    </row>
    <row r="19" spans="2:68" ht="25.5" customHeight="1">
      <c r="B19" s="282"/>
      <c r="C19" s="175" t="s">
        <v>56</v>
      </c>
      <c r="D19" s="131">
        <f>'Projections-BEST'!D98</f>
        <v>0</v>
      </c>
      <c r="E19" s="131">
        <f>IFERROR(HLOOKUP(E13,'Projections-BEST'!$E$94:$AN$108,5,FALSE),"")</f>
        <v>-85035.097464110266</v>
      </c>
      <c r="F19" s="131">
        <f>IFERROR(HLOOKUP(F13,'Projections-BEST'!$E$94:$AN$108,5,FALSE),"")</f>
        <v>-211757.32343318735</v>
      </c>
      <c r="G19" s="131">
        <f>IFERROR(HLOOKUP(G13,'Projections-BEST'!$E$94:$AN$108,5,FALSE),"")</f>
        <v>-248272.59919983492</v>
      </c>
      <c r="H19" s="135">
        <f>IF(H14&lt;&gt;"",IFERROR(HLOOKUP(H13,'Projections-BEST'!$E$94:$AN$108,5,FALSE),""),"")</f>
        <v>-273569.61820992926</v>
      </c>
      <c r="I19" s="255"/>
      <c r="J19" s="256"/>
      <c r="K19" s="257"/>
    </row>
    <row r="20" spans="2:68" ht="25.5" customHeight="1" thickBot="1">
      <c r="B20" s="283"/>
      <c r="C20" s="176" t="s">
        <v>57</v>
      </c>
      <c r="D20" s="132">
        <f>'Projections-BEST'!D108</f>
        <v>-125000</v>
      </c>
      <c r="E20" s="132">
        <f>INDEX('Projections-BEST'!$C$94:$AN$108,MATCH($C20,'Projections-BEST'!$C$94:$C$108,0),MATCH(Dashboard!E$13,'Projections-BEST'!$C$94:$AN$94,0))</f>
        <v>-208138.78383902757</v>
      </c>
      <c r="F20" s="132">
        <f>INDEX('Projections-BEST'!$C$94:$AN$108,MATCH($C20,'Projections-BEST'!$C$94:$C$108,0),MATCH(Dashboard!F$13,'Projections-BEST'!$C$94:$AN$94,0))</f>
        <v>-332412.68444586074</v>
      </c>
      <c r="G20" s="132">
        <f>INDEX('Projections-BEST'!$C$94:$AN$108,MATCH(Dashboard!$C20,'Projections-BEST'!$C$94:$C$108,0),MATCH(Dashboard!G$13,'Projections-BEST'!$C$94:$AN$94,0))</f>
        <v>-366276.42505269375</v>
      </c>
      <c r="H20" s="136">
        <f>IF(H14&lt;&gt;"",IFERROR(HLOOKUP(H13,'Projections-BEST'!$E$94:$AN$108,15,FALSE),""),"")</f>
        <v>-391110.60062049929</v>
      </c>
      <c r="I20" s="255"/>
      <c r="J20" s="256"/>
      <c r="K20" s="257"/>
    </row>
    <row r="21" spans="2:68" ht="25.5" customHeight="1">
      <c r="B21" s="285" t="s">
        <v>32</v>
      </c>
      <c r="C21" s="174" t="s">
        <v>68</v>
      </c>
      <c r="D21" s="134">
        <f>'Projections-WORST'!D97</f>
        <v>0</v>
      </c>
      <c r="E21" s="134">
        <f>SUMIF('Projections-WORST'!$E$9:$AN$9,1,'Projections-WORST'!$E$97:$AN$97)/COUNTIF('Projections-WORST'!$E$9:$AN$9,1)</f>
        <v>-14363.664619616538</v>
      </c>
      <c r="F21" s="134">
        <f>SUMIF('Projections-WORST'!$E$9:$AN$9,1,'Projections-WORST'!$E$97:$AN$97)/COUNTIF('Projections-WORST'!$E$9:$AN$9,1)</f>
        <v>-14363.664619616538</v>
      </c>
      <c r="G21" s="134">
        <f>SUMIF('Projections-WORST'!$E$9:$AN$9,1,'Projections-WORST'!$E$97:$AN$97)/COUNTIF('Projections-WORST'!$E$9:$AN$9,1)</f>
        <v>-14363.664619616538</v>
      </c>
      <c r="H21" s="137">
        <f>IF(H14&lt;&gt;"",IFERROR(SUMIF('Projections-WORST'!$E$9:$AN$9,4,'Projections-WORST'!$E$97:$AN$97)/COUNTIF('Projections-WORST'!$E$9:$AN$9,4),""),"")</f>
        <v>-34478.688957570761</v>
      </c>
      <c r="I21" s="255"/>
      <c r="J21" s="256"/>
      <c r="K21" s="257"/>
    </row>
    <row r="22" spans="2:68" ht="25.5" customHeight="1">
      <c r="B22" s="282"/>
      <c r="C22" s="175" t="s">
        <v>56</v>
      </c>
      <c r="D22" s="131">
        <f>'Projections-WORST'!D98</f>
        <v>0</v>
      </c>
      <c r="E22" s="131">
        <f>IFERROR(HLOOKUP(E13,'Projections-WORST'!$E$94:$AN$108,5,FALSE),"")</f>
        <v>-143636.64619616538</v>
      </c>
      <c r="F22" s="131">
        <f>IFERROR(HLOOKUP(F13,'Projections-WORST'!$E$94:$AN$108,5,FALSE),"")</f>
        <v>-490824.70514978096</v>
      </c>
      <c r="G22" s="131">
        <f>IFERROR(HLOOKUP(G13,'Projections-WORST'!$E$94:$AN$108,5,FALSE),"")</f>
        <v>-911999.01879975246</v>
      </c>
      <c r="H22" s="131">
        <f>IF(H14&lt;&gt;"",IFERROR(HLOOKUP(H13,'Projections-WORST'!$E$94:$AN$108,5,FALSE),""),"")</f>
        <v>-980956.39671489398</v>
      </c>
      <c r="I22" s="255"/>
      <c r="J22" s="256"/>
      <c r="K22" s="257"/>
    </row>
    <row r="23" spans="2:68" ht="25.5" customHeight="1" thickBot="1">
      <c r="B23" s="283"/>
      <c r="C23" s="176" t="s">
        <v>57</v>
      </c>
      <c r="D23" s="132">
        <f>'Projections-WORST'!D108</f>
        <v>-137500</v>
      </c>
      <c r="E23" s="132">
        <f>INDEX('Projections-WORST'!$C$94:$AN$108,MATCH(Dashboard!$C23,'Projections-WORST'!$C$94:$C$108,0),MATCH(Dashboard!E$13,'Projections-WORST'!$C$94:$AN$94,0))</f>
        <v>-278292.17575854133</v>
      </c>
      <c r="F23" s="132">
        <f>INDEX('Projections-WORST'!$C$94:$AN$108,MATCH(Dashboard!$C23,'Projections-WORST'!$C$94:$C$108,0),MATCH(Dashboard!F$13,'Projections-WORST'!$C$94:$AN$94,0))</f>
        <v>-621807.7466687907</v>
      </c>
      <c r="G23" s="132">
        <f>INDEX('Projections-WORST'!$C$94:$AN$108,MATCH(Dashboard!$C23,'Projections-WORST'!$C$94:$C$108,0),MATCH(Dashboard!G$13,'Projections-WORST'!$C$94:$AN$94,0))</f>
        <v>-1039004.7575790405</v>
      </c>
      <c r="H23" s="132">
        <f>IF(H14&lt;&gt;"",IFERROR(HLOOKUP(H13,'Projections-WORST'!$E$94:$AN$108,15,FALSE),""),"")</f>
        <v>-1107267.8703307488</v>
      </c>
      <c r="I23" s="248"/>
      <c r="J23" s="249"/>
      <c r="K23" s="250"/>
    </row>
    <row r="24" spans="2:68">
      <c r="K24" s="129"/>
      <c r="L24" s="129"/>
      <c r="M24" s="129"/>
    </row>
    <row r="25" spans="2:68">
      <c r="K25" s="129"/>
      <c r="L25" s="129"/>
      <c r="M25" s="129"/>
    </row>
    <row r="26" spans="2:68">
      <c r="K26" s="129"/>
      <c r="L26" s="129"/>
      <c r="M26" s="129"/>
    </row>
    <row r="27" spans="2:68">
      <c r="I27" s="129"/>
      <c r="J27" s="129"/>
      <c r="K27" s="129"/>
      <c r="L27" s="129"/>
      <c r="M27" s="129"/>
      <c r="N27" s="129"/>
    </row>
    <row r="28" spans="2:68">
      <c r="I28" s="129"/>
      <c r="J28" s="129"/>
      <c r="K28" s="129"/>
      <c r="L28" s="129"/>
      <c r="M28" s="129"/>
      <c r="N28" s="129"/>
    </row>
    <row r="29" spans="2:68">
      <c r="I29" s="129"/>
      <c r="J29" s="129"/>
      <c r="K29" s="129"/>
      <c r="L29" s="129"/>
      <c r="M29" s="129"/>
      <c r="N29" s="129"/>
    </row>
  </sheetData>
  <sheetProtection algorithmName="SHA-512" hashValue="qg4tqqimDS2PdY/G3jonuYwils9IV4iJTzXnvamoF7DKE2ZnpBg8d/JsnIVuP9yl/WDGeVFvUUUT6bT0+4KUCw==" saltValue="7kYbd0eAJITtp8LpcUlehg==" spinCount="100000" sheet="1" objects="1" scenarios="1"/>
  <mergeCells count="15">
    <mergeCell ref="G8:K8"/>
    <mergeCell ref="G7:K7"/>
    <mergeCell ref="B15:B17"/>
    <mergeCell ref="B18:B20"/>
    <mergeCell ref="B21:B23"/>
    <mergeCell ref="I16:K17"/>
    <mergeCell ref="G9:K11"/>
    <mergeCell ref="I19:K19"/>
    <mergeCell ref="I20:K20"/>
    <mergeCell ref="I21:K21"/>
    <mergeCell ref="I22:K22"/>
    <mergeCell ref="I23:K23"/>
    <mergeCell ref="I14:K14"/>
    <mergeCell ref="I15:K15"/>
    <mergeCell ref="I18:K1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9F57B-16E7-4A2E-B163-E300B7BC7658}">
  <sheetPr>
    <tabColor rgb="FFD9E8F5"/>
  </sheetPr>
  <dimension ref="A1:I195"/>
  <sheetViews>
    <sheetView zoomScaleNormal="100" workbookViewId="0">
      <pane xSplit="3" ySplit="7" topLeftCell="D8" activePane="bottomRight" state="frozen"/>
      <selection pane="topRight" activeCell="D1" sqref="D1"/>
      <selection pane="bottomLeft" activeCell="A11" sqref="A11"/>
      <selection pane="bottomRight" activeCell="J89" sqref="J89"/>
    </sheetView>
  </sheetViews>
  <sheetFormatPr defaultRowHeight="13.5" outlineLevelRow="1"/>
  <cols>
    <col min="1" max="1" width="3.46484375" style="81" customWidth="1"/>
    <col min="2" max="2" width="1.9296875" style="82" hidden="1" customWidth="1"/>
    <col min="3" max="3" width="65.265625" style="124" customWidth="1"/>
    <col min="4" max="6" width="12" style="81" customWidth="1"/>
    <col min="7" max="7" width="10.9296875" style="84" customWidth="1"/>
    <col min="8" max="8" width="51.46484375" style="86" bestFit="1" customWidth="1"/>
    <col min="9" max="10" width="11.796875" style="81" bestFit="1" customWidth="1"/>
    <col min="11" max="16384" width="9.06640625" style="81"/>
  </cols>
  <sheetData>
    <row r="1" spans="1:9" ht="6" customHeight="1">
      <c r="C1" s="83"/>
      <c r="D1" s="81" t="s">
        <v>239</v>
      </c>
    </row>
    <row r="2" spans="1:9" ht="13.9">
      <c r="C2" s="85" t="s">
        <v>28</v>
      </c>
      <c r="D2" s="84"/>
      <c r="E2" s="84"/>
      <c r="F2" s="84"/>
    </row>
    <row r="3" spans="1:9" ht="4.1500000000000004" customHeight="1">
      <c r="C3" s="86"/>
      <c r="D3" s="84"/>
      <c r="E3" s="84"/>
      <c r="F3" s="84"/>
      <c r="I3" s="87"/>
    </row>
    <row r="4" spans="1:9" ht="25.9" customHeight="1">
      <c r="C4" s="200" t="s">
        <v>307</v>
      </c>
      <c r="D4" s="84"/>
      <c r="E4" s="84"/>
      <c r="F4" s="84"/>
      <c r="H4" s="84"/>
    </row>
    <row r="5" spans="1:9" ht="25.9" customHeight="1">
      <c r="C5" s="199" t="s">
        <v>306</v>
      </c>
      <c r="D5" s="84"/>
      <c r="E5" s="84"/>
      <c r="F5" s="84"/>
      <c r="H5" s="84"/>
    </row>
    <row r="6" spans="1:9" ht="5.65" customHeight="1">
      <c r="C6" s="86"/>
      <c r="D6" s="84"/>
      <c r="E6" s="84"/>
      <c r="F6" s="84"/>
    </row>
    <row r="7" spans="1:9" s="42" customFormat="1" ht="46.15" customHeight="1">
      <c r="B7" s="75"/>
      <c r="C7" s="205" t="s">
        <v>322</v>
      </c>
      <c r="D7" s="190" t="s">
        <v>30</v>
      </c>
      <c r="E7" s="191" t="s">
        <v>31</v>
      </c>
      <c r="F7" s="192" t="s">
        <v>32</v>
      </c>
      <c r="G7" s="73" t="s">
        <v>145</v>
      </c>
      <c r="H7" s="73" t="s">
        <v>29</v>
      </c>
    </row>
    <row r="8" spans="1:9" ht="29.75" customHeight="1">
      <c r="A8" s="206">
        <v>1</v>
      </c>
      <c r="B8" s="201"/>
      <c r="C8" s="201" t="s">
        <v>33</v>
      </c>
      <c r="D8" s="201"/>
      <c r="E8" s="201"/>
      <c r="F8" s="201"/>
      <c r="G8" s="201"/>
      <c r="H8" s="201"/>
    </row>
    <row r="9" spans="1:9" hidden="1" outlineLevel="1">
      <c r="C9" s="88" t="s">
        <v>72</v>
      </c>
      <c r="D9" s="193">
        <v>5</v>
      </c>
      <c r="E9" s="193">
        <v>5</v>
      </c>
      <c r="F9" s="193">
        <v>5</v>
      </c>
      <c r="G9" s="89"/>
      <c r="H9" s="202"/>
    </row>
    <row r="10" spans="1:9" ht="23.25" hidden="1" outlineLevel="1">
      <c r="C10" s="90" t="s">
        <v>73</v>
      </c>
      <c r="D10" s="243">
        <v>8</v>
      </c>
      <c r="E10" s="243">
        <v>8</v>
      </c>
      <c r="F10" s="243">
        <v>8</v>
      </c>
      <c r="G10" s="91"/>
      <c r="H10" s="203" t="s">
        <v>74</v>
      </c>
    </row>
    <row r="11" spans="1:9" ht="23.25" hidden="1" outlineLevel="1">
      <c r="C11" s="90" t="s">
        <v>124</v>
      </c>
      <c r="D11" s="243">
        <v>48</v>
      </c>
      <c r="E11" s="243">
        <v>48</v>
      </c>
      <c r="F11" s="243">
        <v>48</v>
      </c>
      <c r="G11" s="91"/>
      <c r="H11" s="203" t="s">
        <v>310</v>
      </c>
    </row>
    <row r="12" spans="1:9" ht="23.25" hidden="1" outlineLevel="1">
      <c r="C12" s="90" t="s">
        <v>36</v>
      </c>
      <c r="D12" s="194">
        <v>0.03</v>
      </c>
      <c r="E12" s="194">
        <v>0.03</v>
      </c>
      <c r="F12" s="194">
        <v>0.03</v>
      </c>
      <c r="G12" s="91"/>
      <c r="H12" s="203" t="s">
        <v>311</v>
      </c>
    </row>
    <row r="13" spans="1:9" ht="23.25" hidden="1" outlineLevel="1">
      <c r="C13" s="92" t="s">
        <v>240</v>
      </c>
      <c r="D13" s="196" t="s">
        <v>298</v>
      </c>
      <c r="E13" s="213" t="str">
        <f>IF(D13="","",D13)</f>
        <v>New Business</v>
      </c>
      <c r="F13" s="187" t="str">
        <f t="shared" ref="F13:F15" si="0">E13</f>
        <v>New Business</v>
      </c>
      <c r="G13" s="91"/>
      <c r="H13" s="203" t="s">
        <v>243</v>
      </c>
    </row>
    <row r="14" spans="1:9" hidden="1" outlineLevel="1">
      <c r="C14" s="92" t="s">
        <v>241</v>
      </c>
      <c r="D14" s="195" t="s">
        <v>329</v>
      </c>
      <c r="E14" s="188" t="str">
        <f>IF(D14="","",D14)</f>
        <v>Purchase</v>
      </c>
      <c r="F14" s="187" t="str">
        <f t="shared" si="0"/>
        <v>Purchase</v>
      </c>
      <c r="G14" s="91"/>
      <c r="H14" s="203" t="s">
        <v>243</v>
      </c>
    </row>
    <row r="15" spans="1:9" ht="23.25" hidden="1" outlineLevel="1">
      <c r="C15" s="92" t="s">
        <v>251</v>
      </c>
      <c r="D15" s="197">
        <v>46447</v>
      </c>
      <c r="E15" s="188">
        <f>IF(D15="","",D15)</f>
        <v>46447</v>
      </c>
      <c r="F15" s="188">
        <f t="shared" si="0"/>
        <v>46447</v>
      </c>
      <c r="G15" s="93"/>
      <c r="H15" s="203" t="str">
        <f>IF(AND(D14="Purchase",D18&gt;D15),"Warning-This date should be LATER than the purchase date of the space.","All scenarios must have the same value.")</f>
        <v>All scenarios must have the same value.</v>
      </c>
    </row>
    <row r="16" spans="1:9" hidden="1" outlineLevel="1">
      <c r="C16" s="92" t="s">
        <v>260</v>
      </c>
      <c r="D16" s="198">
        <v>1000</v>
      </c>
      <c r="E16" s="189">
        <f>D16</f>
        <v>1000</v>
      </c>
      <c r="F16" s="189">
        <f>D16</f>
        <v>1000</v>
      </c>
      <c r="G16" s="93" t="s">
        <v>37</v>
      </c>
      <c r="H16" s="203" t="s">
        <v>243</v>
      </c>
    </row>
    <row r="17" spans="1:8" ht="13.9" hidden="1" outlineLevel="1">
      <c r="C17" s="106" t="s">
        <v>250</v>
      </c>
      <c r="D17" s="107"/>
      <c r="E17" s="107"/>
      <c r="F17" s="107"/>
      <c r="G17" s="107"/>
      <c r="H17" s="107"/>
    </row>
    <row r="18" spans="1:8" hidden="1" outlineLevel="1">
      <c r="B18" s="82" t="s">
        <v>244</v>
      </c>
      <c r="C18" s="90" t="str">
        <f>IF($D$14="Purchase",B18,"*Skip This Row - Space Not Purchased*")</f>
        <v>If PURCHASED, enter Month &amp; Year of Purchase (MMM-YYYY)</v>
      </c>
      <c r="D18" s="197">
        <v>46388</v>
      </c>
      <c r="E18" s="188">
        <f>IF(D18="","",D18)</f>
        <v>46388</v>
      </c>
      <c r="F18" s="188">
        <f>E18</f>
        <v>46388</v>
      </c>
      <c r="G18" s="91"/>
      <c r="H18" s="150" t="s">
        <v>243</v>
      </c>
    </row>
    <row r="19" spans="1:8" hidden="1" outlineLevel="1">
      <c r="B19" s="95" t="s">
        <v>156</v>
      </c>
      <c r="C19" s="90" t="str">
        <f>IF($D$14="Purchase",B19,"*Skip This Row - Space Not Purchased*")</f>
        <v>Purchase price per Sq Ft (only enter if Purchasing)</v>
      </c>
      <c r="D19" s="204">
        <v>300</v>
      </c>
      <c r="E19" s="204">
        <v>250</v>
      </c>
      <c r="F19" s="204">
        <v>350</v>
      </c>
      <c r="G19" s="91" t="s">
        <v>76</v>
      </c>
      <c r="H19" s="150"/>
    </row>
    <row r="20" spans="1:8" hidden="1" outlineLevel="1">
      <c r="B20" s="96" t="s">
        <v>42</v>
      </c>
      <c r="C20" s="90" t="str">
        <f>IF($D$14="Purchase",B20,"*Ignore this Row - Space Not Purchased*")</f>
        <v>Financing terms for purchase of space</v>
      </c>
      <c r="D20" s="263" t="s">
        <v>253</v>
      </c>
      <c r="E20" s="264"/>
      <c r="F20" s="265"/>
      <c r="G20" s="97"/>
      <c r="H20" s="152" t="s">
        <v>273</v>
      </c>
    </row>
    <row r="21" spans="1:8" ht="13.9" hidden="1" outlineLevel="1">
      <c r="C21" s="106" t="s">
        <v>254</v>
      </c>
      <c r="D21" s="107"/>
      <c r="E21" s="107"/>
      <c r="F21" s="107"/>
      <c r="G21" s="107"/>
      <c r="H21" s="107"/>
    </row>
    <row r="22" spans="1:8" hidden="1" outlineLevel="1">
      <c r="B22" s="98" t="s">
        <v>155</v>
      </c>
      <c r="C22" s="90" t="str">
        <f>IF($D$14="Lease",B22,"*Skip This Row - Space Not Leased*")</f>
        <v>*Skip This Row - Space Not Leased*</v>
      </c>
      <c r="D22" s="204">
        <v>100</v>
      </c>
      <c r="E22" s="204">
        <v>80</v>
      </c>
      <c r="F22" s="204">
        <v>150</v>
      </c>
      <c r="G22" s="99" t="s">
        <v>38</v>
      </c>
      <c r="H22" s="150" t="s">
        <v>104</v>
      </c>
    </row>
    <row r="23" spans="1:8" hidden="1" outlineLevel="1">
      <c r="B23" s="98" t="s">
        <v>272</v>
      </c>
      <c r="C23" s="90" t="str">
        <f>IF($D$14="Lease",B23,"*Ignore This Row - Space Not Leased*")</f>
        <v>*Ignore This Row - Space Not Leased*</v>
      </c>
      <c r="D23" s="210">
        <f>D22*D16/12+D24</f>
        <v>8333.3333333333339</v>
      </c>
      <c r="E23" s="210">
        <f>E22*E16/12+E24</f>
        <v>6666.666666666667</v>
      </c>
      <c r="F23" s="210">
        <f>F22*F16/12+F24</f>
        <v>12800</v>
      </c>
      <c r="G23" s="99"/>
      <c r="H23" s="150"/>
    </row>
    <row r="24" spans="1:8" hidden="1" outlineLevel="1">
      <c r="B24" s="100" t="s">
        <v>245</v>
      </c>
      <c r="C24" s="90" t="str">
        <f>IF($D$14="Lease",B24,"*Skip This Row - Space Not Leased*")</f>
        <v>*Skip This Row - Space Not Leased*</v>
      </c>
      <c r="D24" s="204">
        <v>0</v>
      </c>
      <c r="E24" s="204">
        <v>0</v>
      </c>
      <c r="F24" s="204">
        <v>300</v>
      </c>
      <c r="G24" s="101"/>
      <c r="H24" s="152" t="s">
        <v>205</v>
      </c>
    </row>
    <row r="25" spans="1:8" ht="13.9" hidden="1" outlineLevel="1">
      <c r="C25" s="106" t="s">
        <v>75</v>
      </c>
      <c r="D25" s="107"/>
      <c r="E25" s="107"/>
      <c r="F25" s="107"/>
      <c r="G25" s="107"/>
      <c r="H25" s="107"/>
    </row>
    <row r="26" spans="1:8" ht="23.25" hidden="1" outlineLevel="1">
      <c r="B26" s="102" t="s">
        <v>249</v>
      </c>
      <c r="C26" s="90" t="str">
        <f t="shared" ref="C26" si="1">IF($D$13="New Business",B26,"*Skip This Row - Not a New Business*")</f>
        <v>Total startup costs (include down payment &amp; closing costs if purchasing plus any other startup costs)</v>
      </c>
      <c r="D26" s="211">
        <v>350000</v>
      </c>
      <c r="E26" s="211">
        <v>300000</v>
      </c>
      <c r="F26" s="211">
        <v>400000</v>
      </c>
      <c r="G26" s="91"/>
      <c r="H26" s="150" t="s">
        <v>190</v>
      </c>
    </row>
    <row r="27" spans="1:8" ht="23.25" hidden="1" outlineLevel="1">
      <c r="B27" s="102" t="s">
        <v>255</v>
      </c>
      <c r="C27" s="90" t="str">
        <f>IF($D$13="New Business",B27,"*Ignore This Row - Not a New Business*")</f>
        <v>Calculated down payment and closing costs (if Purchasing) - Include this in your total startup costs, above</v>
      </c>
      <c r="D27" s="210">
        <f>IF(D14="Purchase",D165*D163+D163,"")</f>
        <v>315000</v>
      </c>
      <c r="E27" s="210">
        <f>IF(E14="Purchase",E165*E163+E163,"")</f>
        <v>262500</v>
      </c>
      <c r="F27" s="210">
        <f>IF(F14="Purchase",F165*F163+F163,"")</f>
        <v>367500</v>
      </c>
      <c r="G27" s="91"/>
      <c r="H27" s="150" t="s">
        <v>191</v>
      </c>
    </row>
    <row r="28" spans="1:8" s="104" customFormat="1" ht="11.65" collapsed="1">
      <c r="A28" s="261" t="s">
        <v>35</v>
      </c>
      <c r="B28" s="261"/>
      <c r="C28" s="261"/>
      <c r="D28" s="261"/>
      <c r="E28" s="261"/>
      <c r="F28" s="261"/>
      <c r="G28" s="261"/>
      <c r="H28" s="261"/>
    </row>
    <row r="29" spans="1:8">
      <c r="C29" s="105"/>
      <c r="D29" s="87"/>
      <c r="E29" s="87"/>
      <c r="F29" s="87"/>
      <c r="H29" s="72"/>
    </row>
    <row r="30" spans="1:8" ht="29.75" customHeight="1">
      <c r="A30" s="206">
        <v>2</v>
      </c>
      <c r="B30" s="201"/>
      <c r="C30" s="201" t="s">
        <v>312</v>
      </c>
      <c r="D30" s="201"/>
      <c r="E30" s="201"/>
      <c r="F30" s="201"/>
      <c r="G30" s="201"/>
      <c r="H30" s="201"/>
    </row>
    <row r="31" spans="1:8" ht="13.9" hidden="1" outlineLevel="1">
      <c r="C31" s="106" t="s">
        <v>101</v>
      </c>
      <c r="D31" s="107"/>
      <c r="E31" s="107"/>
      <c r="F31" s="107"/>
      <c r="G31" s="108"/>
      <c r="H31" s="153"/>
    </row>
    <row r="32" spans="1:8" ht="20.25" hidden="1" outlineLevel="1">
      <c r="C32" s="88" t="s">
        <v>77</v>
      </c>
      <c r="D32" s="212">
        <f>13-MONTH(D15)</f>
        <v>10</v>
      </c>
      <c r="E32" s="212">
        <f>D32</f>
        <v>10</v>
      </c>
      <c r="F32" s="212">
        <f>E32</f>
        <v>10</v>
      </c>
      <c r="G32" s="89" t="s">
        <v>34</v>
      </c>
      <c r="H32" s="149" t="s">
        <v>274</v>
      </c>
    </row>
    <row r="33" spans="3:8" ht="50.65" hidden="1" outlineLevel="1">
      <c r="C33" s="90" t="s">
        <v>78</v>
      </c>
      <c r="D33" s="211">
        <v>10000</v>
      </c>
      <c r="E33" s="211">
        <v>20000</v>
      </c>
      <c r="F33" s="211">
        <v>50000</v>
      </c>
      <c r="G33" s="91"/>
      <c r="H33" s="150" t="s">
        <v>275</v>
      </c>
    </row>
    <row r="34" spans="3:8" ht="20.25" hidden="1" outlineLevel="1">
      <c r="C34" s="90" t="s">
        <v>237</v>
      </c>
      <c r="D34" s="211">
        <v>0</v>
      </c>
      <c r="E34" s="211">
        <v>0</v>
      </c>
      <c r="F34" s="211">
        <v>0</v>
      </c>
      <c r="G34" s="91"/>
      <c r="H34" s="150" t="s">
        <v>276</v>
      </c>
    </row>
    <row r="35" spans="3:8" ht="20.25" hidden="1" outlineLevel="1">
      <c r="C35" s="90" t="s">
        <v>324</v>
      </c>
      <c r="D35" s="211">
        <v>0</v>
      </c>
      <c r="E35" s="211">
        <v>0</v>
      </c>
      <c r="F35" s="211">
        <v>0</v>
      </c>
      <c r="G35" s="91"/>
      <c r="H35" s="150" t="s">
        <v>276</v>
      </c>
    </row>
    <row r="36" spans="3:8" ht="30.4" hidden="1" outlineLevel="1">
      <c r="C36" s="90" t="s">
        <v>80</v>
      </c>
      <c r="D36" s="211">
        <v>10000</v>
      </c>
      <c r="E36" s="211">
        <v>20000</v>
      </c>
      <c r="F36" s="211">
        <v>50000</v>
      </c>
      <c r="G36" s="91"/>
      <c r="H36" s="150" t="s">
        <v>271</v>
      </c>
    </row>
    <row r="37" spans="3:8" hidden="1" outlineLevel="1">
      <c r="C37" s="90" t="s">
        <v>81</v>
      </c>
      <c r="D37" s="211">
        <v>0</v>
      </c>
      <c r="E37" s="211">
        <v>0</v>
      </c>
      <c r="F37" s="211">
        <v>0</v>
      </c>
      <c r="G37" s="91"/>
      <c r="H37" s="150"/>
    </row>
    <row r="38" spans="3:8" hidden="1" outlineLevel="1">
      <c r="C38" s="90" t="s">
        <v>82</v>
      </c>
      <c r="D38" s="211">
        <v>0</v>
      </c>
      <c r="E38" s="211">
        <v>0</v>
      </c>
      <c r="F38" s="211">
        <v>0</v>
      </c>
      <c r="G38" s="91"/>
      <c r="H38" s="150"/>
    </row>
    <row r="39" spans="3:8" ht="30.4" hidden="1" outlineLevel="1">
      <c r="C39" s="90" t="s">
        <v>83</v>
      </c>
      <c r="D39" s="211">
        <v>10000</v>
      </c>
      <c r="E39" s="211">
        <v>20000</v>
      </c>
      <c r="F39" s="211">
        <v>50000</v>
      </c>
      <c r="G39" s="91"/>
      <c r="H39" s="150" t="s">
        <v>271</v>
      </c>
    </row>
    <row r="40" spans="3:8" hidden="1" outlineLevel="1">
      <c r="C40" s="90" t="s">
        <v>84</v>
      </c>
      <c r="D40" s="211">
        <v>0</v>
      </c>
      <c r="E40" s="211">
        <v>0</v>
      </c>
      <c r="F40" s="211">
        <v>0</v>
      </c>
      <c r="G40" s="91"/>
      <c r="H40" s="150"/>
    </row>
    <row r="41" spans="3:8" hidden="1" outlineLevel="1">
      <c r="C41" s="103" t="s">
        <v>85</v>
      </c>
      <c r="D41" s="211">
        <v>0</v>
      </c>
      <c r="E41" s="211">
        <v>0</v>
      </c>
      <c r="F41" s="211">
        <v>0</v>
      </c>
      <c r="G41" s="97"/>
      <c r="H41" s="152"/>
    </row>
    <row r="42" spans="3:8" hidden="1" outlineLevel="1">
      <c r="C42" s="105"/>
      <c r="D42" s="109"/>
      <c r="E42" s="109"/>
      <c r="F42" s="109"/>
      <c r="G42" s="91"/>
      <c r="H42" s="72"/>
    </row>
    <row r="43" spans="3:8" ht="13.9" hidden="1" outlineLevel="1">
      <c r="C43" s="106" t="s">
        <v>102</v>
      </c>
      <c r="D43" s="110"/>
      <c r="E43" s="110"/>
      <c r="F43" s="110"/>
      <c r="G43" s="111"/>
      <c r="H43" s="153"/>
    </row>
    <row r="44" spans="3:8" ht="20.25" hidden="1" outlineLevel="1">
      <c r="C44" s="88" t="s">
        <v>77</v>
      </c>
      <c r="D44" s="212">
        <f>13-MONTH(D15)</f>
        <v>10</v>
      </c>
      <c r="E44" s="212">
        <f>D44</f>
        <v>10</v>
      </c>
      <c r="F44" s="212">
        <f>E44</f>
        <v>10</v>
      </c>
      <c r="G44" s="89" t="s">
        <v>34</v>
      </c>
      <c r="H44" s="149" t="s">
        <v>274</v>
      </c>
    </row>
    <row r="45" spans="3:8" ht="30.4" hidden="1" outlineLevel="1">
      <c r="C45" s="90" t="s">
        <v>79</v>
      </c>
      <c r="D45" s="211">
        <v>100000</v>
      </c>
      <c r="E45" s="211">
        <v>250000</v>
      </c>
      <c r="F45" s="211">
        <v>75000</v>
      </c>
      <c r="G45" s="91"/>
      <c r="H45" s="150" t="s">
        <v>271</v>
      </c>
    </row>
    <row r="46" spans="3:8" ht="30.4" hidden="1" outlineLevel="1">
      <c r="C46" s="90" t="s">
        <v>323</v>
      </c>
      <c r="D46" s="210">
        <f>D45/D44</f>
        <v>10000</v>
      </c>
      <c r="E46" s="210">
        <f t="shared" ref="E46" si="2">E45/E44</f>
        <v>25000</v>
      </c>
      <c r="F46" s="210">
        <f t="shared" ref="F46" si="3">F45/F44</f>
        <v>7500</v>
      </c>
      <c r="G46" s="91"/>
      <c r="H46" s="150" t="s">
        <v>277</v>
      </c>
    </row>
    <row r="47" spans="3:8" ht="30.4" hidden="1" outlineLevel="1">
      <c r="C47" s="90" t="s">
        <v>93</v>
      </c>
      <c r="D47" s="204">
        <v>12</v>
      </c>
      <c r="E47" s="204">
        <v>15</v>
      </c>
      <c r="F47" s="204">
        <v>10</v>
      </c>
      <c r="G47" s="91"/>
      <c r="H47" s="150" t="s">
        <v>278</v>
      </c>
    </row>
    <row r="48" spans="3:8" ht="20.25" hidden="1" outlineLevel="1">
      <c r="C48" s="90" t="s">
        <v>86</v>
      </c>
      <c r="D48" s="212">
        <f>IFERROR((D45/D47)/(D9*4*D44),"")</f>
        <v>41.666666666666671</v>
      </c>
      <c r="E48" s="212">
        <f>IFERROR((E45/E47)/(E9*4*E44),"")</f>
        <v>83.333333333333343</v>
      </c>
      <c r="F48" s="212">
        <f>IFERROR((F45/F47)/(F9*4*F44),"")</f>
        <v>37.5</v>
      </c>
      <c r="G48" s="91" t="s">
        <v>103</v>
      </c>
      <c r="H48" s="150" t="s">
        <v>87</v>
      </c>
    </row>
    <row r="49" spans="1:8" ht="20.25" hidden="1" outlineLevel="1">
      <c r="C49" s="90" t="s">
        <v>88</v>
      </c>
      <c r="D49" s="214">
        <v>0.2</v>
      </c>
      <c r="E49" s="214">
        <v>0.4</v>
      </c>
      <c r="F49" s="214">
        <v>0.1</v>
      </c>
      <c r="G49" s="91"/>
      <c r="H49" s="150" t="s">
        <v>99</v>
      </c>
    </row>
    <row r="50" spans="1:8" ht="20.25" hidden="1" outlineLevel="1">
      <c r="C50" s="90" t="s">
        <v>92</v>
      </c>
      <c r="D50" s="210">
        <f>D46*12*(1+D49)</f>
        <v>144000</v>
      </c>
      <c r="E50" s="210">
        <f>E46*12*(1+E49)</f>
        <v>420000</v>
      </c>
      <c r="F50" s="210">
        <f>F46*12*(1+F49)</f>
        <v>99000.000000000015</v>
      </c>
      <c r="G50" s="91"/>
      <c r="H50" s="150" t="s">
        <v>95</v>
      </c>
    </row>
    <row r="51" spans="1:8" ht="30.4" hidden="1" outlineLevel="1">
      <c r="C51" s="90" t="s">
        <v>94</v>
      </c>
      <c r="D51" s="204">
        <v>12.5</v>
      </c>
      <c r="E51" s="204">
        <v>16</v>
      </c>
      <c r="F51" s="204">
        <v>10</v>
      </c>
      <c r="G51" s="91"/>
      <c r="H51" s="150" t="s">
        <v>279</v>
      </c>
    </row>
    <row r="52" spans="1:8" ht="20.25" hidden="1" outlineLevel="1">
      <c r="C52" s="90" t="s">
        <v>90</v>
      </c>
      <c r="D52" s="212">
        <f>IFERROR((D50/D51)/(D9*4*12),"")</f>
        <v>48</v>
      </c>
      <c r="E52" s="212">
        <f>IFERROR((E50/E51)/(E9*4*12),"")</f>
        <v>109.375</v>
      </c>
      <c r="F52" s="212">
        <f>IFERROR((F50/F51)/(F9*4*12),"")</f>
        <v>41.250000000000007</v>
      </c>
      <c r="G52" s="91" t="s">
        <v>103</v>
      </c>
      <c r="H52" s="150" t="s">
        <v>96</v>
      </c>
    </row>
    <row r="53" spans="1:8" ht="20.25" hidden="1" outlineLevel="1">
      <c r="C53" s="90" t="s">
        <v>89</v>
      </c>
      <c r="D53" s="214">
        <v>0.25</v>
      </c>
      <c r="E53" s="214">
        <v>0.5</v>
      </c>
      <c r="F53" s="214">
        <v>0.2</v>
      </c>
      <c r="G53" s="91"/>
      <c r="H53" s="150" t="s">
        <v>100</v>
      </c>
    </row>
    <row r="54" spans="1:8" ht="20.25" hidden="1" outlineLevel="1">
      <c r="C54" s="90" t="s">
        <v>97</v>
      </c>
      <c r="D54" s="210">
        <f>D50*(1+D53)</f>
        <v>180000</v>
      </c>
      <c r="E54" s="210">
        <f t="shared" ref="E54:F54" si="4">E50*(1+E53)</f>
        <v>630000</v>
      </c>
      <c r="F54" s="210">
        <f t="shared" si="4"/>
        <v>118800.00000000001</v>
      </c>
      <c r="G54" s="91"/>
      <c r="H54" s="150" t="s">
        <v>95</v>
      </c>
    </row>
    <row r="55" spans="1:8" ht="30.4" hidden="1" outlineLevel="1">
      <c r="C55" s="90" t="s">
        <v>98</v>
      </c>
      <c r="D55" s="204">
        <v>13</v>
      </c>
      <c r="E55" s="204">
        <v>17</v>
      </c>
      <c r="F55" s="204">
        <v>10</v>
      </c>
      <c r="G55" s="91"/>
      <c r="H55" s="150" t="s">
        <v>280</v>
      </c>
    </row>
    <row r="56" spans="1:8" ht="20.25" hidden="1" outlineLevel="1">
      <c r="C56" s="103" t="s">
        <v>91</v>
      </c>
      <c r="D56" s="212">
        <f>IFERROR((D54/D55)/(D9*4*12),"")</f>
        <v>57.692307692307693</v>
      </c>
      <c r="E56" s="212">
        <f t="shared" ref="E56:F56" si="5">IFERROR((E54/E55)/(E9*4*12),"")</f>
        <v>154.41176470588235</v>
      </c>
      <c r="F56" s="212">
        <f t="shared" si="5"/>
        <v>49.500000000000007</v>
      </c>
      <c r="G56" s="97" t="s">
        <v>103</v>
      </c>
      <c r="H56" s="152" t="s">
        <v>96</v>
      </c>
    </row>
    <row r="57" spans="1:8" s="104" customFormat="1" ht="11.65" collapsed="1">
      <c r="A57" s="261" t="s">
        <v>35</v>
      </c>
      <c r="B57" s="261"/>
      <c r="C57" s="261"/>
      <c r="D57" s="261"/>
      <c r="E57" s="261"/>
      <c r="F57" s="261"/>
      <c r="G57" s="261"/>
      <c r="H57" s="261"/>
    </row>
    <row r="58" spans="1:8">
      <c r="C58" s="105"/>
      <c r="D58" s="87"/>
      <c r="E58" s="87"/>
      <c r="F58" s="87"/>
      <c r="H58" s="72"/>
    </row>
    <row r="59" spans="1:8" ht="29.75" customHeight="1">
      <c r="A59" s="206">
        <v>3</v>
      </c>
      <c r="B59" s="201"/>
      <c r="C59" s="201" t="s">
        <v>325</v>
      </c>
      <c r="D59" s="201"/>
      <c r="E59" s="201"/>
      <c r="F59" s="201"/>
      <c r="G59" s="201"/>
      <c r="H59" s="201"/>
    </row>
    <row r="60" spans="1:8" ht="13.9">
      <c r="A60" s="112"/>
      <c r="B60" s="112"/>
      <c r="C60" s="106" t="s">
        <v>105</v>
      </c>
      <c r="D60" s="113"/>
      <c r="E60" s="113"/>
      <c r="F60" s="113"/>
      <c r="G60" s="108"/>
      <c r="H60" s="154"/>
    </row>
    <row r="61" spans="1:8" hidden="1" outlineLevel="1">
      <c r="A61" s="162"/>
      <c r="C61" s="88" t="s">
        <v>109</v>
      </c>
      <c r="D61" s="194">
        <v>0.3</v>
      </c>
      <c r="E61" s="194">
        <v>0.15</v>
      </c>
      <c r="F61" s="194">
        <v>0.35</v>
      </c>
      <c r="G61" s="89"/>
      <c r="H61" s="149" t="s">
        <v>106</v>
      </c>
    </row>
    <row r="62" spans="1:8" hidden="1" outlineLevel="1">
      <c r="A62" s="162"/>
      <c r="C62" s="90" t="s">
        <v>110</v>
      </c>
      <c r="D62" s="194">
        <v>0.3</v>
      </c>
      <c r="E62" s="194">
        <v>0.2</v>
      </c>
      <c r="F62" s="194">
        <v>0.35</v>
      </c>
      <c r="G62" s="91"/>
      <c r="H62" s="266" t="s">
        <v>299</v>
      </c>
    </row>
    <row r="63" spans="1:8" hidden="1" outlineLevel="1">
      <c r="A63" s="162"/>
      <c r="C63" s="103" t="s">
        <v>111</v>
      </c>
      <c r="D63" s="194">
        <v>0.3</v>
      </c>
      <c r="E63" s="194">
        <v>0.2</v>
      </c>
      <c r="F63" s="194">
        <v>0.35</v>
      </c>
      <c r="G63" s="97"/>
      <c r="H63" s="267"/>
    </row>
    <row r="64" spans="1:8" hidden="1" outlineLevel="1">
      <c r="A64" s="162"/>
      <c r="C64" s="88" t="s">
        <v>112</v>
      </c>
      <c r="D64" s="194">
        <v>0.06</v>
      </c>
      <c r="E64" s="194">
        <v>0.04</v>
      </c>
      <c r="F64" s="194">
        <v>0.08</v>
      </c>
      <c r="G64" s="89"/>
      <c r="H64" s="149" t="s">
        <v>107</v>
      </c>
    </row>
    <row r="65" spans="1:8" hidden="1" outlineLevel="1">
      <c r="A65" s="162"/>
      <c r="C65" s="90" t="s">
        <v>113</v>
      </c>
      <c r="D65" s="194">
        <v>0.06</v>
      </c>
      <c r="E65" s="194">
        <v>0.04</v>
      </c>
      <c r="F65" s="194">
        <v>0.08</v>
      </c>
      <c r="G65" s="91"/>
      <c r="H65" s="266" t="s">
        <v>300</v>
      </c>
    </row>
    <row r="66" spans="1:8" hidden="1" outlineLevel="1">
      <c r="A66" s="162"/>
      <c r="C66" s="103" t="s">
        <v>114</v>
      </c>
      <c r="D66" s="194">
        <v>0.06</v>
      </c>
      <c r="E66" s="194">
        <v>0.04</v>
      </c>
      <c r="F66" s="194">
        <v>0.08</v>
      </c>
      <c r="G66" s="97"/>
      <c r="H66" s="267"/>
    </row>
    <row r="67" spans="1:8" ht="20.25" hidden="1" outlineLevel="1">
      <c r="A67" s="162"/>
      <c r="C67" s="88" t="s">
        <v>115</v>
      </c>
      <c r="D67" s="194">
        <v>0.02</v>
      </c>
      <c r="E67" s="194">
        <v>0.01</v>
      </c>
      <c r="F67" s="194">
        <v>0.05</v>
      </c>
      <c r="G67" s="89"/>
      <c r="H67" s="149" t="s">
        <v>108</v>
      </c>
    </row>
    <row r="68" spans="1:8" hidden="1" outlineLevel="1">
      <c r="A68" s="162"/>
      <c r="C68" s="90" t="s">
        <v>116</v>
      </c>
      <c r="D68" s="194">
        <v>0.02</v>
      </c>
      <c r="E68" s="194">
        <v>0.01</v>
      </c>
      <c r="F68" s="194">
        <v>0.05</v>
      </c>
      <c r="G68" s="91"/>
      <c r="H68" s="266" t="s">
        <v>301</v>
      </c>
    </row>
    <row r="69" spans="1:8" hidden="1" outlineLevel="1">
      <c r="A69" s="162"/>
      <c r="C69" s="103" t="s">
        <v>117</v>
      </c>
      <c r="D69" s="194">
        <v>0.02</v>
      </c>
      <c r="E69" s="194">
        <v>0.01</v>
      </c>
      <c r="F69" s="194">
        <v>0.05</v>
      </c>
      <c r="G69" s="97"/>
      <c r="H69" s="267"/>
    </row>
    <row r="70" spans="1:8" hidden="1" outlineLevel="1">
      <c r="A70" s="161"/>
      <c r="C70" s="88" t="s">
        <v>118</v>
      </c>
      <c r="D70" s="194">
        <v>0.03</v>
      </c>
      <c r="E70" s="194">
        <v>0.02</v>
      </c>
      <c r="F70" s="194">
        <v>0.04</v>
      </c>
      <c r="G70" s="89"/>
      <c r="H70" s="149" t="s">
        <v>121</v>
      </c>
    </row>
    <row r="71" spans="1:8" hidden="1" outlineLevel="1">
      <c r="A71" s="161"/>
      <c r="C71" s="90" t="s">
        <v>119</v>
      </c>
      <c r="D71" s="194">
        <v>0.03</v>
      </c>
      <c r="E71" s="194">
        <v>0.02</v>
      </c>
      <c r="F71" s="194">
        <v>0.04</v>
      </c>
      <c r="G71" s="91"/>
      <c r="H71" s="150" t="s">
        <v>281</v>
      </c>
    </row>
    <row r="72" spans="1:8" hidden="1" outlineLevel="1">
      <c r="A72" s="161"/>
      <c r="C72" s="103" t="s">
        <v>120</v>
      </c>
      <c r="D72" s="194">
        <v>0.03</v>
      </c>
      <c r="E72" s="194">
        <v>0.02</v>
      </c>
      <c r="F72" s="194">
        <v>0.04</v>
      </c>
      <c r="G72" s="97"/>
      <c r="H72" s="150" t="s">
        <v>281</v>
      </c>
    </row>
    <row r="73" spans="1:8" hidden="1" outlineLevel="1">
      <c r="A73" s="161"/>
      <c r="C73" s="88" t="s">
        <v>122</v>
      </c>
      <c r="D73" s="204">
        <v>15</v>
      </c>
      <c r="E73" s="204">
        <v>15</v>
      </c>
      <c r="F73" s="204">
        <v>15</v>
      </c>
      <c r="G73" s="114"/>
      <c r="H73" s="149"/>
    </row>
    <row r="74" spans="1:8" hidden="1" outlineLevel="1">
      <c r="A74" s="161"/>
      <c r="C74" s="90" t="s">
        <v>282</v>
      </c>
      <c r="D74" s="194">
        <v>0.5</v>
      </c>
      <c r="E74" s="194">
        <v>0.35</v>
      </c>
      <c r="F74" s="194">
        <v>0.65</v>
      </c>
      <c r="H74" s="150" t="s">
        <v>283</v>
      </c>
    </row>
    <row r="75" spans="1:8" ht="30.4" hidden="1" outlineLevel="1">
      <c r="A75" s="161"/>
      <c r="C75" s="90" t="s">
        <v>123</v>
      </c>
      <c r="D75" s="212">
        <f>IFERROR(ROUND(D74*D46*12/(D9*D10*D11*D73),0),"")</f>
        <v>2</v>
      </c>
      <c r="E75" s="212">
        <f>IFERROR(ROUND(E74*E46*12/(E9*E10*E11*E73),0),"")</f>
        <v>4</v>
      </c>
      <c r="F75" s="212">
        <f>IFERROR(ROUND(F74*F46*12/(F9*F10*F11*F73),0),"")</f>
        <v>2</v>
      </c>
      <c r="G75" s="91"/>
      <c r="H75" s="150" t="s">
        <v>125</v>
      </c>
    </row>
    <row r="76" spans="1:8" hidden="1" outlineLevel="1">
      <c r="A76" s="161"/>
      <c r="C76" s="90" t="s">
        <v>214</v>
      </c>
      <c r="D76" s="243">
        <v>2.5</v>
      </c>
      <c r="E76" s="243">
        <v>4</v>
      </c>
      <c r="F76" s="243">
        <v>2</v>
      </c>
      <c r="G76" s="91"/>
      <c r="H76" s="266" t="s">
        <v>284</v>
      </c>
    </row>
    <row r="77" spans="1:8" hidden="1" outlineLevel="1">
      <c r="A77" s="161"/>
      <c r="C77" s="90" t="s">
        <v>215</v>
      </c>
      <c r="D77" s="243">
        <v>3</v>
      </c>
      <c r="E77" s="243">
        <v>5</v>
      </c>
      <c r="F77" s="243">
        <v>2.5</v>
      </c>
      <c r="G77" s="91"/>
      <c r="H77" s="268"/>
    </row>
    <row r="78" spans="1:8" hidden="1" outlineLevel="1">
      <c r="A78" s="161"/>
      <c r="C78" s="92" t="s">
        <v>315</v>
      </c>
      <c r="D78" s="194">
        <v>0.2</v>
      </c>
      <c r="E78" s="194">
        <v>0.2</v>
      </c>
      <c r="F78" s="194">
        <v>0.2</v>
      </c>
      <c r="G78" s="91"/>
      <c r="H78" s="150"/>
    </row>
    <row r="79" spans="1:8" ht="16.5" hidden="1" customHeight="1" outlineLevel="1">
      <c r="A79" s="161"/>
      <c r="C79" s="90" t="s">
        <v>234</v>
      </c>
      <c r="D79" s="215">
        <f>IFERROR(D76/(D50/(D9*D10*D11*D73*((1+D81)^1))),"")</f>
        <v>0.51500000000000001</v>
      </c>
      <c r="E79" s="215">
        <f>IFERROR(E76/(E50/(E9*E10*E11*E73*((1+E81)^1))),"")</f>
        <v>0.28388571428571424</v>
      </c>
      <c r="F79" s="215">
        <f>IFERROR(F76/(F50/(F9*F10*F11*F73*((1+F81)^1))),"")</f>
        <v>0.59927272727272718</v>
      </c>
      <c r="G79" s="91"/>
      <c r="H79" s="266" t="s">
        <v>285</v>
      </c>
    </row>
    <row r="80" spans="1:8" ht="17.25" hidden="1" customHeight="1" outlineLevel="1">
      <c r="A80" s="161"/>
      <c r="C80" s="90" t="s">
        <v>235</v>
      </c>
      <c r="D80" s="215">
        <f>IFERROR(D77/(D54/(D9*D10*D11*D73*((1+D81)^2))),"")</f>
        <v>0.50923199999999991</v>
      </c>
      <c r="E80" s="215">
        <f>IFERROR(E77/(E54/(E9*E10*E11*E73*((1+E81)^2))),"")</f>
        <v>0.24485142857142853</v>
      </c>
      <c r="F80" s="215">
        <f>IFERROR(F77/(F54/(F9*F10*F11*F73*((1+F81)^2))),"")</f>
        <v>0.64296969696969686</v>
      </c>
      <c r="G80" s="91"/>
      <c r="H80" s="268"/>
    </row>
    <row r="81" spans="1:8" ht="20.25" hidden="1" outlineLevel="1">
      <c r="A81" s="161"/>
      <c r="C81" s="115" t="s">
        <v>131</v>
      </c>
      <c r="D81" s="194">
        <v>0.03</v>
      </c>
      <c r="E81" s="194">
        <v>3.5000000000000003E-2</v>
      </c>
      <c r="F81" s="194">
        <v>0.03</v>
      </c>
      <c r="G81" s="97"/>
      <c r="H81" s="152" t="s">
        <v>126</v>
      </c>
    </row>
    <row r="82" spans="1:8" hidden="1" outlineLevel="1">
      <c r="A82" s="161"/>
      <c r="C82" s="88" t="s">
        <v>127</v>
      </c>
      <c r="D82" s="204">
        <v>17</v>
      </c>
      <c r="E82" s="204">
        <v>17</v>
      </c>
      <c r="F82" s="204">
        <v>17</v>
      </c>
      <c r="G82" s="89"/>
      <c r="H82" s="149"/>
    </row>
    <row r="83" spans="1:8" ht="23.25" hidden="1" outlineLevel="1">
      <c r="A83" s="161"/>
      <c r="C83" s="90" t="s">
        <v>238</v>
      </c>
      <c r="D83" s="193">
        <v>3</v>
      </c>
      <c r="E83" s="193">
        <v>5</v>
      </c>
      <c r="F83" s="193">
        <v>2</v>
      </c>
      <c r="G83" s="91"/>
      <c r="H83" s="150" t="s">
        <v>128</v>
      </c>
    </row>
    <row r="84" spans="1:8" hidden="1" outlineLevel="1">
      <c r="A84" s="161"/>
      <c r="C84" s="90" t="s">
        <v>216</v>
      </c>
      <c r="D84" s="212">
        <f>IFERROR(ROUNDUP(D75/D83,0),"")</f>
        <v>1</v>
      </c>
      <c r="E84" s="212">
        <f>IFERROR(ROUNDUP(E75/E83,0),"")</f>
        <v>1</v>
      </c>
      <c r="F84" s="212">
        <f>IFERROR(ROUNDUP(F75/F83,0),"")</f>
        <v>1</v>
      </c>
      <c r="G84" s="91"/>
      <c r="H84" s="266" t="s">
        <v>129</v>
      </c>
    </row>
    <row r="85" spans="1:8" hidden="1" outlineLevel="1">
      <c r="A85" s="161"/>
      <c r="C85" s="90" t="s">
        <v>217</v>
      </c>
      <c r="D85" s="212">
        <f>IFERROR(ROUNDUP(D76/D83,0),"")</f>
        <v>1</v>
      </c>
      <c r="E85" s="212">
        <f>IFERROR(ROUNDUP(E76/E83,0),"")</f>
        <v>1</v>
      </c>
      <c r="F85" s="212">
        <f>IFERROR(ROUNDUP(F76/F83,0),"")</f>
        <v>1</v>
      </c>
      <c r="G85" s="91"/>
      <c r="H85" s="268"/>
    </row>
    <row r="86" spans="1:8" hidden="1" outlineLevel="1">
      <c r="A86" s="161"/>
      <c r="C86" s="90" t="s">
        <v>218</v>
      </c>
      <c r="D86" s="212">
        <f>IFERROR(ROUNDUP(D77/D83,0),"")</f>
        <v>1</v>
      </c>
      <c r="E86" s="212">
        <f>IFERROR(ROUNDUP(E77/E83,0),"")</f>
        <v>1</v>
      </c>
      <c r="F86" s="212">
        <f>IFERROR(ROUNDUP(F77/F83,0),"")</f>
        <v>2</v>
      </c>
      <c r="G86" s="91"/>
      <c r="H86" s="268"/>
    </row>
    <row r="87" spans="1:8" hidden="1" outlineLevel="1">
      <c r="A87" s="161"/>
      <c r="C87" s="90" t="s">
        <v>316</v>
      </c>
      <c r="D87" s="194">
        <v>0.3</v>
      </c>
      <c r="E87" s="194">
        <v>0.3</v>
      </c>
      <c r="F87" s="194">
        <v>0.3</v>
      </c>
      <c r="G87" s="91"/>
      <c r="H87" s="150"/>
    </row>
    <row r="88" spans="1:8" ht="20.25" hidden="1" outlineLevel="1">
      <c r="A88" s="161"/>
      <c r="C88" s="103" t="s">
        <v>132</v>
      </c>
      <c r="D88" s="194">
        <v>0.03</v>
      </c>
      <c r="E88" s="194">
        <v>0.03</v>
      </c>
      <c r="F88" s="194">
        <v>0.03</v>
      </c>
      <c r="G88" s="97"/>
      <c r="H88" s="152" t="s">
        <v>126</v>
      </c>
    </row>
    <row r="89" spans="1:8" s="104" customFormat="1" ht="11.65" collapsed="1">
      <c r="A89" s="261" t="s">
        <v>35</v>
      </c>
      <c r="B89" s="261"/>
      <c r="C89" s="261"/>
      <c r="D89" s="261"/>
      <c r="E89" s="261"/>
      <c r="F89" s="261"/>
      <c r="G89" s="261"/>
      <c r="H89" s="261"/>
    </row>
    <row r="90" spans="1:8" ht="6.4" customHeight="1">
      <c r="C90" s="105"/>
      <c r="D90" s="87"/>
      <c r="E90" s="87"/>
      <c r="F90" s="87"/>
      <c r="H90" s="72"/>
    </row>
    <row r="91" spans="1:8" ht="13.9">
      <c r="A91" s="112"/>
      <c r="B91" s="112"/>
      <c r="C91" s="106" t="s">
        <v>130</v>
      </c>
      <c r="D91" s="113"/>
      <c r="E91" s="113"/>
      <c r="F91" s="113"/>
      <c r="G91" s="108"/>
      <c r="H91" s="154"/>
    </row>
    <row r="92" spans="1:8" ht="23.25" hidden="1" outlineLevel="1">
      <c r="C92" s="116" t="s">
        <v>133</v>
      </c>
      <c r="D92" s="57"/>
      <c r="E92" s="57"/>
      <c r="F92" s="57"/>
      <c r="G92" s="94"/>
      <c r="H92" s="151"/>
    </row>
    <row r="93" spans="1:8" hidden="1" outlineLevel="1">
      <c r="C93" s="90" t="s">
        <v>134</v>
      </c>
      <c r="D93" s="194">
        <v>0.3</v>
      </c>
      <c r="E93" s="194">
        <v>0.3</v>
      </c>
      <c r="F93" s="194">
        <v>0.3</v>
      </c>
      <c r="G93" s="91"/>
      <c r="H93" s="150"/>
    </row>
    <row r="94" spans="1:8" ht="20.25" hidden="1" outlineLevel="1">
      <c r="C94" s="90" t="s">
        <v>142</v>
      </c>
      <c r="D94" s="194">
        <v>0.03</v>
      </c>
      <c r="E94" s="194">
        <v>0.03</v>
      </c>
      <c r="F94" s="194">
        <v>0.03</v>
      </c>
      <c r="G94" s="91"/>
      <c r="H94" s="150" t="s">
        <v>126</v>
      </c>
    </row>
    <row r="95" spans="1:8" hidden="1" outlineLevel="1">
      <c r="C95" s="195" t="s">
        <v>326</v>
      </c>
      <c r="D95" s="211">
        <v>5000</v>
      </c>
      <c r="E95" s="211">
        <v>6000</v>
      </c>
      <c r="F95" s="211">
        <v>7000</v>
      </c>
      <c r="G95" s="91" t="s">
        <v>144</v>
      </c>
      <c r="H95" s="150"/>
    </row>
    <row r="96" spans="1:8" hidden="1" outlineLevel="1">
      <c r="C96" s="195" t="s">
        <v>327</v>
      </c>
      <c r="D96" s="211">
        <v>4000</v>
      </c>
      <c r="E96" s="211">
        <v>5000</v>
      </c>
      <c r="F96" s="211">
        <v>6000</v>
      </c>
      <c r="G96" s="91" t="s">
        <v>144</v>
      </c>
      <c r="H96" s="150" t="s">
        <v>143</v>
      </c>
    </row>
    <row r="97" spans="3:8" hidden="1" outlineLevel="1">
      <c r="C97" s="195" t="s">
        <v>135</v>
      </c>
      <c r="D97" s="211">
        <v>0</v>
      </c>
      <c r="E97" s="211">
        <v>0</v>
      </c>
      <c r="F97" s="211">
        <v>0</v>
      </c>
      <c r="G97" s="91" t="s">
        <v>144</v>
      </c>
      <c r="H97" s="150" t="s">
        <v>143</v>
      </c>
    </row>
    <row r="98" spans="3:8" hidden="1" outlineLevel="1">
      <c r="C98" s="195" t="s">
        <v>136</v>
      </c>
      <c r="D98" s="211">
        <v>0</v>
      </c>
      <c r="E98" s="211">
        <v>0</v>
      </c>
      <c r="F98" s="211">
        <v>0</v>
      </c>
      <c r="G98" s="91" t="s">
        <v>144</v>
      </c>
      <c r="H98" s="150" t="s">
        <v>143</v>
      </c>
    </row>
    <row r="99" spans="3:8" hidden="1" outlineLevel="1">
      <c r="C99" s="195" t="s">
        <v>137</v>
      </c>
      <c r="D99" s="211">
        <v>0</v>
      </c>
      <c r="E99" s="211">
        <v>0</v>
      </c>
      <c r="F99" s="211">
        <v>0</v>
      </c>
      <c r="G99" s="91" t="s">
        <v>144</v>
      </c>
      <c r="H99" s="150" t="s">
        <v>143</v>
      </c>
    </row>
    <row r="100" spans="3:8" hidden="1" outlineLevel="1">
      <c r="C100" s="195" t="s">
        <v>138</v>
      </c>
      <c r="D100" s="211">
        <v>0</v>
      </c>
      <c r="E100" s="211">
        <v>0</v>
      </c>
      <c r="F100" s="211">
        <v>0</v>
      </c>
      <c r="G100" s="91" t="s">
        <v>144</v>
      </c>
      <c r="H100" s="150" t="s">
        <v>143</v>
      </c>
    </row>
    <row r="101" spans="3:8" hidden="1" outlineLevel="1">
      <c r="C101" s="195" t="s">
        <v>139</v>
      </c>
      <c r="D101" s="211">
        <v>0</v>
      </c>
      <c r="E101" s="211">
        <v>0</v>
      </c>
      <c r="F101" s="211">
        <v>0</v>
      </c>
      <c r="G101" s="91" t="s">
        <v>144</v>
      </c>
      <c r="H101" s="150" t="s">
        <v>143</v>
      </c>
    </row>
    <row r="102" spans="3:8" hidden="1" outlineLevel="1">
      <c r="C102" s="195" t="s">
        <v>140</v>
      </c>
      <c r="D102" s="211">
        <v>0</v>
      </c>
      <c r="E102" s="211">
        <v>0</v>
      </c>
      <c r="F102" s="211">
        <v>0</v>
      </c>
      <c r="G102" s="91" t="s">
        <v>144</v>
      </c>
      <c r="H102" s="150" t="s">
        <v>143</v>
      </c>
    </row>
    <row r="103" spans="3:8" hidden="1" outlineLevel="1">
      <c r="C103" s="195" t="s">
        <v>141</v>
      </c>
      <c r="D103" s="211">
        <v>0</v>
      </c>
      <c r="E103" s="211">
        <v>0</v>
      </c>
      <c r="F103" s="211">
        <v>0</v>
      </c>
      <c r="G103" s="97" t="s">
        <v>144</v>
      </c>
      <c r="H103" s="152" t="s">
        <v>143</v>
      </c>
    </row>
    <row r="104" spans="3:8" ht="34.9" hidden="1" outlineLevel="1">
      <c r="C104" s="116" t="s">
        <v>146</v>
      </c>
      <c r="D104" s="57"/>
      <c r="E104" s="57"/>
      <c r="F104" s="57"/>
      <c r="G104" s="94"/>
      <c r="H104" s="151"/>
    </row>
    <row r="105" spans="3:8" ht="50.65" hidden="1" outlineLevel="1">
      <c r="C105" s="88" t="s">
        <v>150</v>
      </c>
      <c r="D105" s="204">
        <v>3</v>
      </c>
      <c r="E105" s="204">
        <v>4</v>
      </c>
      <c r="F105" s="204">
        <v>6</v>
      </c>
      <c r="G105" s="117"/>
      <c r="H105" s="149" t="s">
        <v>151</v>
      </c>
    </row>
    <row r="106" spans="3:8" ht="20.25" hidden="1" outlineLevel="1">
      <c r="C106" s="90" t="s">
        <v>147</v>
      </c>
      <c r="D106" s="210">
        <f>IFERROR(D105*D75*D9*D11,0)</f>
        <v>1440</v>
      </c>
      <c r="E106" s="210">
        <f>IFERROR(E105*E75*E9*E11,0)</f>
        <v>3840</v>
      </c>
      <c r="F106" s="210">
        <f>IFERROR(F105*F75*F9*F11,0)</f>
        <v>2880</v>
      </c>
      <c r="G106" s="118"/>
      <c r="H106" s="150" t="s">
        <v>149</v>
      </c>
    </row>
    <row r="107" spans="3:8" ht="20.25" hidden="1" outlineLevel="1">
      <c r="C107" s="90" t="s">
        <v>148</v>
      </c>
      <c r="D107" s="210">
        <f>D106*12</f>
        <v>17280</v>
      </c>
      <c r="E107" s="210">
        <f t="shared" ref="E107:F107" si="6">E106*12</f>
        <v>46080</v>
      </c>
      <c r="F107" s="210">
        <f t="shared" si="6"/>
        <v>34560</v>
      </c>
      <c r="G107" s="118"/>
      <c r="H107" s="150" t="s">
        <v>149</v>
      </c>
    </row>
    <row r="108" spans="3:8" hidden="1" outlineLevel="1">
      <c r="C108" s="90" t="s">
        <v>221</v>
      </c>
      <c r="D108" s="210">
        <f>D105*(1+D12)*D76*D9*D11</f>
        <v>1854</v>
      </c>
      <c r="E108" s="210">
        <f>E105*(1+E12)*E76*E9*E11</f>
        <v>3955.2000000000003</v>
      </c>
      <c r="F108" s="210">
        <f>F105*(1+F12)*F76*F9*F11</f>
        <v>2966.3999999999996</v>
      </c>
      <c r="G108" s="118"/>
      <c r="H108" s="150"/>
    </row>
    <row r="109" spans="3:8" hidden="1" outlineLevel="1">
      <c r="C109" s="90" t="s">
        <v>222</v>
      </c>
      <c r="D109" s="210">
        <f>D108*12</f>
        <v>22248</v>
      </c>
      <c r="E109" s="210">
        <f t="shared" ref="E109:F109" si="7">E108*12</f>
        <v>47462.400000000001</v>
      </c>
      <c r="F109" s="210">
        <f t="shared" si="7"/>
        <v>35596.799999999996</v>
      </c>
      <c r="G109" s="118"/>
      <c r="H109" s="150"/>
    </row>
    <row r="110" spans="3:8" hidden="1" outlineLevel="1">
      <c r="C110" s="90" t="s">
        <v>223</v>
      </c>
      <c r="D110" s="210">
        <f>D105*((1+D12)^2)*D77*D9*D11</f>
        <v>2291.5439999999994</v>
      </c>
      <c r="E110" s="210">
        <f>E105*((1+E12)^2)*E77*E9*E11</f>
        <v>5092.32</v>
      </c>
      <c r="F110" s="210">
        <f>F105*((1+F12)^2)*F77*F9*F11</f>
        <v>3819.24</v>
      </c>
      <c r="G110" s="118"/>
      <c r="H110" s="150"/>
    </row>
    <row r="111" spans="3:8" hidden="1" outlineLevel="1">
      <c r="C111" s="103" t="s">
        <v>224</v>
      </c>
      <c r="D111" s="210">
        <f>D110*12</f>
        <v>27498.527999999991</v>
      </c>
      <c r="E111" s="210">
        <f t="shared" ref="E111:F111" si="8">E110*12</f>
        <v>61107.839999999997</v>
      </c>
      <c r="F111" s="210">
        <f t="shared" si="8"/>
        <v>45830.879999999997</v>
      </c>
      <c r="G111" s="119"/>
      <c r="H111" s="152"/>
    </row>
    <row r="112" spans="3:8" ht="23.25" hidden="1" outlineLevel="1">
      <c r="C112" s="116" t="s">
        <v>152</v>
      </c>
      <c r="D112" s="57"/>
      <c r="E112" s="57"/>
      <c r="F112" s="57"/>
      <c r="G112" s="94"/>
      <c r="H112" s="151"/>
    </row>
    <row r="113" spans="1:8" hidden="1" outlineLevel="1">
      <c r="C113" s="88" t="s">
        <v>153</v>
      </c>
      <c r="D113" s="211">
        <v>150</v>
      </c>
      <c r="E113" s="211">
        <v>100</v>
      </c>
      <c r="F113" s="211">
        <v>200</v>
      </c>
      <c r="G113" s="114"/>
      <c r="H113" s="149"/>
    </row>
    <row r="114" spans="1:8" hidden="1" outlineLevel="1">
      <c r="C114" s="90" t="s">
        <v>154</v>
      </c>
      <c r="D114" s="211">
        <v>150</v>
      </c>
      <c r="E114" s="211">
        <v>100</v>
      </c>
      <c r="F114" s="211">
        <v>200</v>
      </c>
      <c r="H114" s="155"/>
    </row>
    <row r="115" spans="1:8" hidden="1" outlineLevel="1">
      <c r="C115" s="103" t="s">
        <v>328</v>
      </c>
      <c r="D115" s="211">
        <v>160</v>
      </c>
      <c r="E115" s="211">
        <v>160</v>
      </c>
      <c r="F115" s="211">
        <v>200</v>
      </c>
      <c r="G115" s="120"/>
      <c r="H115" s="156"/>
    </row>
    <row r="116" spans="1:8" ht="23.25" hidden="1" outlineLevel="1">
      <c r="C116" s="116" t="s">
        <v>167</v>
      </c>
      <c r="D116" s="57"/>
      <c r="E116" s="57"/>
      <c r="F116" s="57"/>
      <c r="G116" s="94"/>
      <c r="H116" s="151"/>
    </row>
    <row r="117" spans="1:8" hidden="1" outlineLevel="1">
      <c r="C117" s="90" t="s">
        <v>157</v>
      </c>
      <c r="D117" s="211">
        <v>150</v>
      </c>
      <c r="E117" s="211">
        <v>100</v>
      </c>
      <c r="F117" s="211">
        <v>200</v>
      </c>
      <c r="G117" s="91"/>
      <c r="H117" s="150"/>
    </row>
    <row r="118" spans="1:8" hidden="1" outlineLevel="1">
      <c r="C118" s="90" t="s">
        <v>158</v>
      </c>
      <c r="D118" s="211">
        <v>150</v>
      </c>
      <c r="E118" s="211">
        <v>100</v>
      </c>
      <c r="F118" s="211">
        <v>200</v>
      </c>
      <c r="G118" s="91"/>
      <c r="H118" s="150"/>
    </row>
    <row r="119" spans="1:8" hidden="1" outlineLevel="1">
      <c r="C119" s="90" t="s">
        <v>159</v>
      </c>
      <c r="D119" s="211"/>
      <c r="E119" s="211"/>
      <c r="F119" s="211"/>
      <c r="G119" s="91"/>
      <c r="H119" s="150"/>
    </row>
    <row r="120" spans="1:8" hidden="1" outlineLevel="1">
      <c r="C120" s="90" t="s">
        <v>160</v>
      </c>
      <c r="D120" s="263" t="s">
        <v>295</v>
      </c>
      <c r="E120" s="264"/>
      <c r="F120" s="265"/>
      <c r="G120" s="91"/>
      <c r="H120" s="150" t="s">
        <v>166</v>
      </c>
    </row>
    <row r="121" spans="1:8" hidden="1" outlineLevel="1">
      <c r="C121" s="195" t="s">
        <v>161</v>
      </c>
      <c r="D121" s="211">
        <v>0</v>
      </c>
      <c r="E121" s="211">
        <v>0</v>
      </c>
      <c r="F121" s="211">
        <v>0</v>
      </c>
      <c r="G121" s="91"/>
      <c r="H121" s="150"/>
    </row>
    <row r="122" spans="1:8" hidden="1" outlineLevel="1">
      <c r="C122" s="195" t="s">
        <v>162</v>
      </c>
      <c r="D122" s="211">
        <v>0</v>
      </c>
      <c r="E122" s="211">
        <v>0</v>
      </c>
      <c r="F122" s="211">
        <v>0</v>
      </c>
      <c r="G122" s="91"/>
      <c r="H122" s="150"/>
    </row>
    <row r="123" spans="1:8" hidden="1" outlineLevel="1">
      <c r="C123" s="195" t="s">
        <v>163</v>
      </c>
      <c r="D123" s="211">
        <v>0</v>
      </c>
      <c r="E123" s="211">
        <v>0</v>
      </c>
      <c r="F123" s="211">
        <v>0</v>
      </c>
      <c r="G123" s="91"/>
      <c r="H123" s="150"/>
    </row>
    <row r="124" spans="1:8" hidden="1" outlineLevel="1">
      <c r="C124" s="195" t="s">
        <v>164</v>
      </c>
      <c r="D124" s="211">
        <v>0</v>
      </c>
      <c r="E124" s="211">
        <v>0</v>
      </c>
      <c r="F124" s="211">
        <v>0</v>
      </c>
      <c r="G124" s="91"/>
      <c r="H124" s="150"/>
    </row>
    <row r="125" spans="1:8" hidden="1" outlineLevel="1">
      <c r="C125" s="195" t="s">
        <v>165</v>
      </c>
      <c r="D125" s="211">
        <v>0</v>
      </c>
      <c r="E125" s="211">
        <v>0</v>
      </c>
      <c r="F125" s="211">
        <v>0</v>
      </c>
      <c r="G125" s="97"/>
      <c r="H125" s="152"/>
    </row>
    <row r="126" spans="1:8" s="104" customFormat="1" ht="11.65" collapsed="1">
      <c r="A126" s="261" t="s">
        <v>35</v>
      </c>
      <c r="B126" s="261"/>
      <c r="C126" s="261"/>
      <c r="D126" s="261"/>
      <c r="E126" s="261"/>
      <c r="F126" s="261"/>
      <c r="G126" s="261"/>
      <c r="H126" s="261"/>
    </row>
    <row r="127" spans="1:8" ht="6.4" customHeight="1"/>
    <row r="128" spans="1:8" ht="13.9">
      <c r="A128" s="112"/>
      <c r="B128" s="112"/>
      <c r="C128" s="121" t="s">
        <v>309</v>
      </c>
      <c r="D128" s="113"/>
      <c r="E128" s="113"/>
      <c r="F128" s="113"/>
      <c r="G128" s="108"/>
      <c r="H128" s="153"/>
    </row>
    <row r="129" spans="3:8" ht="35.25" hidden="1" outlineLevel="1" thickBot="1">
      <c r="C129" s="122" t="s">
        <v>308</v>
      </c>
      <c r="D129" s="57"/>
      <c r="E129" s="57"/>
      <c r="F129" s="57"/>
      <c r="G129" s="94"/>
      <c r="H129" s="151"/>
    </row>
    <row r="130" spans="3:8" hidden="1" outlineLevel="1">
      <c r="C130" s="195" t="s">
        <v>168</v>
      </c>
      <c r="D130" s="211">
        <v>0</v>
      </c>
      <c r="E130" s="211">
        <v>0</v>
      </c>
      <c r="F130" s="211">
        <v>0</v>
      </c>
      <c r="G130" s="139"/>
      <c r="H130" s="157" t="s">
        <v>169</v>
      </c>
    </row>
    <row r="131" spans="3:8" ht="13.9" hidden="1" outlineLevel="1" thickBot="1">
      <c r="C131" s="140" t="s">
        <v>261</v>
      </c>
      <c r="D131" s="193"/>
      <c r="E131" s="193"/>
      <c r="F131" s="193"/>
      <c r="G131" s="141"/>
      <c r="H131" s="158" t="s">
        <v>256</v>
      </c>
    </row>
    <row r="132" spans="3:8" hidden="1" outlineLevel="1">
      <c r="C132" s="195" t="s">
        <v>170</v>
      </c>
      <c r="D132" s="211">
        <v>0</v>
      </c>
      <c r="E132" s="211">
        <v>0</v>
      </c>
      <c r="F132" s="211">
        <v>0</v>
      </c>
      <c r="G132" s="142"/>
      <c r="H132" s="159" t="s">
        <v>169</v>
      </c>
    </row>
    <row r="133" spans="3:8" ht="13.9" hidden="1" outlineLevel="1" thickBot="1">
      <c r="C133" s="140" t="s">
        <v>262</v>
      </c>
      <c r="D133" s="193"/>
      <c r="E133" s="193"/>
      <c r="F133" s="193"/>
      <c r="G133" s="141"/>
      <c r="H133" s="158" t="s">
        <v>256</v>
      </c>
    </row>
    <row r="134" spans="3:8" hidden="1" outlineLevel="1">
      <c r="C134" s="195" t="s">
        <v>171</v>
      </c>
      <c r="D134" s="211">
        <v>0</v>
      </c>
      <c r="E134" s="211">
        <v>0</v>
      </c>
      <c r="F134" s="211">
        <v>0</v>
      </c>
      <c r="G134" s="142"/>
      <c r="H134" s="159" t="s">
        <v>169</v>
      </c>
    </row>
    <row r="135" spans="3:8" ht="13.9" hidden="1" outlineLevel="1" thickBot="1">
      <c r="C135" s="140" t="s">
        <v>263</v>
      </c>
      <c r="D135" s="193"/>
      <c r="E135" s="193"/>
      <c r="F135" s="193"/>
      <c r="G135" s="141"/>
      <c r="H135" s="158" t="s">
        <v>256</v>
      </c>
    </row>
    <row r="136" spans="3:8" hidden="1" outlineLevel="1">
      <c r="C136" s="195" t="s">
        <v>172</v>
      </c>
      <c r="D136" s="211">
        <v>0</v>
      </c>
      <c r="E136" s="211">
        <v>0</v>
      </c>
      <c r="F136" s="211">
        <v>0</v>
      </c>
      <c r="G136" s="142"/>
      <c r="H136" s="159" t="s">
        <v>169</v>
      </c>
    </row>
    <row r="137" spans="3:8" ht="13.9" hidden="1" outlineLevel="1" thickBot="1">
      <c r="C137" s="140" t="s">
        <v>264</v>
      </c>
      <c r="D137" s="193"/>
      <c r="E137" s="193"/>
      <c r="F137" s="193"/>
      <c r="G137" s="141"/>
      <c r="H137" s="158" t="s">
        <v>256</v>
      </c>
    </row>
    <row r="138" spans="3:8" hidden="1" outlineLevel="1">
      <c r="C138" s="195" t="s">
        <v>173</v>
      </c>
      <c r="D138" s="211">
        <v>0</v>
      </c>
      <c r="E138" s="211">
        <v>0</v>
      </c>
      <c r="F138" s="211">
        <v>0</v>
      </c>
      <c r="G138" s="142"/>
      <c r="H138" s="159" t="s">
        <v>169</v>
      </c>
    </row>
    <row r="139" spans="3:8" ht="13.9" hidden="1" outlineLevel="1" thickBot="1">
      <c r="C139" s="140" t="s">
        <v>265</v>
      </c>
      <c r="D139" s="193"/>
      <c r="E139" s="193"/>
      <c r="F139" s="193"/>
      <c r="G139" s="141"/>
      <c r="H139" s="158" t="s">
        <v>256</v>
      </c>
    </row>
    <row r="140" spans="3:8" ht="58.5" hidden="1" outlineLevel="1" thickBot="1">
      <c r="C140" s="143" t="s">
        <v>313</v>
      </c>
      <c r="D140" s="144"/>
      <c r="E140" s="144"/>
      <c r="F140" s="144"/>
      <c r="G140" s="145"/>
      <c r="H140" s="160"/>
    </row>
    <row r="141" spans="3:8" hidden="1" outlineLevel="1">
      <c r="C141" s="195" t="s">
        <v>330</v>
      </c>
      <c r="D141" s="211">
        <v>150</v>
      </c>
      <c r="E141" s="211">
        <v>0</v>
      </c>
      <c r="F141" s="211">
        <v>0</v>
      </c>
      <c r="G141" s="146"/>
      <c r="H141" s="159" t="s">
        <v>188</v>
      </c>
    </row>
    <row r="142" spans="3:8" ht="13.9" hidden="1" outlineLevel="1" thickBot="1">
      <c r="C142" s="147" t="s">
        <v>180</v>
      </c>
      <c r="D142" s="193">
        <v>2</v>
      </c>
      <c r="E142" s="193"/>
      <c r="F142" s="193"/>
      <c r="G142" s="148"/>
      <c r="H142" s="158" t="s">
        <v>314</v>
      </c>
    </row>
    <row r="143" spans="3:8" hidden="1" outlineLevel="1">
      <c r="C143" s="195" t="s">
        <v>331</v>
      </c>
      <c r="D143" s="211">
        <v>250</v>
      </c>
      <c r="E143" s="211">
        <v>0</v>
      </c>
      <c r="F143" s="211">
        <v>0</v>
      </c>
      <c r="G143" s="146"/>
      <c r="H143" s="159" t="s">
        <v>188</v>
      </c>
    </row>
    <row r="144" spans="3:8" ht="13.9" hidden="1" outlineLevel="1" thickBot="1">
      <c r="C144" s="147" t="s">
        <v>181</v>
      </c>
      <c r="D144" s="193">
        <v>3</v>
      </c>
      <c r="E144" s="193"/>
      <c r="F144" s="193"/>
      <c r="G144" s="148"/>
      <c r="H144" s="158" t="s">
        <v>314</v>
      </c>
    </row>
    <row r="145" spans="1:8" hidden="1" outlineLevel="1">
      <c r="C145" s="195" t="s">
        <v>174</v>
      </c>
      <c r="D145" s="211">
        <v>0</v>
      </c>
      <c r="E145" s="211">
        <v>0</v>
      </c>
      <c r="F145" s="211">
        <v>0</v>
      </c>
      <c r="G145" s="146"/>
      <c r="H145" s="159" t="s">
        <v>188</v>
      </c>
    </row>
    <row r="146" spans="1:8" ht="13.9" hidden="1" outlineLevel="1" thickBot="1">
      <c r="C146" s="147" t="s">
        <v>182</v>
      </c>
      <c r="D146" s="193"/>
      <c r="E146" s="193"/>
      <c r="F146" s="193"/>
      <c r="G146" s="148"/>
      <c r="H146" s="158" t="s">
        <v>314</v>
      </c>
    </row>
    <row r="147" spans="1:8" hidden="1" outlineLevel="1">
      <c r="C147" s="195" t="s">
        <v>175</v>
      </c>
      <c r="D147" s="211">
        <v>0</v>
      </c>
      <c r="E147" s="211">
        <v>0</v>
      </c>
      <c r="F147" s="211">
        <v>0</v>
      </c>
      <c r="G147" s="146"/>
      <c r="H147" s="159" t="s">
        <v>188</v>
      </c>
    </row>
    <row r="148" spans="1:8" ht="13.9" hidden="1" outlineLevel="1" thickBot="1">
      <c r="C148" s="147" t="s">
        <v>183</v>
      </c>
      <c r="D148" s="193"/>
      <c r="E148" s="193"/>
      <c r="F148" s="193"/>
      <c r="G148" s="148"/>
      <c r="H148" s="158" t="s">
        <v>314</v>
      </c>
    </row>
    <row r="149" spans="1:8" hidden="1" outlineLevel="1">
      <c r="C149" s="195" t="s">
        <v>176</v>
      </c>
      <c r="D149" s="211">
        <v>0</v>
      </c>
      <c r="E149" s="211">
        <v>0</v>
      </c>
      <c r="F149" s="211">
        <v>0</v>
      </c>
      <c r="G149" s="146"/>
      <c r="H149" s="159" t="s">
        <v>188</v>
      </c>
    </row>
    <row r="150" spans="1:8" ht="13.9" hidden="1" outlineLevel="1" thickBot="1">
      <c r="C150" s="147" t="s">
        <v>184</v>
      </c>
      <c r="D150" s="193"/>
      <c r="E150" s="193"/>
      <c r="F150" s="193"/>
      <c r="G150" s="148"/>
      <c r="H150" s="158" t="s">
        <v>314</v>
      </c>
    </row>
    <row r="151" spans="1:8" hidden="1" outlineLevel="1">
      <c r="C151" s="195" t="s">
        <v>177</v>
      </c>
      <c r="D151" s="211">
        <v>0</v>
      </c>
      <c r="E151" s="211">
        <v>0</v>
      </c>
      <c r="F151" s="211">
        <v>0</v>
      </c>
      <c r="G151" s="146"/>
      <c r="H151" s="159" t="s">
        <v>188</v>
      </c>
    </row>
    <row r="152" spans="1:8" ht="13.9" hidden="1" outlineLevel="1" thickBot="1">
      <c r="C152" s="147" t="s">
        <v>185</v>
      </c>
      <c r="D152" s="193"/>
      <c r="E152" s="193"/>
      <c r="F152" s="193"/>
      <c r="G152" s="148"/>
      <c r="H152" s="158" t="s">
        <v>314</v>
      </c>
    </row>
    <row r="153" spans="1:8" hidden="1" outlineLevel="1">
      <c r="C153" s="195" t="s">
        <v>178</v>
      </c>
      <c r="D153" s="211">
        <v>0</v>
      </c>
      <c r="E153" s="211">
        <v>0</v>
      </c>
      <c r="F153" s="211">
        <v>0</v>
      </c>
      <c r="G153" s="146"/>
      <c r="H153" s="159" t="s">
        <v>188</v>
      </c>
    </row>
    <row r="154" spans="1:8" ht="13.9" hidden="1" outlineLevel="1" thickBot="1">
      <c r="C154" s="147" t="s">
        <v>186</v>
      </c>
      <c r="D154" s="193"/>
      <c r="E154" s="193"/>
      <c r="F154" s="193"/>
      <c r="G154" s="148"/>
      <c r="H154" s="158" t="s">
        <v>314</v>
      </c>
    </row>
    <row r="155" spans="1:8" hidden="1" outlineLevel="1">
      <c r="C155" s="195" t="s">
        <v>179</v>
      </c>
      <c r="D155" s="211">
        <v>0</v>
      </c>
      <c r="E155" s="211">
        <v>0</v>
      </c>
      <c r="F155" s="211">
        <v>0</v>
      </c>
      <c r="G155" s="146"/>
      <c r="H155" s="159" t="s">
        <v>188</v>
      </c>
    </row>
    <row r="156" spans="1:8" ht="13.9" hidden="1" outlineLevel="1" thickBot="1">
      <c r="C156" s="147" t="s">
        <v>187</v>
      </c>
      <c r="D156" s="193"/>
      <c r="E156" s="193"/>
      <c r="F156" s="193"/>
      <c r="G156" s="148"/>
      <c r="H156" s="158" t="s">
        <v>314</v>
      </c>
    </row>
    <row r="157" spans="1:8" s="104" customFormat="1" ht="11.65" collapsed="1">
      <c r="A157" s="261" t="s">
        <v>35</v>
      </c>
      <c r="B157" s="261"/>
      <c r="C157" s="261"/>
      <c r="D157" s="261"/>
      <c r="E157" s="261"/>
      <c r="F157" s="261"/>
      <c r="G157" s="261"/>
      <c r="H157" s="261"/>
    </row>
    <row r="158" spans="1:8">
      <c r="C158" s="105"/>
    </row>
    <row r="159" spans="1:8" ht="29.75" customHeight="1">
      <c r="A159" s="206">
        <v>4</v>
      </c>
      <c r="B159" s="201"/>
      <c r="C159" s="201" t="s">
        <v>252</v>
      </c>
      <c r="D159" s="262"/>
      <c r="E159" s="262"/>
      <c r="F159" s="262"/>
      <c r="G159" s="262"/>
      <c r="H159" s="262"/>
    </row>
    <row r="160" spans="1:8" ht="30.4" hidden="1" outlineLevel="1">
      <c r="C160" s="123" t="str">
        <f>IF(D13="New Business","Available Startup Capital","Cash On Hand at Start of Modeling Period")</f>
        <v>Available Startup Capital</v>
      </c>
      <c r="D160" s="211">
        <v>0</v>
      </c>
      <c r="E160" s="211">
        <v>0</v>
      </c>
      <c r="F160" s="211">
        <v>0</v>
      </c>
      <c r="G160" s="91"/>
      <c r="H160" s="72" t="s">
        <v>242</v>
      </c>
    </row>
    <row r="161" spans="3:8" hidden="1" outlineLevel="1">
      <c r="C161" s="105"/>
    </row>
    <row r="162" spans="3:8" ht="13.9" hidden="1" outlineLevel="1">
      <c r="C162" s="106" t="s">
        <v>202</v>
      </c>
      <c r="D162" s="113"/>
      <c r="E162" s="113"/>
      <c r="F162" s="113"/>
      <c r="G162" s="108"/>
      <c r="H162" s="153"/>
    </row>
    <row r="163" spans="3:8" hidden="1" outlineLevel="1">
      <c r="C163" s="123" t="s">
        <v>47</v>
      </c>
      <c r="D163" s="210">
        <f>IF(D14&lt;&gt;"Lease",D19*D16,0)</f>
        <v>300000</v>
      </c>
      <c r="E163" s="210">
        <f>IF(E14&lt;&gt;"Lease",E19*E16,0)</f>
        <v>250000</v>
      </c>
      <c r="F163" s="210">
        <f>IF(F14&lt;&gt;"Lease",F19*F16,0)</f>
        <v>350000</v>
      </c>
      <c r="G163" s="91"/>
      <c r="H163" s="72"/>
    </row>
    <row r="164" spans="3:8" hidden="1" outlineLevel="1">
      <c r="C164" s="123" t="s">
        <v>48</v>
      </c>
      <c r="D164" s="214">
        <v>0.25</v>
      </c>
      <c r="E164" s="214">
        <v>0.3</v>
      </c>
      <c r="F164" s="214">
        <v>0.25</v>
      </c>
      <c r="G164" s="91"/>
      <c r="H164" s="72" t="s">
        <v>49</v>
      </c>
    </row>
    <row r="165" spans="3:8" hidden="1" outlineLevel="1">
      <c r="C165" s="123" t="s">
        <v>50</v>
      </c>
      <c r="D165" s="214">
        <v>0.05</v>
      </c>
      <c r="E165" s="214">
        <v>0.05</v>
      </c>
      <c r="F165" s="214">
        <v>0.05</v>
      </c>
      <c r="G165" s="91"/>
      <c r="H165" s="72" t="s">
        <v>49</v>
      </c>
    </row>
    <row r="166" spans="3:8" hidden="1" outlineLevel="1">
      <c r="C166" s="123" t="s">
        <v>52</v>
      </c>
      <c r="D166" s="195">
        <v>0.08</v>
      </c>
      <c r="E166" s="195">
        <v>0.08</v>
      </c>
      <c r="F166" s="195">
        <v>0.08</v>
      </c>
      <c r="G166" s="91"/>
      <c r="H166" s="72"/>
    </row>
    <row r="167" spans="3:8" hidden="1" outlineLevel="1">
      <c r="C167" s="123" t="s">
        <v>54</v>
      </c>
      <c r="D167" s="193">
        <v>25</v>
      </c>
      <c r="E167" s="193">
        <v>25</v>
      </c>
      <c r="F167" s="193">
        <v>25</v>
      </c>
      <c r="G167" s="91"/>
      <c r="H167" s="72"/>
    </row>
    <row r="168" spans="3:8" hidden="1" outlineLevel="1">
      <c r="C168" s="105"/>
    </row>
    <row r="169" spans="3:8" ht="13.9" hidden="1" outlineLevel="1">
      <c r="C169" s="106" t="s">
        <v>266</v>
      </c>
      <c r="D169" s="113"/>
      <c r="E169" s="113"/>
      <c r="F169" s="113"/>
      <c r="G169" s="108"/>
      <c r="H169" s="153"/>
    </row>
    <row r="170" spans="3:8" hidden="1" outlineLevel="1">
      <c r="C170" s="123" t="s">
        <v>13</v>
      </c>
      <c r="D170" s="211">
        <v>0</v>
      </c>
      <c r="E170" s="211">
        <v>0</v>
      </c>
      <c r="F170" s="211">
        <v>0</v>
      </c>
      <c r="G170" s="91"/>
      <c r="H170" s="72" t="str">
        <f>IF(AND(D170*D172*D173=0,D170&gt;0),"WARNING - Check that you have entered values for Month Borrowed, Interest Rate, and Repayment Terms for all loans",IF(AND(E170*E172*E173=0,E170&gt;0),"WARNING - Check that you have entered values for Month Borrowed, Interest Rate, and Repayment Terms for all loans",IF(AND(F170*F172*F173=0,F170&gt;0),"WARNING - Check that you have entered values for Month Borrowed, Interest Rate, and Repayment Terms for all loans","")))</f>
        <v/>
      </c>
    </row>
    <row r="171" spans="3:8" ht="20.25" hidden="1" outlineLevel="1">
      <c r="C171" s="123" t="s">
        <v>246</v>
      </c>
      <c r="D171" s="193">
        <v>0</v>
      </c>
      <c r="E171" s="193">
        <v>0</v>
      </c>
      <c r="F171" s="193">
        <v>0</v>
      </c>
      <c r="G171" s="91"/>
      <c r="H171" s="72" t="s">
        <v>270</v>
      </c>
    </row>
    <row r="172" spans="3:8" hidden="1" outlineLevel="1">
      <c r="C172" s="123" t="s">
        <v>55</v>
      </c>
      <c r="D172" s="195">
        <v>0</v>
      </c>
      <c r="E172" s="195">
        <v>0</v>
      </c>
      <c r="F172" s="195">
        <v>0</v>
      </c>
      <c r="G172" s="91"/>
      <c r="H172" s="72"/>
    </row>
    <row r="173" spans="3:8" hidden="1" outlineLevel="1">
      <c r="C173" s="123" t="s">
        <v>54</v>
      </c>
      <c r="D173" s="193">
        <v>0</v>
      </c>
      <c r="E173" s="193">
        <v>0</v>
      </c>
      <c r="F173" s="193">
        <v>0</v>
      </c>
      <c r="G173" s="91"/>
      <c r="H173" s="72"/>
    </row>
    <row r="174" spans="3:8" hidden="1" outlineLevel="1">
      <c r="C174" s="105"/>
    </row>
    <row r="175" spans="3:8" ht="13.9" hidden="1" outlineLevel="1">
      <c r="C175" s="106" t="s">
        <v>267</v>
      </c>
      <c r="D175" s="113"/>
      <c r="E175" s="113"/>
      <c r="F175" s="113"/>
      <c r="G175" s="108"/>
      <c r="H175" s="153"/>
    </row>
    <row r="176" spans="3:8" hidden="1" outlineLevel="1">
      <c r="C176" s="123" t="s">
        <v>13</v>
      </c>
      <c r="D176" s="211">
        <v>0</v>
      </c>
      <c r="E176" s="211">
        <v>0</v>
      </c>
      <c r="F176" s="211">
        <v>0</v>
      </c>
      <c r="G176" s="91"/>
      <c r="H176" s="72" t="str">
        <f>IF(AND(D176*D178*D179=0,D176&gt;0),"WARNING - Check that you have entered values for Month Borrowed, Interest Rate, and Repayment Terms for all loans",IF(AND(E176*E178*E179=0,E176&gt;0),"WARNING - Check that you have entered values for Month Borrowed, Interest Rate, and Repayment Terms for all loans",IF(AND(F176*F178*F179=0,F176&gt;0),"WARNING - Check that you have entered values for Month Borrowed, Interest Rate, and Repayment Terms for all loans","")))</f>
        <v/>
      </c>
    </row>
    <row r="177" spans="3:8" ht="20.25" hidden="1" outlineLevel="1">
      <c r="C177" s="123" t="s">
        <v>246</v>
      </c>
      <c r="D177" s="193">
        <v>0</v>
      </c>
      <c r="E177" s="193">
        <v>0</v>
      </c>
      <c r="F177" s="193">
        <v>0</v>
      </c>
      <c r="G177" s="91"/>
      <c r="H177" s="72" t="s">
        <v>270</v>
      </c>
    </row>
    <row r="178" spans="3:8" hidden="1" outlineLevel="1">
      <c r="C178" s="123" t="s">
        <v>55</v>
      </c>
      <c r="D178" s="195">
        <v>0</v>
      </c>
      <c r="E178" s="195">
        <v>0</v>
      </c>
      <c r="F178" s="195">
        <v>0</v>
      </c>
      <c r="G178" s="91"/>
      <c r="H178" s="72"/>
    </row>
    <row r="179" spans="3:8" hidden="1" outlineLevel="1">
      <c r="C179" s="123" t="s">
        <v>54</v>
      </c>
      <c r="D179" s="193">
        <v>0</v>
      </c>
      <c r="E179" s="193">
        <v>0</v>
      </c>
      <c r="F179" s="193">
        <v>0</v>
      </c>
      <c r="G179" s="91"/>
      <c r="H179" s="72"/>
    </row>
    <row r="180" spans="3:8" hidden="1" outlineLevel="1">
      <c r="C180" s="105"/>
    </row>
    <row r="181" spans="3:8" ht="13.9" hidden="1" outlineLevel="1">
      <c r="C181" s="106" t="s">
        <v>268</v>
      </c>
      <c r="D181" s="113"/>
      <c r="E181" s="113"/>
      <c r="F181" s="113"/>
      <c r="G181" s="108"/>
      <c r="H181" s="153"/>
    </row>
    <row r="182" spans="3:8" hidden="1" outlineLevel="1">
      <c r="C182" s="123" t="s">
        <v>13</v>
      </c>
      <c r="D182" s="211">
        <v>0</v>
      </c>
      <c r="E182" s="211">
        <v>0</v>
      </c>
      <c r="F182" s="211">
        <v>0</v>
      </c>
      <c r="G182" s="91"/>
      <c r="H182" s="72" t="str">
        <f>IF(AND(D182*D184*D185=0,D182&gt;0),"WARNING - Check that you have entered values for Month Borrowed, Interest Rate, and Repayment Terms for all loans",IF(AND(E182*E184*E185=0,E182&gt;0),"WARNING - Check that you have entered values for Month Borrowed, Interest Rate, and Repayment Terms for all loans",IF(AND(F182*F184*F185=0,F182&gt;0),"WARNING - Check that you have entered values for Month Borrowed, Interest Rate, and Repayment Terms for all loans","")))</f>
        <v/>
      </c>
    </row>
    <row r="183" spans="3:8" ht="20.25" hidden="1" outlineLevel="1">
      <c r="C183" s="123" t="s">
        <v>246</v>
      </c>
      <c r="D183" s="193">
        <v>0</v>
      </c>
      <c r="E183" s="193">
        <v>0</v>
      </c>
      <c r="F183" s="193">
        <v>0</v>
      </c>
      <c r="G183" s="91"/>
      <c r="H183" s="72" t="s">
        <v>270</v>
      </c>
    </row>
    <row r="184" spans="3:8" hidden="1" outlineLevel="1">
      <c r="C184" s="123" t="s">
        <v>55</v>
      </c>
      <c r="D184" s="195">
        <v>0</v>
      </c>
      <c r="E184" s="195">
        <v>0</v>
      </c>
      <c r="F184" s="195">
        <v>0</v>
      </c>
      <c r="G184" s="91"/>
      <c r="H184" s="72"/>
    </row>
    <row r="185" spans="3:8" hidden="1" outlineLevel="1">
      <c r="C185" s="123" t="s">
        <v>54</v>
      </c>
      <c r="D185" s="193">
        <v>0</v>
      </c>
      <c r="E185" s="193">
        <v>0</v>
      </c>
      <c r="F185" s="193">
        <v>0</v>
      </c>
      <c r="G185" s="91"/>
      <c r="H185" s="72"/>
    </row>
    <row r="186" spans="3:8" hidden="1" outlineLevel="1">
      <c r="C186" s="105"/>
    </row>
    <row r="187" spans="3:8" ht="13.9" hidden="1" outlineLevel="1">
      <c r="C187" s="106" t="s">
        <v>269</v>
      </c>
      <c r="D187" s="113"/>
      <c r="E187" s="113"/>
      <c r="F187" s="113"/>
      <c r="G187" s="108"/>
      <c r="H187" s="153"/>
    </row>
    <row r="188" spans="3:8" hidden="1" outlineLevel="1">
      <c r="C188" s="123" t="s">
        <v>13</v>
      </c>
      <c r="D188" s="211">
        <v>0</v>
      </c>
      <c r="E188" s="211">
        <v>0</v>
      </c>
      <c r="F188" s="211">
        <v>0</v>
      </c>
      <c r="G188" s="91"/>
      <c r="H188" s="72" t="str">
        <f>IF(AND(D188*D190*D191=0,D188&gt;0),"WARNING - Check that you have entered values for Month Borrowed, Interest Rate, and Repayment Terms for all loans",IF(AND(E188*E190*E191=0,E188&gt;0),"WARNING - Check that you have entered values for Month Borrowed, Interest Rate, and Repayment Terms for all loans",IF(AND(F188*F190*F191=0,F188&gt;0),"WARNING - Check that you have entered values for Month Borrowed, Interest Rate, and Repayment Terms for all loans","")))</f>
        <v/>
      </c>
    </row>
    <row r="189" spans="3:8" ht="20.25" hidden="1" outlineLevel="1">
      <c r="C189" s="123" t="s">
        <v>246</v>
      </c>
      <c r="D189" s="193">
        <v>0</v>
      </c>
      <c r="E189" s="193">
        <v>0</v>
      </c>
      <c r="F189" s="193">
        <v>0</v>
      </c>
      <c r="G189" s="91"/>
      <c r="H189" s="72" t="s">
        <v>270</v>
      </c>
    </row>
    <row r="190" spans="3:8" hidden="1" outlineLevel="1">
      <c r="C190" s="123" t="s">
        <v>55</v>
      </c>
      <c r="D190" s="195">
        <v>0</v>
      </c>
      <c r="E190" s="195">
        <v>0</v>
      </c>
      <c r="F190" s="195">
        <v>0</v>
      </c>
      <c r="G190" s="91"/>
      <c r="H190" s="72"/>
    </row>
    <row r="191" spans="3:8" hidden="1" outlineLevel="1">
      <c r="C191" s="123" t="s">
        <v>54</v>
      </c>
      <c r="D191" s="193">
        <v>0</v>
      </c>
      <c r="E191" s="193">
        <v>0</v>
      </c>
      <c r="F191" s="193">
        <v>0</v>
      </c>
      <c r="G191" s="91"/>
      <c r="H191" s="72"/>
    </row>
    <row r="192" spans="3:8" hidden="1" outlineLevel="1">
      <c r="C192" s="105"/>
    </row>
    <row r="193" spans="1:8" s="104" customFormat="1" ht="11.65" collapsed="1">
      <c r="A193" s="261" t="s">
        <v>35</v>
      </c>
      <c r="B193" s="261"/>
      <c r="C193" s="261"/>
      <c r="D193" s="261"/>
      <c r="E193" s="261"/>
      <c r="F193" s="261"/>
      <c r="G193" s="261"/>
      <c r="H193" s="261"/>
    </row>
    <row r="194" spans="1:8">
      <c r="C194" s="105"/>
    </row>
    <row r="195" spans="1:8">
      <c r="C195" s="105"/>
    </row>
  </sheetData>
  <sheetProtection algorithmName="SHA-512" hashValue="UULe7fWiLwwRcv/QwBDUqXYkOdqCcXhTQD4dq2w0YgxFv+4xFX13Vw1NU3u7ZALbCYPDxbgQbC/10G5ystMQCQ==" saltValue="JqPiaKHDqQ9jmWOIQCB7qw==" spinCount="100000" sheet="1" objects="1" scenarios="1" formatCells="0" formatColumns="0" formatRows="0"/>
  <mergeCells count="15">
    <mergeCell ref="D20:F20"/>
    <mergeCell ref="D120:F120"/>
    <mergeCell ref="H62:H63"/>
    <mergeCell ref="H65:H66"/>
    <mergeCell ref="H68:H69"/>
    <mergeCell ref="H76:H77"/>
    <mergeCell ref="A28:H28"/>
    <mergeCell ref="A57:H57"/>
    <mergeCell ref="H84:H86"/>
    <mergeCell ref="H79:H80"/>
    <mergeCell ref="A89:H89"/>
    <mergeCell ref="A126:H126"/>
    <mergeCell ref="A157:H157"/>
    <mergeCell ref="A193:H193"/>
    <mergeCell ref="D159:H159"/>
  </mergeCells>
  <phoneticPr fontId="2" type="noConversion"/>
  <conditionalFormatting sqref="H15">
    <cfRule type="containsText" dxfId="18" priority="11" operator="containsText" text="Warning">
      <formula>NOT(ISERROR(SEARCH("Warning",H15)))</formula>
    </cfRule>
  </conditionalFormatting>
  <conditionalFormatting sqref="H170">
    <cfRule type="containsText" dxfId="17" priority="10" operator="containsText" text="Warning">
      <formula>NOT(ISERROR(SEARCH("Warning",H170)))</formula>
    </cfRule>
  </conditionalFormatting>
  <conditionalFormatting sqref="H176">
    <cfRule type="containsText" dxfId="16" priority="3" operator="containsText" text="Warning">
      <formula>NOT(ISERROR(SEARCH("Warning",H176)))</formula>
    </cfRule>
  </conditionalFormatting>
  <conditionalFormatting sqref="H182">
    <cfRule type="containsText" dxfId="15" priority="2" operator="containsText" text="Warning">
      <formula>NOT(ISERROR(SEARCH("Warning",H182)))</formula>
    </cfRule>
  </conditionalFormatting>
  <conditionalFormatting sqref="H188">
    <cfRule type="containsText" dxfId="14" priority="1" operator="containsText" text="Warning">
      <formula>NOT(ISERROR(SEARCH("Warning",H188)))</formula>
    </cfRule>
  </conditionalFormatting>
  <dataValidations disablePrompts="1" count="4">
    <dataValidation type="list" allowBlank="1" showInputMessage="1" showErrorMessage="1" sqref="D14" xr:uid="{C06D8B89-BA08-4CE6-AC87-495B4174B3A1}">
      <formula1>"Lease, Purchase"</formula1>
    </dataValidation>
    <dataValidation type="list" allowBlank="1" showInputMessage="1" showErrorMessage="1" sqref="D13" xr:uid="{AACBA9CB-752C-4D1F-A5E9-F32CA6B3D7ED}">
      <formula1>"New Business, Existing Business"</formula1>
    </dataValidation>
    <dataValidation type="whole" allowBlank="1" showInputMessage="1" showErrorMessage="1" sqref="D131:F131 D133:F133 D135:F135 D137:F137 D139:F139" xr:uid="{3FB5DB23-43A0-4B91-9FA7-4323706544AE}">
      <formula1>1</formula1>
      <formula2>36</formula2>
    </dataValidation>
    <dataValidation type="whole" allowBlank="1" showInputMessage="1" showErrorMessage="1" sqref="D142:F142 D144:F144 D146:F146 D148:F148 D150:F150 D152:F152 D154:F154 D156:F156" xr:uid="{921A68B0-CF31-439A-8C81-C1C81DC1AC62}">
      <formula1>1</formula1>
      <formula2>4</formula2>
    </dataValidation>
  </dataValidations>
  <pageMargins left="0.7" right="0.7" top="0.75" bottom="0.75" header="0.3" footer="0.3"/>
  <ignoredErrors>
    <ignoredError sqref="E50:F50"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A5E05-B3DC-42DB-A012-1F9DB54941FF}">
  <sheetPr>
    <tabColor rgb="FFD9E8F5"/>
  </sheetPr>
  <dimension ref="B2:S11"/>
  <sheetViews>
    <sheetView zoomScaleNormal="100" workbookViewId="0">
      <selection activeCell="N10" sqref="N10"/>
    </sheetView>
  </sheetViews>
  <sheetFormatPr defaultRowHeight="14.25"/>
  <cols>
    <col min="1" max="1" width="4.796875" customWidth="1"/>
    <col min="2" max="2" width="33.796875" customWidth="1"/>
    <col min="3" max="14" width="10.3984375" customWidth="1"/>
    <col min="15" max="15" width="10.6640625" customWidth="1"/>
  </cols>
  <sheetData>
    <row r="2" spans="2:19" s="40" customFormat="1" ht="13.9">
      <c r="B2" s="41" t="s">
        <v>195</v>
      </c>
    </row>
    <row r="3" spans="2:19" s="40" customFormat="1" ht="13.9">
      <c r="B3" s="41"/>
    </row>
    <row r="4" spans="2:19">
      <c r="B4" s="200" t="s">
        <v>307</v>
      </c>
    </row>
    <row r="5" spans="2:19">
      <c r="B5" s="165" t="s">
        <v>259</v>
      </c>
      <c r="G5" s="39"/>
      <c r="H5" s="39"/>
      <c r="I5" s="39"/>
      <c r="J5" s="39"/>
      <c r="K5" s="39"/>
      <c r="L5" s="39"/>
      <c r="M5" s="39"/>
      <c r="N5" s="39"/>
      <c r="O5" s="39"/>
      <c r="P5" s="39"/>
      <c r="Q5" s="39"/>
      <c r="R5" s="39"/>
      <c r="S5" s="38"/>
    </row>
    <row r="6" spans="2:19" ht="33.75" customHeight="1">
      <c r="C6" s="269" t="s">
        <v>198</v>
      </c>
      <c r="D6" s="269"/>
      <c r="E6" s="269"/>
      <c r="F6" s="269"/>
      <c r="G6" s="269"/>
      <c r="H6" s="269"/>
      <c r="I6" s="269"/>
      <c r="J6" s="269"/>
      <c r="K6" s="269"/>
      <c r="L6" s="269"/>
      <c r="M6" s="269"/>
      <c r="N6" s="269"/>
      <c r="O6" s="269"/>
    </row>
    <row r="7" spans="2:19" s="74" customFormat="1" ht="28.5">
      <c r="C7" s="78">
        <v>46023</v>
      </c>
      <c r="D7" s="78">
        <v>46054</v>
      </c>
      <c r="E7" s="78">
        <v>46082</v>
      </c>
      <c r="F7" s="78">
        <v>46113</v>
      </c>
      <c r="G7" s="78">
        <v>46143</v>
      </c>
      <c r="H7" s="78">
        <v>46174</v>
      </c>
      <c r="I7" s="78">
        <v>46204</v>
      </c>
      <c r="J7" s="78">
        <v>46235</v>
      </c>
      <c r="K7" s="78">
        <v>46266</v>
      </c>
      <c r="L7" s="78">
        <v>46296</v>
      </c>
      <c r="M7" s="78">
        <v>46327</v>
      </c>
      <c r="N7" s="78">
        <v>46357</v>
      </c>
      <c r="O7" s="79" t="s">
        <v>247</v>
      </c>
    </row>
    <row r="8" spans="2:19" hidden="1">
      <c r="B8" s="62" t="s">
        <v>197</v>
      </c>
      <c r="C8" s="61">
        <f>MONTH(C7)</f>
        <v>1</v>
      </c>
      <c r="D8" s="61">
        <f>MONTH(D7)</f>
        <v>2</v>
      </c>
      <c r="E8" s="61">
        <f t="shared" ref="E8:N8" si="0">MONTH(E7)</f>
        <v>3</v>
      </c>
      <c r="F8" s="61">
        <f t="shared" si="0"/>
        <v>4</v>
      </c>
      <c r="G8" s="61">
        <f t="shared" si="0"/>
        <v>5</v>
      </c>
      <c r="H8" s="61">
        <f t="shared" si="0"/>
        <v>6</v>
      </c>
      <c r="I8" s="61">
        <f t="shared" si="0"/>
        <v>7</v>
      </c>
      <c r="J8" s="61">
        <f t="shared" si="0"/>
        <v>8</v>
      </c>
      <c r="K8" s="61">
        <f t="shared" si="0"/>
        <v>9</v>
      </c>
      <c r="L8" s="61">
        <f t="shared" si="0"/>
        <v>10</v>
      </c>
      <c r="M8" s="61">
        <f t="shared" si="0"/>
        <v>11</v>
      </c>
      <c r="N8" s="61">
        <f t="shared" si="0"/>
        <v>12</v>
      </c>
      <c r="O8" s="61"/>
    </row>
    <row r="9" spans="2:19" s="63" customFormat="1" ht="45.85" customHeight="1">
      <c r="B9" s="184" t="s">
        <v>196</v>
      </c>
      <c r="C9" s="216">
        <v>0.05</v>
      </c>
      <c r="D9" s="216">
        <v>0.05</v>
      </c>
      <c r="E9" s="216">
        <v>0.05</v>
      </c>
      <c r="F9" s="216">
        <v>0.15</v>
      </c>
      <c r="G9" s="216">
        <v>0.15</v>
      </c>
      <c r="H9" s="216">
        <v>0.05</v>
      </c>
      <c r="I9" s="216">
        <v>0.05</v>
      </c>
      <c r="J9" s="216">
        <v>0.15</v>
      </c>
      <c r="K9" s="216">
        <v>0.05</v>
      </c>
      <c r="L9" s="216">
        <v>0.15</v>
      </c>
      <c r="M9" s="216">
        <v>0.05</v>
      </c>
      <c r="N9" s="216">
        <v>0.05</v>
      </c>
      <c r="O9" s="58">
        <f>SUM(C9:N9)</f>
        <v>1.0000000000000002</v>
      </c>
      <c r="P9" s="270" t="s">
        <v>43</v>
      </c>
      <c r="Q9" s="270"/>
    </row>
    <row r="10" spans="2:19" s="63" customFormat="1" ht="45.85" customHeight="1">
      <c r="B10" s="184" t="s">
        <v>248</v>
      </c>
      <c r="C10" s="77">
        <f>Inputs!$D$50*'Seasonality Adjustment'!C9</f>
        <v>7200</v>
      </c>
      <c r="D10" s="77">
        <f>Inputs!$D$50*'Seasonality Adjustment'!D9</f>
        <v>7200</v>
      </c>
      <c r="E10" s="77">
        <f>Inputs!$D$50*'Seasonality Adjustment'!E9</f>
        <v>7200</v>
      </c>
      <c r="F10" s="77">
        <f>Inputs!$D$50*'Seasonality Adjustment'!F9</f>
        <v>21600</v>
      </c>
      <c r="G10" s="77">
        <f>Inputs!$D$50*'Seasonality Adjustment'!G9</f>
        <v>21600</v>
      </c>
      <c r="H10" s="77">
        <f>Inputs!$D$50*'Seasonality Adjustment'!H9</f>
        <v>7200</v>
      </c>
      <c r="I10" s="77">
        <f>Inputs!$D$50*'Seasonality Adjustment'!I9</f>
        <v>7200</v>
      </c>
      <c r="J10" s="77">
        <f>Inputs!$D$50*'Seasonality Adjustment'!J9</f>
        <v>21600</v>
      </c>
      <c r="K10" s="77">
        <f>Inputs!$D$50*'Seasonality Adjustment'!K9</f>
        <v>7200</v>
      </c>
      <c r="L10" s="77">
        <f>Inputs!$D$50*'Seasonality Adjustment'!L9</f>
        <v>21600</v>
      </c>
      <c r="M10" s="77">
        <f>Inputs!$D$50*'Seasonality Adjustment'!M9</f>
        <v>7200</v>
      </c>
      <c r="N10" s="77">
        <f>Inputs!$D$50*'Seasonality Adjustment'!N9</f>
        <v>7200</v>
      </c>
    </row>
    <row r="11" spans="2:19">
      <c r="B11" s="36"/>
      <c r="C11" s="183" t="s">
        <v>296</v>
      </c>
      <c r="D11" s="37"/>
      <c r="E11" s="37"/>
      <c r="F11" s="37"/>
      <c r="G11" s="37"/>
      <c r="H11" s="37"/>
      <c r="I11" s="37"/>
      <c r="J11" s="37"/>
      <c r="K11" s="37"/>
      <c r="L11" s="37"/>
      <c r="M11" s="37"/>
      <c r="N11" s="37"/>
      <c r="O11" s="37"/>
    </row>
  </sheetData>
  <sheetProtection algorithmName="SHA-512" hashValue="tRBRe18nlKnLAig075WXnSzUWG5QKUuvGwiKGRScJN9QhpV3/1kLGAAajm7Cg1ecANEAEuNHk5XTUbu7A/Ei9w==" saltValue="ivRovEvFV1sAJqplguxmWA==" spinCount="100000" sheet="1" objects="1" scenarios="1"/>
  <mergeCells count="2">
    <mergeCell ref="C6:O6"/>
    <mergeCell ref="P9:Q9"/>
  </mergeCells>
  <phoneticPr fontId="2" type="noConversion"/>
  <conditionalFormatting sqref="O9">
    <cfRule type="cellIs" dxfId="13" priority="1" operator="notEqual">
      <formula>1</formula>
    </cfRule>
    <cfRule type="cellIs" dxfId="12" priority="2" operator="equal">
      <formula>1</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62C2B-3C89-46D7-B8A4-A01772A6638D}">
  <sheetPr>
    <tabColor rgb="FF6B7C93"/>
  </sheetPr>
  <dimension ref="A1:AN131"/>
  <sheetViews>
    <sheetView showGridLines="0" zoomScaleNormal="100" workbookViewId="0">
      <pane xSplit="3" ySplit="9" topLeftCell="D10" activePane="bottomRight" state="frozen"/>
      <selection pane="topRight" activeCell="D1" sqref="D1"/>
      <selection pane="bottomLeft" activeCell="A10" sqref="A10"/>
      <selection pane="bottomRight" activeCell="D108" sqref="D108"/>
    </sheetView>
  </sheetViews>
  <sheetFormatPr defaultColWidth="13.33203125" defaultRowHeight="12.4"/>
  <cols>
    <col min="1" max="2" width="8.06640625" style="1" customWidth="1"/>
    <col min="3" max="3" width="48.53125" style="32" customWidth="1"/>
    <col min="4" max="4" width="19.1328125" style="14" customWidth="1"/>
    <col min="5" max="40" width="18.3984375" style="1" customWidth="1"/>
    <col min="41" max="16384" width="13.33203125" style="1"/>
  </cols>
  <sheetData>
    <row r="1" spans="1:40" s="45" customFormat="1" ht="6.85" customHeight="1">
      <c r="A1" s="221"/>
      <c r="B1" s="221"/>
      <c r="C1" s="221"/>
      <c r="D1" s="222"/>
      <c r="E1" s="223"/>
      <c r="F1" s="223"/>
      <c r="G1" s="223"/>
      <c r="H1" s="223"/>
      <c r="I1" s="223"/>
      <c r="J1" s="223"/>
      <c r="K1" s="223"/>
      <c r="L1" s="223"/>
      <c r="M1" s="223"/>
      <c r="N1" s="223"/>
      <c r="O1" s="223"/>
      <c r="P1" s="223"/>
      <c r="Q1" s="223"/>
      <c r="R1" s="223"/>
      <c r="S1" s="223"/>
      <c r="T1" s="223"/>
      <c r="U1" s="223"/>
      <c r="V1" s="223"/>
      <c r="W1" s="223"/>
      <c r="X1" s="223"/>
      <c r="Y1" s="223"/>
      <c r="Z1" s="223"/>
      <c r="AA1" s="223"/>
      <c r="AB1" s="223"/>
      <c r="AC1" s="223"/>
      <c r="AD1" s="223"/>
      <c r="AE1" s="223"/>
      <c r="AF1" s="223"/>
      <c r="AG1" s="223"/>
      <c r="AH1" s="223"/>
      <c r="AI1" s="223"/>
      <c r="AJ1" s="223"/>
      <c r="AK1" s="223"/>
      <c r="AL1" s="223"/>
      <c r="AM1" s="223"/>
      <c r="AN1" s="223"/>
    </row>
    <row r="2" spans="1:40" ht="15">
      <c r="A2" s="221" t="s">
        <v>44</v>
      </c>
      <c r="B2" s="221"/>
      <c r="C2" s="221"/>
      <c r="D2" s="190"/>
      <c r="E2" s="224"/>
      <c r="F2" s="224"/>
      <c r="G2" s="224"/>
      <c r="H2" s="224"/>
      <c r="I2" s="224"/>
      <c r="J2" s="224"/>
      <c r="K2" s="224"/>
      <c r="L2" s="224"/>
      <c r="M2" s="224"/>
      <c r="N2" s="224"/>
      <c r="O2" s="224"/>
      <c r="P2" s="224"/>
      <c r="Q2" s="224"/>
      <c r="R2" s="224"/>
      <c r="S2" s="224"/>
      <c r="T2" s="224"/>
      <c r="U2" s="224"/>
      <c r="V2" s="224"/>
      <c r="W2" s="224"/>
      <c r="X2" s="224"/>
      <c r="Y2" s="224"/>
      <c r="Z2" s="224"/>
      <c r="AA2" s="224"/>
      <c r="AB2" s="224"/>
      <c r="AC2" s="224"/>
      <c r="AD2" s="224"/>
      <c r="AE2" s="224"/>
      <c r="AF2" s="224"/>
      <c r="AG2" s="224"/>
      <c r="AH2" s="224"/>
      <c r="AI2" s="224"/>
      <c r="AJ2" s="224"/>
      <c r="AK2" s="224"/>
      <c r="AL2" s="224"/>
      <c r="AM2" s="224"/>
      <c r="AN2" s="224"/>
    </row>
    <row r="3" spans="1:40" ht="23.25" customHeight="1" thickBot="1">
      <c r="A3" s="272" t="s">
        <v>297</v>
      </c>
      <c r="B3" s="272"/>
      <c r="C3" s="273"/>
      <c r="D3" s="225"/>
      <c r="E3" s="224"/>
      <c r="F3" s="224"/>
      <c r="G3" s="224"/>
      <c r="H3" s="224"/>
      <c r="I3" s="224"/>
      <c r="J3" s="224"/>
      <c r="K3" s="224"/>
      <c r="L3" s="224"/>
      <c r="M3" s="224"/>
      <c r="N3" s="224"/>
      <c r="O3" s="224"/>
      <c r="P3" s="224"/>
      <c r="Q3" s="224"/>
      <c r="R3" s="224"/>
      <c r="S3" s="224"/>
      <c r="T3" s="224"/>
      <c r="U3" s="224"/>
      <c r="V3" s="224"/>
      <c r="W3" s="224"/>
      <c r="X3" s="224"/>
      <c r="Y3" s="224"/>
      <c r="Z3" s="224"/>
      <c r="AA3" s="224"/>
      <c r="AB3" s="224"/>
      <c r="AC3" s="224"/>
      <c r="AD3" s="224"/>
      <c r="AE3" s="224"/>
      <c r="AF3" s="224"/>
      <c r="AG3" s="224"/>
      <c r="AH3" s="224"/>
      <c r="AI3" s="224"/>
      <c r="AJ3" s="224"/>
      <c r="AK3" s="224"/>
      <c r="AL3" s="224"/>
      <c r="AM3" s="224"/>
      <c r="AN3" s="224"/>
    </row>
    <row r="4" spans="1:40" s="16" customFormat="1" hidden="1">
      <c r="A4" s="1"/>
      <c r="B4" s="1"/>
      <c r="C4" s="43" t="s">
        <v>58</v>
      </c>
      <c r="D4" s="29"/>
      <c r="E4" s="59"/>
      <c r="F4" s="59"/>
      <c r="G4" s="59"/>
      <c r="H4" s="59"/>
      <c r="I4" s="59"/>
      <c r="J4" s="59" t="str">
        <f>IF(I4&lt;&gt;"",0,IF(AVERAGE(E97:J97)&gt;=0,"Operating Breakeven Achieved On:",""))</f>
        <v/>
      </c>
      <c r="K4" s="59" t="str">
        <f t="shared" ref="K4:AN4" si="0">IF(J4&lt;&gt;"",0,IF(AVERAGE(F97:K97)&gt;=0,"Operating Breakeven Achieved On:",""))</f>
        <v/>
      </c>
      <c r="L4" s="59" t="str">
        <f t="shared" si="0"/>
        <v/>
      </c>
      <c r="M4" s="59" t="str">
        <f t="shared" si="0"/>
        <v/>
      </c>
      <c r="N4" s="59" t="str">
        <f t="shared" si="0"/>
        <v/>
      </c>
      <c r="O4" s="59" t="str">
        <f t="shared" si="0"/>
        <v/>
      </c>
      <c r="P4" s="59" t="str">
        <f t="shared" si="0"/>
        <v/>
      </c>
      <c r="Q4" s="59" t="str">
        <f t="shared" si="0"/>
        <v/>
      </c>
      <c r="R4" s="59" t="str">
        <f t="shared" si="0"/>
        <v/>
      </c>
      <c r="S4" s="59" t="str">
        <f t="shared" si="0"/>
        <v/>
      </c>
      <c r="T4" s="59" t="str">
        <f t="shared" si="0"/>
        <v/>
      </c>
      <c r="U4" s="59" t="str">
        <f t="shared" si="0"/>
        <v/>
      </c>
      <c r="V4" s="59" t="str">
        <f t="shared" si="0"/>
        <v/>
      </c>
      <c r="W4" s="59" t="str">
        <f t="shared" si="0"/>
        <v/>
      </c>
      <c r="X4" s="59" t="str">
        <f t="shared" si="0"/>
        <v/>
      </c>
      <c r="Y4" s="59" t="str">
        <f t="shared" si="0"/>
        <v/>
      </c>
      <c r="Z4" s="59" t="str">
        <f t="shared" si="0"/>
        <v/>
      </c>
      <c r="AA4" s="59" t="str">
        <f t="shared" si="0"/>
        <v/>
      </c>
      <c r="AB4" s="59" t="str">
        <f t="shared" si="0"/>
        <v/>
      </c>
      <c r="AC4" s="59" t="str">
        <f t="shared" si="0"/>
        <v/>
      </c>
      <c r="AD4" s="59" t="str">
        <f t="shared" si="0"/>
        <v/>
      </c>
      <c r="AE4" s="59" t="str">
        <f t="shared" si="0"/>
        <v/>
      </c>
      <c r="AF4" s="59" t="str">
        <f t="shared" si="0"/>
        <v/>
      </c>
      <c r="AG4" s="59" t="str">
        <f t="shared" si="0"/>
        <v/>
      </c>
      <c r="AH4" s="59" t="str">
        <f t="shared" si="0"/>
        <v/>
      </c>
      <c r="AI4" s="59" t="str">
        <f t="shared" si="0"/>
        <v/>
      </c>
      <c r="AJ4" s="59" t="str">
        <f t="shared" si="0"/>
        <v/>
      </c>
      <c r="AK4" s="59" t="str">
        <f t="shared" si="0"/>
        <v/>
      </c>
      <c r="AL4" s="59" t="str">
        <f t="shared" si="0"/>
        <v/>
      </c>
      <c r="AM4" s="59" t="str">
        <f t="shared" si="0"/>
        <v/>
      </c>
      <c r="AN4" s="59" t="str">
        <f t="shared" si="0"/>
        <v/>
      </c>
    </row>
    <row r="5" spans="1:40" s="16" customFormat="1" ht="12.75" hidden="1" thickBot="1">
      <c r="A5" s="1"/>
      <c r="B5" s="1"/>
      <c r="C5" s="43" t="s">
        <v>193</v>
      </c>
      <c r="D5" s="29"/>
      <c r="E5" s="59" t="str">
        <f>Inputs!D13</f>
        <v>New Business</v>
      </c>
      <c r="F5" s="60">
        <f>Inputs!$D$15</f>
        <v>46447</v>
      </c>
      <c r="G5" s="60"/>
      <c r="H5" s="59"/>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row>
    <row r="6" spans="1:40" ht="17.649999999999999" customHeight="1">
      <c r="A6" s="244"/>
      <c r="B6" s="244"/>
      <c r="C6" s="245" t="s">
        <v>2</v>
      </c>
      <c r="D6" s="247"/>
      <c r="E6" s="246">
        <f>EDATE(F5,0)</f>
        <v>46447</v>
      </c>
      <c r="F6" s="246">
        <f>EDATE(E6,1)</f>
        <v>46478</v>
      </c>
      <c r="G6" s="246">
        <f t="shared" ref="G6:AN6" si="1">EDATE(F6,1)</f>
        <v>46508</v>
      </c>
      <c r="H6" s="246">
        <f t="shared" si="1"/>
        <v>46539</v>
      </c>
      <c r="I6" s="246">
        <f t="shared" si="1"/>
        <v>46569</v>
      </c>
      <c r="J6" s="246">
        <f t="shared" si="1"/>
        <v>46600</v>
      </c>
      <c r="K6" s="246">
        <f t="shared" si="1"/>
        <v>46631</v>
      </c>
      <c r="L6" s="246">
        <f t="shared" si="1"/>
        <v>46661</v>
      </c>
      <c r="M6" s="246">
        <f t="shared" si="1"/>
        <v>46692</v>
      </c>
      <c r="N6" s="246">
        <f t="shared" si="1"/>
        <v>46722</v>
      </c>
      <c r="O6" s="246">
        <f t="shared" si="1"/>
        <v>46753</v>
      </c>
      <c r="P6" s="246">
        <f t="shared" si="1"/>
        <v>46784</v>
      </c>
      <c r="Q6" s="246">
        <f t="shared" si="1"/>
        <v>46813</v>
      </c>
      <c r="R6" s="246">
        <f t="shared" si="1"/>
        <v>46844</v>
      </c>
      <c r="S6" s="246">
        <f t="shared" si="1"/>
        <v>46874</v>
      </c>
      <c r="T6" s="246">
        <f t="shared" si="1"/>
        <v>46905</v>
      </c>
      <c r="U6" s="246">
        <f t="shared" si="1"/>
        <v>46935</v>
      </c>
      <c r="V6" s="246">
        <f t="shared" si="1"/>
        <v>46966</v>
      </c>
      <c r="W6" s="246">
        <f t="shared" si="1"/>
        <v>46997</v>
      </c>
      <c r="X6" s="246">
        <f t="shared" si="1"/>
        <v>47027</v>
      </c>
      <c r="Y6" s="246">
        <f t="shared" si="1"/>
        <v>47058</v>
      </c>
      <c r="Z6" s="246">
        <f t="shared" si="1"/>
        <v>47088</v>
      </c>
      <c r="AA6" s="246">
        <f t="shared" si="1"/>
        <v>47119</v>
      </c>
      <c r="AB6" s="246">
        <f t="shared" si="1"/>
        <v>47150</v>
      </c>
      <c r="AC6" s="246">
        <f t="shared" si="1"/>
        <v>47178</v>
      </c>
      <c r="AD6" s="246">
        <f t="shared" si="1"/>
        <v>47209</v>
      </c>
      <c r="AE6" s="246">
        <f t="shared" si="1"/>
        <v>47239</v>
      </c>
      <c r="AF6" s="246">
        <f t="shared" si="1"/>
        <v>47270</v>
      </c>
      <c r="AG6" s="246">
        <f t="shared" si="1"/>
        <v>47300</v>
      </c>
      <c r="AH6" s="246">
        <f t="shared" si="1"/>
        <v>47331</v>
      </c>
      <c r="AI6" s="246">
        <f t="shared" si="1"/>
        <v>47362</v>
      </c>
      <c r="AJ6" s="246">
        <f t="shared" si="1"/>
        <v>47392</v>
      </c>
      <c r="AK6" s="246">
        <f t="shared" si="1"/>
        <v>47423</v>
      </c>
      <c r="AL6" s="246">
        <f t="shared" si="1"/>
        <v>47453</v>
      </c>
      <c r="AM6" s="246">
        <f t="shared" si="1"/>
        <v>47484</v>
      </c>
      <c r="AN6" s="246">
        <f t="shared" si="1"/>
        <v>47515</v>
      </c>
    </row>
    <row r="7" spans="1:40" ht="14.65">
      <c r="A7" s="244"/>
      <c r="B7" s="244"/>
      <c r="C7" s="245" t="s">
        <v>20</v>
      </c>
      <c r="D7" s="80" t="str">
        <f>IF(E5="New Business","Pre-Launch","Cash On Hand")</f>
        <v>Pre-Launch</v>
      </c>
      <c r="E7" s="31">
        <f>E6</f>
        <v>46447</v>
      </c>
      <c r="F7" s="31">
        <f>F6</f>
        <v>46478</v>
      </c>
      <c r="G7" s="31">
        <f t="shared" ref="G7:AN7" si="2">G6</f>
        <v>46508</v>
      </c>
      <c r="H7" s="31">
        <f t="shared" si="2"/>
        <v>46539</v>
      </c>
      <c r="I7" s="31">
        <f t="shared" si="2"/>
        <v>46569</v>
      </c>
      <c r="J7" s="31">
        <f t="shared" si="2"/>
        <v>46600</v>
      </c>
      <c r="K7" s="31">
        <f t="shared" si="2"/>
        <v>46631</v>
      </c>
      <c r="L7" s="31">
        <f t="shared" si="2"/>
        <v>46661</v>
      </c>
      <c r="M7" s="31">
        <f t="shared" si="2"/>
        <v>46692</v>
      </c>
      <c r="N7" s="31">
        <f t="shared" si="2"/>
        <v>46722</v>
      </c>
      <c r="O7" s="31">
        <f t="shared" si="2"/>
        <v>46753</v>
      </c>
      <c r="P7" s="31">
        <f t="shared" si="2"/>
        <v>46784</v>
      </c>
      <c r="Q7" s="31">
        <f t="shared" si="2"/>
        <v>46813</v>
      </c>
      <c r="R7" s="31">
        <f t="shared" si="2"/>
        <v>46844</v>
      </c>
      <c r="S7" s="31">
        <f t="shared" si="2"/>
        <v>46874</v>
      </c>
      <c r="T7" s="31">
        <f t="shared" si="2"/>
        <v>46905</v>
      </c>
      <c r="U7" s="31">
        <f t="shared" si="2"/>
        <v>46935</v>
      </c>
      <c r="V7" s="31">
        <f t="shared" si="2"/>
        <v>46966</v>
      </c>
      <c r="W7" s="31">
        <f t="shared" si="2"/>
        <v>46997</v>
      </c>
      <c r="X7" s="31">
        <f t="shared" si="2"/>
        <v>47027</v>
      </c>
      <c r="Y7" s="31">
        <f t="shared" si="2"/>
        <v>47058</v>
      </c>
      <c r="Z7" s="31">
        <f t="shared" si="2"/>
        <v>47088</v>
      </c>
      <c r="AA7" s="31">
        <f t="shared" si="2"/>
        <v>47119</v>
      </c>
      <c r="AB7" s="31">
        <f t="shared" si="2"/>
        <v>47150</v>
      </c>
      <c r="AC7" s="31">
        <f t="shared" si="2"/>
        <v>47178</v>
      </c>
      <c r="AD7" s="31">
        <f t="shared" si="2"/>
        <v>47209</v>
      </c>
      <c r="AE7" s="31">
        <f t="shared" si="2"/>
        <v>47239</v>
      </c>
      <c r="AF7" s="31">
        <f t="shared" si="2"/>
        <v>47270</v>
      </c>
      <c r="AG7" s="31">
        <f t="shared" si="2"/>
        <v>47300</v>
      </c>
      <c r="AH7" s="31">
        <f t="shared" si="2"/>
        <v>47331</v>
      </c>
      <c r="AI7" s="31">
        <f t="shared" si="2"/>
        <v>47362</v>
      </c>
      <c r="AJ7" s="31">
        <f t="shared" si="2"/>
        <v>47392</v>
      </c>
      <c r="AK7" s="31">
        <f t="shared" si="2"/>
        <v>47423</v>
      </c>
      <c r="AL7" s="31">
        <f t="shared" si="2"/>
        <v>47453</v>
      </c>
      <c r="AM7" s="31">
        <f t="shared" si="2"/>
        <v>47484</v>
      </c>
      <c r="AN7" s="31">
        <f t="shared" si="2"/>
        <v>47515</v>
      </c>
    </row>
    <row r="8" spans="1:40" s="46" customFormat="1" ht="17.649999999999999" hidden="1" customHeight="1">
      <c r="A8" s="47"/>
      <c r="B8" s="47"/>
      <c r="C8" s="43" t="s">
        <v>46</v>
      </c>
      <c r="D8" s="217"/>
      <c r="E8" s="218">
        <v>1</v>
      </c>
      <c r="F8" s="218">
        <f>E8+1</f>
        <v>2</v>
      </c>
      <c r="G8" s="218">
        <f t="shared" ref="G8:AN8" si="3">F8+1</f>
        <v>3</v>
      </c>
      <c r="H8" s="218">
        <f t="shared" si="3"/>
        <v>4</v>
      </c>
      <c r="I8" s="218">
        <f t="shared" si="3"/>
        <v>5</v>
      </c>
      <c r="J8" s="218">
        <f t="shared" si="3"/>
        <v>6</v>
      </c>
      <c r="K8" s="218">
        <f t="shared" si="3"/>
        <v>7</v>
      </c>
      <c r="L8" s="218">
        <f t="shared" si="3"/>
        <v>8</v>
      </c>
      <c r="M8" s="218">
        <f t="shared" si="3"/>
        <v>9</v>
      </c>
      <c r="N8" s="218">
        <f t="shared" si="3"/>
        <v>10</v>
      </c>
      <c r="O8" s="218">
        <f t="shared" si="3"/>
        <v>11</v>
      </c>
      <c r="P8" s="218">
        <f t="shared" si="3"/>
        <v>12</v>
      </c>
      <c r="Q8" s="218">
        <f t="shared" si="3"/>
        <v>13</v>
      </c>
      <c r="R8" s="218">
        <f t="shared" si="3"/>
        <v>14</v>
      </c>
      <c r="S8" s="218">
        <f t="shared" si="3"/>
        <v>15</v>
      </c>
      <c r="T8" s="218">
        <f t="shared" si="3"/>
        <v>16</v>
      </c>
      <c r="U8" s="218">
        <f t="shared" si="3"/>
        <v>17</v>
      </c>
      <c r="V8" s="218">
        <f t="shared" si="3"/>
        <v>18</v>
      </c>
      <c r="W8" s="218">
        <f t="shared" si="3"/>
        <v>19</v>
      </c>
      <c r="X8" s="218">
        <f t="shared" si="3"/>
        <v>20</v>
      </c>
      <c r="Y8" s="218">
        <f t="shared" si="3"/>
        <v>21</v>
      </c>
      <c r="Z8" s="218">
        <f t="shared" si="3"/>
        <v>22</v>
      </c>
      <c r="AA8" s="218">
        <f t="shared" si="3"/>
        <v>23</v>
      </c>
      <c r="AB8" s="218">
        <f t="shared" si="3"/>
        <v>24</v>
      </c>
      <c r="AC8" s="218">
        <f t="shared" si="3"/>
        <v>25</v>
      </c>
      <c r="AD8" s="218">
        <f t="shared" si="3"/>
        <v>26</v>
      </c>
      <c r="AE8" s="218">
        <f t="shared" si="3"/>
        <v>27</v>
      </c>
      <c r="AF8" s="218">
        <f t="shared" si="3"/>
        <v>28</v>
      </c>
      <c r="AG8" s="218">
        <f t="shared" si="3"/>
        <v>29</v>
      </c>
      <c r="AH8" s="218">
        <f t="shared" si="3"/>
        <v>30</v>
      </c>
      <c r="AI8" s="218">
        <f t="shared" si="3"/>
        <v>31</v>
      </c>
      <c r="AJ8" s="218">
        <f t="shared" si="3"/>
        <v>32</v>
      </c>
      <c r="AK8" s="218">
        <f t="shared" si="3"/>
        <v>33</v>
      </c>
      <c r="AL8" s="218">
        <f t="shared" si="3"/>
        <v>34</v>
      </c>
      <c r="AM8" s="218">
        <f t="shared" si="3"/>
        <v>35</v>
      </c>
      <c r="AN8" s="218">
        <f t="shared" si="3"/>
        <v>36</v>
      </c>
    </row>
    <row r="9" spans="1:40" s="46" customFormat="1" ht="17.649999999999999" hidden="1" customHeight="1">
      <c r="A9" s="30"/>
      <c r="B9" s="30"/>
      <c r="C9" s="43" t="s">
        <v>194</v>
      </c>
      <c r="D9" s="217"/>
      <c r="E9" s="218">
        <f>YEAR(E7)+1-YEAR($F$5)</f>
        <v>1</v>
      </c>
      <c r="F9" s="218">
        <f t="shared" ref="F9:AN9" si="4">YEAR(F7)+1-YEAR($F$5)</f>
        <v>1</v>
      </c>
      <c r="G9" s="218">
        <f t="shared" si="4"/>
        <v>1</v>
      </c>
      <c r="H9" s="218">
        <f t="shared" si="4"/>
        <v>1</v>
      </c>
      <c r="I9" s="218">
        <f t="shared" si="4"/>
        <v>1</v>
      </c>
      <c r="J9" s="218">
        <f t="shared" si="4"/>
        <v>1</v>
      </c>
      <c r="K9" s="218">
        <f t="shared" si="4"/>
        <v>1</v>
      </c>
      <c r="L9" s="218">
        <f t="shared" si="4"/>
        <v>1</v>
      </c>
      <c r="M9" s="218">
        <f t="shared" si="4"/>
        <v>1</v>
      </c>
      <c r="N9" s="218">
        <f t="shared" si="4"/>
        <v>1</v>
      </c>
      <c r="O9" s="218">
        <f t="shared" si="4"/>
        <v>2</v>
      </c>
      <c r="P9" s="218">
        <f t="shared" si="4"/>
        <v>2</v>
      </c>
      <c r="Q9" s="218">
        <f t="shared" si="4"/>
        <v>2</v>
      </c>
      <c r="R9" s="218">
        <f t="shared" si="4"/>
        <v>2</v>
      </c>
      <c r="S9" s="218">
        <f t="shared" si="4"/>
        <v>2</v>
      </c>
      <c r="T9" s="218">
        <f t="shared" si="4"/>
        <v>2</v>
      </c>
      <c r="U9" s="218">
        <f t="shared" si="4"/>
        <v>2</v>
      </c>
      <c r="V9" s="218">
        <f t="shared" si="4"/>
        <v>2</v>
      </c>
      <c r="W9" s="218">
        <f t="shared" si="4"/>
        <v>2</v>
      </c>
      <c r="X9" s="218">
        <f t="shared" si="4"/>
        <v>2</v>
      </c>
      <c r="Y9" s="218">
        <f t="shared" si="4"/>
        <v>2</v>
      </c>
      <c r="Z9" s="218">
        <f t="shared" si="4"/>
        <v>2</v>
      </c>
      <c r="AA9" s="218">
        <f t="shared" si="4"/>
        <v>3</v>
      </c>
      <c r="AB9" s="218">
        <f t="shared" si="4"/>
        <v>3</v>
      </c>
      <c r="AC9" s="218">
        <f t="shared" si="4"/>
        <v>3</v>
      </c>
      <c r="AD9" s="218">
        <f t="shared" si="4"/>
        <v>3</v>
      </c>
      <c r="AE9" s="218">
        <f t="shared" si="4"/>
        <v>3</v>
      </c>
      <c r="AF9" s="218">
        <f t="shared" si="4"/>
        <v>3</v>
      </c>
      <c r="AG9" s="218">
        <f t="shared" si="4"/>
        <v>3</v>
      </c>
      <c r="AH9" s="218">
        <f t="shared" si="4"/>
        <v>3</v>
      </c>
      <c r="AI9" s="218">
        <f t="shared" si="4"/>
        <v>3</v>
      </c>
      <c r="AJ9" s="218">
        <f t="shared" si="4"/>
        <v>3</v>
      </c>
      <c r="AK9" s="218">
        <f t="shared" si="4"/>
        <v>3</v>
      </c>
      <c r="AL9" s="218">
        <f t="shared" si="4"/>
        <v>3</v>
      </c>
      <c r="AM9" s="218">
        <f t="shared" si="4"/>
        <v>4</v>
      </c>
      <c r="AN9" s="218">
        <f t="shared" si="4"/>
        <v>4</v>
      </c>
    </row>
    <row r="10" spans="1:40">
      <c r="A10" s="2" t="s">
        <v>24</v>
      </c>
      <c r="D10" s="1"/>
    </row>
    <row r="11" spans="1:40" hidden="1">
      <c r="A11" s="2"/>
      <c r="C11" s="44" t="s">
        <v>199</v>
      </c>
      <c r="D11" s="69"/>
      <c r="E11" s="70">
        <f>HLOOKUP(MONTH(E6),'Seasonality Adjustment'!$C$8:$N$10,2,FALSE)</f>
        <v>0.05</v>
      </c>
      <c r="F11" s="70">
        <f>HLOOKUP(MONTH(F6),'Seasonality Adjustment'!$C$8:$N$10,2,FALSE)</f>
        <v>0.15</v>
      </c>
      <c r="G11" s="70">
        <f>HLOOKUP(MONTH(G6),'Seasonality Adjustment'!$C$8:$N$10,2,FALSE)</f>
        <v>0.15</v>
      </c>
      <c r="H11" s="70">
        <f>HLOOKUP(MONTH(H6),'Seasonality Adjustment'!$C$8:$N$10,2,FALSE)</f>
        <v>0.05</v>
      </c>
      <c r="I11" s="70">
        <f>HLOOKUP(MONTH(I6),'Seasonality Adjustment'!$C$8:$N$10,2,FALSE)</f>
        <v>0.05</v>
      </c>
      <c r="J11" s="70">
        <f>HLOOKUP(MONTH(J6),'Seasonality Adjustment'!$C$8:$N$10,2,FALSE)</f>
        <v>0.15</v>
      </c>
      <c r="K11" s="70">
        <f>HLOOKUP(MONTH(K6),'Seasonality Adjustment'!$C$8:$N$10,2,FALSE)</f>
        <v>0.05</v>
      </c>
      <c r="L11" s="70">
        <f>HLOOKUP(MONTH(L6),'Seasonality Adjustment'!$C$8:$N$10,2,FALSE)</f>
        <v>0.15</v>
      </c>
      <c r="M11" s="70">
        <f>HLOOKUP(MONTH(M6),'Seasonality Adjustment'!$C$8:$N$10,2,FALSE)</f>
        <v>0.05</v>
      </c>
      <c r="N11" s="70">
        <f>HLOOKUP(MONTH(N6),'Seasonality Adjustment'!$C$8:$N$10,2,FALSE)</f>
        <v>0.05</v>
      </c>
      <c r="O11" s="70">
        <f>HLOOKUP(MONTH(O6),'Seasonality Adjustment'!$C$8:$N$10,2,FALSE)</f>
        <v>0.05</v>
      </c>
      <c r="P11" s="70">
        <f>HLOOKUP(MONTH(P6),'Seasonality Adjustment'!$C$8:$N$10,2,FALSE)</f>
        <v>0.05</v>
      </c>
      <c r="Q11" s="70">
        <f>HLOOKUP(MONTH(Q6),'Seasonality Adjustment'!$C$8:$N$10,2,FALSE)</f>
        <v>0.05</v>
      </c>
      <c r="R11" s="70">
        <f>HLOOKUP(MONTH(R6),'Seasonality Adjustment'!$C$8:$N$10,2,FALSE)</f>
        <v>0.15</v>
      </c>
      <c r="S11" s="70">
        <f>HLOOKUP(MONTH(S6),'Seasonality Adjustment'!$C$8:$N$10,2,FALSE)</f>
        <v>0.15</v>
      </c>
      <c r="T11" s="70">
        <f>HLOOKUP(MONTH(T6),'Seasonality Adjustment'!$C$8:$N$10,2,FALSE)</f>
        <v>0.05</v>
      </c>
      <c r="U11" s="70">
        <f>HLOOKUP(MONTH(U6),'Seasonality Adjustment'!$C$8:$N$10,2,FALSE)</f>
        <v>0.05</v>
      </c>
      <c r="V11" s="70">
        <f>HLOOKUP(MONTH(V6),'Seasonality Adjustment'!$C$8:$N$10,2,FALSE)</f>
        <v>0.15</v>
      </c>
      <c r="W11" s="70">
        <f>HLOOKUP(MONTH(W6),'Seasonality Adjustment'!$C$8:$N$10,2,FALSE)</f>
        <v>0.05</v>
      </c>
      <c r="X11" s="70">
        <f>HLOOKUP(MONTH(X6),'Seasonality Adjustment'!$C$8:$N$10,2,FALSE)</f>
        <v>0.15</v>
      </c>
      <c r="Y11" s="70">
        <f>HLOOKUP(MONTH(Y6),'Seasonality Adjustment'!$C$8:$N$10,2,FALSE)</f>
        <v>0.05</v>
      </c>
      <c r="Z11" s="70">
        <f>HLOOKUP(MONTH(Z6),'Seasonality Adjustment'!$C$8:$N$10,2,FALSE)</f>
        <v>0.05</v>
      </c>
      <c r="AA11" s="70">
        <f>HLOOKUP(MONTH(AA6),'Seasonality Adjustment'!$C$8:$N$10,2,FALSE)</f>
        <v>0.05</v>
      </c>
      <c r="AB11" s="70">
        <f>HLOOKUP(MONTH(AB6),'Seasonality Adjustment'!$C$8:$N$10,2,FALSE)</f>
        <v>0.05</v>
      </c>
      <c r="AC11" s="70">
        <f>HLOOKUP(MONTH(AC6),'Seasonality Adjustment'!$C$8:$N$10,2,FALSE)</f>
        <v>0.05</v>
      </c>
      <c r="AD11" s="70">
        <f>HLOOKUP(MONTH(AD6),'Seasonality Adjustment'!$C$8:$N$10,2,FALSE)</f>
        <v>0.15</v>
      </c>
      <c r="AE11" s="70">
        <f>HLOOKUP(MONTH(AE6),'Seasonality Adjustment'!$C$8:$N$10,2,FALSE)</f>
        <v>0.15</v>
      </c>
      <c r="AF11" s="70">
        <f>HLOOKUP(MONTH(AF6),'Seasonality Adjustment'!$C$8:$N$10,2,FALSE)</f>
        <v>0.05</v>
      </c>
      <c r="AG11" s="70">
        <f>HLOOKUP(MONTH(AG6),'Seasonality Adjustment'!$C$8:$N$10,2,FALSE)</f>
        <v>0.05</v>
      </c>
      <c r="AH11" s="70">
        <f>HLOOKUP(MONTH(AH6),'Seasonality Adjustment'!$C$8:$N$10,2,FALSE)</f>
        <v>0.15</v>
      </c>
      <c r="AI11" s="70">
        <f>HLOOKUP(MONTH(AI6),'Seasonality Adjustment'!$C$8:$N$10,2,FALSE)</f>
        <v>0.05</v>
      </c>
      <c r="AJ11" s="70">
        <f>HLOOKUP(MONTH(AJ6),'Seasonality Adjustment'!$C$8:$N$10,2,FALSE)</f>
        <v>0.15</v>
      </c>
      <c r="AK11" s="70">
        <f>HLOOKUP(MONTH(AK6),'Seasonality Adjustment'!$C$8:$N$10,2,FALSE)</f>
        <v>0.05</v>
      </c>
      <c r="AL11" s="70">
        <f>HLOOKUP(MONTH(AL6),'Seasonality Adjustment'!$C$8:$N$10,2,FALSE)</f>
        <v>0.05</v>
      </c>
      <c r="AM11" s="70">
        <f>HLOOKUP(MONTH(AM6),'Seasonality Adjustment'!$C$8:$N$10,2,FALSE)</f>
        <v>0.05</v>
      </c>
      <c r="AN11" s="70">
        <f>HLOOKUP(MONTH(AN6),'Seasonality Adjustment'!$C$8:$N$10,2,FALSE)</f>
        <v>0.05</v>
      </c>
    </row>
    <row r="12" spans="1:40" s="2" customFormat="1">
      <c r="B12" s="2" t="s">
        <v>200</v>
      </c>
      <c r="C12" s="48"/>
      <c r="D12" s="54"/>
      <c r="E12" s="68">
        <f>SUM(E13:E15)</f>
        <v>3000</v>
      </c>
      <c r="F12" s="68">
        <f t="shared" ref="F12:AN12" si="5">SUM(F13:F15)</f>
        <v>3000</v>
      </c>
      <c r="G12" s="68">
        <f t="shared" si="5"/>
        <v>3000</v>
      </c>
      <c r="H12" s="68">
        <f t="shared" si="5"/>
        <v>3000</v>
      </c>
      <c r="I12" s="68">
        <f t="shared" si="5"/>
        <v>3000</v>
      </c>
      <c r="J12" s="68">
        <f t="shared" si="5"/>
        <v>3000</v>
      </c>
      <c r="K12" s="68">
        <f t="shared" si="5"/>
        <v>3000</v>
      </c>
      <c r="L12" s="68">
        <f t="shared" si="5"/>
        <v>3000</v>
      </c>
      <c r="M12" s="68">
        <f t="shared" si="5"/>
        <v>3000</v>
      </c>
      <c r="N12" s="68">
        <f t="shared" si="5"/>
        <v>3000</v>
      </c>
      <c r="O12" s="68">
        <f t="shared" si="5"/>
        <v>0</v>
      </c>
      <c r="P12" s="68">
        <f t="shared" si="5"/>
        <v>0</v>
      </c>
      <c r="Q12" s="68">
        <f t="shared" si="5"/>
        <v>0</v>
      </c>
      <c r="R12" s="68">
        <f t="shared" si="5"/>
        <v>0</v>
      </c>
      <c r="S12" s="68">
        <f t="shared" si="5"/>
        <v>0</v>
      </c>
      <c r="T12" s="68">
        <f t="shared" si="5"/>
        <v>0</v>
      </c>
      <c r="U12" s="68">
        <f t="shared" si="5"/>
        <v>0</v>
      </c>
      <c r="V12" s="68">
        <f t="shared" si="5"/>
        <v>0</v>
      </c>
      <c r="W12" s="68">
        <f t="shared" si="5"/>
        <v>0</v>
      </c>
      <c r="X12" s="68">
        <f t="shared" si="5"/>
        <v>0</v>
      </c>
      <c r="Y12" s="68">
        <f t="shared" si="5"/>
        <v>0</v>
      </c>
      <c r="Z12" s="68">
        <f t="shared" si="5"/>
        <v>0</v>
      </c>
      <c r="AA12" s="68">
        <f t="shared" si="5"/>
        <v>0</v>
      </c>
      <c r="AB12" s="68">
        <f t="shared" si="5"/>
        <v>0</v>
      </c>
      <c r="AC12" s="68">
        <f t="shared" si="5"/>
        <v>0</v>
      </c>
      <c r="AD12" s="68">
        <f t="shared" si="5"/>
        <v>0</v>
      </c>
      <c r="AE12" s="68">
        <f t="shared" si="5"/>
        <v>0</v>
      </c>
      <c r="AF12" s="68">
        <f t="shared" si="5"/>
        <v>0</v>
      </c>
      <c r="AG12" s="68">
        <f t="shared" si="5"/>
        <v>0</v>
      </c>
      <c r="AH12" s="68">
        <f t="shared" si="5"/>
        <v>0</v>
      </c>
      <c r="AI12" s="68">
        <f t="shared" si="5"/>
        <v>0</v>
      </c>
      <c r="AJ12" s="68">
        <f t="shared" si="5"/>
        <v>0</v>
      </c>
      <c r="AK12" s="68">
        <f t="shared" si="5"/>
        <v>0</v>
      </c>
      <c r="AL12" s="68">
        <f t="shared" si="5"/>
        <v>0</v>
      </c>
      <c r="AM12" s="68">
        <f t="shared" si="5"/>
        <v>0</v>
      </c>
      <c r="AN12" s="68">
        <f t="shared" si="5"/>
        <v>0</v>
      </c>
    </row>
    <row r="13" spans="1:40" s="16" customFormat="1">
      <c r="A13" s="1"/>
      <c r="B13" s="2"/>
      <c r="C13" s="32" t="s">
        <v>18</v>
      </c>
      <c r="D13" s="64"/>
      <c r="E13" s="67">
        <f>IF(E9=1,Inputs!$D$33/Inputs!$D$32,IF(E9=2,Inputs!$D$34/12,Inputs!$D$35/12))</f>
        <v>1000</v>
      </c>
      <c r="F13" s="67">
        <f>IF(F9=1,Inputs!$D$33/Inputs!$D$32,IF(F9=2,Inputs!$D$34/12,Inputs!$D$35/12))</f>
        <v>1000</v>
      </c>
      <c r="G13" s="67">
        <f>IF(G9=1,Inputs!$D$33/Inputs!$D$32,IF(G9=2,Inputs!$D$34/12,Inputs!$D$35/12))</f>
        <v>1000</v>
      </c>
      <c r="H13" s="67">
        <f>IF(H9=1,Inputs!$D$33/Inputs!$D$32,IF(H9=2,Inputs!$D$34/12,Inputs!$D$35/12))</f>
        <v>1000</v>
      </c>
      <c r="I13" s="67">
        <f>IF(I9=1,Inputs!$D$33/Inputs!$D$32,IF(I9=2,Inputs!$D$34/12,Inputs!$D$35/12))</f>
        <v>1000</v>
      </c>
      <c r="J13" s="67">
        <f>IF(J9=1,Inputs!$D$33/Inputs!$D$32,IF(J9=2,Inputs!$D$34/12,Inputs!$D$35/12))</f>
        <v>1000</v>
      </c>
      <c r="K13" s="67">
        <f>IF(K9=1,Inputs!$D$33/Inputs!$D$32,IF(K9=2,Inputs!$D$34/12,Inputs!$D$35/12))</f>
        <v>1000</v>
      </c>
      <c r="L13" s="67">
        <f>IF(L9=1,Inputs!$D$33/Inputs!$D$32,IF(L9=2,Inputs!$D$34/12,Inputs!$D$35/12))</f>
        <v>1000</v>
      </c>
      <c r="M13" s="67">
        <f>IF(M9=1,Inputs!$D$33/Inputs!$D$32,IF(M9=2,Inputs!$D$34/12,Inputs!$D$35/12))</f>
        <v>1000</v>
      </c>
      <c r="N13" s="67">
        <f>IF(N9=1,Inputs!$D$33/Inputs!$D$32,IF(N9=2,Inputs!$D$34/12,Inputs!$D$35/12))</f>
        <v>1000</v>
      </c>
      <c r="O13" s="67">
        <f>IF(O9=1,Inputs!$D$33/Inputs!$D$32,IF(O9=2,Inputs!$D$34/12,Inputs!$D$35/12))</f>
        <v>0</v>
      </c>
      <c r="P13" s="67">
        <f>IF(P9=1,Inputs!$D$33/Inputs!$D$32,IF(P9=2,Inputs!$D$34/12,Inputs!$D$35/12))</f>
        <v>0</v>
      </c>
      <c r="Q13" s="67">
        <f>IF(Q9=1,Inputs!$D$33/Inputs!$D$32,IF(Q9=2,Inputs!$D$34/12,Inputs!$D$35/12))</f>
        <v>0</v>
      </c>
      <c r="R13" s="67">
        <f>IF(R9=1,Inputs!$D$33/Inputs!$D$32,IF(R9=2,Inputs!$D$34/12,Inputs!$D$35/12))</f>
        <v>0</v>
      </c>
      <c r="S13" s="67">
        <f>IF(S9=1,Inputs!$D$33/Inputs!$D$32,IF(S9=2,Inputs!$D$34/12,Inputs!$D$35/12))</f>
        <v>0</v>
      </c>
      <c r="T13" s="67">
        <f>IF(T9=1,Inputs!$D$33/Inputs!$D$32,IF(T9=2,Inputs!$D$34/12,Inputs!$D$35/12))</f>
        <v>0</v>
      </c>
      <c r="U13" s="67">
        <f>IF(U9=1,Inputs!$D$33/Inputs!$D$32,IF(U9=2,Inputs!$D$34/12,Inputs!$D$35/12))</f>
        <v>0</v>
      </c>
      <c r="V13" s="67">
        <f>IF(V9=1,Inputs!$D$33/Inputs!$D$32,IF(V9=2,Inputs!$D$34/12,Inputs!$D$35/12))</f>
        <v>0</v>
      </c>
      <c r="W13" s="67">
        <f>IF(W9=1,Inputs!$D$33/Inputs!$D$32,IF(W9=2,Inputs!$D$34/12,Inputs!$D$35/12))</f>
        <v>0</v>
      </c>
      <c r="X13" s="67">
        <f>IF(X9=1,Inputs!$D$33/Inputs!$D$32,IF(X9=2,Inputs!$D$34/12,Inputs!$D$35/12))</f>
        <v>0</v>
      </c>
      <c r="Y13" s="67">
        <f>IF(Y9=1,Inputs!$D$33/Inputs!$D$32,IF(Y9=2,Inputs!$D$34/12,Inputs!$D$35/12))</f>
        <v>0</v>
      </c>
      <c r="Z13" s="67">
        <f>IF(Z9=1,Inputs!$D$33/Inputs!$D$32,IF(Z9=2,Inputs!$D$34/12,Inputs!$D$35/12))</f>
        <v>0</v>
      </c>
      <c r="AA13" s="67">
        <f>IF(AA9=1,Inputs!$D$33/Inputs!$D$32,IF(AA9=2,Inputs!$D$34/12,Inputs!$D$35/12))</f>
        <v>0</v>
      </c>
      <c r="AB13" s="67">
        <f>IF(AB9=1,Inputs!$D$33/Inputs!$D$32,IF(AB9=2,Inputs!$D$34/12,Inputs!$D$35/12))</f>
        <v>0</v>
      </c>
      <c r="AC13" s="67">
        <f>IF(AC9=1,Inputs!$D$33/Inputs!$D$32,IF(AC9=2,Inputs!$D$34/12,Inputs!$D$35/12))</f>
        <v>0</v>
      </c>
      <c r="AD13" s="67">
        <f>IF(AD9=1,Inputs!$D$33/Inputs!$D$32,IF(AD9=2,Inputs!$D$34/12,Inputs!$D$35/12))</f>
        <v>0</v>
      </c>
      <c r="AE13" s="67">
        <f>IF(AE9=1,Inputs!$D$33/Inputs!$D$32,IF(AE9=2,Inputs!$D$34/12,Inputs!$D$35/12))</f>
        <v>0</v>
      </c>
      <c r="AF13" s="67">
        <f>IF(AF9=1,Inputs!$D$33/Inputs!$D$32,IF(AF9=2,Inputs!$D$34/12,Inputs!$D$35/12))</f>
        <v>0</v>
      </c>
      <c r="AG13" s="67">
        <f>IF(AG9=1,Inputs!$D$33/Inputs!$D$32,IF(AG9=2,Inputs!$D$34/12,Inputs!$D$35/12))</f>
        <v>0</v>
      </c>
      <c r="AH13" s="67">
        <f>IF(AH9=1,Inputs!$D$33/Inputs!$D$32,IF(AH9=2,Inputs!$D$34/12,Inputs!$D$35/12))</f>
        <v>0</v>
      </c>
      <c r="AI13" s="67">
        <f>IF(AI9=1,Inputs!$D$33/Inputs!$D$32,IF(AI9=2,Inputs!$D$34/12,Inputs!$D$35/12))</f>
        <v>0</v>
      </c>
      <c r="AJ13" s="67">
        <f>IF(AJ9=1,Inputs!$D$33/Inputs!$D$32,IF(AJ9=2,Inputs!$D$34/12,Inputs!$D$35/12))</f>
        <v>0</v>
      </c>
      <c r="AK13" s="67">
        <f>IF(AK9=1,Inputs!$D$33/Inputs!$D$32,IF(AK9=2,Inputs!$D$34/12,Inputs!$D$35/12))</f>
        <v>0</v>
      </c>
      <c r="AL13" s="67">
        <f>IF(AL9=1,Inputs!$D$33/Inputs!$D$32,IF(AL9=2,Inputs!$D$34/12,Inputs!$D$35/12))</f>
        <v>0</v>
      </c>
      <c r="AM13" s="67">
        <f>IF(AM9=1,Inputs!$D$33/Inputs!$D$32,IF(AM9=2,Inputs!$D$34/12,Inputs!$D$35/12))</f>
        <v>0</v>
      </c>
      <c r="AN13" s="67">
        <f>IF(AN9=1,Inputs!$D$33/Inputs!$D$32,IF(AN9=2,Inputs!$D$34/12,Inputs!$D$35/12))</f>
        <v>0</v>
      </c>
    </row>
    <row r="14" spans="1:40" s="16" customFormat="1">
      <c r="A14" s="1"/>
      <c r="B14" s="1"/>
      <c r="C14" s="32" t="s">
        <v>12</v>
      </c>
      <c r="D14" s="65"/>
      <c r="E14" s="67">
        <f>IF(E9=1,Inputs!$D$36/Inputs!$D$32,IF(E9=2,Inputs!$D$37/12,Inputs!$D$38/12))</f>
        <v>1000</v>
      </c>
      <c r="F14" s="67">
        <f>IF(F9=1,Inputs!$D$36/Inputs!$D$32,IF(F9=2,Inputs!$D$37/12,Inputs!$D$38/12))</f>
        <v>1000</v>
      </c>
      <c r="G14" s="67">
        <f>IF(G9=1,Inputs!$D$36/Inputs!$D$32,IF(G9=2,Inputs!$D$37/12,Inputs!$D$38/12))</f>
        <v>1000</v>
      </c>
      <c r="H14" s="67">
        <f>IF(H9=1,Inputs!$D$36/Inputs!$D$32,IF(H9=2,Inputs!$D$37/12,Inputs!$D$38/12))</f>
        <v>1000</v>
      </c>
      <c r="I14" s="67">
        <f>IF(I9=1,Inputs!$D$36/Inputs!$D$32,IF(I9=2,Inputs!$D$37/12,Inputs!$D$38/12))</f>
        <v>1000</v>
      </c>
      <c r="J14" s="67">
        <f>IF(J9=1,Inputs!$D$36/Inputs!$D$32,IF(J9=2,Inputs!$D$37/12,Inputs!$D$38/12))</f>
        <v>1000</v>
      </c>
      <c r="K14" s="67">
        <f>IF(K9=1,Inputs!$D$36/Inputs!$D$32,IF(K9=2,Inputs!$D$37/12,Inputs!$D$38/12))</f>
        <v>1000</v>
      </c>
      <c r="L14" s="67">
        <f>IF(L9=1,Inputs!$D$36/Inputs!$D$32,IF(L9=2,Inputs!$D$37/12,Inputs!$D$38/12))</f>
        <v>1000</v>
      </c>
      <c r="M14" s="67">
        <f>IF(M9=1,Inputs!$D$36/Inputs!$D$32,IF(M9=2,Inputs!$D$37/12,Inputs!$D$38/12))</f>
        <v>1000</v>
      </c>
      <c r="N14" s="67">
        <f>IF(N9=1,Inputs!$D$36/Inputs!$D$32,IF(N9=2,Inputs!$D$37/12,Inputs!$D$38/12))</f>
        <v>1000</v>
      </c>
      <c r="O14" s="67">
        <f>IF(O9=1,Inputs!$D$36/Inputs!$D$32,IF(O9=2,Inputs!$D$37/12,Inputs!$D$38/12))</f>
        <v>0</v>
      </c>
      <c r="P14" s="67">
        <f>IF(P9=1,Inputs!$D$36/Inputs!$D$32,IF(P9=2,Inputs!$D$37/12,Inputs!$D$38/12))</f>
        <v>0</v>
      </c>
      <c r="Q14" s="67">
        <f>IF(Q9=1,Inputs!$D$36/Inputs!$D$32,IF(Q9=2,Inputs!$D$37/12,Inputs!$D$38/12))</f>
        <v>0</v>
      </c>
      <c r="R14" s="67">
        <f>IF(R9=1,Inputs!$D$36/Inputs!$D$32,IF(R9=2,Inputs!$D$37/12,Inputs!$D$38/12))</f>
        <v>0</v>
      </c>
      <c r="S14" s="67">
        <f>IF(S9=1,Inputs!$D$36/Inputs!$D$32,IF(S9=2,Inputs!$D$37/12,Inputs!$D$38/12))</f>
        <v>0</v>
      </c>
      <c r="T14" s="67">
        <f>IF(T9=1,Inputs!$D$36/Inputs!$D$32,IF(T9=2,Inputs!$D$37/12,Inputs!$D$38/12))</f>
        <v>0</v>
      </c>
      <c r="U14" s="67">
        <f>IF(U9=1,Inputs!$D$36/Inputs!$D$32,IF(U9=2,Inputs!$D$37/12,Inputs!$D$38/12))</f>
        <v>0</v>
      </c>
      <c r="V14" s="67">
        <f>IF(V9=1,Inputs!$D$36/Inputs!$D$32,IF(V9=2,Inputs!$D$37/12,Inputs!$D$38/12))</f>
        <v>0</v>
      </c>
      <c r="W14" s="67">
        <f>IF(W9=1,Inputs!$D$36/Inputs!$D$32,IF(W9=2,Inputs!$D$37/12,Inputs!$D$38/12))</f>
        <v>0</v>
      </c>
      <c r="X14" s="67">
        <f>IF(X9=1,Inputs!$D$36/Inputs!$D$32,IF(X9=2,Inputs!$D$37/12,Inputs!$D$38/12))</f>
        <v>0</v>
      </c>
      <c r="Y14" s="67">
        <f>IF(Y9=1,Inputs!$D$36/Inputs!$D$32,IF(Y9=2,Inputs!$D$37/12,Inputs!$D$38/12))</f>
        <v>0</v>
      </c>
      <c r="Z14" s="67">
        <f>IF(Z9=1,Inputs!$D$36/Inputs!$D$32,IF(Z9=2,Inputs!$D$37/12,Inputs!$D$38/12))</f>
        <v>0</v>
      </c>
      <c r="AA14" s="67">
        <f>IF(AA9=1,Inputs!$D$36/Inputs!$D$32,IF(AA9=2,Inputs!$D$37/12,Inputs!$D$38/12))</f>
        <v>0</v>
      </c>
      <c r="AB14" s="67">
        <f>IF(AB9=1,Inputs!$D$36/Inputs!$D$32,IF(AB9=2,Inputs!$D$37/12,Inputs!$D$38/12))</f>
        <v>0</v>
      </c>
      <c r="AC14" s="67">
        <f>IF(AC9=1,Inputs!$D$36/Inputs!$D$32,IF(AC9=2,Inputs!$D$37/12,Inputs!$D$38/12))</f>
        <v>0</v>
      </c>
      <c r="AD14" s="67">
        <f>IF(AD9=1,Inputs!$D$36/Inputs!$D$32,IF(AD9=2,Inputs!$D$37/12,Inputs!$D$38/12))</f>
        <v>0</v>
      </c>
      <c r="AE14" s="67">
        <f>IF(AE9=1,Inputs!$D$36/Inputs!$D$32,IF(AE9=2,Inputs!$D$37/12,Inputs!$D$38/12))</f>
        <v>0</v>
      </c>
      <c r="AF14" s="67">
        <f>IF(AF9=1,Inputs!$D$36/Inputs!$D$32,IF(AF9=2,Inputs!$D$37/12,Inputs!$D$38/12))</f>
        <v>0</v>
      </c>
      <c r="AG14" s="67">
        <f>IF(AG9=1,Inputs!$D$36/Inputs!$D$32,IF(AG9=2,Inputs!$D$37/12,Inputs!$D$38/12))</f>
        <v>0</v>
      </c>
      <c r="AH14" s="67">
        <f>IF(AH9=1,Inputs!$D$36/Inputs!$D$32,IF(AH9=2,Inputs!$D$37/12,Inputs!$D$38/12))</f>
        <v>0</v>
      </c>
      <c r="AI14" s="67">
        <f>IF(AI9=1,Inputs!$D$36/Inputs!$D$32,IF(AI9=2,Inputs!$D$37/12,Inputs!$D$38/12))</f>
        <v>0</v>
      </c>
      <c r="AJ14" s="67">
        <f>IF(AJ9=1,Inputs!$D$36/Inputs!$D$32,IF(AJ9=2,Inputs!$D$37/12,Inputs!$D$38/12))</f>
        <v>0</v>
      </c>
      <c r="AK14" s="67">
        <f>IF(AK9=1,Inputs!$D$36/Inputs!$D$32,IF(AK9=2,Inputs!$D$37/12,Inputs!$D$38/12))</f>
        <v>0</v>
      </c>
      <c r="AL14" s="67">
        <f>IF(AL9=1,Inputs!$D$36/Inputs!$D$32,IF(AL9=2,Inputs!$D$37/12,Inputs!$D$38/12))</f>
        <v>0</v>
      </c>
      <c r="AM14" s="67">
        <f>IF(AM9=1,Inputs!$D$36/Inputs!$D$32,IF(AM9=2,Inputs!$D$37/12,Inputs!$D$38/12))</f>
        <v>0</v>
      </c>
      <c r="AN14" s="67">
        <f>IF(AN9=1,Inputs!$D$36/Inputs!$D$32,IF(AN9=2,Inputs!$D$37/12,Inputs!$D$38/12))</f>
        <v>0</v>
      </c>
    </row>
    <row r="15" spans="1:40" s="16" customFormat="1">
      <c r="A15" s="1"/>
      <c r="B15" s="1"/>
      <c r="C15" s="32" t="s">
        <v>192</v>
      </c>
      <c r="D15" s="64"/>
      <c r="E15" s="67">
        <f>IF(E9=1,Inputs!$D$39/Inputs!$D$32,IF(E9=2,Inputs!$D$40/12,Inputs!$D$41/12))</f>
        <v>1000</v>
      </c>
      <c r="F15" s="67">
        <f>IF(F9=1,Inputs!$D$39/Inputs!$D$32,IF(F9=2,Inputs!$D$40/12,Inputs!$D$41/12))</f>
        <v>1000</v>
      </c>
      <c r="G15" s="67">
        <f>IF(G9=1,Inputs!$D$39/Inputs!$D$32,IF(G9=2,Inputs!$D$40/12,Inputs!$D$41/12))</f>
        <v>1000</v>
      </c>
      <c r="H15" s="67">
        <f>IF(H9=1,Inputs!$D$39/Inputs!$D$32,IF(H9=2,Inputs!$D$40/12,Inputs!$D$41/12))</f>
        <v>1000</v>
      </c>
      <c r="I15" s="67">
        <f>IF(I9=1,Inputs!$D$39/Inputs!$D$32,IF(I9=2,Inputs!$D$40/12,Inputs!$D$41/12))</f>
        <v>1000</v>
      </c>
      <c r="J15" s="67">
        <f>IF(J9=1,Inputs!$D$39/Inputs!$D$32,IF(J9=2,Inputs!$D$40/12,Inputs!$D$41/12))</f>
        <v>1000</v>
      </c>
      <c r="K15" s="67">
        <f>IF(K9=1,Inputs!$D$39/Inputs!$D$32,IF(K9=2,Inputs!$D$40/12,Inputs!$D$41/12))</f>
        <v>1000</v>
      </c>
      <c r="L15" s="67">
        <f>IF(L9=1,Inputs!$D$39/Inputs!$D$32,IF(L9=2,Inputs!$D$40/12,Inputs!$D$41/12))</f>
        <v>1000</v>
      </c>
      <c r="M15" s="67">
        <f>IF(M9=1,Inputs!$D$39/Inputs!$D$32,IF(M9=2,Inputs!$D$40/12,Inputs!$D$41/12))</f>
        <v>1000</v>
      </c>
      <c r="N15" s="67">
        <f>IF(N9=1,Inputs!$D$39/Inputs!$D$32,IF(N9=2,Inputs!$D$40/12,Inputs!$D$41/12))</f>
        <v>1000</v>
      </c>
      <c r="O15" s="67">
        <f>IF(O9=1,Inputs!$D$39/Inputs!$D$32,IF(O9=2,Inputs!$D$40/12,Inputs!$D$41/12))</f>
        <v>0</v>
      </c>
      <c r="P15" s="67">
        <f>IF(P9=1,Inputs!$D$39/Inputs!$D$32,IF(P9=2,Inputs!$D$40/12,Inputs!$D$41/12))</f>
        <v>0</v>
      </c>
      <c r="Q15" s="67">
        <f>IF(Q9=1,Inputs!$D$39/Inputs!$D$32,IF(Q9=2,Inputs!$D$40/12,Inputs!$D$41/12))</f>
        <v>0</v>
      </c>
      <c r="R15" s="67">
        <f>IF(R9=1,Inputs!$D$39/Inputs!$D$32,IF(R9=2,Inputs!$D$40/12,Inputs!$D$41/12))</f>
        <v>0</v>
      </c>
      <c r="S15" s="67">
        <f>IF(S9=1,Inputs!$D$39/Inputs!$D$32,IF(S9=2,Inputs!$D$40/12,Inputs!$D$41/12))</f>
        <v>0</v>
      </c>
      <c r="T15" s="67">
        <f>IF(T9=1,Inputs!$D$39/Inputs!$D$32,IF(T9=2,Inputs!$D$40/12,Inputs!$D$41/12))</f>
        <v>0</v>
      </c>
      <c r="U15" s="67">
        <f>IF(U9=1,Inputs!$D$39/Inputs!$D$32,IF(U9=2,Inputs!$D$40/12,Inputs!$D$41/12))</f>
        <v>0</v>
      </c>
      <c r="V15" s="67">
        <f>IF(V9=1,Inputs!$D$39/Inputs!$D$32,IF(V9=2,Inputs!$D$40/12,Inputs!$D$41/12))</f>
        <v>0</v>
      </c>
      <c r="W15" s="67">
        <f>IF(W9=1,Inputs!$D$39/Inputs!$D$32,IF(W9=2,Inputs!$D$40/12,Inputs!$D$41/12))</f>
        <v>0</v>
      </c>
      <c r="X15" s="67">
        <f>IF(X9=1,Inputs!$D$39/Inputs!$D$32,IF(X9=2,Inputs!$D$40/12,Inputs!$D$41/12))</f>
        <v>0</v>
      </c>
      <c r="Y15" s="67">
        <f>IF(Y9=1,Inputs!$D$39/Inputs!$D$32,IF(Y9=2,Inputs!$D$40/12,Inputs!$D$41/12))</f>
        <v>0</v>
      </c>
      <c r="Z15" s="67">
        <f>IF(Z9=1,Inputs!$D$39/Inputs!$D$32,IF(Z9=2,Inputs!$D$40/12,Inputs!$D$41/12))</f>
        <v>0</v>
      </c>
      <c r="AA15" s="67">
        <f>IF(AA9=1,Inputs!$D$39/Inputs!$D$32,IF(AA9=2,Inputs!$D$40/12,Inputs!$D$41/12))</f>
        <v>0</v>
      </c>
      <c r="AB15" s="67">
        <f>IF(AB9=1,Inputs!$D$39/Inputs!$D$32,IF(AB9=2,Inputs!$D$40/12,Inputs!$D$41/12))</f>
        <v>0</v>
      </c>
      <c r="AC15" s="67">
        <f>IF(AC9=1,Inputs!$D$39/Inputs!$D$32,IF(AC9=2,Inputs!$D$40/12,Inputs!$D$41/12))</f>
        <v>0</v>
      </c>
      <c r="AD15" s="67">
        <f>IF(AD9=1,Inputs!$D$39/Inputs!$D$32,IF(AD9=2,Inputs!$D$40/12,Inputs!$D$41/12))</f>
        <v>0</v>
      </c>
      <c r="AE15" s="67">
        <f>IF(AE9=1,Inputs!$D$39/Inputs!$D$32,IF(AE9=2,Inputs!$D$40/12,Inputs!$D$41/12))</f>
        <v>0</v>
      </c>
      <c r="AF15" s="67">
        <f>IF(AF9=1,Inputs!$D$39/Inputs!$D$32,IF(AF9=2,Inputs!$D$40/12,Inputs!$D$41/12))</f>
        <v>0</v>
      </c>
      <c r="AG15" s="67">
        <f>IF(AG9=1,Inputs!$D$39/Inputs!$D$32,IF(AG9=2,Inputs!$D$40/12,Inputs!$D$41/12))</f>
        <v>0</v>
      </c>
      <c r="AH15" s="67">
        <f>IF(AH9=1,Inputs!$D$39/Inputs!$D$32,IF(AH9=2,Inputs!$D$40/12,Inputs!$D$41/12))</f>
        <v>0</v>
      </c>
      <c r="AI15" s="67">
        <f>IF(AI9=1,Inputs!$D$39/Inputs!$D$32,IF(AI9=2,Inputs!$D$40/12,Inputs!$D$41/12))</f>
        <v>0</v>
      </c>
      <c r="AJ15" s="67">
        <f>IF(AJ9=1,Inputs!$D$39/Inputs!$D$32,IF(AJ9=2,Inputs!$D$40/12,Inputs!$D$41/12))</f>
        <v>0</v>
      </c>
      <c r="AK15" s="67">
        <f>IF(AK9=1,Inputs!$D$39/Inputs!$D$32,IF(AK9=2,Inputs!$D$40/12,Inputs!$D$41/12))</f>
        <v>0</v>
      </c>
      <c r="AL15" s="67">
        <f>IF(AL9=1,Inputs!$D$39/Inputs!$D$32,IF(AL9=2,Inputs!$D$40/12,Inputs!$D$41/12))</f>
        <v>0</v>
      </c>
      <c r="AM15" s="67">
        <f>IF(AM9=1,Inputs!$D$39/Inputs!$D$32,IF(AM9=2,Inputs!$D$40/12,Inputs!$D$41/12))</f>
        <v>0</v>
      </c>
      <c r="AN15" s="67">
        <f>IF(AN9=1,Inputs!$D$39/Inputs!$D$32,IF(AN9=2,Inputs!$D$40/12,Inputs!$D$41/12))</f>
        <v>0</v>
      </c>
    </row>
    <row r="16" spans="1:40" s="16" customFormat="1">
      <c r="A16" s="1"/>
      <c r="B16" s="1"/>
      <c r="C16" s="32"/>
      <c r="D16" s="65"/>
      <c r="E16" s="67"/>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row>
    <row r="17" spans="1:40" s="49" customFormat="1">
      <c r="A17" s="2"/>
      <c r="B17" s="2" t="s">
        <v>201</v>
      </c>
      <c r="C17" s="48"/>
      <c r="D17" s="66"/>
      <c r="E17" s="68">
        <f>IF(E$9=1,Inputs!$D$46*12*'Projections-BASE'!E$11,IF(E$9=2,Inputs!$D$50*'Projections-BASE'!E$11,Inputs!$D$54*'Projections-BASE'!E$11))</f>
        <v>6000</v>
      </c>
      <c r="F17" s="68">
        <f>IF(F$9=1,Inputs!$D$46*12*'Projections-BASE'!F$11,IF(F$9=2,Inputs!$D$50*'Projections-BASE'!F$11,Inputs!$D$54*'Projections-BASE'!F$11))</f>
        <v>18000</v>
      </c>
      <c r="G17" s="68">
        <f>IF(G$9=1,Inputs!$D$46*12*'Projections-BASE'!G$11,IF(G$9=2,Inputs!$D$50*'Projections-BASE'!G$11,Inputs!$D$54*'Projections-BASE'!G$11))</f>
        <v>18000</v>
      </c>
      <c r="H17" s="68">
        <f>IF(H$9=1,Inputs!$D$46*12*'Projections-BASE'!H$11,IF(H$9=2,Inputs!$D$50*'Projections-BASE'!H$11,Inputs!$D$54*'Projections-BASE'!H$11))</f>
        <v>6000</v>
      </c>
      <c r="I17" s="68">
        <f>IF(I$9=1,Inputs!$D$46*12*'Projections-BASE'!I$11,IF(I$9=2,Inputs!$D$50*'Projections-BASE'!I$11,Inputs!$D$54*'Projections-BASE'!I$11))</f>
        <v>6000</v>
      </c>
      <c r="J17" s="68">
        <f>IF(J$9=1,Inputs!$D$46*12*'Projections-BASE'!J$11,IF(J$9=2,Inputs!$D$50*'Projections-BASE'!J$11,Inputs!$D$54*'Projections-BASE'!J$11))</f>
        <v>18000</v>
      </c>
      <c r="K17" s="68">
        <f>IF(K$9=1,Inputs!$D$46*12*'Projections-BASE'!K$11,IF(K$9=2,Inputs!$D$50*'Projections-BASE'!K$11,Inputs!$D$54*'Projections-BASE'!K$11))</f>
        <v>6000</v>
      </c>
      <c r="L17" s="68">
        <f>IF(L$9=1,Inputs!$D$46*12*'Projections-BASE'!L$11,IF(L$9=2,Inputs!$D$50*'Projections-BASE'!L$11,Inputs!$D$54*'Projections-BASE'!L$11))</f>
        <v>18000</v>
      </c>
      <c r="M17" s="68">
        <f>IF(M$9=1,Inputs!$D$46*12*'Projections-BASE'!M$11,IF(M$9=2,Inputs!$D$50*'Projections-BASE'!M$11,Inputs!$D$54*'Projections-BASE'!M$11))</f>
        <v>6000</v>
      </c>
      <c r="N17" s="68">
        <f>IF(N$9=1,Inputs!$D$46*12*'Projections-BASE'!N$11,IF(N$9=2,Inputs!$D$50*'Projections-BASE'!N$11,Inputs!$D$54*'Projections-BASE'!N$11))</f>
        <v>6000</v>
      </c>
      <c r="O17" s="68">
        <f>IF(O$9=1,Inputs!$D$46*12*'Projections-BASE'!O$11,IF(O$9=2,Inputs!$D$50*'Projections-BASE'!O$11,Inputs!$D$54*'Projections-BASE'!O$11))</f>
        <v>7200</v>
      </c>
      <c r="P17" s="68">
        <f>IF(P$9=1,Inputs!$D$46*12*'Projections-BASE'!P$11,IF(P$9=2,Inputs!$D$50*'Projections-BASE'!P$11,Inputs!$D$54*'Projections-BASE'!P$11))</f>
        <v>7200</v>
      </c>
      <c r="Q17" s="68">
        <f>IF(Q$9=1,Inputs!$D$46*12*'Projections-BASE'!Q$11,IF(Q$9=2,Inputs!$D$50*'Projections-BASE'!Q$11,Inputs!$D$54*'Projections-BASE'!Q$11))</f>
        <v>7200</v>
      </c>
      <c r="R17" s="68">
        <f>IF(R$9=1,Inputs!$D$46*12*'Projections-BASE'!R$11,IF(R$9=2,Inputs!$D$50*'Projections-BASE'!R$11,Inputs!$D$54*'Projections-BASE'!R$11))</f>
        <v>21600</v>
      </c>
      <c r="S17" s="68">
        <f>IF(S$9=1,Inputs!$D$46*12*'Projections-BASE'!S$11,IF(S$9=2,Inputs!$D$50*'Projections-BASE'!S$11,Inputs!$D$54*'Projections-BASE'!S$11))</f>
        <v>21600</v>
      </c>
      <c r="T17" s="68">
        <f>IF(T$9=1,Inputs!$D$46*12*'Projections-BASE'!T$11,IF(T$9=2,Inputs!$D$50*'Projections-BASE'!T$11,Inputs!$D$54*'Projections-BASE'!T$11))</f>
        <v>7200</v>
      </c>
      <c r="U17" s="68">
        <f>IF(U$9=1,Inputs!$D$46*12*'Projections-BASE'!U$11,IF(U$9=2,Inputs!$D$50*'Projections-BASE'!U$11,Inputs!$D$54*'Projections-BASE'!U$11))</f>
        <v>7200</v>
      </c>
      <c r="V17" s="68">
        <f>IF(V$9=1,Inputs!$D$46*12*'Projections-BASE'!V$11,IF(V$9=2,Inputs!$D$50*'Projections-BASE'!V$11,Inputs!$D$54*'Projections-BASE'!V$11))</f>
        <v>21600</v>
      </c>
      <c r="W17" s="68">
        <f>IF(W$9=1,Inputs!$D$46*12*'Projections-BASE'!W$11,IF(W$9=2,Inputs!$D$50*'Projections-BASE'!W$11,Inputs!$D$54*'Projections-BASE'!W$11))</f>
        <v>7200</v>
      </c>
      <c r="X17" s="68">
        <f>IF(X$9=1,Inputs!$D$46*12*'Projections-BASE'!X$11,IF(X$9=2,Inputs!$D$50*'Projections-BASE'!X$11,Inputs!$D$54*'Projections-BASE'!X$11))</f>
        <v>21600</v>
      </c>
      <c r="Y17" s="68">
        <f>IF(Y$9=1,Inputs!$D$46*12*'Projections-BASE'!Y$11,IF(Y$9=2,Inputs!$D$50*'Projections-BASE'!Y$11,Inputs!$D$54*'Projections-BASE'!Y$11))</f>
        <v>7200</v>
      </c>
      <c r="Z17" s="68">
        <f>IF(Z$9=1,Inputs!$D$46*12*'Projections-BASE'!Z$11,IF(Z$9=2,Inputs!$D$50*'Projections-BASE'!Z$11,Inputs!$D$54*'Projections-BASE'!Z$11))</f>
        <v>7200</v>
      </c>
      <c r="AA17" s="68">
        <f>IF(AA$9=1,Inputs!$D$46*12*'Projections-BASE'!AA$11,IF(AA$9=2,Inputs!$D$50*'Projections-BASE'!AA$11,Inputs!$D$54*'Projections-BASE'!AA$11))</f>
        <v>9000</v>
      </c>
      <c r="AB17" s="68">
        <f>IF(AB$9=1,Inputs!$D$46*12*'Projections-BASE'!AB$11,IF(AB$9=2,Inputs!$D$50*'Projections-BASE'!AB$11,Inputs!$D$54*'Projections-BASE'!AB$11))</f>
        <v>9000</v>
      </c>
      <c r="AC17" s="68">
        <f>IF(AC$9=1,Inputs!$D$46*12*'Projections-BASE'!AC$11,IF(AC$9=2,Inputs!$D$50*'Projections-BASE'!AC$11,Inputs!$D$54*'Projections-BASE'!AC$11))</f>
        <v>9000</v>
      </c>
      <c r="AD17" s="68">
        <f>IF(AD$9=1,Inputs!$D$46*12*'Projections-BASE'!AD$11,IF(AD$9=2,Inputs!$D$50*'Projections-BASE'!AD$11,Inputs!$D$54*'Projections-BASE'!AD$11))</f>
        <v>27000</v>
      </c>
      <c r="AE17" s="68">
        <f>IF(AE$9=1,Inputs!$D$46*12*'Projections-BASE'!AE$11,IF(AE$9=2,Inputs!$D$50*'Projections-BASE'!AE$11,Inputs!$D$54*'Projections-BASE'!AE$11))</f>
        <v>27000</v>
      </c>
      <c r="AF17" s="68">
        <f>IF(AF$9=1,Inputs!$D$46*12*'Projections-BASE'!AF$11,IF(AF$9=2,Inputs!$D$50*'Projections-BASE'!AF$11,Inputs!$D$54*'Projections-BASE'!AF$11))</f>
        <v>9000</v>
      </c>
      <c r="AG17" s="68">
        <f>IF(AG$9=1,Inputs!$D$46*12*'Projections-BASE'!AG$11,IF(AG$9=2,Inputs!$D$50*'Projections-BASE'!AG$11,Inputs!$D$54*'Projections-BASE'!AG$11))</f>
        <v>9000</v>
      </c>
      <c r="AH17" s="68">
        <f>IF(AH$9=1,Inputs!$D$46*12*'Projections-BASE'!AH$11,IF(AH$9=2,Inputs!$D$50*'Projections-BASE'!AH$11,Inputs!$D$54*'Projections-BASE'!AH$11))</f>
        <v>27000</v>
      </c>
      <c r="AI17" s="68">
        <f>IF(AI$9=1,Inputs!$D$46*12*'Projections-BASE'!AI$11,IF(AI$9=2,Inputs!$D$50*'Projections-BASE'!AI$11,Inputs!$D$54*'Projections-BASE'!AI$11))</f>
        <v>9000</v>
      </c>
      <c r="AJ17" s="68">
        <f>IF(AJ$9=1,Inputs!$D$46*12*'Projections-BASE'!AJ$11,IF(AJ$9=2,Inputs!$D$50*'Projections-BASE'!AJ$11,Inputs!$D$54*'Projections-BASE'!AJ$11))</f>
        <v>27000</v>
      </c>
      <c r="AK17" s="68">
        <f>IF(AK$9=1,Inputs!$D$46*12*'Projections-BASE'!AK$11,IF(AK$9=2,Inputs!$D$50*'Projections-BASE'!AK$11,Inputs!$D$54*'Projections-BASE'!AK$11))</f>
        <v>9000</v>
      </c>
      <c r="AL17" s="68">
        <f>IF(AL$9=1,Inputs!$D$46*12*'Projections-BASE'!AL$11,IF(AL$9=2,Inputs!$D$50*'Projections-BASE'!AL$11,Inputs!$D$54*'Projections-BASE'!AL$11))</f>
        <v>9000</v>
      </c>
      <c r="AM17" s="68">
        <f>IF(AM$9=1,Inputs!$D$46*12*'Projections-BASE'!AM$11,IF(AM$9=2,Inputs!$D$50*'Projections-BASE'!AM$11,Inputs!$D$54*'Projections-BASE'!AM$11))</f>
        <v>9000</v>
      </c>
      <c r="AN17" s="68">
        <f>IF(AN$9=1,Inputs!$D$46*12*'Projections-BASE'!AN$11,IF(AN$9=2,Inputs!$D$50*'Projections-BASE'!AN$11,Inputs!$D$54*'Projections-BASE'!AN$11))</f>
        <v>9000</v>
      </c>
    </row>
    <row r="18" spans="1:40" s="16" customFormat="1">
      <c r="A18" s="1"/>
      <c r="B18" s="1"/>
      <c r="C18" s="32"/>
      <c r="D18" s="65"/>
      <c r="E18" s="65"/>
      <c r="F18" s="65"/>
      <c r="G18" s="65"/>
      <c r="H18" s="65"/>
      <c r="I18" s="65"/>
      <c r="J18" s="65"/>
      <c r="K18" s="65"/>
      <c r="L18" s="65"/>
      <c r="M18" s="65"/>
      <c r="N18" s="65"/>
      <c r="O18" s="65"/>
      <c r="P18" s="65"/>
      <c r="Q18" s="65"/>
      <c r="R18" s="65"/>
      <c r="S18" s="65"/>
      <c r="T18" s="65"/>
      <c r="U18" s="65"/>
      <c r="V18" s="65"/>
      <c r="W18" s="65"/>
      <c r="X18" s="65"/>
      <c r="Y18" s="65"/>
      <c r="Z18" s="65"/>
      <c r="AA18" s="65"/>
      <c r="AB18" s="65"/>
      <c r="AC18" s="65"/>
      <c r="AD18" s="65"/>
      <c r="AE18" s="65"/>
      <c r="AF18" s="65"/>
      <c r="AG18" s="65"/>
      <c r="AH18" s="65"/>
      <c r="AI18" s="65"/>
      <c r="AJ18" s="65"/>
      <c r="AK18" s="65"/>
      <c r="AL18" s="65"/>
      <c r="AM18" s="65"/>
      <c r="AN18" s="65"/>
    </row>
    <row r="19" spans="1:40" s="49" customFormat="1">
      <c r="A19" s="2"/>
      <c r="B19" s="48" t="s">
        <v>204</v>
      </c>
      <c r="C19" s="48"/>
      <c r="D19" s="68">
        <f>SUM(D20:D24)</f>
        <v>225000</v>
      </c>
      <c r="E19" s="68">
        <f>SUM(E20:E24)</f>
        <v>0</v>
      </c>
      <c r="F19" s="68">
        <f t="shared" ref="F19:AN19" si="6">SUM(F20:F24)</f>
        <v>0</v>
      </c>
      <c r="G19" s="68">
        <f t="shared" si="6"/>
        <v>0</v>
      </c>
      <c r="H19" s="68">
        <f t="shared" si="6"/>
        <v>0</v>
      </c>
      <c r="I19" s="68">
        <f t="shared" si="6"/>
        <v>0</v>
      </c>
      <c r="J19" s="68">
        <f t="shared" si="6"/>
        <v>0</v>
      </c>
      <c r="K19" s="68">
        <f t="shared" si="6"/>
        <v>0</v>
      </c>
      <c r="L19" s="68">
        <f t="shared" si="6"/>
        <v>0</v>
      </c>
      <c r="M19" s="68">
        <f t="shared" si="6"/>
        <v>0</v>
      </c>
      <c r="N19" s="68">
        <f t="shared" si="6"/>
        <v>0</v>
      </c>
      <c r="O19" s="68">
        <f t="shared" si="6"/>
        <v>0</v>
      </c>
      <c r="P19" s="68">
        <f t="shared" si="6"/>
        <v>0</v>
      </c>
      <c r="Q19" s="68">
        <f t="shared" si="6"/>
        <v>0</v>
      </c>
      <c r="R19" s="68">
        <f t="shared" si="6"/>
        <v>0</v>
      </c>
      <c r="S19" s="68">
        <f t="shared" si="6"/>
        <v>0</v>
      </c>
      <c r="T19" s="68">
        <f t="shared" si="6"/>
        <v>0</v>
      </c>
      <c r="U19" s="68">
        <f t="shared" si="6"/>
        <v>0</v>
      </c>
      <c r="V19" s="68">
        <f t="shared" si="6"/>
        <v>0</v>
      </c>
      <c r="W19" s="68">
        <f t="shared" si="6"/>
        <v>0</v>
      </c>
      <c r="X19" s="68">
        <f t="shared" si="6"/>
        <v>0</v>
      </c>
      <c r="Y19" s="68">
        <f t="shared" si="6"/>
        <v>0</v>
      </c>
      <c r="Z19" s="68">
        <f t="shared" si="6"/>
        <v>0</v>
      </c>
      <c r="AA19" s="68">
        <f t="shared" si="6"/>
        <v>0</v>
      </c>
      <c r="AB19" s="68">
        <f t="shared" si="6"/>
        <v>0</v>
      </c>
      <c r="AC19" s="68">
        <f t="shared" si="6"/>
        <v>0</v>
      </c>
      <c r="AD19" s="68">
        <f t="shared" si="6"/>
        <v>0</v>
      </c>
      <c r="AE19" s="68">
        <f t="shared" si="6"/>
        <v>0</v>
      </c>
      <c r="AF19" s="68">
        <f t="shared" si="6"/>
        <v>0</v>
      </c>
      <c r="AG19" s="68">
        <f t="shared" si="6"/>
        <v>0</v>
      </c>
      <c r="AH19" s="68">
        <f t="shared" si="6"/>
        <v>0</v>
      </c>
      <c r="AI19" s="68">
        <f t="shared" si="6"/>
        <v>0</v>
      </c>
      <c r="AJ19" s="68">
        <f t="shared" si="6"/>
        <v>0</v>
      </c>
      <c r="AK19" s="68">
        <f t="shared" si="6"/>
        <v>0</v>
      </c>
      <c r="AL19" s="68">
        <f t="shared" si="6"/>
        <v>0</v>
      </c>
      <c r="AM19" s="68">
        <f t="shared" si="6"/>
        <v>0</v>
      </c>
      <c r="AN19" s="68">
        <f t="shared" si="6"/>
        <v>0</v>
      </c>
    </row>
    <row r="20" spans="1:40" s="16" customFormat="1">
      <c r="A20" s="1"/>
      <c r="B20" s="32"/>
      <c r="C20" s="32" t="s">
        <v>203</v>
      </c>
      <c r="D20" s="67">
        <f>IF(AND(E$5="New Business",Inputs!$D$14="Purchase"),IFERROR('Amort. Sched.-BASE'!G11,0),0)</f>
        <v>225000</v>
      </c>
      <c r="E20" s="67"/>
      <c r="F20" s="67"/>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67"/>
      <c r="AK20" s="67"/>
      <c r="AL20" s="67"/>
      <c r="AM20" s="67"/>
      <c r="AN20" s="67"/>
    </row>
    <row r="21" spans="1:40" s="49" customFormat="1">
      <c r="A21" s="2"/>
      <c r="B21" s="48"/>
      <c r="C21" s="32" t="s">
        <v>9</v>
      </c>
      <c r="D21" s="67">
        <f>IF(Inputs!D171&lt;1,IFERROR('Amort. Sched.-BASE'!P11,0),0)</f>
        <v>0</v>
      </c>
      <c r="E21" s="67">
        <f>IF($D$21&lt;&gt;0,0,IFERROR(VLOOKUP(E$8,CreditAmort1BASE[],5),0))</f>
        <v>0</v>
      </c>
      <c r="F21" s="67">
        <f>IF($D$21&lt;&gt;0,0,IFERROR(VLOOKUP(F$8,CreditAmort1BASE[],5),0))</f>
        <v>0</v>
      </c>
      <c r="G21" s="67">
        <f>IF($D$21&lt;&gt;0,0,IFERROR(VLOOKUP(G$8,CreditAmort1BASE[],5),0))</f>
        <v>0</v>
      </c>
      <c r="H21" s="67">
        <f>IF($D$21&lt;&gt;0,0,IFERROR(VLOOKUP(H$8,CreditAmort1BASE[],5),0))</f>
        <v>0</v>
      </c>
      <c r="I21" s="67">
        <f>IF($D$21&lt;&gt;0,0,IFERROR(VLOOKUP(I$8,CreditAmort1BASE[],5),0))</f>
        <v>0</v>
      </c>
      <c r="J21" s="67">
        <f>IF($D$21&lt;&gt;0,0,IFERROR(VLOOKUP(J$8,CreditAmort1BASE[],5),0))</f>
        <v>0</v>
      </c>
      <c r="K21" s="67">
        <f>IF($D$21&lt;&gt;0,0,IFERROR(VLOOKUP(K$8,CreditAmort1BASE[],5),0))</f>
        <v>0</v>
      </c>
      <c r="L21" s="67">
        <f>IF($D$21&lt;&gt;0,0,IFERROR(VLOOKUP(L$8,CreditAmort1BASE[],5),0))</f>
        <v>0</v>
      </c>
      <c r="M21" s="67">
        <f>IF($D$21&lt;&gt;0,0,IFERROR(VLOOKUP(M$8,CreditAmort1BASE[],5),0))</f>
        <v>0</v>
      </c>
      <c r="N21" s="67">
        <f>IF($D$21&lt;&gt;0,0,IFERROR(VLOOKUP(N$8,CreditAmort1BASE[],5),0))</f>
        <v>0</v>
      </c>
      <c r="O21" s="67">
        <f>IF($D$21&lt;&gt;0,0,IFERROR(VLOOKUP(O$8,CreditAmort1BASE[],5),0))</f>
        <v>0</v>
      </c>
      <c r="P21" s="67">
        <f>IF($D$21&lt;&gt;0,0,IFERROR(VLOOKUP(P$8,CreditAmort1BASE[],5),0))</f>
        <v>0</v>
      </c>
      <c r="Q21" s="67">
        <f>IF($D$21&lt;&gt;0,0,IFERROR(VLOOKUP(Q$8,CreditAmort1BASE[],5),0))</f>
        <v>0</v>
      </c>
      <c r="R21" s="67">
        <f>IF($D$21&lt;&gt;0,0,IFERROR(VLOOKUP(R$8,CreditAmort1BASE[],5),0))</f>
        <v>0</v>
      </c>
      <c r="S21" s="67">
        <f>IF($D$21&lt;&gt;0,0,IFERROR(VLOOKUP(S$8,CreditAmort1BASE[],5),0))</f>
        <v>0</v>
      </c>
      <c r="T21" s="67">
        <f>IF($D$21&lt;&gt;0,0,IFERROR(VLOOKUP(T$8,CreditAmort1BASE[],5),0))</f>
        <v>0</v>
      </c>
      <c r="U21" s="67">
        <f>IF($D$21&lt;&gt;0,0,IFERROR(VLOOKUP(U$8,CreditAmort1BASE[],5),0))</f>
        <v>0</v>
      </c>
      <c r="V21" s="67">
        <f>IF($D$21&lt;&gt;0,0,IFERROR(VLOOKUP(V$8,CreditAmort1BASE[],5),0))</f>
        <v>0</v>
      </c>
      <c r="W21" s="67">
        <f>IF($D$21&lt;&gt;0,0,IFERROR(VLOOKUP(W$8,CreditAmort1BASE[],5),0))</f>
        <v>0</v>
      </c>
      <c r="X21" s="67">
        <f>IF($D$21&lt;&gt;0,0,IFERROR(VLOOKUP(X$8,CreditAmort1BASE[],5),0))</f>
        <v>0</v>
      </c>
      <c r="Y21" s="67">
        <f>IF($D$21&lt;&gt;0,0,IFERROR(VLOOKUP(Y$8,CreditAmort1BASE[],5),0))</f>
        <v>0</v>
      </c>
      <c r="Z21" s="67">
        <f>IF($D$21&lt;&gt;0,0,IFERROR(VLOOKUP(Z$8,CreditAmort1BASE[],5),0))</f>
        <v>0</v>
      </c>
      <c r="AA21" s="67">
        <f>IF($D$21&lt;&gt;0,0,IFERROR(VLOOKUP(AA$8,CreditAmort1BASE[],5),0))</f>
        <v>0</v>
      </c>
      <c r="AB21" s="67">
        <f>IF($D$21&lt;&gt;0,0,IFERROR(VLOOKUP(AB$8,CreditAmort1BASE[],5),0))</f>
        <v>0</v>
      </c>
      <c r="AC21" s="67">
        <f>IF($D$21&lt;&gt;0,0,IFERROR(VLOOKUP(AC$8,CreditAmort1BASE[],5),0))</f>
        <v>0</v>
      </c>
      <c r="AD21" s="67">
        <f>IF($D$21&lt;&gt;0,0,IFERROR(VLOOKUP(AD$8,CreditAmort1BASE[],5),0))</f>
        <v>0</v>
      </c>
      <c r="AE21" s="67">
        <f>IF($D$21&lt;&gt;0,0,IFERROR(VLOOKUP(AE$8,CreditAmort1BASE[],5),0))</f>
        <v>0</v>
      </c>
      <c r="AF21" s="67">
        <f>IF($D$21&lt;&gt;0,0,IFERROR(VLOOKUP(AF$8,CreditAmort1BASE[],5),0))</f>
        <v>0</v>
      </c>
      <c r="AG21" s="67">
        <f>IF($D$21&lt;&gt;0,0,IFERROR(VLOOKUP(AG$8,CreditAmort1BASE[],5),0))</f>
        <v>0</v>
      </c>
      <c r="AH21" s="67">
        <f>IF($D$21&lt;&gt;0,0,IFERROR(VLOOKUP(AH$8,CreditAmort1BASE[],5),0))</f>
        <v>0</v>
      </c>
      <c r="AI21" s="67">
        <f>IF($D$21&lt;&gt;0,0,IFERROR(VLOOKUP(AI$8,CreditAmort1BASE[],5),0))</f>
        <v>0</v>
      </c>
      <c r="AJ21" s="67">
        <f>IF($D$21&lt;&gt;0,0,IFERROR(VLOOKUP(AJ$8,CreditAmort1BASE[],5),0))</f>
        <v>0</v>
      </c>
      <c r="AK21" s="67">
        <f>IF($D$21&lt;&gt;0,0,IFERROR(VLOOKUP(AK$8,CreditAmort1BASE[],5),0))</f>
        <v>0</v>
      </c>
      <c r="AL21" s="67">
        <f>IF($D$21&lt;&gt;0,0,IFERROR(VLOOKUP(AL$8,CreditAmort1BASE[],5),0))</f>
        <v>0</v>
      </c>
      <c r="AM21" s="67">
        <f>IF($D$21&lt;&gt;0,0,IFERROR(VLOOKUP(AM$8,CreditAmort1BASE[],5),0))</f>
        <v>0</v>
      </c>
      <c r="AN21" s="67">
        <f>IF($D$21&lt;&gt;0,0,IFERROR(VLOOKUP(AN$8,CreditAmort1BASE[],5),0))</f>
        <v>0</v>
      </c>
    </row>
    <row r="22" spans="1:40" s="49" customFormat="1">
      <c r="A22" s="2"/>
      <c r="B22" s="48"/>
      <c r="C22" s="32" t="s">
        <v>10</v>
      </c>
      <c r="D22" s="67">
        <f>IFERROR(VLOOKUP(0,CreditAmort2BASE[],5),0)</f>
        <v>0</v>
      </c>
      <c r="E22" s="67">
        <f>IFERROR(VLOOKUP(E$8,CreditAmort2BASE[],5),0)</f>
        <v>0</v>
      </c>
      <c r="F22" s="67">
        <f>IFERROR(VLOOKUP(F$8,CreditAmort2BASE[],5),0)</f>
        <v>0</v>
      </c>
      <c r="G22" s="67">
        <f>IFERROR(VLOOKUP(G$8,CreditAmort2BASE[],5),0)</f>
        <v>0</v>
      </c>
      <c r="H22" s="67">
        <f>IFERROR(VLOOKUP(H$8,CreditAmort2BASE[],5),0)</f>
        <v>0</v>
      </c>
      <c r="I22" s="67">
        <f>IFERROR(VLOOKUP(I$8,CreditAmort2BASE[],5),0)</f>
        <v>0</v>
      </c>
      <c r="J22" s="67">
        <f>IFERROR(VLOOKUP(J$8,CreditAmort2BASE[],5),0)</f>
        <v>0</v>
      </c>
      <c r="K22" s="67">
        <f>IFERROR(VLOOKUP(K$8,CreditAmort2BASE[],5),0)</f>
        <v>0</v>
      </c>
      <c r="L22" s="67">
        <f>IFERROR(VLOOKUP(L$8,CreditAmort2BASE[],5),0)</f>
        <v>0</v>
      </c>
      <c r="M22" s="67">
        <f>IFERROR(VLOOKUP(M$8,CreditAmort2BASE[],5),0)</f>
        <v>0</v>
      </c>
      <c r="N22" s="67">
        <f>IFERROR(VLOOKUP(N$8,CreditAmort2BASE[],5),0)</f>
        <v>0</v>
      </c>
      <c r="O22" s="67">
        <f>IFERROR(VLOOKUP(O$8,CreditAmort2BASE[],5),0)</f>
        <v>0</v>
      </c>
      <c r="P22" s="67">
        <f>IFERROR(VLOOKUP(P$8,CreditAmort2BASE[],5),0)</f>
        <v>0</v>
      </c>
      <c r="Q22" s="67">
        <f>IFERROR(VLOOKUP(Q$8,CreditAmort2BASE[],5),0)</f>
        <v>0</v>
      </c>
      <c r="R22" s="67">
        <f>IFERROR(VLOOKUP(R$8,CreditAmort2BASE[],5),0)</f>
        <v>0</v>
      </c>
      <c r="S22" s="67">
        <f>IFERROR(VLOOKUP(S$8,CreditAmort2BASE[],5),0)</f>
        <v>0</v>
      </c>
      <c r="T22" s="67">
        <f>IFERROR(VLOOKUP(T$8,CreditAmort2BASE[],5),0)</f>
        <v>0</v>
      </c>
      <c r="U22" s="67">
        <f>IFERROR(VLOOKUP(U$8,CreditAmort2BASE[],5),0)</f>
        <v>0</v>
      </c>
      <c r="V22" s="67">
        <f>IFERROR(VLOOKUP(V$8,CreditAmort2BASE[],5),0)</f>
        <v>0</v>
      </c>
      <c r="W22" s="67">
        <f>IFERROR(VLOOKUP(W$8,CreditAmort2BASE[],5),0)</f>
        <v>0</v>
      </c>
      <c r="X22" s="67">
        <f>IFERROR(VLOOKUP(X$8,CreditAmort2BASE[],5),0)</f>
        <v>0</v>
      </c>
      <c r="Y22" s="67">
        <f>IFERROR(VLOOKUP(Y$8,CreditAmort2BASE[],5),0)</f>
        <v>0</v>
      </c>
      <c r="Z22" s="67">
        <f>IFERROR(VLOOKUP(Z$8,CreditAmort2BASE[],5),0)</f>
        <v>0</v>
      </c>
      <c r="AA22" s="67">
        <f>IFERROR(VLOOKUP(AA$8,CreditAmort2BASE[],5),0)</f>
        <v>0</v>
      </c>
      <c r="AB22" s="67">
        <f>IFERROR(VLOOKUP(AB$8,CreditAmort2BASE[],5),0)</f>
        <v>0</v>
      </c>
      <c r="AC22" s="67">
        <f>IFERROR(VLOOKUP(AC$8,CreditAmort2BASE[],5),0)</f>
        <v>0</v>
      </c>
      <c r="AD22" s="67">
        <f>IFERROR(VLOOKUP(AD$8,CreditAmort2BASE[],5),0)</f>
        <v>0</v>
      </c>
      <c r="AE22" s="67">
        <f>IFERROR(VLOOKUP(AE$8,CreditAmort2BASE[],5),0)</f>
        <v>0</v>
      </c>
      <c r="AF22" s="67">
        <f>IFERROR(VLOOKUP(AF$8,CreditAmort2BASE[],5),0)</f>
        <v>0</v>
      </c>
      <c r="AG22" s="67">
        <f>IFERROR(VLOOKUP(AG$8,CreditAmort2BASE[],5),0)</f>
        <v>0</v>
      </c>
      <c r="AH22" s="67">
        <f>IFERROR(VLOOKUP(AH$8,CreditAmort2BASE[],5),0)</f>
        <v>0</v>
      </c>
      <c r="AI22" s="67">
        <f>IFERROR(VLOOKUP(AI$8,CreditAmort2BASE[],5),0)</f>
        <v>0</v>
      </c>
      <c r="AJ22" s="67">
        <f>IFERROR(VLOOKUP(AJ$8,CreditAmort2BASE[],5),0)</f>
        <v>0</v>
      </c>
      <c r="AK22" s="67">
        <f>IFERROR(VLOOKUP(AK$8,CreditAmort2BASE[],5),0)</f>
        <v>0</v>
      </c>
      <c r="AL22" s="67">
        <f>IFERROR(VLOOKUP(AL$8,CreditAmort2BASE[],5),0)</f>
        <v>0</v>
      </c>
      <c r="AM22" s="67">
        <f>IFERROR(VLOOKUP(AM$8,CreditAmort2BASE[],5),0)</f>
        <v>0</v>
      </c>
      <c r="AN22" s="67">
        <f>IFERROR(VLOOKUP(AN$8,CreditAmort2BASE[],5),0)</f>
        <v>0</v>
      </c>
    </row>
    <row r="23" spans="1:40" s="49" customFormat="1">
      <c r="A23" s="2"/>
      <c r="B23" s="48"/>
      <c r="C23" s="32" t="s">
        <v>11</v>
      </c>
      <c r="D23" s="67">
        <f>IFERROR(VLOOKUP(0,CreditAmort3BASE[],5),0)</f>
        <v>0</v>
      </c>
      <c r="E23" s="67">
        <f>IFERROR(VLOOKUP(E$8,CreditAmort3BASE[],5),0)</f>
        <v>0</v>
      </c>
      <c r="F23" s="67">
        <f>IFERROR(VLOOKUP(F$8,CreditAmort3BASE[],5),0)</f>
        <v>0</v>
      </c>
      <c r="G23" s="67">
        <f>IFERROR(VLOOKUP(G$8,CreditAmort3BASE[],5),0)</f>
        <v>0</v>
      </c>
      <c r="H23" s="67">
        <f>IFERROR(VLOOKUP(H$8,CreditAmort3BASE[],5),0)</f>
        <v>0</v>
      </c>
      <c r="I23" s="67">
        <f>IFERROR(VLOOKUP(I$8,CreditAmort3BASE[],5),0)</f>
        <v>0</v>
      </c>
      <c r="J23" s="67">
        <f>IFERROR(VLOOKUP(J$8,CreditAmort3BASE[],5),0)</f>
        <v>0</v>
      </c>
      <c r="K23" s="67">
        <f>IFERROR(VLOOKUP(K$8,CreditAmort3BASE[],5),0)</f>
        <v>0</v>
      </c>
      <c r="L23" s="67">
        <f>IFERROR(VLOOKUP(L$8,CreditAmort3BASE[],5),0)</f>
        <v>0</v>
      </c>
      <c r="M23" s="67">
        <f>IFERROR(VLOOKUP(M$8,CreditAmort3BASE[],5),0)</f>
        <v>0</v>
      </c>
      <c r="N23" s="67">
        <f>IFERROR(VLOOKUP(N$8,CreditAmort3BASE[],5),0)</f>
        <v>0</v>
      </c>
      <c r="O23" s="67">
        <f>IFERROR(VLOOKUP(O$8,CreditAmort3BASE[],5),0)</f>
        <v>0</v>
      </c>
      <c r="P23" s="67">
        <f>IFERROR(VLOOKUP(P$8,CreditAmort3BASE[],5),0)</f>
        <v>0</v>
      </c>
      <c r="Q23" s="67">
        <f>IFERROR(VLOOKUP(Q$8,CreditAmort3BASE[],5),0)</f>
        <v>0</v>
      </c>
      <c r="R23" s="67">
        <f>IFERROR(VLOOKUP(R$8,CreditAmort3BASE[],5),0)</f>
        <v>0</v>
      </c>
      <c r="S23" s="67">
        <f>IFERROR(VLOOKUP(S$8,CreditAmort3BASE[],5),0)</f>
        <v>0</v>
      </c>
      <c r="T23" s="67">
        <f>IFERROR(VLOOKUP(T$8,CreditAmort3BASE[],5),0)</f>
        <v>0</v>
      </c>
      <c r="U23" s="67">
        <f>IFERROR(VLOOKUP(U$8,CreditAmort3BASE[],5),0)</f>
        <v>0</v>
      </c>
      <c r="V23" s="67">
        <f>IFERROR(VLOOKUP(V$8,CreditAmort3BASE[],5),0)</f>
        <v>0</v>
      </c>
      <c r="W23" s="67">
        <f>IFERROR(VLOOKUP(W$8,CreditAmort3BASE[],5),0)</f>
        <v>0</v>
      </c>
      <c r="X23" s="67">
        <f>IFERROR(VLOOKUP(X$8,CreditAmort3BASE[],5),0)</f>
        <v>0</v>
      </c>
      <c r="Y23" s="67">
        <f>IFERROR(VLOOKUP(Y$8,CreditAmort3BASE[],5),0)</f>
        <v>0</v>
      </c>
      <c r="Z23" s="67">
        <f>IFERROR(VLOOKUP(Z$8,CreditAmort3BASE[],5),0)</f>
        <v>0</v>
      </c>
      <c r="AA23" s="67">
        <f>IFERROR(VLOOKUP(AA$8,CreditAmort3BASE[],5),0)</f>
        <v>0</v>
      </c>
      <c r="AB23" s="67">
        <f>IFERROR(VLOOKUP(AB$8,CreditAmort3BASE[],5),0)</f>
        <v>0</v>
      </c>
      <c r="AC23" s="67">
        <f>IFERROR(VLOOKUP(AC$8,CreditAmort3BASE[],5),0)</f>
        <v>0</v>
      </c>
      <c r="AD23" s="67">
        <f>IFERROR(VLOOKUP(AD$8,CreditAmort3BASE[],5),0)</f>
        <v>0</v>
      </c>
      <c r="AE23" s="67">
        <f>IFERROR(VLOOKUP(AE$8,CreditAmort3BASE[],5),0)</f>
        <v>0</v>
      </c>
      <c r="AF23" s="67">
        <f>IFERROR(VLOOKUP(AF$8,CreditAmort3BASE[],5),0)</f>
        <v>0</v>
      </c>
      <c r="AG23" s="67">
        <f>IFERROR(VLOOKUP(AG$8,CreditAmort3BASE[],5),0)</f>
        <v>0</v>
      </c>
      <c r="AH23" s="67">
        <f>IFERROR(VLOOKUP(AH$8,CreditAmort3BASE[],5),0)</f>
        <v>0</v>
      </c>
      <c r="AI23" s="67">
        <f>IFERROR(VLOOKUP(AI$8,CreditAmort3BASE[],5),0)</f>
        <v>0</v>
      </c>
      <c r="AJ23" s="67">
        <f>IFERROR(VLOOKUP(AJ$8,CreditAmort3BASE[],5),0)</f>
        <v>0</v>
      </c>
      <c r="AK23" s="67">
        <f>IFERROR(VLOOKUP(AK$8,CreditAmort3BASE[],5),0)</f>
        <v>0</v>
      </c>
      <c r="AL23" s="67">
        <f>IFERROR(VLOOKUP(AL$8,CreditAmort3BASE[],5),0)</f>
        <v>0</v>
      </c>
      <c r="AM23" s="67">
        <f>IFERROR(VLOOKUP(AM$8,CreditAmort3BASE[],5),0)</f>
        <v>0</v>
      </c>
      <c r="AN23" s="67">
        <f>IFERROR(VLOOKUP(AN$8,CreditAmort3BASE[],5),0)</f>
        <v>0</v>
      </c>
    </row>
    <row r="24" spans="1:40" s="49" customFormat="1">
      <c r="A24" s="2"/>
      <c r="B24" s="48"/>
      <c r="C24" s="32" t="s">
        <v>39</v>
      </c>
      <c r="D24" s="67">
        <f>IFERROR(VLOOKUP(0,CreditAmort4BASE[],5),0)</f>
        <v>0</v>
      </c>
      <c r="E24" s="67">
        <f>IFERROR(VLOOKUP(E$8,CreditAmort4BASE[],5),0)</f>
        <v>0</v>
      </c>
      <c r="F24" s="67">
        <f>IFERROR(VLOOKUP(F$8,CreditAmort4BASE[],5),0)</f>
        <v>0</v>
      </c>
      <c r="G24" s="67">
        <f>IFERROR(VLOOKUP(G$8,CreditAmort4BASE[],5),0)</f>
        <v>0</v>
      </c>
      <c r="H24" s="67">
        <f>IFERROR(VLOOKUP(H$8,CreditAmort4BASE[],5),0)</f>
        <v>0</v>
      </c>
      <c r="I24" s="67">
        <f>IFERROR(VLOOKUP(I$8,CreditAmort4BASE[],5),0)</f>
        <v>0</v>
      </c>
      <c r="J24" s="67">
        <f>IFERROR(VLOOKUP(J$8,CreditAmort4BASE[],5),0)</f>
        <v>0</v>
      </c>
      <c r="K24" s="67">
        <f>IFERROR(VLOOKUP(K$8,CreditAmort4BASE[],5),0)</f>
        <v>0</v>
      </c>
      <c r="L24" s="67">
        <f>IFERROR(VLOOKUP(L$8,CreditAmort4BASE[],5),0)</f>
        <v>0</v>
      </c>
      <c r="M24" s="67">
        <f>IFERROR(VLOOKUP(M$8,CreditAmort4BASE[],5),0)</f>
        <v>0</v>
      </c>
      <c r="N24" s="67">
        <f>IFERROR(VLOOKUP(N$8,CreditAmort4BASE[],5),0)</f>
        <v>0</v>
      </c>
      <c r="O24" s="67">
        <f>IFERROR(VLOOKUP(O$8,CreditAmort4BASE[],5),0)</f>
        <v>0</v>
      </c>
      <c r="P24" s="67">
        <f>IFERROR(VLOOKUP(P$8,CreditAmort4BASE[],5),0)</f>
        <v>0</v>
      </c>
      <c r="Q24" s="67">
        <f>IFERROR(VLOOKUP(Q$8,CreditAmort4BASE[],5),0)</f>
        <v>0</v>
      </c>
      <c r="R24" s="67">
        <f>IFERROR(VLOOKUP(R$8,CreditAmort4BASE[],5),0)</f>
        <v>0</v>
      </c>
      <c r="S24" s="67">
        <f>IFERROR(VLOOKUP(S$8,CreditAmort4BASE[],5),0)</f>
        <v>0</v>
      </c>
      <c r="T24" s="67">
        <f>IFERROR(VLOOKUP(T$8,CreditAmort4BASE[],5),0)</f>
        <v>0</v>
      </c>
      <c r="U24" s="67">
        <f>IFERROR(VLOOKUP(U$8,CreditAmort4BASE[],5),0)</f>
        <v>0</v>
      </c>
      <c r="V24" s="67">
        <f>IFERROR(VLOOKUP(V$8,CreditAmort4BASE[],5),0)</f>
        <v>0</v>
      </c>
      <c r="W24" s="67">
        <f>IFERROR(VLOOKUP(W$8,CreditAmort4BASE[],5),0)</f>
        <v>0</v>
      </c>
      <c r="X24" s="67">
        <f>IFERROR(VLOOKUP(X$8,CreditAmort4BASE[],5),0)</f>
        <v>0</v>
      </c>
      <c r="Y24" s="67">
        <f>IFERROR(VLOOKUP(Y$8,CreditAmort4BASE[],5),0)</f>
        <v>0</v>
      </c>
      <c r="Z24" s="67">
        <f>IFERROR(VLOOKUP(Z$8,CreditAmort4BASE[],5),0)</f>
        <v>0</v>
      </c>
      <c r="AA24" s="67">
        <f>IFERROR(VLOOKUP(AA$8,CreditAmort4BASE[],5),0)</f>
        <v>0</v>
      </c>
      <c r="AB24" s="67">
        <f>IFERROR(VLOOKUP(AB$8,CreditAmort4BASE[],5),0)</f>
        <v>0</v>
      </c>
      <c r="AC24" s="67">
        <f>IFERROR(VLOOKUP(AC$8,CreditAmort4BASE[],5),0)</f>
        <v>0</v>
      </c>
      <c r="AD24" s="67">
        <f>IFERROR(VLOOKUP(AD$8,CreditAmort4BASE[],5),0)</f>
        <v>0</v>
      </c>
      <c r="AE24" s="67">
        <f>IFERROR(VLOOKUP(AE$8,CreditAmort4BASE[],5),0)</f>
        <v>0</v>
      </c>
      <c r="AF24" s="67">
        <f>IFERROR(VLOOKUP(AF$8,CreditAmort4BASE[],5),0)</f>
        <v>0</v>
      </c>
      <c r="AG24" s="67">
        <f>IFERROR(VLOOKUP(AG$8,CreditAmort4BASE[],5),0)</f>
        <v>0</v>
      </c>
      <c r="AH24" s="67">
        <f>IFERROR(VLOOKUP(AH$8,CreditAmort4BASE[],5),0)</f>
        <v>0</v>
      </c>
      <c r="AI24" s="67">
        <f>IFERROR(VLOOKUP(AI$8,CreditAmort4BASE[],5),0)</f>
        <v>0</v>
      </c>
      <c r="AJ24" s="67">
        <f>IFERROR(VLOOKUP(AJ$8,CreditAmort4BASE[],5),0)</f>
        <v>0</v>
      </c>
      <c r="AK24" s="67">
        <f>IFERROR(VLOOKUP(AK$8,CreditAmort4BASE[],5),0)</f>
        <v>0</v>
      </c>
      <c r="AL24" s="67">
        <f>IFERROR(VLOOKUP(AL$8,CreditAmort4BASE[],5),0)</f>
        <v>0</v>
      </c>
      <c r="AM24" s="67">
        <f>IFERROR(VLOOKUP(AM$8,CreditAmort4BASE[],5),0)</f>
        <v>0</v>
      </c>
      <c r="AN24" s="67">
        <f>IFERROR(VLOOKUP(AN$8,CreditAmort4BASE[],5),0)</f>
        <v>0</v>
      </c>
    </row>
    <row r="25" spans="1:40" s="16" customFormat="1">
      <c r="A25" s="1"/>
      <c r="B25" s="1"/>
      <c r="C25" s="32"/>
    </row>
    <row r="26" spans="1:40" s="182" customFormat="1" ht="28.15" customHeight="1">
      <c r="A26" s="180"/>
      <c r="B26" s="271" t="s">
        <v>294</v>
      </c>
      <c r="C26" s="269"/>
      <c r="D26" s="181">
        <f>Inputs!D160</f>
        <v>0</v>
      </c>
    </row>
    <row r="27" spans="1:40" s="49" customFormat="1">
      <c r="A27" s="2"/>
      <c r="B27" s="2"/>
      <c r="C27" s="48"/>
      <c r="D27" s="68"/>
    </row>
    <row r="28" spans="1:40" s="16" customFormat="1">
      <c r="A28" s="51" t="s">
        <v>228</v>
      </c>
      <c r="C28" s="51"/>
      <c r="D28" s="49">
        <f>D26+D19</f>
        <v>225000</v>
      </c>
      <c r="E28" s="49">
        <f>E26+E19+E17+E12</f>
        <v>9000</v>
      </c>
      <c r="F28" s="49">
        <f t="shared" ref="F28:AN28" si="7">F26+F19+F17+F12</f>
        <v>21000</v>
      </c>
      <c r="G28" s="49">
        <f t="shared" si="7"/>
        <v>21000</v>
      </c>
      <c r="H28" s="49">
        <f t="shared" si="7"/>
        <v>9000</v>
      </c>
      <c r="I28" s="49">
        <f t="shared" si="7"/>
        <v>9000</v>
      </c>
      <c r="J28" s="49">
        <f t="shared" si="7"/>
        <v>21000</v>
      </c>
      <c r="K28" s="49">
        <f t="shared" si="7"/>
        <v>9000</v>
      </c>
      <c r="L28" s="49">
        <f t="shared" si="7"/>
        <v>21000</v>
      </c>
      <c r="M28" s="49">
        <f t="shared" si="7"/>
        <v>9000</v>
      </c>
      <c r="N28" s="49">
        <f t="shared" si="7"/>
        <v>9000</v>
      </c>
      <c r="O28" s="49">
        <f t="shared" si="7"/>
        <v>7200</v>
      </c>
      <c r="P28" s="49">
        <f t="shared" si="7"/>
        <v>7200</v>
      </c>
      <c r="Q28" s="49">
        <f t="shared" si="7"/>
        <v>7200</v>
      </c>
      <c r="R28" s="49">
        <f t="shared" si="7"/>
        <v>21600</v>
      </c>
      <c r="S28" s="49">
        <f t="shared" si="7"/>
        <v>21600</v>
      </c>
      <c r="T28" s="49">
        <f t="shared" si="7"/>
        <v>7200</v>
      </c>
      <c r="U28" s="49">
        <f t="shared" si="7"/>
        <v>7200</v>
      </c>
      <c r="V28" s="49">
        <f t="shared" si="7"/>
        <v>21600</v>
      </c>
      <c r="W28" s="49">
        <f t="shared" si="7"/>
        <v>7200</v>
      </c>
      <c r="X28" s="49">
        <f t="shared" si="7"/>
        <v>21600</v>
      </c>
      <c r="Y28" s="49">
        <f t="shared" si="7"/>
        <v>7200</v>
      </c>
      <c r="Z28" s="49">
        <f t="shared" si="7"/>
        <v>7200</v>
      </c>
      <c r="AA28" s="49">
        <f t="shared" si="7"/>
        <v>9000</v>
      </c>
      <c r="AB28" s="49">
        <f t="shared" si="7"/>
        <v>9000</v>
      </c>
      <c r="AC28" s="49">
        <f t="shared" si="7"/>
        <v>9000</v>
      </c>
      <c r="AD28" s="49">
        <f t="shared" si="7"/>
        <v>27000</v>
      </c>
      <c r="AE28" s="49">
        <f t="shared" si="7"/>
        <v>27000</v>
      </c>
      <c r="AF28" s="49">
        <f t="shared" si="7"/>
        <v>9000</v>
      </c>
      <c r="AG28" s="49">
        <f t="shared" si="7"/>
        <v>9000</v>
      </c>
      <c r="AH28" s="49">
        <f t="shared" si="7"/>
        <v>27000</v>
      </c>
      <c r="AI28" s="49">
        <f t="shared" si="7"/>
        <v>9000</v>
      </c>
      <c r="AJ28" s="49">
        <f t="shared" si="7"/>
        <v>27000</v>
      </c>
      <c r="AK28" s="49">
        <f t="shared" si="7"/>
        <v>9000</v>
      </c>
      <c r="AL28" s="49">
        <f t="shared" si="7"/>
        <v>9000</v>
      </c>
      <c r="AM28" s="49">
        <f t="shared" si="7"/>
        <v>9000</v>
      </c>
      <c r="AN28" s="49">
        <f t="shared" si="7"/>
        <v>9000</v>
      </c>
    </row>
    <row r="29" spans="1:40" s="16" customFormat="1" ht="12.75" thickBot="1">
      <c r="A29" s="17"/>
      <c r="B29" s="17"/>
      <c r="C29" s="33"/>
      <c r="D29" s="19"/>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row>
    <row r="30" spans="1:40" s="16" customFormat="1">
      <c r="A30" s="2" t="s">
        <v>25</v>
      </c>
      <c r="B30" s="1"/>
      <c r="C30" s="32"/>
      <c r="D30" s="15"/>
    </row>
    <row r="31" spans="1:40" s="16" customFormat="1">
      <c r="A31" s="2"/>
      <c r="B31" s="1"/>
      <c r="C31" s="32"/>
      <c r="D31" s="15"/>
    </row>
    <row r="32" spans="1:40" s="49" customFormat="1">
      <c r="A32" s="2"/>
      <c r="B32" s="2" t="s">
        <v>189</v>
      </c>
      <c r="C32" s="55"/>
      <c r="D32" s="66">
        <f>IF(E$5="New Business",Inputs!D26,0)</f>
        <v>350000</v>
      </c>
    </row>
    <row r="33" spans="1:40" s="16" customFormat="1">
      <c r="A33" s="2"/>
      <c r="B33" s="1"/>
      <c r="C33" s="32"/>
      <c r="D33" s="15"/>
    </row>
    <row r="34" spans="1:40" s="49" customFormat="1">
      <c r="A34" s="2"/>
      <c r="B34" s="2" t="s">
        <v>206</v>
      </c>
      <c r="C34" s="48"/>
      <c r="D34" s="52"/>
      <c r="E34" s="68">
        <f>IF(Inputs!$D$14="Lease",Inputs!$D$23,0)</f>
        <v>0</v>
      </c>
      <c r="F34" s="68">
        <f>IF(Inputs!$D$14="Lease",Inputs!$D$23,0)</f>
        <v>0</v>
      </c>
      <c r="G34" s="68">
        <f>IF(Inputs!$D$14="Lease",Inputs!$D$23,0)</f>
        <v>0</v>
      </c>
      <c r="H34" s="68">
        <f>IF(Inputs!$D$14="Lease",Inputs!$D$23,0)</f>
        <v>0</v>
      </c>
      <c r="I34" s="68">
        <f>IF(Inputs!$D$14="Lease",Inputs!$D$23,0)</f>
        <v>0</v>
      </c>
      <c r="J34" s="68">
        <f>IF(Inputs!$D$14="Lease",Inputs!$D$23,0)</f>
        <v>0</v>
      </c>
      <c r="K34" s="68">
        <f>IF(Inputs!$D$14="Lease",Inputs!$D$23,0)</f>
        <v>0</v>
      </c>
      <c r="L34" s="68">
        <f>IF(Inputs!$D$14="Lease",Inputs!$D$23,0)</f>
        <v>0</v>
      </c>
      <c r="M34" s="68">
        <f>IF(Inputs!$D$14="Lease",Inputs!$D$23,0)</f>
        <v>0</v>
      </c>
      <c r="N34" s="68">
        <f>IF(Inputs!$D$14="Lease",Inputs!$D$23,0)</f>
        <v>0</v>
      </c>
      <c r="O34" s="68">
        <f>IF(Inputs!$D$14="Lease",Inputs!$D$23,0)</f>
        <v>0</v>
      </c>
      <c r="P34" s="68">
        <f>IF(Inputs!$D$14="Lease",Inputs!$D$23,0)</f>
        <v>0</v>
      </c>
      <c r="Q34" s="68">
        <f>IF(Inputs!$D$14="Lease",Inputs!$D$23,0)</f>
        <v>0</v>
      </c>
      <c r="R34" s="68">
        <f>IF(Inputs!$D$14="Lease",Inputs!$D$23,0)</f>
        <v>0</v>
      </c>
      <c r="S34" s="68">
        <f>IF(Inputs!$D$14="Lease",Inputs!$D$23,0)</f>
        <v>0</v>
      </c>
      <c r="T34" s="68">
        <f>IF(Inputs!$D$14="Lease",Inputs!$D$23,0)</f>
        <v>0</v>
      </c>
      <c r="U34" s="68">
        <f>IF(Inputs!$D$14="Lease",Inputs!$D$23,0)</f>
        <v>0</v>
      </c>
      <c r="V34" s="68">
        <f>IF(Inputs!$D$14="Lease",Inputs!$D$23,0)</f>
        <v>0</v>
      </c>
      <c r="W34" s="68">
        <f>IF(Inputs!$D$14="Lease",Inputs!$D$23,0)</f>
        <v>0</v>
      </c>
      <c r="X34" s="68">
        <f>IF(Inputs!$D$14="Lease",Inputs!$D$23,0)</f>
        <v>0</v>
      </c>
      <c r="Y34" s="68">
        <f>IF(Inputs!$D$14="Lease",Inputs!$D$23,0)</f>
        <v>0</v>
      </c>
      <c r="Z34" s="68">
        <f>IF(Inputs!$D$14="Lease",Inputs!$D$23,0)</f>
        <v>0</v>
      </c>
      <c r="AA34" s="68">
        <f>IF(Inputs!$D$14="Lease",Inputs!$D$23,0)</f>
        <v>0</v>
      </c>
      <c r="AB34" s="68">
        <f>IF(Inputs!$D$14="Lease",Inputs!$D$23,0)</f>
        <v>0</v>
      </c>
      <c r="AC34" s="68">
        <f>IF(Inputs!$D$14="Lease",Inputs!$D$23,0)</f>
        <v>0</v>
      </c>
      <c r="AD34" s="68">
        <f>IF(Inputs!$D$14="Lease",Inputs!$D$23,0)</f>
        <v>0</v>
      </c>
      <c r="AE34" s="68">
        <f>IF(Inputs!$D$14="Lease",Inputs!$D$23,0)</f>
        <v>0</v>
      </c>
      <c r="AF34" s="68">
        <f>IF(Inputs!$D$14="Lease",Inputs!$D$23,0)</f>
        <v>0</v>
      </c>
      <c r="AG34" s="68">
        <f>IF(Inputs!$D$14="Lease",Inputs!$D$23,0)</f>
        <v>0</v>
      </c>
      <c r="AH34" s="68">
        <f>IF(Inputs!$D$14="Lease",Inputs!$D$23,0)</f>
        <v>0</v>
      </c>
      <c r="AI34" s="68">
        <f>IF(Inputs!$D$14="Lease",Inputs!$D$23,0)</f>
        <v>0</v>
      </c>
      <c r="AJ34" s="68">
        <f>IF(Inputs!$D$14="Lease",Inputs!$D$23,0)</f>
        <v>0</v>
      </c>
      <c r="AK34" s="68">
        <f>IF(Inputs!$D$14="Lease",Inputs!$D$23,0)</f>
        <v>0</v>
      </c>
      <c r="AL34" s="68">
        <f>IF(Inputs!$D$14="Lease",Inputs!$D$23,0)</f>
        <v>0</v>
      </c>
      <c r="AM34" s="68">
        <f>IF(Inputs!$D$14="Lease",Inputs!$D$23,0)</f>
        <v>0</v>
      </c>
      <c r="AN34" s="68">
        <f>IF(Inputs!$D$14="Lease",Inputs!$D$23,0)</f>
        <v>0</v>
      </c>
    </row>
    <row r="35" spans="1:40" s="49" customFormat="1">
      <c r="A35" s="2"/>
      <c r="B35" s="2" t="s">
        <v>207</v>
      </c>
      <c r="C35" s="48"/>
      <c r="D35" s="52"/>
      <c r="E35" s="68">
        <f>IF(Inputs!$D$14="Purchase",-VLOOKUP('Projections-BASE'!E$8,MortgageAmortBASE[],4,FALSE),0)</f>
        <v>236.58649358925678</v>
      </c>
      <c r="F35" s="68">
        <f>IF(Inputs!$D$14="Purchase",-VLOOKUP('Projections-BASE'!F$8,MortgageAmortBASE[],4,FALSE),0)</f>
        <v>238.1637368798518</v>
      </c>
      <c r="G35" s="68">
        <f>IF(Inputs!$D$14="Purchase",-VLOOKUP('Projections-BASE'!G$8,MortgageAmortBASE[],4,FALSE),0)</f>
        <v>239.75149512571744</v>
      </c>
      <c r="H35" s="68">
        <f>IF(Inputs!$D$14="Purchase",-VLOOKUP('Projections-BASE'!H$8,MortgageAmortBASE[],4,FALSE),0)</f>
        <v>241.34983842655566</v>
      </c>
      <c r="I35" s="68">
        <f>IF(Inputs!$D$14="Purchase",-VLOOKUP('Projections-BASE'!I$8,MortgageAmortBASE[],4,FALSE),0)</f>
        <v>242.95883734939932</v>
      </c>
      <c r="J35" s="68">
        <f>IF(Inputs!$D$14="Purchase",-VLOOKUP('Projections-BASE'!J$8,MortgageAmortBASE[],4,FALSE),0)</f>
        <v>244.57856293172867</v>
      </c>
      <c r="K35" s="68">
        <f>IF(Inputs!$D$14="Purchase",-VLOOKUP('Projections-BASE'!K$8,MortgageAmortBASE[],4,FALSE),0)</f>
        <v>246.20908668460686</v>
      </c>
      <c r="L35" s="68">
        <f>IF(Inputs!$D$14="Purchase",-VLOOKUP('Projections-BASE'!L$8,MortgageAmortBASE[],4,FALSE),0)</f>
        <v>247.85048059583755</v>
      </c>
      <c r="M35" s="68">
        <f>IF(Inputs!$D$14="Purchase",-VLOOKUP('Projections-BASE'!M$8,MortgageAmortBASE[],4,FALSE),0)</f>
        <v>249.50281713314311</v>
      </c>
      <c r="N35" s="68">
        <f>IF(Inputs!$D$14="Purchase",-VLOOKUP('Projections-BASE'!N$8,MortgageAmortBASE[],4,FALSE),0)</f>
        <v>251.16616924736414</v>
      </c>
      <c r="O35" s="68">
        <f>IF(Inputs!$D$14="Purchase",-VLOOKUP('Projections-BASE'!O$8,MortgageAmortBASE[],4,FALSE),0)</f>
        <v>252.84061037567983</v>
      </c>
      <c r="P35" s="68">
        <f>IF(Inputs!$D$14="Purchase",-VLOOKUP('Projections-BASE'!P$8,MortgageAmortBASE[],4,FALSE),0)</f>
        <v>254.52621444485109</v>
      </c>
      <c r="Q35" s="68">
        <f>IF(Inputs!$D$14="Purchase",-VLOOKUP('Projections-BASE'!Q$8,MortgageAmortBASE[],4,FALSE),0)</f>
        <v>256.22305587448341</v>
      </c>
      <c r="R35" s="68">
        <f>IF(Inputs!$D$14="Purchase",-VLOOKUP('Projections-BASE'!R$8,MortgageAmortBASE[],4,FALSE),0)</f>
        <v>257.93120958031329</v>
      </c>
      <c r="S35" s="68">
        <f>IF(Inputs!$D$14="Purchase",-VLOOKUP('Projections-BASE'!S$8,MortgageAmortBASE[],4,FALSE),0)</f>
        <v>259.65075097751537</v>
      </c>
      <c r="T35" s="68">
        <f>IF(Inputs!$D$14="Purchase",-VLOOKUP('Projections-BASE'!T$8,MortgageAmortBASE[],4,FALSE),0)</f>
        <v>261.38175598403211</v>
      </c>
      <c r="U35" s="68">
        <f>IF(Inputs!$D$14="Purchase",-VLOOKUP('Projections-BASE'!U$8,MortgageAmortBASE[],4,FALSE),0)</f>
        <v>263.12430102392574</v>
      </c>
      <c r="V35" s="68">
        <f>IF(Inputs!$D$14="Purchase",-VLOOKUP('Projections-BASE'!V$8,MortgageAmortBASE[],4,FALSE),0)</f>
        <v>264.87846303075185</v>
      </c>
      <c r="W35" s="68">
        <f>IF(Inputs!$D$14="Purchase",-VLOOKUP('Projections-BASE'!W$8,MortgageAmortBASE[],4,FALSE),0)</f>
        <v>266.64431945095691</v>
      </c>
      <c r="X35" s="68">
        <f>IF(Inputs!$D$14="Purchase",-VLOOKUP('Projections-BASE'!X$8,MortgageAmortBASE[],4,FALSE),0)</f>
        <v>268.4219482472966</v>
      </c>
      <c r="Y35" s="68">
        <f>IF(Inputs!$D$14="Purchase",-VLOOKUP('Projections-BASE'!Y$8,MortgageAmortBASE[],4,FALSE),0)</f>
        <v>270.21142790227856</v>
      </c>
      <c r="Z35" s="68">
        <f>IF(Inputs!$D$14="Purchase",-VLOOKUP('Projections-BASE'!Z$8,MortgageAmortBASE[],4,FALSE),0)</f>
        <v>272.01283742162707</v>
      </c>
      <c r="AA35" s="68">
        <f>IF(Inputs!$D$14="Purchase",-VLOOKUP('Projections-BASE'!AA$8,MortgageAmortBASE[],4,FALSE),0)</f>
        <v>273.82625633777133</v>
      </c>
      <c r="AB35" s="68">
        <f>IF(Inputs!$D$14="Purchase",-VLOOKUP('Projections-BASE'!AB$8,MortgageAmortBASE[],4,FALSE),0)</f>
        <v>275.65176471335644</v>
      </c>
      <c r="AC35" s="68">
        <f>IF(Inputs!$D$14="Purchase",-VLOOKUP('Projections-BASE'!AC$8,MortgageAmortBASE[],4,FALSE),0)</f>
        <v>277.48944314477882</v>
      </c>
      <c r="AD35" s="68">
        <f>IF(Inputs!$D$14="Purchase",-VLOOKUP('Projections-BASE'!AD$8,MortgageAmortBASE[],4,FALSE),0)</f>
        <v>279.33937276574397</v>
      </c>
      <c r="AE35" s="68">
        <f>IF(Inputs!$D$14="Purchase",-VLOOKUP('Projections-BASE'!AE$8,MortgageAmortBASE[],4,FALSE),0)</f>
        <v>281.20163525084894</v>
      </c>
      <c r="AF35" s="68">
        <f>IF(Inputs!$D$14="Purchase",-VLOOKUP('Projections-BASE'!AF$8,MortgageAmortBASE[],4,FALSE),0)</f>
        <v>283.07631281918788</v>
      </c>
      <c r="AG35" s="68">
        <f>IF(Inputs!$D$14="Purchase",-VLOOKUP('Projections-BASE'!AG$8,MortgageAmortBASE[],4,FALSE),0)</f>
        <v>284.96348823798257</v>
      </c>
      <c r="AH35" s="68">
        <f>IF(Inputs!$D$14="Purchase",-VLOOKUP('Projections-BASE'!AH$8,MortgageAmortBASE[],4,FALSE),0)</f>
        <v>286.86324482623576</v>
      </c>
      <c r="AI35" s="68">
        <f>IF(Inputs!$D$14="Purchase",-VLOOKUP('Projections-BASE'!AI$8,MortgageAmortBASE[],4,FALSE),0)</f>
        <v>288.77566645841063</v>
      </c>
      <c r="AJ35" s="68">
        <f>IF(Inputs!$D$14="Purchase",-VLOOKUP('Projections-BASE'!AJ$8,MortgageAmortBASE[],4,FALSE),0)</f>
        <v>290.70083756813341</v>
      </c>
      <c r="AK35" s="68">
        <f>IF(Inputs!$D$14="Purchase",-VLOOKUP('Projections-BASE'!AK$8,MortgageAmortBASE[],4,FALSE),0)</f>
        <v>292.63884315192092</v>
      </c>
      <c r="AL35" s="68">
        <f>IF(Inputs!$D$14="Purchase",-VLOOKUP('Projections-BASE'!AL$8,MortgageAmortBASE[],4,FALSE),0)</f>
        <v>294.58976877293372</v>
      </c>
      <c r="AM35" s="68">
        <f>IF(Inputs!$D$14="Purchase",-VLOOKUP('Projections-BASE'!AM$8,MortgageAmortBASE[],4,FALSE),0)</f>
        <v>296.55370056475329</v>
      </c>
      <c r="AN35" s="68">
        <f>IF(Inputs!$D$14="Purchase",-VLOOKUP('Projections-BASE'!AN$8,MortgageAmortBASE[],4,FALSE),0)</f>
        <v>298.530725235185</v>
      </c>
    </row>
    <row r="36" spans="1:40" s="49" customFormat="1">
      <c r="A36" s="2"/>
      <c r="B36" s="2" t="s">
        <v>208</v>
      </c>
      <c r="C36" s="48"/>
      <c r="D36" s="52"/>
      <c r="E36" s="68">
        <f>IF(Inputs!$D$14="Purchase",-VLOOKUP('Projections-BASE'!E$8,MortgageAmortBASE[],3,FALSE),0)</f>
        <v>1500</v>
      </c>
      <c r="F36" s="68">
        <f>IF(Inputs!$D$14="Purchase",-VLOOKUP('Projections-BASE'!F$8,MortgageAmortBASE[],3,FALSE),0)</f>
        <v>1498.4227567094051</v>
      </c>
      <c r="G36" s="68">
        <f>IF(Inputs!$D$14="Purchase",-VLOOKUP('Projections-BASE'!G$8,MortgageAmortBASE[],3,FALSE),0)</f>
        <v>1496.8349984635395</v>
      </c>
      <c r="H36" s="68">
        <f>IF(Inputs!$D$14="Purchase",-VLOOKUP('Projections-BASE'!H$8,MortgageAmortBASE[],3,FALSE),0)</f>
        <v>1495.2366551627013</v>
      </c>
      <c r="I36" s="68">
        <f>IF(Inputs!$D$14="Purchase",-VLOOKUP('Projections-BASE'!I$8,MortgageAmortBASE[],3,FALSE),0)</f>
        <v>1493.6276562398575</v>
      </c>
      <c r="J36" s="68">
        <f>IF(Inputs!$D$14="Purchase",-VLOOKUP('Projections-BASE'!J$8,MortgageAmortBASE[],3,FALSE),0)</f>
        <v>1492.0079306575283</v>
      </c>
      <c r="K36" s="68">
        <f>IF(Inputs!$D$14="Purchase",-VLOOKUP('Projections-BASE'!K$8,MortgageAmortBASE[],3,FALSE),0)</f>
        <v>1490.3774069046499</v>
      </c>
      <c r="L36" s="68">
        <f>IF(Inputs!$D$14="Purchase",-VLOOKUP('Projections-BASE'!L$8,MortgageAmortBASE[],3,FALSE),0)</f>
        <v>1488.7360129934193</v>
      </c>
      <c r="M36" s="68">
        <f>IF(Inputs!$D$14="Purchase",-VLOOKUP('Projections-BASE'!M$8,MortgageAmortBASE[],3,FALSE),0)</f>
        <v>1487.0836764561138</v>
      </c>
      <c r="N36" s="68">
        <f>IF(Inputs!$D$14="Purchase",-VLOOKUP('Projections-BASE'!N$8,MortgageAmortBASE[],3,FALSE),0)</f>
        <v>1485.4203243418929</v>
      </c>
      <c r="O36" s="68">
        <f>IF(Inputs!$D$14="Purchase",-VLOOKUP('Projections-BASE'!O$8,MortgageAmortBASE[],3,FALSE),0)</f>
        <v>1483.7458832135771</v>
      </c>
      <c r="P36" s="68">
        <f>IF(Inputs!$D$14="Purchase",-VLOOKUP('Projections-BASE'!P$8,MortgageAmortBASE[],3,FALSE),0)</f>
        <v>1482.060279144406</v>
      </c>
      <c r="Q36" s="68">
        <f>IF(Inputs!$D$14="Purchase",-VLOOKUP('Projections-BASE'!Q$8,MortgageAmortBASE[],3,FALSE),0)</f>
        <v>1480.3634377147735</v>
      </c>
      <c r="R36" s="68">
        <f>IF(Inputs!$D$14="Purchase",-VLOOKUP('Projections-BASE'!R$8,MortgageAmortBASE[],3,FALSE),0)</f>
        <v>1478.6552840089437</v>
      </c>
      <c r="S36" s="68">
        <f>IF(Inputs!$D$14="Purchase",-VLOOKUP('Projections-BASE'!S$8,MortgageAmortBASE[],3,FALSE),0)</f>
        <v>1476.9357426117415</v>
      </c>
      <c r="T36" s="68">
        <f>IF(Inputs!$D$14="Purchase",-VLOOKUP('Projections-BASE'!T$8,MortgageAmortBASE[],3,FALSE),0)</f>
        <v>1475.2047376052249</v>
      </c>
      <c r="U36" s="68">
        <f>IF(Inputs!$D$14="Purchase",-VLOOKUP('Projections-BASE'!U$8,MortgageAmortBASE[],3,FALSE),0)</f>
        <v>1473.4621925653312</v>
      </c>
      <c r="V36" s="68">
        <f>IF(Inputs!$D$14="Purchase",-VLOOKUP('Projections-BASE'!V$8,MortgageAmortBASE[],3,FALSE),0)</f>
        <v>1471.708030558505</v>
      </c>
      <c r="W36" s="68">
        <f>IF(Inputs!$D$14="Purchase",-VLOOKUP('Projections-BASE'!W$8,MortgageAmortBASE[],3,FALSE),0)</f>
        <v>1469.9421741383001</v>
      </c>
      <c r="X36" s="68">
        <f>IF(Inputs!$D$14="Purchase",-VLOOKUP('Projections-BASE'!X$8,MortgageAmortBASE[],3,FALSE),0)</f>
        <v>1468.1645453419603</v>
      </c>
      <c r="Y36" s="68">
        <f>IF(Inputs!$D$14="Purchase",-VLOOKUP('Projections-BASE'!Y$8,MortgageAmortBASE[],3,FALSE),0)</f>
        <v>1466.3750656869784</v>
      </c>
      <c r="Z36" s="68">
        <f>IF(Inputs!$D$14="Purchase",-VLOOKUP('Projections-BASE'!Z$8,MortgageAmortBASE[],3,FALSE),0)</f>
        <v>1464.5736561676299</v>
      </c>
      <c r="AA36" s="68">
        <f>IF(Inputs!$D$14="Purchase",-VLOOKUP('Projections-BASE'!AA$8,MortgageAmortBASE[],3,FALSE),0)</f>
        <v>1462.7602372514857</v>
      </c>
      <c r="AB36" s="68">
        <f>IF(Inputs!$D$14="Purchase",-VLOOKUP('Projections-BASE'!AB$8,MortgageAmortBASE[],3,FALSE),0)</f>
        <v>1460.9347288759004</v>
      </c>
      <c r="AC36" s="68">
        <f>IF(Inputs!$D$14="Purchase",-VLOOKUP('Projections-BASE'!AC$8,MortgageAmortBASE[],3,FALSE),0)</f>
        <v>1459.0970504444783</v>
      </c>
      <c r="AD36" s="68">
        <f>IF(Inputs!$D$14="Purchase",-VLOOKUP('Projections-BASE'!AD$8,MortgageAmortBASE[],3,FALSE),0)</f>
        <v>1457.2471208235129</v>
      </c>
      <c r="AE36" s="68">
        <f>IF(Inputs!$D$14="Purchase",-VLOOKUP('Projections-BASE'!AE$8,MortgageAmortBASE[],3,FALSE),0)</f>
        <v>1455.3848583384081</v>
      </c>
      <c r="AF36" s="68">
        <f>IF(Inputs!$D$14="Purchase",-VLOOKUP('Projections-BASE'!AF$8,MortgageAmortBASE[],3,FALSE),0)</f>
        <v>1453.5101807700689</v>
      </c>
      <c r="AG36" s="68">
        <f>IF(Inputs!$D$14="Purchase",-VLOOKUP('Projections-BASE'!AG$8,MortgageAmortBASE[],3,FALSE),0)</f>
        <v>1451.6230053512743</v>
      </c>
      <c r="AH36" s="68">
        <f>IF(Inputs!$D$14="Purchase",-VLOOKUP('Projections-BASE'!AH$8,MortgageAmortBASE[],3,FALSE),0)</f>
        <v>1449.723248763021</v>
      </c>
      <c r="AI36" s="68">
        <f>IF(Inputs!$D$14="Purchase",-VLOOKUP('Projections-BASE'!AI$8,MortgageAmortBASE[],3,FALSE),0)</f>
        <v>1447.8108271308463</v>
      </c>
      <c r="AJ36" s="68">
        <f>IF(Inputs!$D$14="Purchase",-VLOOKUP('Projections-BASE'!AJ$8,MortgageAmortBASE[],3,FALSE),0)</f>
        <v>1445.8856560211236</v>
      </c>
      <c r="AK36" s="68">
        <f>IF(Inputs!$D$14="Purchase",-VLOOKUP('Projections-BASE'!AK$8,MortgageAmortBASE[],3,FALSE),0)</f>
        <v>1443.9476504373358</v>
      </c>
      <c r="AL36" s="68">
        <f>IF(Inputs!$D$14="Purchase",-VLOOKUP('Projections-BASE'!AL$8,MortgageAmortBASE[],3,FALSE),0)</f>
        <v>1441.9967248163232</v>
      </c>
      <c r="AM36" s="68">
        <f>IF(Inputs!$D$14="Purchase",-VLOOKUP('Projections-BASE'!AM$8,MortgageAmortBASE[],3,FALSE),0)</f>
        <v>1440.0327930245035</v>
      </c>
      <c r="AN36" s="68">
        <f>IF(Inputs!$D$14="Purchase",-VLOOKUP('Projections-BASE'!AN$8,MortgageAmortBASE[],3,FALSE),0)</f>
        <v>1438.0557683540719</v>
      </c>
    </row>
    <row r="37" spans="1:40" s="16" customFormat="1">
      <c r="A37" s="2"/>
      <c r="B37" s="71" t="s">
        <v>219</v>
      </c>
      <c r="C37" s="32"/>
      <c r="D37" s="15"/>
    </row>
    <row r="38" spans="1:40" s="16" customFormat="1">
      <c r="A38" s="2"/>
      <c r="B38" s="50" t="s">
        <v>290</v>
      </c>
      <c r="C38" s="32"/>
      <c r="D38" s="15"/>
    </row>
    <row r="39" spans="1:40" s="16" customFormat="1">
      <c r="A39" s="2"/>
      <c r="B39" s="50"/>
      <c r="C39" s="32"/>
      <c r="D39" s="15"/>
    </row>
    <row r="40" spans="1:40" s="49" customFormat="1">
      <c r="A40" s="2"/>
      <c r="B40" s="2" t="s">
        <v>209</v>
      </c>
      <c r="C40" s="56"/>
      <c r="D40" s="52"/>
      <c r="E40" s="68">
        <f>SUM(E41:E48)</f>
        <v>10303.200000000001</v>
      </c>
      <c r="F40" s="68">
        <f t="shared" ref="F40:AN40" si="8">SUM(F41:F48)</f>
        <v>22423.200000000001</v>
      </c>
      <c r="G40" s="68">
        <f t="shared" si="8"/>
        <v>22423.200000000001</v>
      </c>
      <c r="H40" s="68">
        <f t="shared" si="8"/>
        <v>10303.200000000001</v>
      </c>
      <c r="I40" s="68">
        <f t="shared" si="8"/>
        <v>10303.200000000001</v>
      </c>
      <c r="J40" s="68">
        <f t="shared" si="8"/>
        <v>22423.200000000001</v>
      </c>
      <c r="K40" s="68">
        <f t="shared" si="8"/>
        <v>10303.200000000001</v>
      </c>
      <c r="L40" s="68">
        <f t="shared" si="8"/>
        <v>22423.200000000001</v>
      </c>
      <c r="M40" s="68">
        <f t="shared" si="8"/>
        <v>10303.200000000001</v>
      </c>
      <c r="N40" s="68">
        <f t="shared" si="8"/>
        <v>10303.200000000001</v>
      </c>
      <c r="O40" s="68">
        <f t="shared" si="8"/>
        <v>11043.68</v>
      </c>
      <c r="P40" s="68">
        <f t="shared" si="8"/>
        <v>11043.68</v>
      </c>
      <c r="Q40" s="68">
        <f t="shared" si="8"/>
        <v>11043.68</v>
      </c>
      <c r="R40" s="68">
        <f t="shared" si="8"/>
        <v>25846.880000000001</v>
      </c>
      <c r="S40" s="68">
        <f t="shared" si="8"/>
        <v>25846.880000000001</v>
      </c>
      <c r="T40" s="68">
        <f t="shared" si="8"/>
        <v>11043.68</v>
      </c>
      <c r="U40" s="68">
        <f t="shared" si="8"/>
        <v>11043.68</v>
      </c>
      <c r="V40" s="68">
        <f t="shared" si="8"/>
        <v>25846.880000000001</v>
      </c>
      <c r="W40" s="68">
        <f t="shared" si="8"/>
        <v>11043.68</v>
      </c>
      <c r="X40" s="68">
        <f t="shared" si="8"/>
        <v>25846.880000000001</v>
      </c>
      <c r="Y40" s="68">
        <f t="shared" si="8"/>
        <v>11043.68</v>
      </c>
      <c r="Z40" s="68">
        <f t="shared" si="8"/>
        <v>11043.68</v>
      </c>
      <c r="AA40" s="68">
        <f t="shared" si="8"/>
        <v>12937.865600000001</v>
      </c>
      <c r="AB40" s="68">
        <f t="shared" si="8"/>
        <v>12937.865600000001</v>
      </c>
      <c r="AC40" s="68">
        <f t="shared" si="8"/>
        <v>12937.865600000001</v>
      </c>
      <c r="AD40" s="68">
        <f t="shared" si="8"/>
        <v>31317.276799999996</v>
      </c>
      <c r="AE40" s="68">
        <f t="shared" si="8"/>
        <v>31317.276799999996</v>
      </c>
      <c r="AF40" s="68">
        <f t="shared" si="8"/>
        <v>12937.865600000001</v>
      </c>
      <c r="AG40" s="68">
        <f t="shared" si="8"/>
        <v>12937.865600000001</v>
      </c>
      <c r="AH40" s="68">
        <f t="shared" si="8"/>
        <v>31317.276799999996</v>
      </c>
      <c r="AI40" s="68">
        <f t="shared" si="8"/>
        <v>12937.865600000001</v>
      </c>
      <c r="AJ40" s="68">
        <f t="shared" si="8"/>
        <v>31317.276799999996</v>
      </c>
      <c r="AK40" s="68">
        <f t="shared" si="8"/>
        <v>12937.865600000001</v>
      </c>
      <c r="AL40" s="68">
        <f t="shared" si="8"/>
        <v>12937.865600000001</v>
      </c>
      <c r="AM40" s="68">
        <f t="shared" si="8"/>
        <v>12937.865600000001</v>
      </c>
      <c r="AN40" s="68">
        <f t="shared" si="8"/>
        <v>12937.865600000001</v>
      </c>
    </row>
    <row r="41" spans="1:40" s="16" customFormat="1">
      <c r="A41" s="1"/>
      <c r="B41" s="1"/>
      <c r="C41" s="32" t="s">
        <v>0</v>
      </c>
      <c r="D41" s="15"/>
      <c r="E41" s="67">
        <f>IF(E$9=1,Inputs!$D$61*'Projections-BASE'!E$17,IF(E$9=2,Inputs!$D$62*'Projections-BASE'!E$17,Inputs!$D$63*'Projections-BASE'!E$17))</f>
        <v>1800</v>
      </c>
      <c r="F41" s="67">
        <f>IF(F$9=1,Inputs!$D$61*'Projections-BASE'!F$17,IF(F$9=2,Inputs!$D$62*'Projections-BASE'!F$17,Inputs!$D$63*'Projections-BASE'!F$17))</f>
        <v>5400</v>
      </c>
      <c r="G41" s="67">
        <f>IF(G$9=1,Inputs!$D$61*'Projections-BASE'!G$17,IF(G$9=2,Inputs!$D$62*'Projections-BASE'!G$17,Inputs!$D$63*'Projections-BASE'!G$17))</f>
        <v>5400</v>
      </c>
      <c r="H41" s="67">
        <f>IF(H$9=1,Inputs!$D$61*'Projections-BASE'!H$17,IF(H$9=2,Inputs!$D$62*'Projections-BASE'!H$17,Inputs!$D$63*'Projections-BASE'!H$17))</f>
        <v>1800</v>
      </c>
      <c r="I41" s="67">
        <f>IF(I$9=1,Inputs!$D$61*'Projections-BASE'!I$17,IF(I$9=2,Inputs!$D$62*'Projections-BASE'!I$17,Inputs!$D$63*'Projections-BASE'!I$17))</f>
        <v>1800</v>
      </c>
      <c r="J41" s="67">
        <f>IF(J$9=1,Inputs!$D$61*'Projections-BASE'!J$17,IF(J$9=2,Inputs!$D$62*'Projections-BASE'!J$17,Inputs!$D$63*'Projections-BASE'!J$17))</f>
        <v>5400</v>
      </c>
      <c r="K41" s="67">
        <f>IF(K$9=1,Inputs!$D$61*'Projections-BASE'!K$17,IF(K$9=2,Inputs!$D$62*'Projections-BASE'!K$17,Inputs!$D$63*'Projections-BASE'!K$17))</f>
        <v>1800</v>
      </c>
      <c r="L41" s="67">
        <f>IF(L$9=1,Inputs!$D$61*'Projections-BASE'!L$17,IF(L$9=2,Inputs!$D$62*'Projections-BASE'!L$17,Inputs!$D$63*'Projections-BASE'!L$17))</f>
        <v>5400</v>
      </c>
      <c r="M41" s="67">
        <f>IF(M$9=1,Inputs!$D$61*'Projections-BASE'!M$17,IF(M$9=2,Inputs!$D$62*'Projections-BASE'!M$17,Inputs!$D$63*'Projections-BASE'!M$17))</f>
        <v>1800</v>
      </c>
      <c r="N41" s="67">
        <f>IF(N$9=1,Inputs!$D$61*'Projections-BASE'!N$17,IF(N$9=2,Inputs!$D$62*'Projections-BASE'!N$17,Inputs!$D$63*'Projections-BASE'!N$17))</f>
        <v>1800</v>
      </c>
      <c r="O41" s="67">
        <f>IF(O$9=1,Inputs!$D$61*'Projections-BASE'!O$17,IF(O$9=2,Inputs!$D$62*'Projections-BASE'!O$17,Inputs!$D$63*'Projections-BASE'!O$17))</f>
        <v>2160</v>
      </c>
      <c r="P41" s="67">
        <f>IF(P$9=1,Inputs!$D$61*'Projections-BASE'!P$17,IF(P$9=2,Inputs!$D$62*'Projections-BASE'!P$17,Inputs!$D$63*'Projections-BASE'!P$17))</f>
        <v>2160</v>
      </c>
      <c r="Q41" s="67">
        <f>IF(Q$9=1,Inputs!$D$61*'Projections-BASE'!Q$17,IF(Q$9=2,Inputs!$D$62*'Projections-BASE'!Q$17,Inputs!$D$63*'Projections-BASE'!Q$17))</f>
        <v>2160</v>
      </c>
      <c r="R41" s="67">
        <f>IF(R$9=1,Inputs!$D$61*'Projections-BASE'!R$17,IF(R$9=2,Inputs!$D$62*'Projections-BASE'!R$17,Inputs!$D$63*'Projections-BASE'!R$17))</f>
        <v>6480</v>
      </c>
      <c r="S41" s="67">
        <f>IF(S$9=1,Inputs!$D$61*'Projections-BASE'!S$17,IF(S$9=2,Inputs!$D$62*'Projections-BASE'!S$17,Inputs!$D$63*'Projections-BASE'!S$17))</f>
        <v>6480</v>
      </c>
      <c r="T41" s="67">
        <f>IF(T$9=1,Inputs!$D$61*'Projections-BASE'!T$17,IF(T$9=2,Inputs!$D$62*'Projections-BASE'!T$17,Inputs!$D$63*'Projections-BASE'!T$17))</f>
        <v>2160</v>
      </c>
      <c r="U41" s="67">
        <f>IF(U$9=1,Inputs!$D$61*'Projections-BASE'!U$17,IF(U$9=2,Inputs!$D$62*'Projections-BASE'!U$17,Inputs!$D$63*'Projections-BASE'!U$17))</f>
        <v>2160</v>
      </c>
      <c r="V41" s="67">
        <f>IF(V$9=1,Inputs!$D$61*'Projections-BASE'!V$17,IF(V$9=2,Inputs!$D$62*'Projections-BASE'!V$17,Inputs!$D$63*'Projections-BASE'!V$17))</f>
        <v>6480</v>
      </c>
      <c r="W41" s="67">
        <f>IF(W$9=1,Inputs!$D$61*'Projections-BASE'!W$17,IF(W$9=2,Inputs!$D$62*'Projections-BASE'!W$17,Inputs!$D$63*'Projections-BASE'!W$17))</f>
        <v>2160</v>
      </c>
      <c r="X41" s="67">
        <f>IF(X$9=1,Inputs!$D$61*'Projections-BASE'!X$17,IF(X$9=2,Inputs!$D$62*'Projections-BASE'!X$17,Inputs!$D$63*'Projections-BASE'!X$17))</f>
        <v>6480</v>
      </c>
      <c r="Y41" s="67">
        <f>IF(Y$9=1,Inputs!$D$61*'Projections-BASE'!Y$17,IF(Y$9=2,Inputs!$D$62*'Projections-BASE'!Y$17,Inputs!$D$63*'Projections-BASE'!Y$17))</f>
        <v>2160</v>
      </c>
      <c r="Z41" s="67">
        <f>IF(Z$9=1,Inputs!$D$61*'Projections-BASE'!Z$17,IF(Z$9=2,Inputs!$D$62*'Projections-BASE'!Z$17,Inputs!$D$63*'Projections-BASE'!Z$17))</f>
        <v>2160</v>
      </c>
      <c r="AA41" s="67">
        <f>IF(AA$9=1,Inputs!$D$61*'Projections-BASE'!AA$17,IF(AA$9=2,Inputs!$D$62*'Projections-BASE'!AA$17,Inputs!$D$63*'Projections-BASE'!AA$17))</f>
        <v>2700</v>
      </c>
      <c r="AB41" s="67">
        <f>IF(AB$9=1,Inputs!$D$61*'Projections-BASE'!AB$17,IF(AB$9=2,Inputs!$D$62*'Projections-BASE'!AB$17,Inputs!$D$63*'Projections-BASE'!AB$17))</f>
        <v>2700</v>
      </c>
      <c r="AC41" s="67">
        <f>IF(AC$9=1,Inputs!$D$61*'Projections-BASE'!AC$17,IF(AC$9=2,Inputs!$D$62*'Projections-BASE'!AC$17,Inputs!$D$63*'Projections-BASE'!AC$17))</f>
        <v>2700</v>
      </c>
      <c r="AD41" s="67">
        <f>IF(AD$9=1,Inputs!$D$61*'Projections-BASE'!AD$17,IF(AD$9=2,Inputs!$D$62*'Projections-BASE'!AD$17,Inputs!$D$63*'Projections-BASE'!AD$17))</f>
        <v>8100</v>
      </c>
      <c r="AE41" s="67">
        <f>IF(AE$9=1,Inputs!$D$61*'Projections-BASE'!AE$17,IF(AE$9=2,Inputs!$D$62*'Projections-BASE'!AE$17,Inputs!$D$63*'Projections-BASE'!AE$17))</f>
        <v>8100</v>
      </c>
      <c r="AF41" s="67">
        <f>IF(AF$9=1,Inputs!$D$61*'Projections-BASE'!AF$17,IF(AF$9=2,Inputs!$D$62*'Projections-BASE'!AF$17,Inputs!$D$63*'Projections-BASE'!AF$17))</f>
        <v>2700</v>
      </c>
      <c r="AG41" s="67">
        <f>IF(AG$9=1,Inputs!$D$61*'Projections-BASE'!AG$17,IF(AG$9=2,Inputs!$D$62*'Projections-BASE'!AG$17,Inputs!$D$63*'Projections-BASE'!AG$17))</f>
        <v>2700</v>
      </c>
      <c r="AH41" s="67">
        <f>IF(AH$9=1,Inputs!$D$61*'Projections-BASE'!AH$17,IF(AH$9=2,Inputs!$D$62*'Projections-BASE'!AH$17,Inputs!$D$63*'Projections-BASE'!AH$17))</f>
        <v>8100</v>
      </c>
      <c r="AI41" s="67">
        <f>IF(AI$9=1,Inputs!$D$61*'Projections-BASE'!AI$17,IF(AI$9=2,Inputs!$D$62*'Projections-BASE'!AI$17,Inputs!$D$63*'Projections-BASE'!AI$17))</f>
        <v>2700</v>
      </c>
      <c r="AJ41" s="67">
        <f>IF(AJ$9=1,Inputs!$D$61*'Projections-BASE'!AJ$17,IF(AJ$9=2,Inputs!$D$62*'Projections-BASE'!AJ$17,Inputs!$D$63*'Projections-BASE'!AJ$17))</f>
        <v>8100</v>
      </c>
      <c r="AK41" s="67">
        <f>IF(AK$9=1,Inputs!$D$61*'Projections-BASE'!AK$17,IF(AK$9=2,Inputs!$D$62*'Projections-BASE'!AK$17,Inputs!$D$63*'Projections-BASE'!AK$17))</f>
        <v>2700</v>
      </c>
      <c r="AL41" s="67">
        <f>IF(AL$9=1,Inputs!$D$61*'Projections-BASE'!AL$17,IF(AL$9=2,Inputs!$D$62*'Projections-BASE'!AL$17,Inputs!$D$63*'Projections-BASE'!AL$17))</f>
        <v>2700</v>
      </c>
      <c r="AM41" s="67">
        <f>IF(AM$9=1,Inputs!$D$61*'Projections-BASE'!AM$17,IF(AM$9=2,Inputs!$D$62*'Projections-BASE'!AM$17,Inputs!$D$63*'Projections-BASE'!AM$17))</f>
        <v>2700</v>
      </c>
      <c r="AN41" s="67">
        <f>IF(AN$9=1,Inputs!$D$61*'Projections-BASE'!AN$17,IF(AN$9=2,Inputs!$D$62*'Projections-BASE'!AN$17,Inputs!$D$63*'Projections-BASE'!AN$17))</f>
        <v>2700</v>
      </c>
    </row>
    <row r="42" spans="1:40" s="16" customFormat="1">
      <c r="A42" s="1"/>
      <c r="B42" s="1"/>
      <c r="C42" s="32" t="s">
        <v>212</v>
      </c>
      <c r="D42" s="15"/>
      <c r="E42" s="67">
        <f>IF(E$9=1,Inputs!$D$74*'Projections-BASE'!E$17,IF(E$9=2,Inputs!$D$79*'Projections-BASE'!E$17,Inputs!$D$80*'Projections-BASE'!E$17))</f>
        <v>3000</v>
      </c>
      <c r="F42" s="67">
        <f>IF(F$9=1,Inputs!$D$74*'Projections-BASE'!F$17,IF(F$9=2,Inputs!$D$79*'Projections-BASE'!F$17,Inputs!$D$80*'Projections-BASE'!F$17))</f>
        <v>9000</v>
      </c>
      <c r="G42" s="67">
        <f>IF(G$9=1,Inputs!$D$74*'Projections-BASE'!G$17,IF(G$9=2,Inputs!$D$79*'Projections-BASE'!G$17,Inputs!$D$80*'Projections-BASE'!G$17))</f>
        <v>9000</v>
      </c>
      <c r="H42" s="67">
        <f>IF(H$9=1,Inputs!$D$74*'Projections-BASE'!H$17,IF(H$9=2,Inputs!$D$79*'Projections-BASE'!H$17,Inputs!$D$80*'Projections-BASE'!H$17))</f>
        <v>3000</v>
      </c>
      <c r="I42" s="67">
        <f>IF(I$9=1,Inputs!$D$74*'Projections-BASE'!I$17,IF(I$9=2,Inputs!$D$79*'Projections-BASE'!I$17,Inputs!$D$80*'Projections-BASE'!I$17))</f>
        <v>3000</v>
      </c>
      <c r="J42" s="67">
        <f>IF(J$9=1,Inputs!$D$74*'Projections-BASE'!J$17,IF(J$9=2,Inputs!$D$79*'Projections-BASE'!J$17,Inputs!$D$80*'Projections-BASE'!J$17))</f>
        <v>9000</v>
      </c>
      <c r="K42" s="67">
        <f>IF(K$9=1,Inputs!$D$74*'Projections-BASE'!K$17,IF(K$9=2,Inputs!$D$79*'Projections-BASE'!K$17,Inputs!$D$80*'Projections-BASE'!K$17))</f>
        <v>3000</v>
      </c>
      <c r="L42" s="67">
        <f>IF(L$9=1,Inputs!$D$74*'Projections-BASE'!L$17,IF(L$9=2,Inputs!$D$79*'Projections-BASE'!L$17,Inputs!$D$80*'Projections-BASE'!L$17))</f>
        <v>9000</v>
      </c>
      <c r="M42" s="67">
        <f>IF(M$9=1,Inputs!$D$74*'Projections-BASE'!M$17,IF(M$9=2,Inputs!$D$79*'Projections-BASE'!M$17,Inputs!$D$80*'Projections-BASE'!M$17))</f>
        <v>3000</v>
      </c>
      <c r="N42" s="67">
        <f>IF(N$9=1,Inputs!$D$74*'Projections-BASE'!N$17,IF(N$9=2,Inputs!$D$79*'Projections-BASE'!N$17,Inputs!$D$80*'Projections-BASE'!N$17))</f>
        <v>3000</v>
      </c>
      <c r="O42" s="67">
        <f>IF(O$9=1,Inputs!$D$74*'Projections-BASE'!O$17,IF(O$9=2,Inputs!$D$79*'Projections-BASE'!O$17,Inputs!$D$80*'Projections-BASE'!O$17))</f>
        <v>3708</v>
      </c>
      <c r="P42" s="67">
        <f>IF(P$9=1,Inputs!$D$74*'Projections-BASE'!P$17,IF(P$9=2,Inputs!$D$79*'Projections-BASE'!P$17,Inputs!$D$80*'Projections-BASE'!P$17))</f>
        <v>3708</v>
      </c>
      <c r="Q42" s="67">
        <f>IF(Q$9=1,Inputs!$D$74*'Projections-BASE'!Q$17,IF(Q$9=2,Inputs!$D$79*'Projections-BASE'!Q$17,Inputs!$D$80*'Projections-BASE'!Q$17))</f>
        <v>3708</v>
      </c>
      <c r="R42" s="67">
        <f>IF(R$9=1,Inputs!$D$74*'Projections-BASE'!R$17,IF(R$9=2,Inputs!$D$79*'Projections-BASE'!R$17,Inputs!$D$80*'Projections-BASE'!R$17))</f>
        <v>11124</v>
      </c>
      <c r="S42" s="67">
        <f>IF(S$9=1,Inputs!$D$74*'Projections-BASE'!S$17,IF(S$9=2,Inputs!$D$79*'Projections-BASE'!S$17,Inputs!$D$80*'Projections-BASE'!S$17))</f>
        <v>11124</v>
      </c>
      <c r="T42" s="67">
        <f>IF(T$9=1,Inputs!$D$74*'Projections-BASE'!T$17,IF(T$9=2,Inputs!$D$79*'Projections-BASE'!T$17,Inputs!$D$80*'Projections-BASE'!T$17))</f>
        <v>3708</v>
      </c>
      <c r="U42" s="67">
        <f>IF(U$9=1,Inputs!$D$74*'Projections-BASE'!U$17,IF(U$9=2,Inputs!$D$79*'Projections-BASE'!U$17,Inputs!$D$80*'Projections-BASE'!U$17))</f>
        <v>3708</v>
      </c>
      <c r="V42" s="67">
        <f>IF(V$9=1,Inputs!$D$74*'Projections-BASE'!V$17,IF(V$9=2,Inputs!$D$79*'Projections-BASE'!V$17,Inputs!$D$80*'Projections-BASE'!V$17))</f>
        <v>11124</v>
      </c>
      <c r="W42" s="67">
        <f>IF(W$9=1,Inputs!$D$74*'Projections-BASE'!W$17,IF(W$9=2,Inputs!$D$79*'Projections-BASE'!W$17,Inputs!$D$80*'Projections-BASE'!W$17))</f>
        <v>3708</v>
      </c>
      <c r="X42" s="67">
        <f>IF(X$9=1,Inputs!$D$74*'Projections-BASE'!X$17,IF(X$9=2,Inputs!$D$79*'Projections-BASE'!X$17,Inputs!$D$80*'Projections-BASE'!X$17))</f>
        <v>11124</v>
      </c>
      <c r="Y42" s="67">
        <f>IF(Y$9=1,Inputs!$D$74*'Projections-BASE'!Y$17,IF(Y$9=2,Inputs!$D$79*'Projections-BASE'!Y$17,Inputs!$D$80*'Projections-BASE'!Y$17))</f>
        <v>3708</v>
      </c>
      <c r="Z42" s="67">
        <f>IF(Z$9=1,Inputs!$D$74*'Projections-BASE'!Z$17,IF(Z$9=2,Inputs!$D$79*'Projections-BASE'!Z$17,Inputs!$D$80*'Projections-BASE'!Z$17))</f>
        <v>3708</v>
      </c>
      <c r="AA42" s="67">
        <f>IF(AA$9=1,Inputs!$D$74*'Projections-BASE'!AA$17,IF(AA$9=2,Inputs!$D$79*'Projections-BASE'!AA$17,Inputs!$D$80*'Projections-BASE'!AA$17))</f>
        <v>4583.0879999999988</v>
      </c>
      <c r="AB42" s="67">
        <f>IF(AB$9=1,Inputs!$D$74*'Projections-BASE'!AB$17,IF(AB$9=2,Inputs!$D$79*'Projections-BASE'!AB$17,Inputs!$D$80*'Projections-BASE'!AB$17))</f>
        <v>4583.0879999999988</v>
      </c>
      <c r="AC42" s="67">
        <f>IF(AC$9=1,Inputs!$D$74*'Projections-BASE'!AC$17,IF(AC$9=2,Inputs!$D$79*'Projections-BASE'!AC$17,Inputs!$D$80*'Projections-BASE'!AC$17))</f>
        <v>4583.0879999999988</v>
      </c>
      <c r="AD42" s="67">
        <f>IF(AD$9=1,Inputs!$D$74*'Projections-BASE'!AD$17,IF(AD$9=2,Inputs!$D$79*'Projections-BASE'!AD$17,Inputs!$D$80*'Projections-BASE'!AD$17))</f>
        <v>13749.263999999997</v>
      </c>
      <c r="AE42" s="67">
        <f>IF(AE$9=1,Inputs!$D$74*'Projections-BASE'!AE$17,IF(AE$9=2,Inputs!$D$79*'Projections-BASE'!AE$17,Inputs!$D$80*'Projections-BASE'!AE$17))</f>
        <v>13749.263999999997</v>
      </c>
      <c r="AF42" s="67">
        <f>IF(AF$9=1,Inputs!$D$74*'Projections-BASE'!AF$17,IF(AF$9=2,Inputs!$D$79*'Projections-BASE'!AF$17,Inputs!$D$80*'Projections-BASE'!AF$17))</f>
        <v>4583.0879999999988</v>
      </c>
      <c r="AG42" s="67">
        <f>IF(AG$9=1,Inputs!$D$74*'Projections-BASE'!AG$17,IF(AG$9=2,Inputs!$D$79*'Projections-BASE'!AG$17,Inputs!$D$80*'Projections-BASE'!AG$17))</f>
        <v>4583.0879999999988</v>
      </c>
      <c r="AH42" s="67">
        <f>IF(AH$9=1,Inputs!$D$74*'Projections-BASE'!AH$17,IF(AH$9=2,Inputs!$D$79*'Projections-BASE'!AH$17,Inputs!$D$80*'Projections-BASE'!AH$17))</f>
        <v>13749.263999999997</v>
      </c>
      <c r="AI42" s="67">
        <f>IF(AI$9=1,Inputs!$D$74*'Projections-BASE'!AI$17,IF(AI$9=2,Inputs!$D$79*'Projections-BASE'!AI$17,Inputs!$D$80*'Projections-BASE'!AI$17))</f>
        <v>4583.0879999999988</v>
      </c>
      <c r="AJ42" s="67">
        <f>IF(AJ$9=1,Inputs!$D$74*'Projections-BASE'!AJ$17,IF(AJ$9=2,Inputs!$D$79*'Projections-BASE'!AJ$17,Inputs!$D$80*'Projections-BASE'!AJ$17))</f>
        <v>13749.263999999997</v>
      </c>
      <c r="AK42" s="67">
        <f>IF(AK$9=1,Inputs!$D$74*'Projections-BASE'!AK$17,IF(AK$9=2,Inputs!$D$79*'Projections-BASE'!AK$17,Inputs!$D$80*'Projections-BASE'!AK$17))</f>
        <v>4583.0879999999988</v>
      </c>
      <c r="AL42" s="67">
        <f>IF(AL$9=1,Inputs!$D$74*'Projections-BASE'!AL$17,IF(AL$9=2,Inputs!$D$79*'Projections-BASE'!AL$17,Inputs!$D$80*'Projections-BASE'!AL$17))</f>
        <v>4583.0879999999988</v>
      </c>
      <c r="AM42" s="67">
        <f>IF(AM$9=1,Inputs!$D$74*'Projections-BASE'!AM$17,IF(AM$9=2,Inputs!$D$79*'Projections-BASE'!AM$17,Inputs!$D$80*'Projections-BASE'!AM$17))</f>
        <v>4583.0879999999988</v>
      </c>
      <c r="AN42" s="67">
        <f>IF(AN$9=1,Inputs!$D$74*'Projections-BASE'!AN$17,IF(AN$9=2,Inputs!$D$79*'Projections-BASE'!AN$17,Inputs!$D$80*'Projections-BASE'!AN$17))</f>
        <v>4583.0879999999988</v>
      </c>
    </row>
    <row r="43" spans="1:40" s="16" customFormat="1">
      <c r="A43" s="1"/>
      <c r="B43" s="1"/>
      <c r="C43" s="32" t="s">
        <v>317</v>
      </c>
      <c r="D43" s="15"/>
      <c r="E43" s="67">
        <f>Inputs!$D$78*'Projections-BASE'!E42</f>
        <v>600</v>
      </c>
      <c r="F43" s="67">
        <f>Inputs!$D$78*'Projections-BASE'!F42</f>
        <v>1800</v>
      </c>
      <c r="G43" s="67">
        <f>Inputs!$D$78*'Projections-BASE'!G42</f>
        <v>1800</v>
      </c>
      <c r="H43" s="67">
        <f>Inputs!$D$78*'Projections-BASE'!H42</f>
        <v>600</v>
      </c>
      <c r="I43" s="67">
        <f>Inputs!$D$78*'Projections-BASE'!I42</f>
        <v>600</v>
      </c>
      <c r="J43" s="67">
        <f>Inputs!$D$78*'Projections-BASE'!J42</f>
        <v>1800</v>
      </c>
      <c r="K43" s="67">
        <f>Inputs!$D$78*'Projections-BASE'!K42</f>
        <v>600</v>
      </c>
      <c r="L43" s="67">
        <f>Inputs!$D$78*'Projections-BASE'!L42</f>
        <v>1800</v>
      </c>
      <c r="M43" s="67">
        <f>Inputs!$D$78*'Projections-BASE'!M42</f>
        <v>600</v>
      </c>
      <c r="N43" s="67">
        <f>Inputs!$D$78*'Projections-BASE'!N42</f>
        <v>600</v>
      </c>
      <c r="O43" s="67">
        <f>Inputs!$D$78*'Projections-BASE'!O42</f>
        <v>741.6</v>
      </c>
      <c r="P43" s="67">
        <f>Inputs!$D$78*'Projections-BASE'!P42</f>
        <v>741.6</v>
      </c>
      <c r="Q43" s="67">
        <f>Inputs!$D$78*'Projections-BASE'!Q42</f>
        <v>741.6</v>
      </c>
      <c r="R43" s="67">
        <f>Inputs!$D$78*'Projections-BASE'!R42</f>
        <v>2224.8000000000002</v>
      </c>
      <c r="S43" s="67">
        <f>Inputs!$D$78*'Projections-BASE'!S42</f>
        <v>2224.8000000000002</v>
      </c>
      <c r="T43" s="67">
        <f>Inputs!$D$78*'Projections-BASE'!T42</f>
        <v>741.6</v>
      </c>
      <c r="U43" s="67">
        <f>Inputs!$D$78*'Projections-BASE'!U42</f>
        <v>741.6</v>
      </c>
      <c r="V43" s="67">
        <f>Inputs!$D$78*'Projections-BASE'!V42</f>
        <v>2224.8000000000002</v>
      </c>
      <c r="W43" s="67">
        <f>Inputs!$D$78*'Projections-BASE'!W42</f>
        <v>741.6</v>
      </c>
      <c r="X43" s="67">
        <f>Inputs!$D$78*'Projections-BASE'!X42</f>
        <v>2224.8000000000002</v>
      </c>
      <c r="Y43" s="67">
        <f>Inputs!$D$78*'Projections-BASE'!Y42</f>
        <v>741.6</v>
      </c>
      <c r="Z43" s="67">
        <f>Inputs!$D$78*'Projections-BASE'!Z42</f>
        <v>741.6</v>
      </c>
      <c r="AA43" s="67">
        <f>Inputs!$D$78*'Projections-BASE'!AA42</f>
        <v>916.61759999999981</v>
      </c>
      <c r="AB43" s="67">
        <f>Inputs!$D$78*'Projections-BASE'!AB42</f>
        <v>916.61759999999981</v>
      </c>
      <c r="AC43" s="67">
        <f>Inputs!$D$78*'Projections-BASE'!AC42</f>
        <v>916.61759999999981</v>
      </c>
      <c r="AD43" s="67">
        <f>Inputs!$D$78*'Projections-BASE'!AD42</f>
        <v>2749.8527999999997</v>
      </c>
      <c r="AE43" s="67">
        <f>Inputs!$D$78*'Projections-BASE'!AE42</f>
        <v>2749.8527999999997</v>
      </c>
      <c r="AF43" s="67">
        <f>Inputs!$D$78*'Projections-BASE'!AF42</f>
        <v>916.61759999999981</v>
      </c>
      <c r="AG43" s="67">
        <f>Inputs!$D$78*'Projections-BASE'!AG42</f>
        <v>916.61759999999981</v>
      </c>
      <c r="AH43" s="67">
        <f>Inputs!$D$78*'Projections-BASE'!AH42</f>
        <v>2749.8527999999997</v>
      </c>
      <c r="AI43" s="67">
        <f>Inputs!$D$78*'Projections-BASE'!AI42</f>
        <v>916.61759999999981</v>
      </c>
      <c r="AJ43" s="67">
        <f>Inputs!$D$78*'Projections-BASE'!AJ42</f>
        <v>2749.8527999999997</v>
      </c>
      <c r="AK43" s="67">
        <f>Inputs!$D$78*'Projections-BASE'!AK42</f>
        <v>916.61759999999981</v>
      </c>
      <c r="AL43" s="67">
        <f>Inputs!$D$78*'Projections-BASE'!AL42</f>
        <v>916.61759999999981</v>
      </c>
      <c r="AM43" s="67">
        <f>Inputs!$D$78*'Projections-BASE'!AM42</f>
        <v>916.61759999999981</v>
      </c>
      <c r="AN43" s="67">
        <f>Inputs!$D$78*'Projections-BASE'!AN42</f>
        <v>916.61759999999981</v>
      </c>
    </row>
    <row r="44" spans="1:40" s="16" customFormat="1">
      <c r="A44" s="1"/>
      <c r="B44" s="1"/>
      <c r="C44" s="32" t="s">
        <v>213</v>
      </c>
      <c r="D44" s="15"/>
      <c r="E44" s="67">
        <f>IF(E$9=1,Inputs!$D$84*Inputs!$D$9*Inputs!$D$10*Inputs!$D$11*Inputs!$D$82/(13-MONTH($E$6)),IF(E$9=2,Inputs!$D$85*Inputs!$D$9*Inputs!$D$10*Inputs!$D$11*Inputs!$D$82*(1+Inputs!$D$88)/12,Inputs!$D$86*Inputs!$D$9*Inputs!$D$10*Inputs!$D$11*Inputs!$D$82*(1+2*Inputs!$D$88)/12))</f>
        <v>3264</v>
      </c>
      <c r="F44" s="67">
        <f>IF(F$9=1,Inputs!$D$84*Inputs!$D$9*Inputs!$D$10*Inputs!$D$11*Inputs!$D$82/(13-MONTH($E$6)),IF(F$9=2,Inputs!$D$85*Inputs!$D$9*Inputs!$D$10*Inputs!$D$11*Inputs!$D$82*(1+Inputs!$D$88)/12,Inputs!$D$86*Inputs!$D$9*Inputs!$D$10*Inputs!$D$11*Inputs!$D$82*(1+2*Inputs!$D$88)/12))</f>
        <v>3264</v>
      </c>
      <c r="G44" s="67">
        <f>IF(G$9=1,Inputs!$D$84*Inputs!$D$9*Inputs!$D$10*Inputs!$D$11*Inputs!$D$82/(13-MONTH($E$6)),IF(G$9=2,Inputs!$D$85*Inputs!$D$9*Inputs!$D$10*Inputs!$D$11*Inputs!$D$82*(1+Inputs!$D$88)/12,Inputs!$D$86*Inputs!$D$9*Inputs!$D$10*Inputs!$D$11*Inputs!$D$82*(1+2*Inputs!$D$88)/12))</f>
        <v>3264</v>
      </c>
      <c r="H44" s="67">
        <f>IF(H$9=1,Inputs!$D$84*Inputs!$D$9*Inputs!$D$10*Inputs!$D$11*Inputs!$D$82/(13-MONTH($E$6)),IF(H$9=2,Inputs!$D$85*Inputs!$D$9*Inputs!$D$10*Inputs!$D$11*Inputs!$D$82*(1+Inputs!$D$88)/12,Inputs!$D$86*Inputs!$D$9*Inputs!$D$10*Inputs!$D$11*Inputs!$D$82*(1+2*Inputs!$D$88)/12))</f>
        <v>3264</v>
      </c>
      <c r="I44" s="67">
        <f>IF(I$9=1,Inputs!$D$84*Inputs!$D$9*Inputs!$D$10*Inputs!$D$11*Inputs!$D$82/(13-MONTH($E$6)),IF(I$9=2,Inputs!$D$85*Inputs!$D$9*Inputs!$D$10*Inputs!$D$11*Inputs!$D$82*(1+Inputs!$D$88)/12,Inputs!$D$86*Inputs!$D$9*Inputs!$D$10*Inputs!$D$11*Inputs!$D$82*(1+2*Inputs!$D$88)/12))</f>
        <v>3264</v>
      </c>
      <c r="J44" s="67">
        <f>IF(J$9=1,Inputs!$D$84*Inputs!$D$9*Inputs!$D$10*Inputs!$D$11*Inputs!$D$82/(13-MONTH($E$6)),IF(J$9=2,Inputs!$D$85*Inputs!$D$9*Inputs!$D$10*Inputs!$D$11*Inputs!$D$82*(1+Inputs!$D$88)/12,Inputs!$D$86*Inputs!$D$9*Inputs!$D$10*Inputs!$D$11*Inputs!$D$82*(1+2*Inputs!$D$88)/12))</f>
        <v>3264</v>
      </c>
      <c r="K44" s="67">
        <f>IF(K$9=1,Inputs!$D$84*Inputs!$D$9*Inputs!$D$10*Inputs!$D$11*Inputs!$D$82/(13-MONTH($E$6)),IF(K$9=2,Inputs!$D$85*Inputs!$D$9*Inputs!$D$10*Inputs!$D$11*Inputs!$D$82*(1+Inputs!$D$88)/12,Inputs!$D$86*Inputs!$D$9*Inputs!$D$10*Inputs!$D$11*Inputs!$D$82*(1+2*Inputs!$D$88)/12))</f>
        <v>3264</v>
      </c>
      <c r="L44" s="67">
        <f>IF(L$9=1,Inputs!$D$84*Inputs!$D$9*Inputs!$D$10*Inputs!$D$11*Inputs!$D$82/(13-MONTH($E$6)),IF(L$9=2,Inputs!$D$85*Inputs!$D$9*Inputs!$D$10*Inputs!$D$11*Inputs!$D$82*(1+Inputs!$D$88)/12,Inputs!$D$86*Inputs!$D$9*Inputs!$D$10*Inputs!$D$11*Inputs!$D$82*(1+2*Inputs!$D$88)/12))</f>
        <v>3264</v>
      </c>
      <c r="M44" s="67">
        <f>IF(M$9=1,Inputs!$D$84*Inputs!$D$9*Inputs!$D$10*Inputs!$D$11*Inputs!$D$82/(13-MONTH($E$6)),IF(M$9=2,Inputs!$D$85*Inputs!$D$9*Inputs!$D$10*Inputs!$D$11*Inputs!$D$82*(1+Inputs!$D$88)/12,Inputs!$D$86*Inputs!$D$9*Inputs!$D$10*Inputs!$D$11*Inputs!$D$82*(1+2*Inputs!$D$88)/12))</f>
        <v>3264</v>
      </c>
      <c r="N44" s="67">
        <f>IF(N$9=1,Inputs!$D$84*Inputs!$D$9*Inputs!$D$10*Inputs!$D$11*Inputs!$D$82/(13-MONTH($E$6)),IF(N$9=2,Inputs!$D$85*Inputs!$D$9*Inputs!$D$10*Inputs!$D$11*Inputs!$D$82*(1+Inputs!$D$88)/12,Inputs!$D$86*Inputs!$D$9*Inputs!$D$10*Inputs!$D$11*Inputs!$D$82*(1+2*Inputs!$D$88)/12))</f>
        <v>3264</v>
      </c>
      <c r="O44" s="67">
        <f>IF(O$9=1,Inputs!$D$84*Inputs!$D$9*Inputs!$D$10*Inputs!$D$11*Inputs!$D$82/(13-MONTH($E$6)),IF(O$9=2,Inputs!$D$85*Inputs!$D$9*Inputs!$D$10*Inputs!$D$11*Inputs!$D$82*(1+Inputs!$D$88)/12,Inputs!$D$86*Inputs!$D$9*Inputs!$D$10*Inputs!$D$11*Inputs!$D$82*(1+2*Inputs!$D$88)/12))</f>
        <v>2801.6000000000004</v>
      </c>
      <c r="P44" s="67">
        <f>IF(P$9=1,Inputs!$D$84*Inputs!$D$9*Inputs!$D$10*Inputs!$D$11*Inputs!$D$82/(13-MONTH($E$6)),IF(P$9=2,Inputs!$D$85*Inputs!$D$9*Inputs!$D$10*Inputs!$D$11*Inputs!$D$82*(1+Inputs!$D$88)/12,Inputs!$D$86*Inputs!$D$9*Inputs!$D$10*Inputs!$D$11*Inputs!$D$82*(1+2*Inputs!$D$88)/12))</f>
        <v>2801.6000000000004</v>
      </c>
      <c r="Q44" s="67">
        <f>IF(Q$9=1,Inputs!$D$84*Inputs!$D$9*Inputs!$D$10*Inputs!$D$11*Inputs!$D$82/(13-MONTH($E$6)),IF(Q$9=2,Inputs!$D$85*Inputs!$D$9*Inputs!$D$10*Inputs!$D$11*Inputs!$D$82*(1+Inputs!$D$88)/12,Inputs!$D$86*Inputs!$D$9*Inputs!$D$10*Inputs!$D$11*Inputs!$D$82*(1+2*Inputs!$D$88)/12))</f>
        <v>2801.6000000000004</v>
      </c>
      <c r="R44" s="67">
        <f>IF(R$9=1,Inputs!$D$84*Inputs!$D$9*Inputs!$D$10*Inputs!$D$11*Inputs!$D$82/(13-MONTH($E$6)),IF(R$9=2,Inputs!$D$85*Inputs!$D$9*Inputs!$D$10*Inputs!$D$11*Inputs!$D$82*(1+Inputs!$D$88)/12,Inputs!$D$86*Inputs!$D$9*Inputs!$D$10*Inputs!$D$11*Inputs!$D$82*(1+2*Inputs!$D$88)/12))</f>
        <v>2801.6000000000004</v>
      </c>
      <c r="S44" s="67">
        <f>IF(S$9=1,Inputs!$D$84*Inputs!$D$9*Inputs!$D$10*Inputs!$D$11*Inputs!$D$82/(13-MONTH($E$6)),IF(S$9=2,Inputs!$D$85*Inputs!$D$9*Inputs!$D$10*Inputs!$D$11*Inputs!$D$82*(1+Inputs!$D$88)/12,Inputs!$D$86*Inputs!$D$9*Inputs!$D$10*Inputs!$D$11*Inputs!$D$82*(1+2*Inputs!$D$88)/12))</f>
        <v>2801.6000000000004</v>
      </c>
      <c r="T44" s="67">
        <f>IF(T$9=1,Inputs!$D$84*Inputs!$D$9*Inputs!$D$10*Inputs!$D$11*Inputs!$D$82/(13-MONTH($E$6)),IF(T$9=2,Inputs!$D$85*Inputs!$D$9*Inputs!$D$10*Inputs!$D$11*Inputs!$D$82*(1+Inputs!$D$88)/12,Inputs!$D$86*Inputs!$D$9*Inputs!$D$10*Inputs!$D$11*Inputs!$D$82*(1+2*Inputs!$D$88)/12))</f>
        <v>2801.6000000000004</v>
      </c>
      <c r="U44" s="67">
        <f>IF(U$9=1,Inputs!$D$84*Inputs!$D$9*Inputs!$D$10*Inputs!$D$11*Inputs!$D$82/(13-MONTH($E$6)),IF(U$9=2,Inputs!$D$85*Inputs!$D$9*Inputs!$D$10*Inputs!$D$11*Inputs!$D$82*(1+Inputs!$D$88)/12,Inputs!$D$86*Inputs!$D$9*Inputs!$D$10*Inputs!$D$11*Inputs!$D$82*(1+2*Inputs!$D$88)/12))</f>
        <v>2801.6000000000004</v>
      </c>
      <c r="V44" s="67">
        <f>IF(V$9=1,Inputs!$D$84*Inputs!$D$9*Inputs!$D$10*Inputs!$D$11*Inputs!$D$82/(13-MONTH($E$6)),IF(V$9=2,Inputs!$D$85*Inputs!$D$9*Inputs!$D$10*Inputs!$D$11*Inputs!$D$82*(1+Inputs!$D$88)/12,Inputs!$D$86*Inputs!$D$9*Inputs!$D$10*Inputs!$D$11*Inputs!$D$82*(1+2*Inputs!$D$88)/12))</f>
        <v>2801.6000000000004</v>
      </c>
      <c r="W44" s="67">
        <f>IF(W$9=1,Inputs!$D$84*Inputs!$D$9*Inputs!$D$10*Inputs!$D$11*Inputs!$D$82/(13-MONTH($E$6)),IF(W$9=2,Inputs!$D$85*Inputs!$D$9*Inputs!$D$10*Inputs!$D$11*Inputs!$D$82*(1+Inputs!$D$88)/12,Inputs!$D$86*Inputs!$D$9*Inputs!$D$10*Inputs!$D$11*Inputs!$D$82*(1+2*Inputs!$D$88)/12))</f>
        <v>2801.6000000000004</v>
      </c>
      <c r="X44" s="67">
        <f>IF(X$9=1,Inputs!$D$84*Inputs!$D$9*Inputs!$D$10*Inputs!$D$11*Inputs!$D$82/(13-MONTH($E$6)),IF(X$9=2,Inputs!$D$85*Inputs!$D$9*Inputs!$D$10*Inputs!$D$11*Inputs!$D$82*(1+Inputs!$D$88)/12,Inputs!$D$86*Inputs!$D$9*Inputs!$D$10*Inputs!$D$11*Inputs!$D$82*(1+2*Inputs!$D$88)/12))</f>
        <v>2801.6000000000004</v>
      </c>
      <c r="Y44" s="67">
        <f>IF(Y$9=1,Inputs!$D$84*Inputs!$D$9*Inputs!$D$10*Inputs!$D$11*Inputs!$D$82/(13-MONTH($E$6)),IF(Y$9=2,Inputs!$D$85*Inputs!$D$9*Inputs!$D$10*Inputs!$D$11*Inputs!$D$82*(1+Inputs!$D$88)/12,Inputs!$D$86*Inputs!$D$9*Inputs!$D$10*Inputs!$D$11*Inputs!$D$82*(1+2*Inputs!$D$88)/12))</f>
        <v>2801.6000000000004</v>
      </c>
      <c r="Z44" s="67">
        <f>IF(Z$9=1,Inputs!$D$84*Inputs!$D$9*Inputs!$D$10*Inputs!$D$11*Inputs!$D$82/(13-MONTH($E$6)),IF(Z$9=2,Inputs!$D$85*Inputs!$D$9*Inputs!$D$10*Inputs!$D$11*Inputs!$D$82*(1+Inputs!$D$88)/12,Inputs!$D$86*Inputs!$D$9*Inputs!$D$10*Inputs!$D$11*Inputs!$D$82*(1+2*Inputs!$D$88)/12))</f>
        <v>2801.6000000000004</v>
      </c>
      <c r="AA44" s="67">
        <f>IF(AA$9=1,Inputs!$D$84*Inputs!$D$9*Inputs!$D$10*Inputs!$D$11*Inputs!$D$82/(13-MONTH($E$6)),IF(AA$9=2,Inputs!$D$85*Inputs!$D$9*Inputs!$D$10*Inputs!$D$11*Inputs!$D$82*(1+Inputs!$D$88)/12,Inputs!$D$86*Inputs!$D$9*Inputs!$D$10*Inputs!$D$11*Inputs!$D$82*(1+2*Inputs!$D$88)/12))</f>
        <v>2883.2000000000003</v>
      </c>
      <c r="AB44" s="67">
        <f>IF(AB$9=1,Inputs!$D$84*Inputs!$D$9*Inputs!$D$10*Inputs!$D$11*Inputs!$D$82/(13-MONTH($E$6)),IF(AB$9=2,Inputs!$D$85*Inputs!$D$9*Inputs!$D$10*Inputs!$D$11*Inputs!$D$82*(1+Inputs!$D$88)/12,Inputs!$D$86*Inputs!$D$9*Inputs!$D$10*Inputs!$D$11*Inputs!$D$82*(1+2*Inputs!$D$88)/12))</f>
        <v>2883.2000000000003</v>
      </c>
      <c r="AC44" s="67">
        <f>IF(AC$9=1,Inputs!$D$84*Inputs!$D$9*Inputs!$D$10*Inputs!$D$11*Inputs!$D$82/(13-MONTH($E$6)),IF(AC$9=2,Inputs!$D$85*Inputs!$D$9*Inputs!$D$10*Inputs!$D$11*Inputs!$D$82*(1+Inputs!$D$88)/12,Inputs!$D$86*Inputs!$D$9*Inputs!$D$10*Inputs!$D$11*Inputs!$D$82*(1+2*Inputs!$D$88)/12))</f>
        <v>2883.2000000000003</v>
      </c>
      <c r="AD44" s="67">
        <f>IF(AD$9=1,Inputs!$D$84*Inputs!$D$9*Inputs!$D$10*Inputs!$D$11*Inputs!$D$82/(13-MONTH($E$6)),IF(AD$9=2,Inputs!$D$85*Inputs!$D$9*Inputs!$D$10*Inputs!$D$11*Inputs!$D$82*(1+Inputs!$D$88)/12,Inputs!$D$86*Inputs!$D$9*Inputs!$D$10*Inputs!$D$11*Inputs!$D$82*(1+2*Inputs!$D$88)/12))</f>
        <v>2883.2000000000003</v>
      </c>
      <c r="AE44" s="67">
        <f>IF(AE$9=1,Inputs!$D$84*Inputs!$D$9*Inputs!$D$10*Inputs!$D$11*Inputs!$D$82/(13-MONTH($E$6)),IF(AE$9=2,Inputs!$D$85*Inputs!$D$9*Inputs!$D$10*Inputs!$D$11*Inputs!$D$82*(1+Inputs!$D$88)/12,Inputs!$D$86*Inputs!$D$9*Inputs!$D$10*Inputs!$D$11*Inputs!$D$82*(1+2*Inputs!$D$88)/12))</f>
        <v>2883.2000000000003</v>
      </c>
      <c r="AF44" s="67">
        <f>IF(AF$9=1,Inputs!$D$84*Inputs!$D$9*Inputs!$D$10*Inputs!$D$11*Inputs!$D$82/(13-MONTH($E$6)),IF(AF$9=2,Inputs!$D$85*Inputs!$D$9*Inputs!$D$10*Inputs!$D$11*Inputs!$D$82*(1+Inputs!$D$88)/12,Inputs!$D$86*Inputs!$D$9*Inputs!$D$10*Inputs!$D$11*Inputs!$D$82*(1+2*Inputs!$D$88)/12))</f>
        <v>2883.2000000000003</v>
      </c>
      <c r="AG44" s="67">
        <f>IF(AG$9=1,Inputs!$D$84*Inputs!$D$9*Inputs!$D$10*Inputs!$D$11*Inputs!$D$82/(13-MONTH($E$6)),IF(AG$9=2,Inputs!$D$85*Inputs!$D$9*Inputs!$D$10*Inputs!$D$11*Inputs!$D$82*(1+Inputs!$D$88)/12,Inputs!$D$86*Inputs!$D$9*Inputs!$D$10*Inputs!$D$11*Inputs!$D$82*(1+2*Inputs!$D$88)/12))</f>
        <v>2883.2000000000003</v>
      </c>
      <c r="AH44" s="67">
        <f>IF(AH$9=1,Inputs!$D$84*Inputs!$D$9*Inputs!$D$10*Inputs!$D$11*Inputs!$D$82/(13-MONTH($E$6)),IF(AH$9=2,Inputs!$D$85*Inputs!$D$9*Inputs!$D$10*Inputs!$D$11*Inputs!$D$82*(1+Inputs!$D$88)/12,Inputs!$D$86*Inputs!$D$9*Inputs!$D$10*Inputs!$D$11*Inputs!$D$82*(1+2*Inputs!$D$88)/12))</f>
        <v>2883.2000000000003</v>
      </c>
      <c r="AI44" s="67">
        <f>IF(AI$9=1,Inputs!$D$84*Inputs!$D$9*Inputs!$D$10*Inputs!$D$11*Inputs!$D$82/(13-MONTH($E$6)),IF(AI$9=2,Inputs!$D$85*Inputs!$D$9*Inputs!$D$10*Inputs!$D$11*Inputs!$D$82*(1+Inputs!$D$88)/12,Inputs!$D$86*Inputs!$D$9*Inputs!$D$10*Inputs!$D$11*Inputs!$D$82*(1+2*Inputs!$D$88)/12))</f>
        <v>2883.2000000000003</v>
      </c>
      <c r="AJ44" s="67">
        <f>IF(AJ$9=1,Inputs!$D$84*Inputs!$D$9*Inputs!$D$10*Inputs!$D$11*Inputs!$D$82/(13-MONTH($E$6)),IF(AJ$9=2,Inputs!$D$85*Inputs!$D$9*Inputs!$D$10*Inputs!$D$11*Inputs!$D$82*(1+Inputs!$D$88)/12,Inputs!$D$86*Inputs!$D$9*Inputs!$D$10*Inputs!$D$11*Inputs!$D$82*(1+2*Inputs!$D$88)/12))</f>
        <v>2883.2000000000003</v>
      </c>
      <c r="AK44" s="67">
        <f>IF(AK$9=1,Inputs!$D$84*Inputs!$D$9*Inputs!$D$10*Inputs!$D$11*Inputs!$D$82/(13-MONTH($E$6)),IF(AK$9=2,Inputs!$D$85*Inputs!$D$9*Inputs!$D$10*Inputs!$D$11*Inputs!$D$82*(1+Inputs!$D$88)/12,Inputs!$D$86*Inputs!$D$9*Inputs!$D$10*Inputs!$D$11*Inputs!$D$82*(1+2*Inputs!$D$88)/12))</f>
        <v>2883.2000000000003</v>
      </c>
      <c r="AL44" s="67">
        <f>IF(AL$9=1,Inputs!$D$84*Inputs!$D$9*Inputs!$D$10*Inputs!$D$11*Inputs!$D$82/(13-MONTH($E$6)),IF(AL$9=2,Inputs!$D$85*Inputs!$D$9*Inputs!$D$10*Inputs!$D$11*Inputs!$D$82*(1+Inputs!$D$88)/12,Inputs!$D$86*Inputs!$D$9*Inputs!$D$10*Inputs!$D$11*Inputs!$D$82*(1+2*Inputs!$D$88)/12))</f>
        <v>2883.2000000000003</v>
      </c>
      <c r="AM44" s="67">
        <f>IF(AM$9=1,Inputs!$D$84*Inputs!$D$9*Inputs!$D$10*Inputs!$D$11*Inputs!$D$82/(13-MONTH($E$6)),IF(AM$9=2,Inputs!$D$85*Inputs!$D$9*Inputs!$D$10*Inputs!$D$11*Inputs!$D$82*(1+Inputs!$D$88)/12,Inputs!$D$86*Inputs!$D$9*Inputs!$D$10*Inputs!$D$11*Inputs!$D$82*(1+2*Inputs!$D$88)/12))</f>
        <v>2883.2000000000003</v>
      </c>
      <c r="AN44" s="67">
        <f>IF(AN$9=1,Inputs!$D$84*Inputs!$D$9*Inputs!$D$10*Inputs!$D$11*Inputs!$D$82/(13-MONTH($E$6)),IF(AN$9=2,Inputs!$D$85*Inputs!$D$9*Inputs!$D$10*Inputs!$D$11*Inputs!$D$82*(1+Inputs!$D$88)/12,Inputs!$D$86*Inputs!$D$9*Inputs!$D$10*Inputs!$D$11*Inputs!$D$82*(1+2*Inputs!$D$88)/12))</f>
        <v>2883.2000000000003</v>
      </c>
    </row>
    <row r="45" spans="1:40" s="16" customFormat="1">
      <c r="A45" s="1"/>
      <c r="B45" s="1"/>
      <c r="C45" s="32" t="s">
        <v>318</v>
      </c>
      <c r="D45" s="15"/>
      <c r="E45" s="67">
        <f>Inputs!$D$87*'Projections-BASE'!E44</f>
        <v>979.19999999999993</v>
      </c>
      <c r="F45" s="67">
        <f>Inputs!$D$87*'Projections-BASE'!F44</f>
        <v>979.19999999999993</v>
      </c>
      <c r="G45" s="67">
        <f>Inputs!$D$87*'Projections-BASE'!G44</f>
        <v>979.19999999999993</v>
      </c>
      <c r="H45" s="67">
        <f>Inputs!$D$87*'Projections-BASE'!H44</f>
        <v>979.19999999999993</v>
      </c>
      <c r="I45" s="67">
        <f>Inputs!$D$87*'Projections-BASE'!I44</f>
        <v>979.19999999999993</v>
      </c>
      <c r="J45" s="67">
        <f>Inputs!$D$87*'Projections-BASE'!J44</f>
        <v>979.19999999999993</v>
      </c>
      <c r="K45" s="67">
        <f>Inputs!$D$87*'Projections-BASE'!K44</f>
        <v>979.19999999999993</v>
      </c>
      <c r="L45" s="67">
        <f>Inputs!$D$87*'Projections-BASE'!L44</f>
        <v>979.19999999999993</v>
      </c>
      <c r="M45" s="67">
        <f>Inputs!$D$87*'Projections-BASE'!M44</f>
        <v>979.19999999999993</v>
      </c>
      <c r="N45" s="67">
        <f>Inputs!$D$87*'Projections-BASE'!N44</f>
        <v>979.19999999999993</v>
      </c>
      <c r="O45" s="67">
        <f>Inputs!$D$87*'Projections-BASE'!O44</f>
        <v>840.48000000000013</v>
      </c>
      <c r="P45" s="67">
        <f>Inputs!$D$87*'Projections-BASE'!P44</f>
        <v>840.48000000000013</v>
      </c>
      <c r="Q45" s="67">
        <f>Inputs!$D$87*'Projections-BASE'!Q44</f>
        <v>840.48000000000013</v>
      </c>
      <c r="R45" s="67">
        <f>Inputs!$D$87*'Projections-BASE'!R44</f>
        <v>840.48000000000013</v>
      </c>
      <c r="S45" s="67">
        <f>Inputs!$D$87*'Projections-BASE'!S44</f>
        <v>840.48000000000013</v>
      </c>
      <c r="T45" s="67">
        <f>Inputs!$D$87*'Projections-BASE'!T44</f>
        <v>840.48000000000013</v>
      </c>
      <c r="U45" s="67">
        <f>Inputs!$D$87*'Projections-BASE'!U44</f>
        <v>840.48000000000013</v>
      </c>
      <c r="V45" s="67">
        <f>Inputs!$D$87*'Projections-BASE'!V44</f>
        <v>840.48000000000013</v>
      </c>
      <c r="W45" s="67">
        <f>Inputs!$D$87*'Projections-BASE'!W44</f>
        <v>840.48000000000013</v>
      </c>
      <c r="X45" s="67">
        <f>Inputs!$D$87*'Projections-BASE'!X44</f>
        <v>840.48000000000013</v>
      </c>
      <c r="Y45" s="67">
        <f>Inputs!$D$87*'Projections-BASE'!Y44</f>
        <v>840.48000000000013</v>
      </c>
      <c r="Z45" s="67">
        <f>Inputs!$D$87*'Projections-BASE'!Z44</f>
        <v>840.48000000000013</v>
      </c>
      <c r="AA45" s="67">
        <f>Inputs!$D$87*'Projections-BASE'!AA44</f>
        <v>864.96</v>
      </c>
      <c r="AB45" s="67">
        <f>Inputs!$D$87*'Projections-BASE'!AB44</f>
        <v>864.96</v>
      </c>
      <c r="AC45" s="67">
        <f>Inputs!$D$87*'Projections-BASE'!AC44</f>
        <v>864.96</v>
      </c>
      <c r="AD45" s="67">
        <f>Inputs!$D$87*'Projections-BASE'!AD44</f>
        <v>864.96</v>
      </c>
      <c r="AE45" s="67">
        <f>Inputs!$D$87*'Projections-BASE'!AE44</f>
        <v>864.96</v>
      </c>
      <c r="AF45" s="67">
        <f>Inputs!$D$87*'Projections-BASE'!AF44</f>
        <v>864.96</v>
      </c>
      <c r="AG45" s="67">
        <f>Inputs!$D$87*'Projections-BASE'!AG44</f>
        <v>864.96</v>
      </c>
      <c r="AH45" s="67">
        <f>Inputs!$D$87*'Projections-BASE'!AH44</f>
        <v>864.96</v>
      </c>
      <c r="AI45" s="67">
        <f>Inputs!$D$87*'Projections-BASE'!AI44</f>
        <v>864.96</v>
      </c>
      <c r="AJ45" s="67">
        <f>Inputs!$D$87*'Projections-BASE'!AJ44</f>
        <v>864.96</v>
      </c>
      <c r="AK45" s="67">
        <f>Inputs!$D$87*'Projections-BASE'!AK44</f>
        <v>864.96</v>
      </c>
      <c r="AL45" s="67">
        <f>Inputs!$D$87*'Projections-BASE'!AL44</f>
        <v>864.96</v>
      </c>
      <c r="AM45" s="67">
        <f>Inputs!$D$87*'Projections-BASE'!AM44</f>
        <v>864.96</v>
      </c>
      <c r="AN45" s="67">
        <f>Inputs!$D$87*'Projections-BASE'!AN44</f>
        <v>864.96</v>
      </c>
    </row>
    <row r="46" spans="1:40" s="16" customFormat="1">
      <c r="A46" s="1"/>
      <c r="B46" s="1"/>
      <c r="C46" s="32" t="s">
        <v>41</v>
      </c>
      <c r="D46" s="15"/>
      <c r="E46" s="67">
        <f>IF(E$9=1,Inputs!$D$64*'Projections-BASE'!E$17,IF(E$9=2,Inputs!$D$65*'Projections-BASE'!E$17,Inputs!$D$66*'Projections-BASE'!E$17))</f>
        <v>360</v>
      </c>
      <c r="F46" s="67">
        <f>IF(F$9=1,Inputs!$D$64*'Projections-BASE'!F$17,IF(F$9=2,Inputs!$D$65*'Projections-BASE'!F$17,Inputs!$D$66*'Projections-BASE'!F$17))</f>
        <v>1080</v>
      </c>
      <c r="G46" s="67">
        <f>IF(G$9=1,Inputs!$D$64*'Projections-BASE'!G$17,IF(G$9=2,Inputs!$D$65*'Projections-BASE'!G$17,Inputs!$D$66*'Projections-BASE'!G$17))</f>
        <v>1080</v>
      </c>
      <c r="H46" s="67">
        <f>IF(H$9=1,Inputs!$D$64*'Projections-BASE'!H$17,IF(H$9=2,Inputs!$D$65*'Projections-BASE'!H$17,Inputs!$D$66*'Projections-BASE'!H$17))</f>
        <v>360</v>
      </c>
      <c r="I46" s="67">
        <f>IF(I$9=1,Inputs!$D$64*'Projections-BASE'!I$17,IF(I$9=2,Inputs!$D$65*'Projections-BASE'!I$17,Inputs!$D$66*'Projections-BASE'!I$17))</f>
        <v>360</v>
      </c>
      <c r="J46" s="67">
        <f>IF(J$9=1,Inputs!$D$64*'Projections-BASE'!J$17,IF(J$9=2,Inputs!$D$65*'Projections-BASE'!J$17,Inputs!$D$66*'Projections-BASE'!J$17))</f>
        <v>1080</v>
      </c>
      <c r="K46" s="67">
        <f>IF(K$9=1,Inputs!$D$64*'Projections-BASE'!K$17,IF(K$9=2,Inputs!$D$65*'Projections-BASE'!K$17,Inputs!$D$66*'Projections-BASE'!K$17))</f>
        <v>360</v>
      </c>
      <c r="L46" s="67">
        <f>IF(L$9=1,Inputs!$D$64*'Projections-BASE'!L$17,IF(L$9=2,Inputs!$D$65*'Projections-BASE'!L$17,Inputs!$D$66*'Projections-BASE'!L$17))</f>
        <v>1080</v>
      </c>
      <c r="M46" s="67">
        <f>IF(M$9=1,Inputs!$D$64*'Projections-BASE'!M$17,IF(M$9=2,Inputs!$D$65*'Projections-BASE'!M$17,Inputs!$D$66*'Projections-BASE'!M$17))</f>
        <v>360</v>
      </c>
      <c r="N46" s="67">
        <f>IF(N$9=1,Inputs!$D$64*'Projections-BASE'!N$17,IF(N$9=2,Inputs!$D$65*'Projections-BASE'!N$17,Inputs!$D$66*'Projections-BASE'!N$17))</f>
        <v>360</v>
      </c>
      <c r="O46" s="67">
        <f>IF(O$9=1,Inputs!$D$64*'Projections-BASE'!O$17,IF(O$9=2,Inputs!$D$65*'Projections-BASE'!O$17,Inputs!$D$66*'Projections-BASE'!O$17))</f>
        <v>432</v>
      </c>
      <c r="P46" s="67">
        <f>IF(P$9=1,Inputs!$D$64*'Projections-BASE'!P$17,IF(P$9=2,Inputs!$D$65*'Projections-BASE'!P$17,Inputs!$D$66*'Projections-BASE'!P$17))</f>
        <v>432</v>
      </c>
      <c r="Q46" s="67">
        <f>IF(Q$9=1,Inputs!$D$64*'Projections-BASE'!Q$17,IF(Q$9=2,Inputs!$D$65*'Projections-BASE'!Q$17,Inputs!$D$66*'Projections-BASE'!Q$17))</f>
        <v>432</v>
      </c>
      <c r="R46" s="67">
        <f>IF(R$9=1,Inputs!$D$64*'Projections-BASE'!R$17,IF(R$9=2,Inputs!$D$65*'Projections-BASE'!R$17,Inputs!$D$66*'Projections-BASE'!R$17))</f>
        <v>1296</v>
      </c>
      <c r="S46" s="67">
        <f>IF(S$9=1,Inputs!$D$64*'Projections-BASE'!S$17,IF(S$9=2,Inputs!$D$65*'Projections-BASE'!S$17,Inputs!$D$66*'Projections-BASE'!S$17))</f>
        <v>1296</v>
      </c>
      <c r="T46" s="67">
        <f>IF(T$9=1,Inputs!$D$64*'Projections-BASE'!T$17,IF(T$9=2,Inputs!$D$65*'Projections-BASE'!T$17,Inputs!$D$66*'Projections-BASE'!T$17))</f>
        <v>432</v>
      </c>
      <c r="U46" s="67">
        <f>IF(U$9=1,Inputs!$D$64*'Projections-BASE'!U$17,IF(U$9=2,Inputs!$D$65*'Projections-BASE'!U$17,Inputs!$D$66*'Projections-BASE'!U$17))</f>
        <v>432</v>
      </c>
      <c r="V46" s="67">
        <f>IF(V$9=1,Inputs!$D$64*'Projections-BASE'!V$17,IF(V$9=2,Inputs!$D$65*'Projections-BASE'!V$17,Inputs!$D$66*'Projections-BASE'!V$17))</f>
        <v>1296</v>
      </c>
      <c r="W46" s="67">
        <f>IF(W$9=1,Inputs!$D$64*'Projections-BASE'!W$17,IF(W$9=2,Inputs!$D$65*'Projections-BASE'!W$17,Inputs!$D$66*'Projections-BASE'!W$17))</f>
        <v>432</v>
      </c>
      <c r="X46" s="67">
        <f>IF(X$9=1,Inputs!$D$64*'Projections-BASE'!X$17,IF(X$9=2,Inputs!$D$65*'Projections-BASE'!X$17,Inputs!$D$66*'Projections-BASE'!X$17))</f>
        <v>1296</v>
      </c>
      <c r="Y46" s="67">
        <f>IF(Y$9=1,Inputs!$D$64*'Projections-BASE'!Y$17,IF(Y$9=2,Inputs!$D$65*'Projections-BASE'!Y$17,Inputs!$D$66*'Projections-BASE'!Y$17))</f>
        <v>432</v>
      </c>
      <c r="Z46" s="67">
        <f>IF(Z$9=1,Inputs!$D$64*'Projections-BASE'!Z$17,IF(Z$9=2,Inputs!$D$65*'Projections-BASE'!Z$17,Inputs!$D$66*'Projections-BASE'!Z$17))</f>
        <v>432</v>
      </c>
      <c r="AA46" s="67">
        <f>IF(AA$9=1,Inputs!$D$64*'Projections-BASE'!AA$17,IF(AA$9=2,Inputs!$D$65*'Projections-BASE'!AA$17,Inputs!$D$66*'Projections-BASE'!AA$17))</f>
        <v>540</v>
      </c>
      <c r="AB46" s="67">
        <f>IF(AB$9=1,Inputs!$D$64*'Projections-BASE'!AB$17,IF(AB$9=2,Inputs!$D$65*'Projections-BASE'!AB$17,Inputs!$D$66*'Projections-BASE'!AB$17))</f>
        <v>540</v>
      </c>
      <c r="AC46" s="67">
        <f>IF(AC$9=1,Inputs!$D$64*'Projections-BASE'!AC$17,IF(AC$9=2,Inputs!$D$65*'Projections-BASE'!AC$17,Inputs!$D$66*'Projections-BASE'!AC$17))</f>
        <v>540</v>
      </c>
      <c r="AD46" s="67">
        <f>IF(AD$9=1,Inputs!$D$64*'Projections-BASE'!AD$17,IF(AD$9=2,Inputs!$D$65*'Projections-BASE'!AD$17,Inputs!$D$66*'Projections-BASE'!AD$17))</f>
        <v>1620</v>
      </c>
      <c r="AE46" s="67">
        <f>IF(AE$9=1,Inputs!$D$64*'Projections-BASE'!AE$17,IF(AE$9=2,Inputs!$D$65*'Projections-BASE'!AE$17,Inputs!$D$66*'Projections-BASE'!AE$17))</f>
        <v>1620</v>
      </c>
      <c r="AF46" s="67">
        <f>IF(AF$9=1,Inputs!$D$64*'Projections-BASE'!AF$17,IF(AF$9=2,Inputs!$D$65*'Projections-BASE'!AF$17,Inputs!$D$66*'Projections-BASE'!AF$17))</f>
        <v>540</v>
      </c>
      <c r="AG46" s="67">
        <f>IF(AG$9=1,Inputs!$D$64*'Projections-BASE'!AG$17,IF(AG$9=2,Inputs!$D$65*'Projections-BASE'!AG$17,Inputs!$D$66*'Projections-BASE'!AG$17))</f>
        <v>540</v>
      </c>
      <c r="AH46" s="67">
        <f>IF(AH$9=1,Inputs!$D$64*'Projections-BASE'!AH$17,IF(AH$9=2,Inputs!$D$65*'Projections-BASE'!AH$17,Inputs!$D$66*'Projections-BASE'!AH$17))</f>
        <v>1620</v>
      </c>
      <c r="AI46" s="67">
        <f>IF(AI$9=1,Inputs!$D$64*'Projections-BASE'!AI$17,IF(AI$9=2,Inputs!$D$65*'Projections-BASE'!AI$17,Inputs!$D$66*'Projections-BASE'!AI$17))</f>
        <v>540</v>
      </c>
      <c r="AJ46" s="67">
        <f>IF(AJ$9=1,Inputs!$D$64*'Projections-BASE'!AJ$17,IF(AJ$9=2,Inputs!$D$65*'Projections-BASE'!AJ$17,Inputs!$D$66*'Projections-BASE'!AJ$17))</f>
        <v>1620</v>
      </c>
      <c r="AK46" s="67">
        <f>IF(AK$9=1,Inputs!$D$64*'Projections-BASE'!AK$17,IF(AK$9=2,Inputs!$D$65*'Projections-BASE'!AK$17,Inputs!$D$66*'Projections-BASE'!AK$17))</f>
        <v>540</v>
      </c>
      <c r="AL46" s="67">
        <f>IF(AL$9=1,Inputs!$D$64*'Projections-BASE'!AL$17,IF(AL$9=2,Inputs!$D$65*'Projections-BASE'!AL$17,Inputs!$D$66*'Projections-BASE'!AL$17))</f>
        <v>540</v>
      </c>
      <c r="AM46" s="67">
        <f>IF(AM$9=1,Inputs!$D$64*'Projections-BASE'!AM$17,IF(AM$9=2,Inputs!$D$65*'Projections-BASE'!AM$17,Inputs!$D$66*'Projections-BASE'!AM$17))</f>
        <v>540</v>
      </c>
      <c r="AN46" s="67">
        <f>IF(AN$9=1,Inputs!$D$64*'Projections-BASE'!AN$17,IF(AN$9=2,Inputs!$D$65*'Projections-BASE'!AN$17,Inputs!$D$66*'Projections-BASE'!AN$17))</f>
        <v>540</v>
      </c>
    </row>
    <row r="47" spans="1:40" s="16" customFormat="1">
      <c r="A47" s="1"/>
      <c r="B47" s="1"/>
      <c r="C47" s="32" t="s">
        <v>210</v>
      </c>
      <c r="D47" s="15"/>
      <c r="E47" s="67">
        <f>IF(E$9=1,Inputs!$D$67*'Projections-BASE'!E$17,IF(E$9=2,Inputs!$D$68*'Projections-BASE'!E$17,Inputs!$D$69*'Projections-BASE'!E$17))</f>
        <v>120</v>
      </c>
      <c r="F47" s="67">
        <f>IF(F$9=1,Inputs!$D$67*'Projections-BASE'!F$17,IF(F$9=2,Inputs!$D$68*'Projections-BASE'!F$17,Inputs!$D$69*'Projections-BASE'!F$17))</f>
        <v>360</v>
      </c>
      <c r="G47" s="67">
        <f>IF(G$9=1,Inputs!$D$67*'Projections-BASE'!G$17,IF(G$9=2,Inputs!$D$68*'Projections-BASE'!G$17,Inputs!$D$69*'Projections-BASE'!G$17))</f>
        <v>360</v>
      </c>
      <c r="H47" s="67">
        <f>IF(H$9=1,Inputs!$D$67*'Projections-BASE'!H$17,IF(H$9=2,Inputs!$D$68*'Projections-BASE'!H$17,Inputs!$D$69*'Projections-BASE'!H$17))</f>
        <v>120</v>
      </c>
      <c r="I47" s="67">
        <f>IF(I$9=1,Inputs!$D$67*'Projections-BASE'!I$17,IF(I$9=2,Inputs!$D$68*'Projections-BASE'!I$17,Inputs!$D$69*'Projections-BASE'!I$17))</f>
        <v>120</v>
      </c>
      <c r="J47" s="67">
        <f>IF(J$9=1,Inputs!$D$67*'Projections-BASE'!J$17,IF(J$9=2,Inputs!$D$68*'Projections-BASE'!J$17,Inputs!$D$69*'Projections-BASE'!J$17))</f>
        <v>360</v>
      </c>
      <c r="K47" s="67">
        <f>IF(K$9=1,Inputs!$D$67*'Projections-BASE'!K$17,IF(K$9=2,Inputs!$D$68*'Projections-BASE'!K$17,Inputs!$D$69*'Projections-BASE'!K$17))</f>
        <v>120</v>
      </c>
      <c r="L47" s="67">
        <f>IF(L$9=1,Inputs!$D$67*'Projections-BASE'!L$17,IF(L$9=2,Inputs!$D$68*'Projections-BASE'!L$17,Inputs!$D$69*'Projections-BASE'!L$17))</f>
        <v>360</v>
      </c>
      <c r="M47" s="67">
        <f>IF(M$9=1,Inputs!$D$67*'Projections-BASE'!M$17,IF(M$9=2,Inputs!$D$68*'Projections-BASE'!M$17,Inputs!$D$69*'Projections-BASE'!M$17))</f>
        <v>120</v>
      </c>
      <c r="N47" s="67">
        <f>IF(N$9=1,Inputs!$D$67*'Projections-BASE'!N$17,IF(N$9=2,Inputs!$D$68*'Projections-BASE'!N$17,Inputs!$D$69*'Projections-BASE'!N$17))</f>
        <v>120</v>
      </c>
      <c r="O47" s="67">
        <f>IF(O$9=1,Inputs!$D$67*'Projections-BASE'!O$17,IF(O$9=2,Inputs!$D$68*'Projections-BASE'!O$17,Inputs!$D$69*'Projections-BASE'!O$17))</f>
        <v>144</v>
      </c>
      <c r="P47" s="67">
        <f>IF(P$9=1,Inputs!$D$67*'Projections-BASE'!P$17,IF(P$9=2,Inputs!$D$68*'Projections-BASE'!P$17,Inputs!$D$69*'Projections-BASE'!P$17))</f>
        <v>144</v>
      </c>
      <c r="Q47" s="67">
        <f>IF(Q$9=1,Inputs!$D$67*'Projections-BASE'!Q$17,IF(Q$9=2,Inputs!$D$68*'Projections-BASE'!Q$17,Inputs!$D$69*'Projections-BASE'!Q$17))</f>
        <v>144</v>
      </c>
      <c r="R47" s="67">
        <f>IF(R$9=1,Inputs!$D$67*'Projections-BASE'!R$17,IF(R$9=2,Inputs!$D$68*'Projections-BASE'!R$17,Inputs!$D$69*'Projections-BASE'!R$17))</f>
        <v>432</v>
      </c>
      <c r="S47" s="67">
        <f>IF(S$9=1,Inputs!$D$67*'Projections-BASE'!S$17,IF(S$9=2,Inputs!$D$68*'Projections-BASE'!S$17,Inputs!$D$69*'Projections-BASE'!S$17))</f>
        <v>432</v>
      </c>
      <c r="T47" s="67">
        <f>IF(T$9=1,Inputs!$D$67*'Projections-BASE'!T$17,IF(T$9=2,Inputs!$D$68*'Projections-BASE'!T$17,Inputs!$D$69*'Projections-BASE'!T$17))</f>
        <v>144</v>
      </c>
      <c r="U47" s="67">
        <f>IF(U$9=1,Inputs!$D$67*'Projections-BASE'!U$17,IF(U$9=2,Inputs!$D$68*'Projections-BASE'!U$17,Inputs!$D$69*'Projections-BASE'!U$17))</f>
        <v>144</v>
      </c>
      <c r="V47" s="67">
        <f>IF(V$9=1,Inputs!$D$67*'Projections-BASE'!V$17,IF(V$9=2,Inputs!$D$68*'Projections-BASE'!V$17,Inputs!$D$69*'Projections-BASE'!V$17))</f>
        <v>432</v>
      </c>
      <c r="W47" s="67">
        <f>IF(W$9=1,Inputs!$D$67*'Projections-BASE'!W$17,IF(W$9=2,Inputs!$D$68*'Projections-BASE'!W$17,Inputs!$D$69*'Projections-BASE'!W$17))</f>
        <v>144</v>
      </c>
      <c r="X47" s="67">
        <f>IF(X$9=1,Inputs!$D$67*'Projections-BASE'!X$17,IF(X$9=2,Inputs!$D$68*'Projections-BASE'!X$17,Inputs!$D$69*'Projections-BASE'!X$17))</f>
        <v>432</v>
      </c>
      <c r="Y47" s="67">
        <f>IF(Y$9=1,Inputs!$D$67*'Projections-BASE'!Y$17,IF(Y$9=2,Inputs!$D$68*'Projections-BASE'!Y$17,Inputs!$D$69*'Projections-BASE'!Y$17))</f>
        <v>144</v>
      </c>
      <c r="Z47" s="67">
        <f>IF(Z$9=1,Inputs!$D$67*'Projections-BASE'!Z$17,IF(Z$9=2,Inputs!$D$68*'Projections-BASE'!Z$17,Inputs!$D$69*'Projections-BASE'!Z$17))</f>
        <v>144</v>
      </c>
      <c r="AA47" s="67">
        <f>IF(AA$9=1,Inputs!$D$67*'Projections-BASE'!AA$17,IF(AA$9=2,Inputs!$D$68*'Projections-BASE'!AA$17,Inputs!$D$69*'Projections-BASE'!AA$17))</f>
        <v>180</v>
      </c>
      <c r="AB47" s="67">
        <f>IF(AB$9=1,Inputs!$D$67*'Projections-BASE'!AB$17,IF(AB$9=2,Inputs!$D$68*'Projections-BASE'!AB$17,Inputs!$D$69*'Projections-BASE'!AB$17))</f>
        <v>180</v>
      </c>
      <c r="AC47" s="67">
        <f>IF(AC$9=1,Inputs!$D$67*'Projections-BASE'!AC$17,IF(AC$9=2,Inputs!$D$68*'Projections-BASE'!AC$17,Inputs!$D$69*'Projections-BASE'!AC$17))</f>
        <v>180</v>
      </c>
      <c r="AD47" s="67">
        <f>IF(AD$9=1,Inputs!$D$67*'Projections-BASE'!AD$17,IF(AD$9=2,Inputs!$D$68*'Projections-BASE'!AD$17,Inputs!$D$69*'Projections-BASE'!AD$17))</f>
        <v>540</v>
      </c>
      <c r="AE47" s="67">
        <f>IF(AE$9=1,Inputs!$D$67*'Projections-BASE'!AE$17,IF(AE$9=2,Inputs!$D$68*'Projections-BASE'!AE$17,Inputs!$D$69*'Projections-BASE'!AE$17))</f>
        <v>540</v>
      </c>
      <c r="AF47" s="67">
        <f>IF(AF$9=1,Inputs!$D$67*'Projections-BASE'!AF$17,IF(AF$9=2,Inputs!$D$68*'Projections-BASE'!AF$17,Inputs!$D$69*'Projections-BASE'!AF$17))</f>
        <v>180</v>
      </c>
      <c r="AG47" s="67">
        <f>IF(AG$9=1,Inputs!$D$67*'Projections-BASE'!AG$17,IF(AG$9=2,Inputs!$D$68*'Projections-BASE'!AG$17,Inputs!$D$69*'Projections-BASE'!AG$17))</f>
        <v>180</v>
      </c>
      <c r="AH47" s="67">
        <f>IF(AH$9=1,Inputs!$D$67*'Projections-BASE'!AH$17,IF(AH$9=2,Inputs!$D$68*'Projections-BASE'!AH$17,Inputs!$D$69*'Projections-BASE'!AH$17))</f>
        <v>540</v>
      </c>
      <c r="AI47" s="67">
        <f>IF(AI$9=1,Inputs!$D$67*'Projections-BASE'!AI$17,IF(AI$9=2,Inputs!$D$68*'Projections-BASE'!AI$17,Inputs!$D$69*'Projections-BASE'!AI$17))</f>
        <v>180</v>
      </c>
      <c r="AJ47" s="67">
        <f>IF(AJ$9=1,Inputs!$D$67*'Projections-BASE'!AJ$17,IF(AJ$9=2,Inputs!$D$68*'Projections-BASE'!AJ$17,Inputs!$D$69*'Projections-BASE'!AJ$17))</f>
        <v>540</v>
      </c>
      <c r="AK47" s="67">
        <f>IF(AK$9=1,Inputs!$D$67*'Projections-BASE'!AK$17,IF(AK$9=2,Inputs!$D$68*'Projections-BASE'!AK$17,Inputs!$D$69*'Projections-BASE'!AK$17))</f>
        <v>180</v>
      </c>
      <c r="AL47" s="67">
        <f>IF(AL$9=1,Inputs!$D$67*'Projections-BASE'!AL$17,IF(AL$9=2,Inputs!$D$68*'Projections-BASE'!AL$17,Inputs!$D$69*'Projections-BASE'!AL$17))</f>
        <v>180</v>
      </c>
      <c r="AM47" s="67">
        <f>IF(AM$9=1,Inputs!$D$67*'Projections-BASE'!AM$17,IF(AM$9=2,Inputs!$D$68*'Projections-BASE'!AM$17,Inputs!$D$69*'Projections-BASE'!AM$17))</f>
        <v>180</v>
      </c>
      <c r="AN47" s="67">
        <f>IF(AN$9=1,Inputs!$D$67*'Projections-BASE'!AN$17,IF(AN$9=2,Inputs!$D$68*'Projections-BASE'!AN$17,Inputs!$D$69*'Projections-BASE'!AN$17))</f>
        <v>180</v>
      </c>
    </row>
    <row r="48" spans="1:40" s="16" customFormat="1">
      <c r="A48" s="1"/>
      <c r="B48" s="1"/>
      <c r="C48" s="32" t="s">
        <v>211</v>
      </c>
      <c r="D48" s="15"/>
      <c r="E48" s="67">
        <f>IF(E$9=1,Inputs!$D$70*'Projections-BASE'!E$17,IF(E$9=2,Inputs!$D$71*'Projections-BASE'!E$17,Inputs!$D$72*'Projections-BASE'!E$17))</f>
        <v>180</v>
      </c>
      <c r="F48" s="67">
        <f>IF(F$9=1,Inputs!$D$70*'Projections-BASE'!F$17,IF(F$9=2,Inputs!$D$71*'Projections-BASE'!F$17,Inputs!$D$72*'Projections-BASE'!F$17))</f>
        <v>540</v>
      </c>
      <c r="G48" s="67">
        <f>IF(G$9=1,Inputs!$D$70*'Projections-BASE'!G$17,IF(G$9=2,Inputs!$D$71*'Projections-BASE'!G$17,Inputs!$D$72*'Projections-BASE'!G$17))</f>
        <v>540</v>
      </c>
      <c r="H48" s="67">
        <f>IF(H$9=1,Inputs!$D$70*'Projections-BASE'!H$17,IF(H$9=2,Inputs!$D$71*'Projections-BASE'!H$17,Inputs!$D$72*'Projections-BASE'!H$17))</f>
        <v>180</v>
      </c>
      <c r="I48" s="67">
        <f>IF(I$9=1,Inputs!$D$70*'Projections-BASE'!I$17,IF(I$9=2,Inputs!$D$71*'Projections-BASE'!I$17,Inputs!$D$72*'Projections-BASE'!I$17))</f>
        <v>180</v>
      </c>
      <c r="J48" s="67">
        <f>IF(J$9=1,Inputs!$D$70*'Projections-BASE'!J$17,IF(J$9=2,Inputs!$D$71*'Projections-BASE'!J$17,Inputs!$D$72*'Projections-BASE'!J$17))</f>
        <v>540</v>
      </c>
      <c r="K48" s="67">
        <f>IF(K$9=1,Inputs!$D$70*'Projections-BASE'!K$17,IF(K$9=2,Inputs!$D$71*'Projections-BASE'!K$17,Inputs!$D$72*'Projections-BASE'!K$17))</f>
        <v>180</v>
      </c>
      <c r="L48" s="67">
        <f>IF(L$9=1,Inputs!$D$70*'Projections-BASE'!L$17,IF(L$9=2,Inputs!$D$71*'Projections-BASE'!L$17,Inputs!$D$72*'Projections-BASE'!L$17))</f>
        <v>540</v>
      </c>
      <c r="M48" s="67">
        <f>IF(M$9=1,Inputs!$D$70*'Projections-BASE'!M$17,IF(M$9=2,Inputs!$D$71*'Projections-BASE'!M$17,Inputs!$D$72*'Projections-BASE'!M$17))</f>
        <v>180</v>
      </c>
      <c r="N48" s="67">
        <f>IF(N$9=1,Inputs!$D$70*'Projections-BASE'!N$17,IF(N$9=2,Inputs!$D$71*'Projections-BASE'!N$17,Inputs!$D$72*'Projections-BASE'!N$17))</f>
        <v>180</v>
      </c>
      <c r="O48" s="67">
        <f>IF(O$9=1,Inputs!$D$70*'Projections-BASE'!O$17,IF(O$9=2,Inputs!$D$71*'Projections-BASE'!O$17,Inputs!$D$72*'Projections-BASE'!O$17))</f>
        <v>216</v>
      </c>
      <c r="P48" s="67">
        <f>IF(P$9=1,Inputs!$D$70*'Projections-BASE'!P$17,IF(P$9=2,Inputs!$D$71*'Projections-BASE'!P$17,Inputs!$D$72*'Projections-BASE'!P$17))</f>
        <v>216</v>
      </c>
      <c r="Q48" s="67">
        <f>IF(Q$9=1,Inputs!$D$70*'Projections-BASE'!Q$17,IF(Q$9=2,Inputs!$D$71*'Projections-BASE'!Q$17,Inputs!$D$72*'Projections-BASE'!Q$17))</f>
        <v>216</v>
      </c>
      <c r="R48" s="67">
        <f>IF(R$9=1,Inputs!$D$70*'Projections-BASE'!R$17,IF(R$9=2,Inputs!$D$71*'Projections-BASE'!R$17,Inputs!$D$72*'Projections-BASE'!R$17))</f>
        <v>648</v>
      </c>
      <c r="S48" s="67">
        <f>IF(S$9=1,Inputs!$D$70*'Projections-BASE'!S$17,IF(S$9=2,Inputs!$D$71*'Projections-BASE'!S$17,Inputs!$D$72*'Projections-BASE'!S$17))</f>
        <v>648</v>
      </c>
      <c r="T48" s="67">
        <f>IF(T$9=1,Inputs!$D$70*'Projections-BASE'!T$17,IF(T$9=2,Inputs!$D$71*'Projections-BASE'!T$17,Inputs!$D$72*'Projections-BASE'!T$17))</f>
        <v>216</v>
      </c>
      <c r="U48" s="67">
        <f>IF(U$9=1,Inputs!$D$70*'Projections-BASE'!U$17,IF(U$9=2,Inputs!$D$71*'Projections-BASE'!U$17,Inputs!$D$72*'Projections-BASE'!U$17))</f>
        <v>216</v>
      </c>
      <c r="V48" s="67">
        <f>IF(V$9=1,Inputs!$D$70*'Projections-BASE'!V$17,IF(V$9=2,Inputs!$D$71*'Projections-BASE'!V$17,Inputs!$D$72*'Projections-BASE'!V$17))</f>
        <v>648</v>
      </c>
      <c r="W48" s="67">
        <f>IF(W$9=1,Inputs!$D$70*'Projections-BASE'!W$17,IF(W$9=2,Inputs!$D$71*'Projections-BASE'!W$17,Inputs!$D$72*'Projections-BASE'!W$17))</f>
        <v>216</v>
      </c>
      <c r="X48" s="67">
        <f>IF(X$9=1,Inputs!$D$70*'Projections-BASE'!X$17,IF(X$9=2,Inputs!$D$71*'Projections-BASE'!X$17,Inputs!$D$72*'Projections-BASE'!X$17))</f>
        <v>648</v>
      </c>
      <c r="Y48" s="67">
        <f>IF(Y$9=1,Inputs!$D$70*'Projections-BASE'!Y$17,IF(Y$9=2,Inputs!$D$71*'Projections-BASE'!Y$17,Inputs!$D$72*'Projections-BASE'!Y$17))</f>
        <v>216</v>
      </c>
      <c r="Z48" s="67">
        <f>IF(Z$9=1,Inputs!$D$70*'Projections-BASE'!Z$17,IF(Z$9=2,Inputs!$D$71*'Projections-BASE'!Z$17,Inputs!$D$72*'Projections-BASE'!Z$17))</f>
        <v>216</v>
      </c>
      <c r="AA48" s="67">
        <f>IF(AA$9=1,Inputs!$D$70*'Projections-BASE'!AA$17,IF(AA$9=2,Inputs!$D$71*'Projections-BASE'!AA$17,Inputs!$D$72*'Projections-BASE'!AA$17))</f>
        <v>270</v>
      </c>
      <c r="AB48" s="67">
        <f>IF(AB$9=1,Inputs!$D$70*'Projections-BASE'!AB$17,IF(AB$9=2,Inputs!$D$71*'Projections-BASE'!AB$17,Inputs!$D$72*'Projections-BASE'!AB$17))</f>
        <v>270</v>
      </c>
      <c r="AC48" s="67">
        <f>IF(AC$9=1,Inputs!$D$70*'Projections-BASE'!AC$17,IF(AC$9=2,Inputs!$D$71*'Projections-BASE'!AC$17,Inputs!$D$72*'Projections-BASE'!AC$17))</f>
        <v>270</v>
      </c>
      <c r="AD48" s="67">
        <f>IF(AD$9=1,Inputs!$D$70*'Projections-BASE'!AD$17,IF(AD$9=2,Inputs!$D$71*'Projections-BASE'!AD$17,Inputs!$D$72*'Projections-BASE'!AD$17))</f>
        <v>810</v>
      </c>
      <c r="AE48" s="67">
        <f>IF(AE$9=1,Inputs!$D$70*'Projections-BASE'!AE$17,IF(AE$9=2,Inputs!$D$71*'Projections-BASE'!AE$17,Inputs!$D$72*'Projections-BASE'!AE$17))</f>
        <v>810</v>
      </c>
      <c r="AF48" s="67">
        <f>IF(AF$9=1,Inputs!$D$70*'Projections-BASE'!AF$17,IF(AF$9=2,Inputs!$D$71*'Projections-BASE'!AF$17,Inputs!$D$72*'Projections-BASE'!AF$17))</f>
        <v>270</v>
      </c>
      <c r="AG48" s="67">
        <f>IF(AG$9=1,Inputs!$D$70*'Projections-BASE'!AG$17,IF(AG$9=2,Inputs!$D$71*'Projections-BASE'!AG$17,Inputs!$D$72*'Projections-BASE'!AG$17))</f>
        <v>270</v>
      </c>
      <c r="AH48" s="67">
        <f>IF(AH$9=1,Inputs!$D$70*'Projections-BASE'!AH$17,IF(AH$9=2,Inputs!$D$71*'Projections-BASE'!AH$17,Inputs!$D$72*'Projections-BASE'!AH$17))</f>
        <v>810</v>
      </c>
      <c r="AI48" s="67">
        <f>IF(AI$9=1,Inputs!$D$70*'Projections-BASE'!AI$17,IF(AI$9=2,Inputs!$D$71*'Projections-BASE'!AI$17,Inputs!$D$72*'Projections-BASE'!AI$17))</f>
        <v>270</v>
      </c>
      <c r="AJ48" s="67">
        <f>IF(AJ$9=1,Inputs!$D$70*'Projections-BASE'!AJ$17,IF(AJ$9=2,Inputs!$D$71*'Projections-BASE'!AJ$17,Inputs!$D$72*'Projections-BASE'!AJ$17))</f>
        <v>810</v>
      </c>
      <c r="AK48" s="67">
        <f>IF(AK$9=1,Inputs!$D$70*'Projections-BASE'!AK$17,IF(AK$9=2,Inputs!$D$71*'Projections-BASE'!AK$17,Inputs!$D$72*'Projections-BASE'!AK$17))</f>
        <v>270</v>
      </c>
      <c r="AL48" s="67">
        <f>IF(AL$9=1,Inputs!$D$70*'Projections-BASE'!AL$17,IF(AL$9=2,Inputs!$D$71*'Projections-BASE'!AL$17,Inputs!$D$72*'Projections-BASE'!AL$17))</f>
        <v>270</v>
      </c>
      <c r="AM48" s="67">
        <f>IF(AM$9=1,Inputs!$D$70*'Projections-BASE'!AM$17,IF(AM$9=2,Inputs!$D$71*'Projections-BASE'!AM$17,Inputs!$D$72*'Projections-BASE'!AM$17))</f>
        <v>270</v>
      </c>
      <c r="AN48" s="67">
        <f>IF(AN$9=1,Inputs!$D$70*'Projections-BASE'!AN$17,IF(AN$9=2,Inputs!$D$71*'Projections-BASE'!AN$17,Inputs!$D$72*'Projections-BASE'!AN$17))</f>
        <v>270</v>
      </c>
    </row>
    <row r="49" spans="1:40" s="16" customFormat="1">
      <c r="A49" s="1"/>
      <c r="B49" s="1"/>
      <c r="C49" s="32"/>
      <c r="D49" s="15"/>
    </row>
    <row r="50" spans="1:40" s="49" customFormat="1">
      <c r="A50" s="2"/>
      <c r="B50" s="2" t="s">
        <v>220</v>
      </c>
      <c r="C50" s="48"/>
      <c r="D50" s="52"/>
      <c r="E50" s="68">
        <f>SUM(E51:E70)</f>
        <v>13590</v>
      </c>
      <c r="F50" s="68">
        <f t="shared" ref="F50:AN50" si="9">SUM(F51:F70)</f>
        <v>13590</v>
      </c>
      <c r="G50" s="68">
        <f t="shared" si="9"/>
        <v>13590</v>
      </c>
      <c r="H50" s="68">
        <f t="shared" si="9"/>
        <v>13590</v>
      </c>
      <c r="I50" s="68">
        <f t="shared" si="9"/>
        <v>13590</v>
      </c>
      <c r="J50" s="68">
        <f t="shared" si="9"/>
        <v>13590</v>
      </c>
      <c r="K50" s="68">
        <f t="shared" si="9"/>
        <v>13590</v>
      </c>
      <c r="L50" s="68">
        <f t="shared" si="9"/>
        <v>13590</v>
      </c>
      <c r="M50" s="68">
        <f t="shared" si="9"/>
        <v>13590</v>
      </c>
      <c r="N50" s="68">
        <f t="shared" si="9"/>
        <v>13590</v>
      </c>
      <c r="O50" s="68">
        <f t="shared" si="9"/>
        <v>14364</v>
      </c>
      <c r="P50" s="68">
        <f t="shared" si="9"/>
        <v>14364</v>
      </c>
      <c r="Q50" s="68">
        <f t="shared" si="9"/>
        <v>14364</v>
      </c>
      <c r="R50" s="68">
        <f t="shared" si="9"/>
        <v>14364</v>
      </c>
      <c r="S50" s="68">
        <f t="shared" si="9"/>
        <v>14364</v>
      </c>
      <c r="T50" s="68">
        <f t="shared" si="9"/>
        <v>14364</v>
      </c>
      <c r="U50" s="68">
        <f t="shared" si="9"/>
        <v>14364</v>
      </c>
      <c r="V50" s="68">
        <f t="shared" si="9"/>
        <v>14364</v>
      </c>
      <c r="W50" s="68">
        <f t="shared" si="9"/>
        <v>14364</v>
      </c>
      <c r="X50" s="68">
        <f t="shared" si="9"/>
        <v>14364</v>
      </c>
      <c r="Y50" s="68">
        <f t="shared" si="9"/>
        <v>14364</v>
      </c>
      <c r="Z50" s="68">
        <f t="shared" si="9"/>
        <v>14364</v>
      </c>
      <c r="AA50" s="68">
        <f t="shared" si="9"/>
        <v>15171.814</v>
      </c>
      <c r="AB50" s="68">
        <f t="shared" si="9"/>
        <v>15171.814</v>
      </c>
      <c r="AC50" s="68">
        <f t="shared" si="9"/>
        <v>15171.814</v>
      </c>
      <c r="AD50" s="68">
        <f t="shared" si="9"/>
        <v>15171.814</v>
      </c>
      <c r="AE50" s="68">
        <f t="shared" si="9"/>
        <v>15171.814</v>
      </c>
      <c r="AF50" s="68">
        <f t="shared" si="9"/>
        <v>15171.814</v>
      </c>
      <c r="AG50" s="68">
        <f t="shared" si="9"/>
        <v>15171.814</v>
      </c>
      <c r="AH50" s="68">
        <f t="shared" si="9"/>
        <v>15171.814</v>
      </c>
      <c r="AI50" s="68">
        <f t="shared" si="9"/>
        <v>15171.814</v>
      </c>
      <c r="AJ50" s="68">
        <f t="shared" si="9"/>
        <v>15171.814</v>
      </c>
      <c r="AK50" s="68">
        <f t="shared" si="9"/>
        <v>15171.814</v>
      </c>
      <c r="AL50" s="68">
        <f t="shared" si="9"/>
        <v>15171.814</v>
      </c>
      <c r="AM50" s="68">
        <f t="shared" si="9"/>
        <v>15532.3621</v>
      </c>
      <c r="AN50" s="68">
        <f t="shared" si="9"/>
        <v>15532.3621</v>
      </c>
    </row>
    <row r="51" spans="1:40" s="16" customFormat="1">
      <c r="A51" s="1"/>
      <c r="B51" s="1"/>
      <c r="C51" s="34" t="str">
        <f>Inputs!C95</f>
        <v>Executive Director</v>
      </c>
      <c r="D51" s="15"/>
      <c r="E51" s="67">
        <f>Inputs!$D95*(1+('Projections-BASE'!E$9-1)*Inputs!$D$94)</f>
        <v>5000</v>
      </c>
      <c r="F51" s="67">
        <f>Inputs!$D95*(1+('Projections-BASE'!F$9-1)*Inputs!$D$94)</f>
        <v>5000</v>
      </c>
      <c r="G51" s="67">
        <f>Inputs!$D95*(1+('Projections-BASE'!G$9-1)*Inputs!$D$94)</f>
        <v>5000</v>
      </c>
      <c r="H51" s="67">
        <f>Inputs!$D95*(1+('Projections-BASE'!H$9-1)*Inputs!$D$94)</f>
        <v>5000</v>
      </c>
      <c r="I51" s="67">
        <f>Inputs!$D95*(1+('Projections-BASE'!I$9-1)*Inputs!$D$94)</f>
        <v>5000</v>
      </c>
      <c r="J51" s="67">
        <f>Inputs!$D95*(1+('Projections-BASE'!J$9-1)*Inputs!$D$94)</f>
        <v>5000</v>
      </c>
      <c r="K51" s="67">
        <f>Inputs!$D95*(1+('Projections-BASE'!K$9-1)*Inputs!$D$94)</f>
        <v>5000</v>
      </c>
      <c r="L51" s="67">
        <f>Inputs!$D95*(1+('Projections-BASE'!L$9-1)*Inputs!$D$94)</f>
        <v>5000</v>
      </c>
      <c r="M51" s="67">
        <f>Inputs!$D95*(1+('Projections-BASE'!M$9-1)*Inputs!$D$94)</f>
        <v>5000</v>
      </c>
      <c r="N51" s="67">
        <f>Inputs!$D95*(1+('Projections-BASE'!N$9-1)*Inputs!$D$94)</f>
        <v>5000</v>
      </c>
      <c r="O51" s="67">
        <f>Inputs!$D95*(1+('Projections-BASE'!O$9-1)*Inputs!$D$94)</f>
        <v>5150</v>
      </c>
      <c r="P51" s="67">
        <f>Inputs!$D95*(1+('Projections-BASE'!P$9-1)*Inputs!$D$94)</f>
        <v>5150</v>
      </c>
      <c r="Q51" s="67">
        <f>Inputs!$D95*(1+('Projections-BASE'!Q$9-1)*Inputs!$D$94)</f>
        <v>5150</v>
      </c>
      <c r="R51" s="67">
        <f>Inputs!$D95*(1+('Projections-BASE'!R$9-1)*Inputs!$D$94)</f>
        <v>5150</v>
      </c>
      <c r="S51" s="67">
        <f>Inputs!$D95*(1+('Projections-BASE'!S$9-1)*Inputs!$D$94)</f>
        <v>5150</v>
      </c>
      <c r="T51" s="67">
        <f>Inputs!$D95*(1+('Projections-BASE'!T$9-1)*Inputs!$D$94)</f>
        <v>5150</v>
      </c>
      <c r="U51" s="67">
        <f>Inputs!$D95*(1+('Projections-BASE'!U$9-1)*Inputs!$D$94)</f>
        <v>5150</v>
      </c>
      <c r="V51" s="67">
        <f>Inputs!$D95*(1+('Projections-BASE'!V$9-1)*Inputs!$D$94)</f>
        <v>5150</v>
      </c>
      <c r="W51" s="67">
        <f>Inputs!$D95*(1+('Projections-BASE'!W$9-1)*Inputs!$D$94)</f>
        <v>5150</v>
      </c>
      <c r="X51" s="67">
        <f>Inputs!$D95*(1+('Projections-BASE'!X$9-1)*Inputs!$D$94)</f>
        <v>5150</v>
      </c>
      <c r="Y51" s="67">
        <f>Inputs!$D95*(1+('Projections-BASE'!Y$9-1)*Inputs!$D$94)</f>
        <v>5150</v>
      </c>
      <c r="Z51" s="67">
        <f>Inputs!$D95*(1+('Projections-BASE'!Z$9-1)*Inputs!$D$94)</f>
        <v>5150</v>
      </c>
      <c r="AA51" s="67">
        <f>Inputs!$D95*(1+('Projections-BASE'!AA$9-1)*Inputs!$D$94)</f>
        <v>5300</v>
      </c>
      <c r="AB51" s="67">
        <f>Inputs!$D95*(1+('Projections-BASE'!AB$9-1)*Inputs!$D$94)</f>
        <v>5300</v>
      </c>
      <c r="AC51" s="67">
        <f>Inputs!$D95*(1+('Projections-BASE'!AC$9-1)*Inputs!$D$94)</f>
        <v>5300</v>
      </c>
      <c r="AD51" s="67">
        <f>Inputs!$D95*(1+('Projections-BASE'!AD$9-1)*Inputs!$D$94)</f>
        <v>5300</v>
      </c>
      <c r="AE51" s="67">
        <f>Inputs!$D95*(1+('Projections-BASE'!AE$9-1)*Inputs!$D$94)</f>
        <v>5300</v>
      </c>
      <c r="AF51" s="67">
        <f>Inputs!$D95*(1+('Projections-BASE'!AF$9-1)*Inputs!$D$94)</f>
        <v>5300</v>
      </c>
      <c r="AG51" s="67">
        <f>Inputs!$D95*(1+('Projections-BASE'!AG$9-1)*Inputs!$D$94)</f>
        <v>5300</v>
      </c>
      <c r="AH51" s="67">
        <f>Inputs!$D95*(1+('Projections-BASE'!AH$9-1)*Inputs!$D$94)</f>
        <v>5300</v>
      </c>
      <c r="AI51" s="67">
        <f>Inputs!$D95*(1+('Projections-BASE'!AI$9-1)*Inputs!$D$94)</f>
        <v>5300</v>
      </c>
      <c r="AJ51" s="67">
        <f>Inputs!$D95*(1+('Projections-BASE'!AJ$9-1)*Inputs!$D$94)</f>
        <v>5300</v>
      </c>
      <c r="AK51" s="67">
        <f>Inputs!$D95*(1+('Projections-BASE'!AK$9-1)*Inputs!$D$94)</f>
        <v>5300</v>
      </c>
      <c r="AL51" s="67">
        <f>Inputs!$D95*(1+('Projections-BASE'!AL$9-1)*Inputs!$D$94)</f>
        <v>5300</v>
      </c>
      <c r="AM51" s="67">
        <f>Inputs!$D95*(1+('Projections-BASE'!AM$9-1)*Inputs!$D$94)</f>
        <v>5450</v>
      </c>
      <c r="AN51" s="67">
        <f>Inputs!$D95*(1+('Projections-BASE'!AN$9-1)*Inputs!$D$94)</f>
        <v>5450</v>
      </c>
    </row>
    <row r="52" spans="1:40" s="16" customFormat="1">
      <c r="A52" s="1"/>
      <c r="B52" s="1"/>
      <c r="C52" s="34" t="str">
        <f>Inputs!C96</f>
        <v>Deputy Director</v>
      </c>
      <c r="D52" s="15"/>
      <c r="E52" s="67">
        <f>Inputs!$D96*(1+('Projections-BASE'!E$9-1)*Inputs!$D$94)</f>
        <v>4000</v>
      </c>
      <c r="F52" s="67">
        <f>Inputs!$D96*(1+('Projections-BASE'!F$9-1)*Inputs!$D$94)</f>
        <v>4000</v>
      </c>
      <c r="G52" s="67">
        <f>Inputs!$D96*(1+('Projections-BASE'!G$9-1)*Inputs!$D$94)</f>
        <v>4000</v>
      </c>
      <c r="H52" s="67">
        <f>Inputs!$D96*(1+('Projections-BASE'!H$9-1)*Inputs!$D$94)</f>
        <v>4000</v>
      </c>
      <c r="I52" s="67">
        <f>Inputs!$D96*(1+('Projections-BASE'!I$9-1)*Inputs!$D$94)</f>
        <v>4000</v>
      </c>
      <c r="J52" s="67">
        <f>Inputs!$D96*(1+('Projections-BASE'!J$9-1)*Inputs!$D$94)</f>
        <v>4000</v>
      </c>
      <c r="K52" s="67">
        <f>Inputs!$D96*(1+('Projections-BASE'!K$9-1)*Inputs!$D$94)</f>
        <v>4000</v>
      </c>
      <c r="L52" s="67">
        <f>Inputs!$D96*(1+('Projections-BASE'!L$9-1)*Inputs!$D$94)</f>
        <v>4000</v>
      </c>
      <c r="M52" s="67">
        <f>Inputs!$D96*(1+('Projections-BASE'!M$9-1)*Inputs!$D$94)</f>
        <v>4000</v>
      </c>
      <c r="N52" s="67">
        <f>Inputs!$D96*(1+('Projections-BASE'!N$9-1)*Inputs!$D$94)</f>
        <v>4000</v>
      </c>
      <c r="O52" s="67">
        <f>Inputs!$D96*(1+('Projections-BASE'!O$9-1)*Inputs!$D$94)</f>
        <v>4120</v>
      </c>
      <c r="P52" s="67">
        <f>Inputs!$D96*(1+('Projections-BASE'!P$9-1)*Inputs!$D$94)</f>
        <v>4120</v>
      </c>
      <c r="Q52" s="67">
        <f>Inputs!$D96*(1+('Projections-BASE'!Q$9-1)*Inputs!$D$94)</f>
        <v>4120</v>
      </c>
      <c r="R52" s="67">
        <f>Inputs!$D96*(1+('Projections-BASE'!R$9-1)*Inputs!$D$94)</f>
        <v>4120</v>
      </c>
      <c r="S52" s="67">
        <f>Inputs!$D96*(1+('Projections-BASE'!S$9-1)*Inputs!$D$94)</f>
        <v>4120</v>
      </c>
      <c r="T52" s="67">
        <f>Inputs!$D96*(1+('Projections-BASE'!T$9-1)*Inputs!$D$94)</f>
        <v>4120</v>
      </c>
      <c r="U52" s="67">
        <f>Inputs!$D96*(1+('Projections-BASE'!U$9-1)*Inputs!$D$94)</f>
        <v>4120</v>
      </c>
      <c r="V52" s="67">
        <f>Inputs!$D96*(1+('Projections-BASE'!V$9-1)*Inputs!$D$94)</f>
        <v>4120</v>
      </c>
      <c r="W52" s="67">
        <f>Inputs!$D96*(1+('Projections-BASE'!W$9-1)*Inputs!$D$94)</f>
        <v>4120</v>
      </c>
      <c r="X52" s="67">
        <f>Inputs!$D96*(1+('Projections-BASE'!X$9-1)*Inputs!$D$94)</f>
        <v>4120</v>
      </c>
      <c r="Y52" s="67">
        <f>Inputs!$D96*(1+('Projections-BASE'!Y$9-1)*Inputs!$D$94)</f>
        <v>4120</v>
      </c>
      <c r="Z52" s="67">
        <f>Inputs!$D96*(1+('Projections-BASE'!Z$9-1)*Inputs!$D$94)</f>
        <v>4120</v>
      </c>
      <c r="AA52" s="67">
        <f>Inputs!$D96*(1+('Projections-BASE'!AA$9-1)*Inputs!$D$94)</f>
        <v>4240</v>
      </c>
      <c r="AB52" s="67">
        <f>Inputs!$D96*(1+('Projections-BASE'!AB$9-1)*Inputs!$D$94)</f>
        <v>4240</v>
      </c>
      <c r="AC52" s="67">
        <f>Inputs!$D96*(1+('Projections-BASE'!AC$9-1)*Inputs!$D$94)</f>
        <v>4240</v>
      </c>
      <c r="AD52" s="67">
        <f>Inputs!$D96*(1+('Projections-BASE'!AD$9-1)*Inputs!$D$94)</f>
        <v>4240</v>
      </c>
      <c r="AE52" s="67">
        <f>Inputs!$D96*(1+('Projections-BASE'!AE$9-1)*Inputs!$D$94)</f>
        <v>4240</v>
      </c>
      <c r="AF52" s="67">
        <f>Inputs!$D96*(1+('Projections-BASE'!AF$9-1)*Inputs!$D$94)</f>
        <v>4240</v>
      </c>
      <c r="AG52" s="67">
        <f>Inputs!$D96*(1+('Projections-BASE'!AG$9-1)*Inputs!$D$94)</f>
        <v>4240</v>
      </c>
      <c r="AH52" s="67">
        <f>Inputs!$D96*(1+('Projections-BASE'!AH$9-1)*Inputs!$D$94)</f>
        <v>4240</v>
      </c>
      <c r="AI52" s="67">
        <f>Inputs!$D96*(1+('Projections-BASE'!AI$9-1)*Inputs!$D$94)</f>
        <v>4240</v>
      </c>
      <c r="AJ52" s="67">
        <f>Inputs!$D96*(1+('Projections-BASE'!AJ$9-1)*Inputs!$D$94)</f>
        <v>4240</v>
      </c>
      <c r="AK52" s="67">
        <f>Inputs!$D96*(1+('Projections-BASE'!AK$9-1)*Inputs!$D$94)</f>
        <v>4240</v>
      </c>
      <c r="AL52" s="67">
        <f>Inputs!$D96*(1+('Projections-BASE'!AL$9-1)*Inputs!$D$94)</f>
        <v>4240</v>
      </c>
      <c r="AM52" s="67">
        <f>Inputs!$D96*(1+('Projections-BASE'!AM$9-1)*Inputs!$D$94)</f>
        <v>4360</v>
      </c>
      <c r="AN52" s="67">
        <f>Inputs!$D96*(1+('Projections-BASE'!AN$9-1)*Inputs!$D$94)</f>
        <v>4360</v>
      </c>
    </row>
    <row r="53" spans="1:40" s="16" customFormat="1">
      <c r="A53" s="1"/>
      <c r="B53" s="1"/>
      <c r="C53" s="34" t="str">
        <f>Inputs!C97</f>
        <v>&lt;Indirect Labor Individual #3 Monthly Salary, CY 1&gt;</v>
      </c>
      <c r="D53" s="15"/>
      <c r="E53" s="67">
        <f>Inputs!$D97*(1+('Projections-BASE'!E$9-1)*Inputs!$D$94)</f>
        <v>0</v>
      </c>
      <c r="F53" s="67">
        <f>Inputs!$D97*(1+('Projections-BASE'!F$9-1)*Inputs!$D$94)</f>
        <v>0</v>
      </c>
      <c r="G53" s="67">
        <f>Inputs!$D97*(1+('Projections-BASE'!G$9-1)*Inputs!$D$94)</f>
        <v>0</v>
      </c>
      <c r="H53" s="67">
        <f>Inputs!$D97*(1+('Projections-BASE'!H$9-1)*Inputs!$D$94)</f>
        <v>0</v>
      </c>
      <c r="I53" s="67">
        <f>Inputs!$D97*(1+('Projections-BASE'!I$9-1)*Inputs!$D$94)</f>
        <v>0</v>
      </c>
      <c r="J53" s="67">
        <f>Inputs!$D97*(1+('Projections-BASE'!J$9-1)*Inputs!$D$94)</f>
        <v>0</v>
      </c>
      <c r="K53" s="67">
        <f>Inputs!$D97*(1+('Projections-BASE'!K$9-1)*Inputs!$D$94)</f>
        <v>0</v>
      </c>
      <c r="L53" s="67">
        <f>Inputs!$D97*(1+('Projections-BASE'!L$9-1)*Inputs!$D$94)</f>
        <v>0</v>
      </c>
      <c r="M53" s="67">
        <f>Inputs!$D97*(1+('Projections-BASE'!M$9-1)*Inputs!$D$94)</f>
        <v>0</v>
      </c>
      <c r="N53" s="67">
        <f>Inputs!$D97*(1+('Projections-BASE'!N$9-1)*Inputs!$D$94)</f>
        <v>0</v>
      </c>
      <c r="O53" s="67">
        <f>Inputs!$D97*(1+('Projections-BASE'!O$9-1)*Inputs!$D$94)</f>
        <v>0</v>
      </c>
      <c r="P53" s="67">
        <f>Inputs!$D97*(1+('Projections-BASE'!P$9-1)*Inputs!$D$94)</f>
        <v>0</v>
      </c>
      <c r="Q53" s="67">
        <f>Inputs!$D97*(1+('Projections-BASE'!Q$9-1)*Inputs!$D$94)</f>
        <v>0</v>
      </c>
      <c r="R53" s="67">
        <f>Inputs!$D97*(1+('Projections-BASE'!R$9-1)*Inputs!$D$94)</f>
        <v>0</v>
      </c>
      <c r="S53" s="67">
        <f>Inputs!$D97*(1+('Projections-BASE'!S$9-1)*Inputs!$D$94)</f>
        <v>0</v>
      </c>
      <c r="T53" s="67">
        <f>Inputs!$D97*(1+('Projections-BASE'!T$9-1)*Inputs!$D$94)</f>
        <v>0</v>
      </c>
      <c r="U53" s="67">
        <f>Inputs!$D97*(1+('Projections-BASE'!U$9-1)*Inputs!$D$94)</f>
        <v>0</v>
      </c>
      <c r="V53" s="67">
        <f>Inputs!$D97*(1+('Projections-BASE'!V$9-1)*Inputs!$D$94)</f>
        <v>0</v>
      </c>
      <c r="W53" s="67">
        <f>Inputs!$D97*(1+('Projections-BASE'!W$9-1)*Inputs!$D$94)</f>
        <v>0</v>
      </c>
      <c r="X53" s="67">
        <f>Inputs!$D97*(1+('Projections-BASE'!X$9-1)*Inputs!$D$94)</f>
        <v>0</v>
      </c>
      <c r="Y53" s="67">
        <f>Inputs!$D97*(1+('Projections-BASE'!Y$9-1)*Inputs!$D$94)</f>
        <v>0</v>
      </c>
      <c r="Z53" s="67">
        <f>Inputs!$D97*(1+('Projections-BASE'!Z$9-1)*Inputs!$D$94)</f>
        <v>0</v>
      </c>
      <c r="AA53" s="67">
        <f>Inputs!$D97*(1+('Projections-BASE'!AA$9-1)*Inputs!$D$94)</f>
        <v>0</v>
      </c>
      <c r="AB53" s="67">
        <f>Inputs!$D97*(1+('Projections-BASE'!AB$9-1)*Inputs!$D$94)</f>
        <v>0</v>
      </c>
      <c r="AC53" s="67">
        <f>Inputs!$D97*(1+('Projections-BASE'!AC$9-1)*Inputs!$D$94)</f>
        <v>0</v>
      </c>
      <c r="AD53" s="67">
        <f>Inputs!$D97*(1+('Projections-BASE'!AD$9-1)*Inputs!$D$94)</f>
        <v>0</v>
      </c>
      <c r="AE53" s="67">
        <f>Inputs!$D97*(1+('Projections-BASE'!AE$9-1)*Inputs!$D$94)</f>
        <v>0</v>
      </c>
      <c r="AF53" s="67">
        <f>Inputs!$D97*(1+('Projections-BASE'!AF$9-1)*Inputs!$D$94)</f>
        <v>0</v>
      </c>
      <c r="AG53" s="67">
        <f>Inputs!$D97*(1+('Projections-BASE'!AG$9-1)*Inputs!$D$94)</f>
        <v>0</v>
      </c>
      <c r="AH53" s="67">
        <f>Inputs!$D97*(1+('Projections-BASE'!AH$9-1)*Inputs!$D$94)</f>
        <v>0</v>
      </c>
      <c r="AI53" s="67">
        <f>Inputs!$D97*(1+('Projections-BASE'!AI$9-1)*Inputs!$D$94)</f>
        <v>0</v>
      </c>
      <c r="AJ53" s="67">
        <f>Inputs!$D97*(1+('Projections-BASE'!AJ$9-1)*Inputs!$D$94)</f>
        <v>0</v>
      </c>
      <c r="AK53" s="67">
        <f>Inputs!$D97*(1+('Projections-BASE'!AK$9-1)*Inputs!$D$94)</f>
        <v>0</v>
      </c>
      <c r="AL53" s="67">
        <f>Inputs!$D97*(1+('Projections-BASE'!AL$9-1)*Inputs!$D$94)</f>
        <v>0</v>
      </c>
      <c r="AM53" s="67">
        <f>Inputs!$D97*(1+('Projections-BASE'!AM$9-1)*Inputs!$D$94)</f>
        <v>0</v>
      </c>
      <c r="AN53" s="67">
        <f>Inputs!$D97*(1+('Projections-BASE'!AN$9-1)*Inputs!$D$94)</f>
        <v>0</v>
      </c>
    </row>
    <row r="54" spans="1:40" s="16" customFormat="1">
      <c r="A54" s="1"/>
      <c r="B54" s="1"/>
      <c r="C54" s="34" t="str">
        <f>Inputs!C98</f>
        <v>&lt;Indirect Labor Individual #4 Monthly Salary, CY 1&gt;</v>
      </c>
      <c r="D54" s="15"/>
      <c r="E54" s="67">
        <f>Inputs!$D98*(1+('Projections-BASE'!E$9-1)*Inputs!$D$94)</f>
        <v>0</v>
      </c>
      <c r="F54" s="67">
        <f>Inputs!$D98*(1+('Projections-BASE'!F$9-1)*Inputs!$D$94)</f>
        <v>0</v>
      </c>
      <c r="G54" s="67">
        <f>Inputs!$D98*(1+('Projections-BASE'!G$9-1)*Inputs!$D$94)</f>
        <v>0</v>
      </c>
      <c r="H54" s="67">
        <f>Inputs!$D98*(1+('Projections-BASE'!H$9-1)*Inputs!$D$94)</f>
        <v>0</v>
      </c>
      <c r="I54" s="67">
        <f>Inputs!$D98*(1+('Projections-BASE'!I$9-1)*Inputs!$D$94)</f>
        <v>0</v>
      </c>
      <c r="J54" s="67">
        <f>Inputs!$D98*(1+('Projections-BASE'!J$9-1)*Inputs!$D$94)</f>
        <v>0</v>
      </c>
      <c r="K54" s="67">
        <f>Inputs!$D98*(1+('Projections-BASE'!K$9-1)*Inputs!$D$94)</f>
        <v>0</v>
      </c>
      <c r="L54" s="67">
        <f>Inputs!$D98*(1+('Projections-BASE'!L$9-1)*Inputs!$D$94)</f>
        <v>0</v>
      </c>
      <c r="M54" s="67">
        <f>Inputs!$D98*(1+('Projections-BASE'!M$9-1)*Inputs!$D$94)</f>
        <v>0</v>
      </c>
      <c r="N54" s="67">
        <f>Inputs!$D98*(1+('Projections-BASE'!N$9-1)*Inputs!$D$94)</f>
        <v>0</v>
      </c>
      <c r="O54" s="67">
        <f>Inputs!$D98*(1+('Projections-BASE'!O$9-1)*Inputs!$D$94)</f>
        <v>0</v>
      </c>
      <c r="P54" s="67">
        <f>Inputs!$D98*(1+('Projections-BASE'!P$9-1)*Inputs!$D$94)</f>
        <v>0</v>
      </c>
      <c r="Q54" s="67">
        <f>Inputs!$D98*(1+('Projections-BASE'!Q$9-1)*Inputs!$D$94)</f>
        <v>0</v>
      </c>
      <c r="R54" s="67">
        <f>Inputs!$D98*(1+('Projections-BASE'!R$9-1)*Inputs!$D$94)</f>
        <v>0</v>
      </c>
      <c r="S54" s="67">
        <f>Inputs!$D98*(1+('Projections-BASE'!S$9-1)*Inputs!$D$94)</f>
        <v>0</v>
      </c>
      <c r="T54" s="67">
        <f>Inputs!$D98*(1+('Projections-BASE'!T$9-1)*Inputs!$D$94)</f>
        <v>0</v>
      </c>
      <c r="U54" s="67">
        <f>Inputs!$D98*(1+('Projections-BASE'!U$9-1)*Inputs!$D$94)</f>
        <v>0</v>
      </c>
      <c r="V54" s="67">
        <f>Inputs!$D98*(1+('Projections-BASE'!V$9-1)*Inputs!$D$94)</f>
        <v>0</v>
      </c>
      <c r="W54" s="67">
        <f>Inputs!$D98*(1+('Projections-BASE'!W$9-1)*Inputs!$D$94)</f>
        <v>0</v>
      </c>
      <c r="X54" s="67">
        <f>Inputs!$D98*(1+('Projections-BASE'!X$9-1)*Inputs!$D$94)</f>
        <v>0</v>
      </c>
      <c r="Y54" s="67">
        <f>Inputs!$D98*(1+('Projections-BASE'!Y$9-1)*Inputs!$D$94)</f>
        <v>0</v>
      </c>
      <c r="Z54" s="67">
        <f>Inputs!$D98*(1+('Projections-BASE'!Z$9-1)*Inputs!$D$94)</f>
        <v>0</v>
      </c>
      <c r="AA54" s="67">
        <f>Inputs!$D98*(1+('Projections-BASE'!AA$9-1)*Inputs!$D$94)</f>
        <v>0</v>
      </c>
      <c r="AB54" s="67">
        <f>Inputs!$D98*(1+('Projections-BASE'!AB$9-1)*Inputs!$D$94)</f>
        <v>0</v>
      </c>
      <c r="AC54" s="67">
        <f>Inputs!$D98*(1+('Projections-BASE'!AC$9-1)*Inputs!$D$94)</f>
        <v>0</v>
      </c>
      <c r="AD54" s="67">
        <f>Inputs!$D98*(1+('Projections-BASE'!AD$9-1)*Inputs!$D$94)</f>
        <v>0</v>
      </c>
      <c r="AE54" s="67">
        <f>Inputs!$D98*(1+('Projections-BASE'!AE$9-1)*Inputs!$D$94)</f>
        <v>0</v>
      </c>
      <c r="AF54" s="67">
        <f>Inputs!$D98*(1+('Projections-BASE'!AF$9-1)*Inputs!$D$94)</f>
        <v>0</v>
      </c>
      <c r="AG54" s="67">
        <f>Inputs!$D98*(1+('Projections-BASE'!AG$9-1)*Inputs!$D$94)</f>
        <v>0</v>
      </c>
      <c r="AH54" s="67">
        <f>Inputs!$D98*(1+('Projections-BASE'!AH$9-1)*Inputs!$D$94)</f>
        <v>0</v>
      </c>
      <c r="AI54" s="67">
        <f>Inputs!$D98*(1+('Projections-BASE'!AI$9-1)*Inputs!$D$94)</f>
        <v>0</v>
      </c>
      <c r="AJ54" s="67">
        <f>Inputs!$D98*(1+('Projections-BASE'!AJ$9-1)*Inputs!$D$94)</f>
        <v>0</v>
      </c>
      <c r="AK54" s="67">
        <f>Inputs!$D98*(1+('Projections-BASE'!AK$9-1)*Inputs!$D$94)</f>
        <v>0</v>
      </c>
      <c r="AL54" s="67">
        <f>Inputs!$D98*(1+('Projections-BASE'!AL$9-1)*Inputs!$D$94)</f>
        <v>0</v>
      </c>
      <c r="AM54" s="67">
        <f>Inputs!$D98*(1+('Projections-BASE'!AM$9-1)*Inputs!$D$94)</f>
        <v>0</v>
      </c>
      <c r="AN54" s="67">
        <f>Inputs!$D98*(1+('Projections-BASE'!AN$9-1)*Inputs!$D$94)</f>
        <v>0</v>
      </c>
    </row>
    <row r="55" spans="1:40" s="16" customFormat="1">
      <c r="A55" s="1"/>
      <c r="B55" s="1"/>
      <c r="C55" s="34" t="str">
        <f>Inputs!C99</f>
        <v>&lt;Indirect Labor Individual #5 Monthly Salary, CY 1&gt;</v>
      </c>
      <c r="D55" s="15"/>
      <c r="E55" s="67">
        <f>Inputs!$D99*(1+('Projections-BASE'!E$9-1)*Inputs!$D$94)</f>
        <v>0</v>
      </c>
      <c r="F55" s="67">
        <f>Inputs!$D99*(1+('Projections-BASE'!F$9-1)*Inputs!$D$94)</f>
        <v>0</v>
      </c>
      <c r="G55" s="67">
        <f>Inputs!$D99*(1+('Projections-BASE'!G$9-1)*Inputs!$D$94)</f>
        <v>0</v>
      </c>
      <c r="H55" s="67">
        <f>Inputs!$D99*(1+('Projections-BASE'!H$9-1)*Inputs!$D$94)</f>
        <v>0</v>
      </c>
      <c r="I55" s="67">
        <f>Inputs!$D99*(1+('Projections-BASE'!I$9-1)*Inputs!$D$94)</f>
        <v>0</v>
      </c>
      <c r="J55" s="67">
        <f>Inputs!$D99*(1+('Projections-BASE'!J$9-1)*Inputs!$D$94)</f>
        <v>0</v>
      </c>
      <c r="K55" s="67">
        <f>Inputs!$D99*(1+('Projections-BASE'!K$9-1)*Inputs!$D$94)</f>
        <v>0</v>
      </c>
      <c r="L55" s="67">
        <f>Inputs!$D99*(1+('Projections-BASE'!L$9-1)*Inputs!$D$94)</f>
        <v>0</v>
      </c>
      <c r="M55" s="67">
        <f>Inputs!$D99*(1+('Projections-BASE'!M$9-1)*Inputs!$D$94)</f>
        <v>0</v>
      </c>
      <c r="N55" s="67">
        <f>Inputs!$D99*(1+('Projections-BASE'!N$9-1)*Inputs!$D$94)</f>
        <v>0</v>
      </c>
      <c r="O55" s="67">
        <f>Inputs!$D99*(1+('Projections-BASE'!O$9-1)*Inputs!$D$94)</f>
        <v>0</v>
      </c>
      <c r="P55" s="67">
        <f>Inputs!$D99*(1+('Projections-BASE'!P$9-1)*Inputs!$D$94)</f>
        <v>0</v>
      </c>
      <c r="Q55" s="67">
        <f>Inputs!$D99*(1+('Projections-BASE'!Q$9-1)*Inputs!$D$94)</f>
        <v>0</v>
      </c>
      <c r="R55" s="67">
        <f>Inputs!$D99*(1+('Projections-BASE'!R$9-1)*Inputs!$D$94)</f>
        <v>0</v>
      </c>
      <c r="S55" s="67">
        <f>Inputs!$D99*(1+('Projections-BASE'!S$9-1)*Inputs!$D$94)</f>
        <v>0</v>
      </c>
      <c r="T55" s="67">
        <f>Inputs!$D99*(1+('Projections-BASE'!T$9-1)*Inputs!$D$94)</f>
        <v>0</v>
      </c>
      <c r="U55" s="67">
        <f>Inputs!$D99*(1+('Projections-BASE'!U$9-1)*Inputs!$D$94)</f>
        <v>0</v>
      </c>
      <c r="V55" s="67">
        <f>Inputs!$D99*(1+('Projections-BASE'!V$9-1)*Inputs!$D$94)</f>
        <v>0</v>
      </c>
      <c r="W55" s="67">
        <f>Inputs!$D99*(1+('Projections-BASE'!W$9-1)*Inputs!$D$94)</f>
        <v>0</v>
      </c>
      <c r="X55" s="67">
        <f>Inputs!$D99*(1+('Projections-BASE'!X$9-1)*Inputs!$D$94)</f>
        <v>0</v>
      </c>
      <c r="Y55" s="67">
        <f>Inputs!$D99*(1+('Projections-BASE'!Y$9-1)*Inputs!$D$94)</f>
        <v>0</v>
      </c>
      <c r="Z55" s="67">
        <f>Inputs!$D99*(1+('Projections-BASE'!Z$9-1)*Inputs!$D$94)</f>
        <v>0</v>
      </c>
      <c r="AA55" s="67">
        <f>Inputs!$D99*(1+('Projections-BASE'!AA$9-1)*Inputs!$D$94)</f>
        <v>0</v>
      </c>
      <c r="AB55" s="67">
        <f>Inputs!$D99*(1+('Projections-BASE'!AB$9-1)*Inputs!$D$94)</f>
        <v>0</v>
      </c>
      <c r="AC55" s="67">
        <f>Inputs!$D99*(1+('Projections-BASE'!AC$9-1)*Inputs!$D$94)</f>
        <v>0</v>
      </c>
      <c r="AD55" s="67">
        <f>Inputs!$D99*(1+('Projections-BASE'!AD$9-1)*Inputs!$D$94)</f>
        <v>0</v>
      </c>
      <c r="AE55" s="67">
        <f>Inputs!$D99*(1+('Projections-BASE'!AE$9-1)*Inputs!$D$94)</f>
        <v>0</v>
      </c>
      <c r="AF55" s="67">
        <f>Inputs!$D99*(1+('Projections-BASE'!AF$9-1)*Inputs!$D$94)</f>
        <v>0</v>
      </c>
      <c r="AG55" s="67">
        <f>Inputs!$D99*(1+('Projections-BASE'!AG$9-1)*Inputs!$D$94)</f>
        <v>0</v>
      </c>
      <c r="AH55" s="67">
        <f>Inputs!$D99*(1+('Projections-BASE'!AH$9-1)*Inputs!$D$94)</f>
        <v>0</v>
      </c>
      <c r="AI55" s="67">
        <f>Inputs!$D99*(1+('Projections-BASE'!AI$9-1)*Inputs!$D$94)</f>
        <v>0</v>
      </c>
      <c r="AJ55" s="67">
        <f>Inputs!$D99*(1+('Projections-BASE'!AJ$9-1)*Inputs!$D$94)</f>
        <v>0</v>
      </c>
      <c r="AK55" s="67">
        <f>Inputs!$D99*(1+('Projections-BASE'!AK$9-1)*Inputs!$D$94)</f>
        <v>0</v>
      </c>
      <c r="AL55" s="67">
        <f>Inputs!$D99*(1+('Projections-BASE'!AL$9-1)*Inputs!$D$94)</f>
        <v>0</v>
      </c>
      <c r="AM55" s="67">
        <f>Inputs!$D99*(1+('Projections-BASE'!AM$9-1)*Inputs!$D$94)</f>
        <v>0</v>
      </c>
      <c r="AN55" s="67">
        <f>Inputs!$D99*(1+('Projections-BASE'!AN$9-1)*Inputs!$D$94)</f>
        <v>0</v>
      </c>
    </row>
    <row r="56" spans="1:40" s="16" customFormat="1">
      <c r="A56" s="1"/>
      <c r="B56" s="1"/>
      <c r="C56" s="34" t="str">
        <f>Inputs!C100</f>
        <v>&lt;Indirect Labor Individual #6 Monthly Salary, CY 1&gt;</v>
      </c>
      <c r="D56" s="15"/>
      <c r="E56" s="67">
        <f>Inputs!$D100*(1+('Projections-BASE'!E$9-1)*Inputs!$D$94)</f>
        <v>0</v>
      </c>
      <c r="F56" s="67">
        <f>Inputs!$D100*(1+('Projections-BASE'!F$9-1)*Inputs!$D$94)</f>
        <v>0</v>
      </c>
      <c r="G56" s="67">
        <f>Inputs!$D100*(1+('Projections-BASE'!G$9-1)*Inputs!$D$94)</f>
        <v>0</v>
      </c>
      <c r="H56" s="67">
        <f>Inputs!$D100*(1+('Projections-BASE'!H$9-1)*Inputs!$D$94)</f>
        <v>0</v>
      </c>
      <c r="I56" s="67">
        <f>Inputs!$D100*(1+('Projections-BASE'!I$9-1)*Inputs!$D$94)</f>
        <v>0</v>
      </c>
      <c r="J56" s="67">
        <f>Inputs!$D100*(1+('Projections-BASE'!J$9-1)*Inputs!$D$94)</f>
        <v>0</v>
      </c>
      <c r="K56" s="67">
        <f>Inputs!$D100*(1+('Projections-BASE'!K$9-1)*Inputs!$D$94)</f>
        <v>0</v>
      </c>
      <c r="L56" s="67">
        <f>Inputs!$D100*(1+('Projections-BASE'!L$9-1)*Inputs!$D$94)</f>
        <v>0</v>
      </c>
      <c r="M56" s="67">
        <f>Inputs!$D100*(1+('Projections-BASE'!M$9-1)*Inputs!$D$94)</f>
        <v>0</v>
      </c>
      <c r="N56" s="67">
        <f>Inputs!$D100*(1+('Projections-BASE'!N$9-1)*Inputs!$D$94)</f>
        <v>0</v>
      </c>
      <c r="O56" s="67">
        <f>Inputs!$D100*(1+('Projections-BASE'!O$9-1)*Inputs!$D$94)</f>
        <v>0</v>
      </c>
      <c r="P56" s="67">
        <f>Inputs!$D100*(1+('Projections-BASE'!P$9-1)*Inputs!$D$94)</f>
        <v>0</v>
      </c>
      <c r="Q56" s="67">
        <f>Inputs!$D100*(1+('Projections-BASE'!Q$9-1)*Inputs!$D$94)</f>
        <v>0</v>
      </c>
      <c r="R56" s="67">
        <f>Inputs!$D100*(1+('Projections-BASE'!R$9-1)*Inputs!$D$94)</f>
        <v>0</v>
      </c>
      <c r="S56" s="67">
        <f>Inputs!$D100*(1+('Projections-BASE'!S$9-1)*Inputs!$D$94)</f>
        <v>0</v>
      </c>
      <c r="T56" s="67">
        <f>Inputs!$D100*(1+('Projections-BASE'!T$9-1)*Inputs!$D$94)</f>
        <v>0</v>
      </c>
      <c r="U56" s="67">
        <f>Inputs!$D100*(1+('Projections-BASE'!U$9-1)*Inputs!$D$94)</f>
        <v>0</v>
      </c>
      <c r="V56" s="67">
        <f>Inputs!$D100*(1+('Projections-BASE'!V$9-1)*Inputs!$D$94)</f>
        <v>0</v>
      </c>
      <c r="W56" s="67">
        <f>Inputs!$D100*(1+('Projections-BASE'!W$9-1)*Inputs!$D$94)</f>
        <v>0</v>
      </c>
      <c r="X56" s="67">
        <f>Inputs!$D100*(1+('Projections-BASE'!X$9-1)*Inputs!$D$94)</f>
        <v>0</v>
      </c>
      <c r="Y56" s="67">
        <f>Inputs!$D100*(1+('Projections-BASE'!Y$9-1)*Inputs!$D$94)</f>
        <v>0</v>
      </c>
      <c r="Z56" s="67">
        <f>Inputs!$D100*(1+('Projections-BASE'!Z$9-1)*Inputs!$D$94)</f>
        <v>0</v>
      </c>
      <c r="AA56" s="67">
        <f>Inputs!$D100*(1+('Projections-BASE'!AA$9-1)*Inputs!$D$94)</f>
        <v>0</v>
      </c>
      <c r="AB56" s="67">
        <f>Inputs!$D100*(1+('Projections-BASE'!AB$9-1)*Inputs!$D$94)</f>
        <v>0</v>
      </c>
      <c r="AC56" s="67">
        <f>Inputs!$D100*(1+('Projections-BASE'!AC$9-1)*Inputs!$D$94)</f>
        <v>0</v>
      </c>
      <c r="AD56" s="67">
        <f>Inputs!$D100*(1+('Projections-BASE'!AD$9-1)*Inputs!$D$94)</f>
        <v>0</v>
      </c>
      <c r="AE56" s="67">
        <f>Inputs!$D100*(1+('Projections-BASE'!AE$9-1)*Inputs!$D$94)</f>
        <v>0</v>
      </c>
      <c r="AF56" s="67">
        <f>Inputs!$D100*(1+('Projections-BASE'!AF$9-1)*Inputs!$D$94)</f>
        <v>0</v>
      </c>
      <c r="AG56" s="67">
        <f>Inputs!$D100*(1+('Projections-BASE'!AG$9-1)*Inputs!$D$94)</f>
        <v>0</v>
      </c>
      <c r="AH56" s="67">
        <f>Inputs!$D100*(1+('Projections-BASE'!AH$9-1)*Inputs!$D$94)</f>
        <v>0</v>
      </c>
      <c r="AI56" s="67">
        <f>Inputs!$D100*(1+('Projections-BASE'!AI$9-1)*Inputs!$D$94)</f>
        <v>0</v>
      </c>
      <c r="AJ56" s="67">
        <f>Inputs!$D100*(1+('Projections-BASE'!AJ$9-1)*Inputs!$D$94)</f>
        <v>0</v>
      </c>
      <c r="AK56" s="67">
        <f>Inputs!$D100*(1+('Projections-BASE'!AK$9-1)*Inputs!$D$94)</f>
        <v>0</v>
      </c>
      <c r="AL56" s="67">
        <f>Inputs!$D100*(1+('Projections-BASE'!AL$9-1)*Inputs!$D$94)</f>
        <v>0</v>
      </c>
      <c r="AM56" s="67">
        <f>Inputs!$D100*(1+('Projections-BASE'!AM$9-1)*Inputs!$D$94)</f>
        <v>0</v>
      </c>
      <c r="AN56" s="67">
        <f>Inputs!$D100*(1+('Projections-BASE'!AN$9-1)*Inputs!$D$94)</f>
        <v>0</v>
      </c>
    </row>
    <row r="57" spans="1:40" s="16" customFormat="1">
      <c r="A57" s="1"/>
      <c r="B57" s="1"/>
      <c r="C57" s="34" t="str">
        <f>Inputs!C101</f>
        <v>&lt;Indirect Labor Individual #7 Monthly Salary, CY 1&gt;</v>
      </c>
      <c r="D57" s="15"/>
      <c r="E57" s="67">
        <f>Inputs!$D101*(1+('Projections-BASE'!E$9-1)*Inputs!$D$94)</f>
        <v>0</v>
      </c>
      <c r="F57" s="67">
        <f>Inputs!$D101*(1+('Projections-BASE'!F$9-1)*Inputs!$D$94)</f>
        <v>0</v>
      </c>
      <c r="G57" s="67">
        <f>Inputs!$D101*(1+('Projections-BASE'!G$9-1)*Inputs!$D$94)</f>
        <v>0</v>
      </c>
      <c r="H57" s="67">
        <f>Inputs!$D101*(1+('Projections-BASE'!H$9-1)*Inputs!$D$94)</f>
        <v>0</v>
      </c>
      <c r="I57" s="67">
        <f>Inputs!$D101*(1+('Projections-BASE'!I$9-1)*Inputs!$D$94)</f>
        <v>0</v>
      </c>
      <c r="J57" s="67">
        <f>Inputs!$D101*(1+('Projections-BASE'!J$9-1)*Inputs!$D$94)</f>
        <v>0</v>
      </c>
      <c r="K57" s="67">
        <f>Inputs!$D101*(1+('Projections-BASE'!K$9-1)*Inputs!$D$94)</f>
        <v>0</v>
      </c>
      <c r="L57" s="67">
        <f>Inputs!$D101*(1+('Projections-BASE'!L$9-1)*Inputs!$D$94)</f>
        <v>0</v>
      </c>
      <c r="M57" s="67">
        <f>Inputs!$D101*(1+('Projections-BASE'!M$9-1)*Inputs!$D$94)</f>
        <v>0</v>
      </c>
      <c r="N57" s="67">
        <f>Inputs!$D101*(1+('Projections-BASE'!N$9-1)*Inputs!$D$94)</f>
        <v>0</v>
      </c>
      <c r="O57" s="67">
        <f>Inputs!$D101*(1+('Projections-BASE'!O$9-1)*Inputs!$D$94)</f>
        <v>0</v>
      </c>
      <c r="P57" s="67">
        <f>Inputs!$D101*(1+('Projections-BASE'!P$9-1)*Inputs!$D$94)</f>
        <v>0</v>
      </c>
      <c r="Q57" s="67">
        <f>Inputs!$D101*(1+('Projections-BASE'!Q$9-1)*Inputs!$D$94)</f>
        <v>0</v>
      </c>
      <c r="R57" s="67">
        <f>Inputs!$D101*(1+('Projections-BASE'!R$9-1)*Inputs!$D$94)</f>
        <v>0</v>
      </c>
      <c r="S57" s="67">
        <f>Inputs!$D101*(1+('Projections-BASE'!S$9-1)*Inputs!$D$94)</f>
        <v>0</v>
      </c>
      <c r="T57" s="67">
        <f>Inputs!$D101*(1+('Projections-BASE'!T$9-1)*Inputs!$D$94)</f>
        <v>0</v>
      </c>
      <c r="U57" s="67">
        <f>Inputs!$D101*(1+('Projections-BASE'!U$9-1)*Inputs!$D$94)</f>
        <v>0</v>
      </c>
      <c r="V57" s="67">
        <f>Inputs!$D101*(1+('Projections-BASE'!V$9-1)*Inputs!$D$94)</f>
        <v>0</v>
      </c>
      <c r="W57" s="67">
        <f>Inputs!$D101*(1+('Projections-BASE'!W$9-1)*Inputs!$D$94)</f>
        <v>0</v>
      </c>
      <c r="X57" s="67">
        <f>Inputs!$D101*(1+('Projections-BASE'!X$9-1)*Inputs!$D$94)</f>
        <v>0</v>
      </c>
      <c r="Y57" s="67">
        <f>Inputs!$D101*(1+('Projections-BASE'!Y$9-1)*Inputs!$D$94)</f>
        <v>0</v>
      </c>
      <c r="Z57" s="67">
        <f>Inputs!$D101*(1+('Projections-BASE'!Z$9-1)*Inputs!$D$94)</f>
        <v>0</v>
      </c>
      <c r="AA57" s="67">
        <f>Inputs!$D101*(1+('Projections-BASE'!AA$9-1)*Inputs!$D$94)</f>
        <v>0</v>
      </c>
      <c r="AB57" s="67">
        <f>Inputs!$D101*(1+('Projections-BASE'!AB$9-1)*Inputs!$D$94)</f>
        <v>0</v>
      </c>
      <c r="AC57" s="67">
        <f>Inputs!$D101*(1+('Projections-BASE'!AC$9-1)*Inputs!$D$94)</f>
        <v>0</v>
      </c>
      <c r="AD57" s="67">
        <f>Inputs!$D101*(1+('Projections-BASE'!AD$9-1)*Inputs!$D$94)</f>
        <v>0</v>
      </c>
      <c r="AE57" s="67">
        <f>Inputs!$D101*(1+('Projections-BASE'!AE$9-1)*Inputs!$D$94)</f>
        <v>0</v>
      </c>
      <c r="AF57" s="67">
        <f>Inputs!$D101*(1+('Projections-BASE'!AF$9-1)*Inputs!$D$94)</f>
        <v>0</v>
      </c>
      <c r="AG57" s="67">
        <f>Inputs!$D101*(1+('Projections-BASE'!AG$9-1)*Inputs!$D$94)</f>
        <v>0</v>
      </c>
      <c r="AH57" s="67">
        <f>Inputs!$D101*(1+('Projections-BASE'!AH$9-1)*Inputs!$D$94)</f>
        <v>0</v>
      </c>
      <c r="AI57" s="67">
        <f>Inputs!$D101*(1+('Projections-BASE'!AI$9-1)*Inputs!$D$94)</f>
        <v>0</v>
      </c>
      <c r="AJ57" s="67">
        <f>Inputs!$D101*(1+('Projections-BASE'!AJ$9-1)*Inputs!$D$94)</f>
        <v>0</v>
      </c>
      <c r="AK57" s="67">
        <f>Inputs!$D101*(1+('Projections-BASE'!AK$9-1)*Inputs!$D$94)</f>
        <v>0</v>
      </c>
      <c r="AL57" s="67">
        <f>Inputs!$D101*(1+('Projections-BASE'!AL$9-1)*Inputs!$D$94)</f>
        <v>0</v>
      </c>
      <c r="AM57" s="67">
        <f>Inputs!$D101*(1+('Projections-BASE'!AM$9-1)*Inputs!$D$94)</f>
        <v>0</v>
      </c>
      <c r="AN57" s="67">
        <f>Inputs!$D101*(1+('Projections-BASE'!AN$9-1)*Inputs!$D$94)</f>
        <v>0</v>
      </c>
    </row>
    <row r="58" spans="1:40" s="16" customFormat="1">
      <c r="A58" s="1"/>
      <c r="B58" s="1"/>
      <c r="C58" s="34" t="str">
        <f>Inputs!C102</f>
        <v>&lt;Indirect Labor Individual #8 Monthly Salary, CY 1&gt;</v>
      </c>
      <c r="D58" s="15"/>
      <c r="E58" s="67">
        <f>Inputs!$D102*(1+('Projections-BASE'!E$9-1)*Inputs!$D$94)</f>
        <v>0</v>
      </c>
      <c r="F58" s="67">
        <f>Inputs!$D102*(1+('Projections-BASE'!F$9-1)*Inputs!$D$94)</f>
        <v>0</v>
      </c>
      <c r="G58" s="67">
        <f>Inputs!$D102*(1+('Projections-BASE'!G$9-1)*Inputs!$D$94)</f>
        <v>0</v>
      </c>
      <c r="H58" s="67">
        <f>Inputs!$D102*(1+('Projections-BASE'!H$9-1)*Inputs!$D$94)</f>
        <v>0</v>
      </c>
      <c r="I58" s="67">
        <f>Inputs!$D102*(1+('Projections-BASE'!I$9-1)*Inputs!$D$94)</f>
        <v>0</v>
      </c>
      <c r="J58" s="67">
        <f>Inputs!$D102*(1+('Projections-BASE'!J$9-1)*Inputs!$D$94)</f>
        <v>0</v>
      </c>
      <c r="K58" s="67">
        <f>Inputs!$D102*(1+('Projections-BASE'!K$9-1)*Inputs!$D$94)</f>
        <v>0</v>
      </c>
      <c r="L58" s="67">
        <f>Inputs!$D102*(1+('Projections-BASE'!L$9-1)*Inputs!$D$94)</f>
        <v>0</v>
      </c>
      <c r="M58" s="67">
        <f>Inputs!$D102*(1+('Projections-BASE'!M$9-1)*Inputs!$D$94)</f>
        <v>0</v>
      </c>
      <c r="N58" s="67">
        <f>Inputs!$D102*(1+('Projections-BASE'!N$9-1)*Inputs!$D$94)</f>
        <v>0</v>
      </c>
      <c r="O58" s="67">
        <f>Inputs!$D102*(1+('Projections-BASE'!O$9-1)*Inputs!$D$94)</f>
        <v>0</v>
      </c>
      <c r="P58" s="67">
        <f>Inputs!$D102*(1+('Projections-BASE'!P$9-1)*Inputs!$D$94)</f>
        <v>0</v>
      </c>
      <c r="Q58" s="67">
        <f>Inputs!$D102*(1+('Projections-BASE'!Q$9-1)*Inputs!$D$94)</f>
        <v>0</v>
      </c>
      <c r="R58" s="67">
        <f>Inputs!$D102*(1+('Projections-BASE'!R$9-1)*Inputs!$D$94)</f>
        <v>0</v>
      </c>
      <c r="S58" s="67">
        <f>Inputs!$D102*(1+('Projections-BASE'!S$9-1)*Inputs!$D$94)</f>
        <v>0</v>
      </c>
      <c r="T58" s="67">
        <f>Inputs!$D102*(1+('Projections-BASE'!T$9-1)*Inputs!$D$94)</f>
        <v>0</v>
      </c>
      <c r="U58" s="67">
        <f>Inputs!$D102*(1+('Projections-BASE'!U$9-1)*Inputs!$D$94)</f>
        <v>0</v>
      </c>
      <c r="V58" s="67">
        <f>Inputs!$D102*(1+('Projections-BASE'!V$9-1)*Inputs!$D$94)</f>
        <v>0</v>
      </c>
      <c r="W58" s="67">
        <f>Inputs!$D102*(1+('Projections-BASE'!W$9-1)*Inputs!$D$94)</f>
        <v>0</v>
      </c>
      <c r="X58" s="67">
        <f>Inputs!$D102*(1+('Projections-BASE'!X$9-1)*Inputs!$D$94)</f>
        <v>0</v>
      </c>
      <c r="Y58" s="67">
        <f>Inputs!$D102*(1+('Projections-BASE'!Y$9-1)*Inputs!$D$94)</f>
        <v>0</v>
      </c>
      <c r="Z58" s="67">
        <f>Inputs!$D102*(1+('Projections-BASE'!Z$9-1)*Inputs!$D$94)</f>
        <v>0</v>
      </c>
      <c r="AA58" s="67">
        <f>Inputs!$D102*(1+('Projections-BASE'!AA$9-1)*Inputs!$D$94)</f>
        <v>0</v>
      </c>
      <c r="AB58" s="67">
        <f>Inputs!$D102*(1+('Projections-BASE'!AB$9-1)*Inputs!$D$94)</f>
        <v>0</v>
      </c>
      <c r="AC58" s="67">
        <f>Inputs!$D102*(1+('Projections-BASE'!AC$9-1)*Inputs!$D$94)</f>
        <v>0</v>
      </c>
      <c r="AD58" s="67">
        <f>Inputs!$D102*(1+('Projections-BASE'!AD$9-1)*Inputs!$D$94)</f>
        <v>0</v>
      </c>
      <c r="AE58" s="67">
        <f>Inputs!$D102*(1+('Projections-BASE'!AE$9-1)*Inputs!$D$94)</f>
        <v>0</v>
      </c>
      <c r="AF58" s="67">
        <f>Inputs!$D102*(1+('Projections-BASE'!AF$9-1)*Inputs!$D$94)</f>
        <v>0</v>
      </c>
      <c r="AG58" s="67">
        <f>Inputs!$D102*(1+('Projections-BASE'!AG$9-1)*Inputs!$D$94)</f>
        <v>0</v>
      </c>
      <c r="AH58" s="67">
        <f>Inputs!$D102*(1+('Projections-BASE'!AH$9-1)*Inputs!$D$94)</f>
        <v>0</v>
      </c>
      <c r="AI58" s="67">
        <f>Inputs!$D102*(1+('Projections-BASE'!AI$9-1)*Inputs!$D$94)</f>
        <v>0</v>
      </c>
      <c r="AJ58" s="67">
        <f>Inputs!$D102*(1+('Projections-BASE'!AJ$9-1)*Inputs!$D$94)</f>
        <v>0</v>
      </c>
      <c r="AK58" s="67">
        <f>Inputs!$D102*(1+('Projections-BASE'!AK$9-1)*Inputs!$D$94)</f>
        <v>0</v>
      </c>
      <c r="AL58" s="67">
        <f>Inputs!$D102*(1+('Projections-BASE'!AL$9-1)*Inputs!$D$94)</f>
        <v>0</v>
      </c>
      <c r="AM58" s="67">
        <f>Inputs!$D102*(1+('Projections-BASE'!AM$9-1)*Inputs!$D$94)</f>
        <v>0</v>
      </c>
      <c r="AN58" s="67">
        <f>Inputs!$D102*(1+('Projections-BASE'!AN$9-1)*Inputs!$D$94)</f>
        <v>0</v>
      </c>
    </row>
    <row r="59" spans="1:40" s="16" customFormat="1">
      <c r="A59" s="1"/>
      <c r="B59" s="1"/>
      <c r="C59" s="34" t="str">
        <f>Inputs!C103</f>
        <v>&lt;Indirect Labor Individual #9 Monthly Salary, CY 1&gt;</v>
      </c>
      <c r="D59" s="15"/>
      <c r="E59" s="67">
        <f>Inputs!$D103*(1+('Projections-BASE'!E$9-1)*Inputs!$D$94)</f>
        <v>0</v>
      </c>
      <c r="F59" s="67">
        <f>Inputs!$D103*(1+('Projections-BASE'!F$9-1)*Inputs!$D$94)</f>
        <v>0</v>
      </c>
      <c r="G59" s="67">
        <f>Inputs!$D103*(1+('Projections-BASE'!G$9-1)*Inputs!$D$94)</f>
        <v>0</v>
      </c>
      <c r="H59" s="67">
        <f>Inputs!$D103*(1+('Projections-BASE'!H$9-1)*Inputs!$D$94)</f>
        <v>0</v>
      </c>
      <c r="I59" s="67">
        <f>Inputs!$D103*(1+('Projections-BASE'!I$9-1)*Inputs!$D$94)</f>
        <v>0</v>
      </c>
      <c r="J59" s="67">
        <f>Inputs!$D103*(1+('Projections-BASE'!J$9-1)*Inputs!$D$94)</f>
        <v>0</v>
      </c>
      <c r="K59" s="67">
        <f>Inputs!$D103*(1+('Projections-BASE'!K$9-1)*Inputs!$D$94)</f>
        <v>0</v>
      </c>
      <c r="L59" s="67">
        <f>Inputs!$D103*(1+('Projections-BASE'!L$9-1)*Inputs!$D$94)</f>
        <v>0</v>
      </c>
      <c r="M59" s="67">
        <f>Inputs!$D103*(1+('Projections-BASE'!M$9-1)*Inputs!$D$94)</f>
        <v>0</v>
      </c>
      <c r="N59" s="67">
        <f>Inputs!$D103*(1+('Projections-BASE'!N$9-1)*Inputs!$D$94)</f>
        <v>0</v>
      </c>
      <c r="O59" s="67">
        <f>Inputs!$D103*(1+('Projections-BASE'!O$9-1)*Inputs!$D$94)</f>
        <v>0</v>
      </c>
      <c r="P59" s="67">
        <f>Inputs!$D103*(1+('Projections-BASE'!P$9-1)*Inputs!$D$94)</f>
        <v>0</v>
      </c>
      <c r="Q59" s="67">
        <f>Inputs!$D103*(1+('Projections-BASE'!Q$9-1)*Inputs!$D$94)</f>
        <v>0</v>
      </c>
      <c r="R59" s="67">
        <f>Inputs!$D103*(1+('Projections-BASE'!R$9-1)*Inputs!$D$94)</f>
        <v>0</v>
      </c>
      <c r="S59" s="67">
        <f>Inputs!$D103*(1+('Projections-BASE'!S$9-1)*Inputs!$D$94)</f>
        <v>0</v>
      </c>
      <c r="T59" s="67">
        <f>Inputs!$D103*(1+('Projections-BASE'!T$9-1)*Inputs!$D$94)</f>
        <v>0</v>
      </c>
      <c r="U59" s="67">
        <f>Inputs!$D103*(1+('Projections-BASE'!U$9-1)*Inputs!$D$94)</f>
        <v>0</v>
      </c>
      <c r="V59" s="67">
        <f>Inputs!$D103*(1+('Projections-BASE'!V$9-1)*Inputs!$D$94)</f>
        <v>0</v>
      </c>
      <c r="W59" s="67">
        <f>Inputs!$D103*(1+('Projections-BASE'!W$9-1)*Inputs!$D$94)</f>
        <v>0</v>
      </c>
      <c r="X59" s="67">
        <f>Inputs!$D103*(1+('Projections-BASE'!X$9-1)*Inputs!$D$94)</f>
        <v>0</v>
      </c>
      <c r="Y59" s="67">
        <f>Inputs!$D103*(1+('Projections-BASE'!Y$9-1)*Inputs!$D$94)</f>
        <v>0</v>
      </c>
      <c r="Z59" s="67">
        <f>Inputs!$D103*(1+('Projections-BASE'!Z$9-1)*Inputs!$D$94)</f>
        <v>0</v>
      </c>
      <c r="AA59" s="67">
        <f>Inputs!$D103*(1+('Projections-BASE'!AA$9-1)*Inputs!$D$94)</f>
        <v>0</v>
      </c>
      <c r="AB59" s="67">
        <f>Inputs!$D103*(1+('Projections-BASE'!AB$9-1)*Inputs!$D$94)</f>
        <v>0</v>
      </c>
      <c r="AC59" s="67">
        <f>Inputs!$D103*(1+('Projections-BASE'!AC$9-1)*Inputs!$D$94)</f>
        <v>0</v>
      </c>
      <c r="AD59" s="67">
        <f>Inputs!$D103*(1+('Projections-BASE'!AD$9-1)*Inputs!$D$94)</f>
        <v>0</v>
      </c>
      <c r="AE59" s="67">
        <f>Inputs!$D103*(1+('Projections-BASE'!AE$9-1)*Inputs!$D$94)</f>
        <v>0</v>
      </c>
      <c r="AF59" s="67">
        <f>Inputs!$D103*(1+('Projections-BASE'!AF$9-1)*Inputs!$D$94)</f>
        <v>0</v>
      </c>
      <c r="AG59" s="67">
        <f>Inputs!$D103*(1+('Projections-BASE'!AG$9-1)*Inputs!$D$94)</f>
        <v>0</v>
      </c>
      <c r="AH59" s="67">
        <f>Inputs!$D103*(1+('Projections-BASE'!AH$9-1)*Inputs!$D$94)</f>
        <v>0</v>
      </c>
      <c r="AI59" s="67">
        <f>Inputs!$D103*(1+('Projections-BASE'!AI$9-1)*Inputs!$D$94)</f>
        <v>0</v>
      </c>
      <c r="AJ59" s="67">
        <f>Inputs!$D103*(1+('Projections-BASE'!AJ$9-1)*Inputs!$D$94)</f>
        <v>0</v>
      </c>
      <c r="AK59" s="67">
        <f>Inputs!$D103*(1+('Projections-BASE'!AK$9-1)*Inputs!$D$94)</f>
        <v>0</v>
      </c>
      <c r="AL59" s="67">
        <f>Inputs!$D103*(1+('Projections-BASE'!AL$9-1)*Inputs!$D$94)</f>
        <v>0</v>
      </c>
      <c r="AM59" s="67">
        <f>Inputs!$D103*(1+('Projections-BASE'!AM$9-1)*Inputs!$D$94)</f>
        <v>0</v>
      </c>
      <c r="AN59" s="67">
        <f>Inputs!$D103*(1+('Projections-BASE'!AN$9-1)*Inputs!$D$94)</f>
        <v>0</v>
      </c>
    </row>
    <row r="60" spans="1:40" s="16" customFormat="1">
      <c r="A60" s="1"/>
      <c r="B60" s="1"/>
      <c r="C60" s="34" t="s">
        <v>227</v>
      </c>
      <c r="D60" s="15"/>
      <c r="E60" s="67">
        <f>SUM(E51:E59)*Inputs!$D$93</f>
        <v>2700</v>
      </c>
      <c r="F60" s="67">
        <f>SUM(F51:F59)*Inputs!$D$93</f>
        <v>2700</v>
      </c>
      <c r="G60" s="67">
        <f>SUM(G51:G59)*Inputs!$D$93</f>
        <v>2700</v>
      </c>
      <c r="H60" s="67">
        <f>SUM(H51:H59)*Inputs!$D$93</f>
        <v>2700</v>
      </c>
      <c r="I60" s="67">
        <f>SUM(I51:I59)*Inputs!$D$93</f>
        <v>2700</v>
      </c>
      <c r="J60" s="67">
        <f>SUM(J51:J59)*Inputs!$D$93</f>
        <v>2700</v>
      </c>
      <c r="K60" s="67">
        <f>SUM(K51:K59)*Inputs!$D$93</f>
        <v>2700</v>
      </c>
      <c r="L60" s="67">
        <f>SUM(L51:L59)*Inputs!$D$93</f>
        <v>2700</v>
      </c>
      <c r="M60" s="67">
        <f>SUM(M51:M59)*Inputs!$D$93</f>
        <v>2700</v>
      </c>
      <c r="N60" s="67">
        <f>SUM(N51:N59)*Inputs!$D$93</f>
        <v>2700</v>
      </c>
      <c r="O60" s="67">
        <f>SUM(O51:O59)*Inputs!$D$93</f>
        <v>2781</v>
      </c>
      <c r="P60" s="67">
        <f>SUM(P51:P59)*Inputs!$D$93</f>
        <v>2781</v>
      </c>
      <c r="Q60" s="67">
        <f>SUM(Q51:Q59)*Inputs!$D$93</f>
        <v>2781</v>
      </c>
      <c r="R60" s="67">
        <f>SUM(R51:R59)*Inputs!$D$93</f>
        <v>2781</v>
      </c>
      <c r="S60" s="67">
        <f>SUM(S51:S59)*Inputs!$D$93</f>
        <v>2781</v>
      </c>
      <c r="T60" s="67">
        <f>SUM(T51:T59)*Inputs!$D$93</f>
        <v>2781</v>
      </c>
      <c r="U60" s="67">
        <f>SUM(U51:U59)*Inputs!$D$93</f>
        <v>2781</v>
      </c>
      <c r="V60" s="67">
        <f>SUM(V51:V59)*Inputs!$D$93</f>
        <v>2781</v>
      </c>
      <c r="W60" s="67">
        <f>SUM(W51:W59)*Inputs!$D$93</f>
        <v>2781</v>
      </c>
      <c r="X60" s="67">
        <f>SUM(X51:X59)*Inputs!$D$93</f>
        <v>2781</v>
      </c>
      <c r="Y60" s="67">
        <f>SUM(Y51:Y59)*Inputs!$D$93</f>
        <v>2781</v>
      </c>
      <c r="Z60" s="67">
        <f>SUM(Z51:Z59)*Inputs!$D$93</f>
        <v>2781</v>
      </c>
      <c r="AA60" s="67">
        <f>SUM(AA51:AA59)*Inputs!$D$93</f>
        <v>2862</v>
      </c>
      <c r="AB60" s="67">
        <f>SUM(AB51:AB59)*Inputs!$D$93</f>
        <v>2862</v>
      </c>
      <c r="AC60" s="67">
        <f>SUM(AC51:AC59)*Inputs!$D$93</f>
        <v>2862</v>
      </c>
      <c r="AD60" s="67">
        <f>SUM(AD51:AD59)*Inputs!$D$93</f>
        <v>2862</v>
      </c>
      <c r="AE60" s="67">
        <f>SUM(AE51:AE59)*Inputs!$D$93</f>
        <v>2862</v>
      </c>
      <c r="AF60" s="67">
        <f>SUM(AF51:AF59)*Inputs!$D$93</f>
        <v>2862</v>
      </c>
      <c r="AG60" s="67">
        <f>SUM(AG51:AG59)*Inputs!$D$93</f>
        <v>2862</v>
      </c>
      <c r="AH60" s="67">
        <f>SUM(AH51:AH59)*Inputs!$D$93</f>
        <v>2862</v>
      </c>
      <c r="AI60" s="67">
        <f>SUM(AI51:AI59)*Inputs!$D$93</f>
        <v>2862</v>
      </c>
      <c r="AJ60" s="67">
        <f>SUM(AJ51:AJ59)*Inputs!$D$93</f>
        <v>2862</v>
      </c>
      <c r="AK60" s="67">
        <f>SUM(AK51:AK59)*Inputs!$D$93</f>
        <v>2862</v>
      </c>
      <c r="AL60" s="67">
        <f>SUM(AL51:AL59)*Inputs!$D$93</f>
        <v>2862</v>
      </c>
      <c r="AM60" s="67">
        <f>SUM(AM51:AM59)*Inputs!$D$93</f>
        <v>2943</v>
      </c>
      <c r="AN60" s="67">
        <f>SUM(AN51:AN59)*Inputs!$D$93</f>
        <v>2943</v>
      </c>
    </row>
    <row r="61" spans="1:40" s="16" customFormat="1">
      <c r="A61" s="1"/>
      <c r="B61" s="1"/>
      <c r="C61" s="34" t="s">
        <v>23</v>
      </c>
      <c r="D61" s="15"/>
      <c r="E61" s="67">
        <f>IF(E$9=1,Inputs!$D$106,IF('Projections-BASE'!E$9=2,Inputs!$D$108,Inputs!$D$110))</f>
        <v>1440</v>
      </c>
      <c r="F61" s="67">
        <f>IF(F$9=1,Inputs!$D$106,IF('Projections-BASE'!F$9=2,Inputs!$D$108,Inputs!$D$110))</f>
        <v>1440</v>
      </c>
      <c r="G61" s="67">
        <f>IF(G$9=1,Inputs!$D$106,IF('Projections-BASE'!G$9=2,Inputs!$D$108,Inputs!$D$110))</f>
        <v>1440</v>
      </c>
      <c r="H61" s="67">
        <f>IF(H$9=1,Inputs!$D$106,IF('Projections-BASE'!H$9=2,Inputs!$D$108,Inputs!$D$110))</f>
        <v>1440</v>
      </c>
      <c r="I61" s="67">
        <f>IF(I$9=1,Inputs!$D$106,IF('Projections-BASE'!I$9=2,Inputs!$D$108,Inputs!$D$110))</f>
        <v>1440</v>
      </c>
      <c r="J61" s="67">
        <f>IF(J$9=1,Inputs!$D$106,IF('Projections-BASE'!J$9=2,Inputs!$D$108,Inputs!$D$110))</f>
        <v>1440</v>
      </c>
      <c r="K61" s="67">
        <f>IF(K$9=1,Inputs!$D$106,IF('Projections-BASE'!K$9=2,Inputs!$D$108,Inputs!$D$110))</f>
        <v>1440</v>
      </c>
      <c r="L61" s="67">
        <f>IF(L$9=1,Inputs!$D$106,IF('Projections-BASE'!L$9=2,Inputs!$D$108,Inputs!$D$110))</f>
        <v>1440</v>
      </c>
      <c r="M61" s="67">
        <f>IF(M$9=1,Inputs!$D$106,IF('Projections-BASE'!M$9=2,Inputs!$D$108,Inputs!$D$110))</f>
        <v>1440</v>
      </c>
      <c r="N61" s="67">
        <f>IF(N$9=1,Inputs!$D$106,IF('Projections-BASE'!N$9=2,Inputs!$D$108,Inputs!$D$110))</f>
        <v>1440</v>
      </c>
      <c r="O61" s="67">
        <f>IF(O$9=1,Inputs!$D$106,IF('Projections-BASE'!O$9=2,Inputs!$D$108,Inputs!$D$110))</f>
        <v>1854</v>
      </c>
      <c r="P61" s="67">
        <f>IF(P$9=1,Inputs!$D$106,IF('Projections-BASE'!P$9=2,Inputs!$D$108,Inputs!$D$110))</f>
        <v>1854</v>
      </c>
      <c r="Q61" s="67">
        <f>IF(Q$9=1,Inputs!$D$106,IF('Projections-BASE'!Q$9=2,Inputs!$D$108,Inputs!$D$110))</f>
        <v>1854</v>
      </c>
      <c r="R61" s="67">
        <f>IF(R$9=1,Inputs!$D$106,IF('Projections-BASE'!R$9=2,Inputs!$D$108,Inputs!$D$110))</f>
        <v>1854</v>
      </c>
      <c r="S61" s="67">
        <f>IF(S$9=1,Inputs!$D$106,IF('Projections-BASE'!S$9=2,Inputs!$D$108,Inputs!$D$110))</f>
        <v>1854</v>
      </c>
      <c r="T61" s="67">
        <f>IF(T$9=1,Inputs!$D$106,IF('Projections-BASE'!T$9=2,Inputs!$D$108,Inputs!$D$110))</f>
        <v>1854</v>
      </c>
      <c r="U61" s="67">
        <f>IF(U$9=1,Inputs!$D$106,IF('Projections-BASE'!U$9=2,Inputs!$D$108,Inputs!$D$110))</f>
        <v>1854</v>
      </c>
      <c r="V61" s="67">
        <f>IF(V$9=1,Inputs!$D$106,IF('Projections-BASE'!V$9=2,Inputs!$D$108,Inputs!$D$110))</f>
        <v>1854</v>
      </c>
      <c r="W61" s="67">
        <f>IF(W$9=1,Inputs!$D$106,IF('Projections-BASE'!W$9=2,Inputs!$D$108,Inputs!$D$110))</f>
        <v>1854</v>
      </c>
      <c r="X61" s="67">
        <f>IF(X$9=1,Inputs!$D$106,IF('Projections-BASE'!X$9=2,Inputs!$D$108,Inputs!$D$110))</f>
        <v>1854</v>
      </c>
      <c r="Y61" s="67">
        <f>IF(Y$9=1,Inputs!$D$106,IF('Projections-BASE'!Y$9=2,Inputs!$D$108,Inputs!$D$110))</f>
        <v>1854</v>
      </c>
      <c r="Z61" s="67">
        <f>IF(Z$9=1,Inputs!$D$106,IF('Projections-BASE'!Z$9=2,Inputs!$D$108,Inputs!$D$110))</f>
        <v>1854</v>
      </c>
      <c r="AA61" s="67">
        <f>IF(AA$9=1,Inputs!$D$106,IF('Projections-BASE'!AA$9=2,Inputs!$D$108,Inputs!$D$110))</f>
        <v>2291.5439999999994</v>
      </c>
      <c r="AB61" s="67">
        <f>IF(AB$9=1,Inputs!$D$106,IF('Projections-BASE'!AB$9=2,Inputs!$D$108,Inputs!$D$110))</f>
        <v>2291.5439999999994</v>
      </c>
      <c r="AC61" s="67">
        <f>IF(AC$9=1,Inputs!$D$106,IF('Projections-BASE'!AC$9=2,Inputs!$D$108,Inputs!$D$110))</f>
        <v>2291.5439999999994</v>
      </c>
      <c r="AD61" s="67">
        <f>IF(AD$9=1,Inputs!$D$106,IF('Projections-BASE'!AD$9=2,Inputs!$D$108,Inputs!$D$110))</f>
        <v>2291.5439999999994</v>
      </c>
      <c r="AE61" s="67">
        <f>IF(AE$9=1,Inputs!$D$106,IF('Projections-BASE'!AE$9=2,Inputs!$D$108,Inputs!$D$110))</f>
        <v>2291.5439999999994</v>
      </c>
      <c r="AF61" s="67">
        <f>IF(AF$9=1,Inputs!$D$106,IF('Projections-BASE'!AF$9=2,Inputs!$D$108,Inputs!$D$110))</f>
        <v>2291.5439999999994</v>
      </c>
      <c r="AG61" s="67">
        <f>IF(AG$9=1,Inputs!$D$106,IF('Projections-BASE'!AG$9=2,Inputs!$D$108,Inputs!$D$110))</f>
        <v>2291.5439999999994</v>
      </c>
      <c r="AH61" s="67">
        <f>IF(AH$9=1,Inputs!$D$106,IF('Projections-BASE'!AH$9=2,Inputs!$D$108,Inputs!$D$110))</f>
        <v>2291.5439999999994</v>
      </c>
      <c r="AI61" s="67">
        <f>IF(AI$9=1,Inputs!$D$106,IF('Projections-BASE'!AI$9=2,Inputs!$D$108,Inputs!$D$110))</f>
        <v>2291.5439999999994</v>
      </c>
      <c r="AJ61" s="67">
        <f>IF(AJ$9=1,Inputs!$D$106,IF('Projections-BASE'!AJ$9=2,Inputs!$D$108,Inputs!$D$110))</f>
        <v>2291.5439999999994</v>
      </c>
      <c r="AK61" s="67">
        <f>IF(AK$9=1,Inputs!$D$106,IF('Projections-BASE'!AK$9=2,Inputs!$D$108,Inputs!$D$110))</f>
        <v>2291.5439999999994</v>
      </c>
      <c r="AL61" s="67">
        <f>IF(AL$9=1,Inputs!$D$106,IF('Projections-BASE'!AL$9=2,Inputs!$D$108,Inputs!$D$110))</f>
        <v>2291.5439999999994</v>
      </c>
      <c r="AM61" s="67">
        <f>IF(AM$9=1,Inputs!$D$106,IF('Projections-BASE'!AM$9=2,Inputs!$D$108,Inputs!$D$110))</f>
        <v>2291.5439999999994</v>
      </c>
      <c r="AN61" s="67">
        <f>IF(AN$9=1,Inputs!$D$106,IF('Projections-BASE'!AN$9=2,Inputs!$D$108,Inputs!$D$110))</f>
        <v>2291.5439999999994</v>
      </c>
    </row>
    <row r="62" spans="1:40" s="16" customFormat="1">
      <c r="A62" s="1"/>
      <c r="B62" s="1"/>
      <c r="C62" s="34" t="s">
        <v>40</v>
      </c>
      <c r="D62" s="15"/>
      <c r="E62" s="67">
        <f>IF(E$9=1,Inputs!$D$113,IF('Projections-BASE'!E$9=2,Inputs!$D$114,Inputs!$D$115))</f>
        <v>150</v>
      </c>
      <c r="F62" s="67">
        <f>IF(F$9=1,Inputs!$D$113,IF('Projections-BASE'!F$9=2,Inputs!$D$114,Inputs!$D$115))</f>
        <v>150</v>
      </c>
      <c r="G62" s="67">
        <f>IF(G$9=1,Inputs!$D$113,IF('Projections-BASE'!G$9=2,Inputs!$D$114,Inputs!$D$115))</f>
        <v>150</v>
      </c>
      <c r="H62" s="67">
        <f>IF(H$9=1,Inputs!$D$113,IF('Projections-BASE'!H$9=2,Inputs!$D$114,Inputs!$D$115))</f>
        <v>150</v>
      </c>
      <c r="I62" s="67">
        <f>IF(I$9=1,Inputs!$D$113,IF('Projections-BASE'!I$9=2,Inputs!$D$114,Inputs!$D$115))</f>
        <v>150</v>
      </c>
      <c r="J62" s="67">
        <f>IF(J$9=1,Inputs!$D$113,IF('Projections-BASE'!J$9=2,Inputs!$D$114,Inputs!$D$115))</f>
        <v>150</v>
      </c>
      <c r="K62" s="67">
        <f>IF(K$9=1,Inputs!$D$113,IF('Projections-BASE'!K$9=2,Inputs!$D$114,Inputs!$D$115))</f>
        <v>150</v>
      </c>
      <c r="L62" s="67">
        <f>IF(L$9=1,Inputs!$D$113,IF('Projections-BASE'!L$9=2,Inputs!$D$114,Inputs!$D$115))</f>
        <v>150</v>
      </c>
      <c r="M62" s="67">
        <f>IF(M$9=1,Inputs!$D$113,IF('Projections-BASE'!M$9=2,Inputs!$D$114,Inputs!$D$115))</f>
        <v>150</v>
      </c>
      <c r="N62" s="67">
        <f>IF(N$9=1,Inputs!$D$113,IF('Projections-BASE'!N$9=2,Inputs!$D$114,Inputs!$D$115))</f>
        <v>150</v>
      </c>
      <c r="O62" s="67">
        <f>IF(O$9=1,Inputs!$D$113,IF('Projections-BASE'!O$9=2,Inputs!$D$114,Inputs!$D$115))</f>
        <v>150</v>
      </c>
      <c r="P62" s="67">
        <f>IF(P$9=1,Inputs!$D$113,IF('Projections-BASE'!P$9=2,Inputs!$D$114,Inputs!$D$115))</f>
        <v>150</v>
      </c>
      <c r="Q62" s="67">
        <f>IF(Q$9=1,Inputs!$D$113,IF('Projections-BASE'!Q$9=2,Inputs!$D$114,Inputs!$D$115))</f>
        <v>150</v>
      </c>
      <c r="R62" s="67">
        <f>IF(R$9=1,Inputs!$D$113,IF('Projections-BASE'!R$9=2,Inputs!$D$114,Inputs!$D$115))</f>
        <v>150</v>
      </c>
      <c r="S62" s="67">
        <f>IF(S$9=1,Inputs!$D$113,IF('Projections-BASE'!S$9=2,Inputs!$D$114,Inputs!$D$115))</f>
        <v>150</v>
      </c>
      <c r="T62" s="67">
        <f>IF(T$9=1,Inputs!$D$113,IF('Projections-BASE'!T$9=2,Inputs!$D$114,Inputs!$D$115))</f>
        <v>150</v>
      </c>
      <c r="U62" s="67">
        <f>IF(U$9=1,Inputs!$D$113,IF('Projections-BASE'!U$9=2,Inputs!$D$114,Inputs!$D$115))</f>
        <v>150</v>
      </c>
      <c r="V62" s="67">
        <f>IF(V$9=1,Inputs!$D$113,IF('Projections-BASE'!V$9=2,Inputs!$D$114,Inputs!$D$115))</f>
        <v>150</v>
      </c>
      <c r="W62" s="67">
        <f>IF(W$9=1,Inputs!$D$113,IF('Projections-BASE'!W$9=2,Inputs!$D$114,Inputs!$D$115))</f>
        <v>150</v>
      </c>
      <c r="X62" s="67">
        <f>IF(X$9=1,Inputs!$D$113,IF('Projections-BASE'!X$9=2,Inputs!$D$114,Inputs!$D$115))</f>
        <v>150</v>
      </c>
      <c r="Y62" s="67">
        <f>IF(Y$9=1,Inputs!$D$113,IF('Projections-BASE'!Y$9=2,Inputs!$D$114,Inputs!$D$115))</f>
        <v>150</v>
      </c>
      <c r="Z62" s="67">
        <f>IF(Z$9=1,Inputs!$D$113,IF('Projections-BASE'!Z$9=2,Inputs!$D$114,Inputs!$D$115))</f>
        <v>150</v>
      </c>
      <c r="AA62" s="67">
        <f>IF(AA$9=1,Inputs!$D$113,IF('Projections-BASE'!AA$9=2,Inputs!$D$114,Inputs!$D$115))</f>
        <v>160</v>
      </c>
      <c r="AB62" s="67">
        <f>IF(AB$9=1,Inputs!$D$113,IF('Projections-BASE'!AB$9=2,Inputs!$D$114,Inputs!$D$115))</f>
        <v>160</v>
      </c>
      <c r="AC62" s="67">
        <f>IF(AC$9=1,Inputs!$D$113,IF('Projections-BASE'!AC$9=2,Inputs!$D$114,Inputs!$D$115))</f>
        <v>160</v>
      </c>
      <c r="AD62" s="67">
        <f>IF(AD$9=1,Inputs!$D$113,IF('Projections-BASE'!AD$9=2,Inputs!$D$114,Inputs!$D$115))</f>
        <v>160</v>
      </c>
      <c r="AE62" s="67">
        <f>IF(AE$9=1,Inputs!$D$113,IF('Projections-BASE'!AE$9=2,Inputs!$D$114,Inputs!$D$115))</f>
        <v>160</v>
      </c>
      <c r="AF62" s="67">
        <f>IF(AF$9=1,Inputs!$D$113,IF('Projections-BASE'!AF$9=2,Inputs!$D$114,Inputs!$D$115))</f>
        <v>160</v>
      </c>
      <c r="AG62" s="67">
        <f>IF(AG$9=1,Inputs!$D$113,IF('Projections-BASE'!AG$9=2,Inputs!$D$114,Inputs!$D$115))</f>
        <v>160</v>
      </c>
      <c r="AH62" s="67">
        <f>IF(AH$9=1,Inputs!$D$113,IF('Projections-BASE'!AH$9=2,Inputs!$D$114,Inputs!$D$115))</f>
        <v>160</v>
      </c>
      <c r="AI62" s="67">
        <f>IF(AI$9=1,Inputs!$D$113,IF('Projections-BASE'!AI$9=2,Inputs!$D$114,Inputs!$D$115))</f>
        <v>160</v>
      </c>
      <c r="AJ62" s="67">
        <f>IF(AJ$9=1,Inputs!$D$113,IF('Projections-BASE'!AJ$9=2,Inputs!$D$114,Inputs!$D$115))</f>
        <v>160</v>
      </c>
      <c r="AK62" s="67">
        <f>IF(AK$9=1,Inputs!$D$113,IF('Projections-BASE'!AK$9=2,Inputs!$D$114,Inputs!$D$115))</f>
        <v>160</v>
      </c>
      <c r="AL62" s="67">
        <f>IF(AL$9=1,Inputs!$D$113,IF('Projections-BASE'!AL$9=2,Inputs!$D$114,Inputs!$D$115))</f>
        <v>160</v>
      </c>
      <c r="AM62" s="67">
        <f>IF(AM$9=1,Inputs!$D$113,IF('Projections-BASE'!AM$9=2,Inputs!$D$114,Inputs!$D$115))</f>
        <v>160</v>
      </c>
      <c r="AN62" s="67">
        <f>IF(AN$9=1,Inputs!$D$113,IF('Projections-BASE'!AN$9=2,Inputs!$D$114,Inputs!$D$115))</f>
        <v>160</v>
      </c>
    </row>
    <row r="63" spans="1:40" s="16" customFormat="1">
      <c r="A63" s="1"/>
      <c r="B63" s="1"/>
      <c r="C63" s="34" t="s">
        <v>225</v>
      </c>
      <c r="D63" s="15"/>
      <c r="E63" s="67">
        <f>Inputs!$D117*((1+Inputs!$D$12)^(E$9-1))</f>
        <v>150</v>
      </c>
      <c r="F63" s="67">
        <f>Inputs!$D117*((1+Inputs!$D$12)^(F$9-1))</f>
        <v>150</v>
      </c>
      <c r="G63" s="67">
        <f>Inputs!$D117*((1+Inputs!$D$12)^(G$9-1))</f>
        <v>150</v>
      </c>
      <c r="H63" s="67">
        <f>Inputs!$D117*((1+Inputs!$D$12)^(H$9-1))</f>
        <v>150</v>
      </c>
      <c r="I63" s="67">
        <f>Inputs!$D117*((1+Inputs!$D$12)^(I$9-1))</f>
        <v>150</v>
      </c>
      <c r="J63" s="67">
        <f>Inputs!$D117*((1+Inputs!$D$12)^(J$9-1))</f>
        <v>150</v>
      </c>
      <c r="K63" s="67">
        <f>Inputs!$D117*((1+Inputs!$D$12)^(K$9-1))</f>
        <v>150</v>
      </c>
      <c r="L63" s="67">
        <f>Inputs!$D117*((1+Inputs!$D$12)^(L$9-1))</f>
        <v>150</v>
      </c>
      <c r="M63" s="67">
        <f>Inputs!$D117*((1+Inputs!$D$12)^(M$9-1))</f>
        <v>150</v>
      </c>
      <c r="N63" s="67">
        <f>Inputs!$D117*((1+Inputs!$D$12)^(N$9-1))</f>
        <v>150</v>
      </c>
      <c r="O63" s="67">
        <f>Inputs!$D117*((1+Inputs!$D$12)^(O$9-1))</f>
        <v>154.5</v>
      </c>
      <c r="P63" s="67">
        <f>Inputs!$D117*((1+Inputs!$D$12)^(P$9-1))</f>
        <v>154.5</v>
      </c>
      <c r="Q63" s="67">
        <f>Inputs!$D117*((1+Inputs!$D$12)^(Q$9-1))</f>
        <v>154.5</v>
      </c>
      <c r="R63" s="67">
        <f>Inputs!$D117*((1+Inputs!$D$12)^(R$9-1))</f>
        <v>154.5</v>
      </c>
      <c r="S63" s="67">
        <f>Inputs!$D117*((1+Inputs!$D$12)^(S$9-1))</f>
        <v>154.5</v>
      </c>
      <c r="T63" s="67">
        <f>Inputs!$D117*((1+Inputs!$D$12)^(T$9-1))</f>
        <v>154.5</v>
      </c>
      <c r="U63" s="67">
        <f>Inputs!$D117*((1+Inputs!$D$12)^(U$9-1))</f>
        <v>154.5</v>
      </c>
      <c r="V63" s="67">
        <f>Inputs!$D117*((1+Inputs!$D$12)^(V$9-1))</f>
        <v>154.5</v>
      </c>
      <c r="W63" s="67">
        <f>Inputs!$D117*((1+Inputs!$D$12)^(W$9-1))</f>
        <v>154.5</v>
      </c>
      <c r="X63" s="67">
        <f>Inputs!$D117*((1+Inputs!$D$12)^(X$9-1))</f>
        <v>154.5</v>
      </c>
      <c r="Y63" s="67">
        <f>Inputs!$D117*((1+Inputs!$D$12)^(Y$9-1))</f>
        <v>154.5</v>
      </c>
      <c r="Z63" s="67">
        <f>Inputs!$D117*((1+Inputs!$D$12)^(Z$9-1))</f>
        <v>154.5</v>
      </c>
      <c r="AA63" s="67">
        <f>Inputs!$D117*((1+Inputs!$D$12)^(AA$9-1))</f>
        <v>159.13499999999999</v>
      </c>
      <c r="AB63" s="67">
        <f>Inputs!$D117*((1+Inputs!$D$12)^(AB$9-1))</f>
        <v>159.13499999999999</v>
      </c>
      <c r="AC63" s="67">
        <f>Inputs!$D117*((1+Inputs!$D$12)^(AC$9-1))</f>
        <v>159.13499999999999</v>
      </c>
      <c r="AD63" s="67">
        <f>Inputs!$D117*((1+Inputs!$D$12)^(AD$9-1))</f>
        <v>159.13499999999999</v>
      </c>
      <c r="AE63" s="67">
        <f>Inputs!$D117*((1+Inputs!$D$12)^(AE$9-1))</f>
        <v>159.13499999999999</v>
      </c>
      <c r="AF63" s="67">
        <f>Inputs!$D117*((1+Inputs!$D$12)^(AF$9-1))</f>
        <v>159.13499999999999</v>
      </c>
      <c r="AG63" s="67">
        <f>Inputs!$D117*((1+Inputs!$D$12)^(AG$9-1))</f>
        <v>159.13499999999999</v>
      </c>
      <c r="AH63" s="67">
        <f>Inputs!$D117*((1+Inputs!$D$12)^(AH$9-1))</f>
        <v>159.13499999999999</v>
      </c>
      <c r="AI63" s="67">
        <f>Inputs!$D117*((1+Inputs!$D$12)^(AI$9-1))</f>
        <v>159.13499999999999</v>
      </c>
      <c r="AJ63" s="67">
        <f>Inputs!$D117*((1+Inputs!$D$12)^(AJ$9-1))</f>
        <v>159.13499999999999</v>
      </c>
      <c r="AK63" s="67">
        <f>Inputs!$D117*((1+Inputs!$D$12)^(AK$9-1))</f>
        <v>159.13499999999999</v>
      </c>
      <c r="AL63" s="67">
        <f>Inputs!$D117*((1+Inputs!$D$12)^(AL$9-1))</f>
        <v>159.13499999999999</v>
      </c>
      <c r="AM63" s="67">
        <f>Inputs!$D117*((1+Inputs!$D$12)^(AM$9-1))</f>
        <v>163.90905000000001</v>
      </c>
      <c r="AN63" s="67">
        <f>Inputs!$D117*((1+Inputs!$D$12)^(AN$9-1))</f>
        <v>163.90905000000001</v>
      </c>
    </row>
    <row r="64" spans="1:40" s="16" customFormat="1">
      <c r="A64" s="1"/>
      <c r="B64" s="1"/>
      <c r="C64" s="34" t="s">
        <v>19</v>
      </c>
      <c r="D64" s="15"/>
      <c r="E64" s="67">
        <f>Inputs!$D118*((1+Inputs!$D$12)^(E$9-1))</f>
        <v>150</v>
      </c>
      <c r="F64" s="67">
        <f>Inputs!$D118*((1+Inputs!$D$12)^(F$9-1))</f>
        <v>150</v>
      </c>
      <c r="G64" s="67">
        <f>Inputs!$D118*((1+Inputs!$D$12)^(G$9-1))</f>
        <v>150</v>
      </c>
      <c r="H64" s="67">
        <f>Inputs!$D118*((1+Inputs!$D$12)^(H$9-1))</f>
        <v>150</v>
      </c>
      <c r="I64" s="67">
        <f>Inputs!$D118*((1+Inputs!$D$12)^(I$9-1))</f>
        <v>150</v>
      </c>
      <c r="J64" s="67">
        <f>Inputs!$D118*((1+Inputs!$D$12)^(J$9-1))</f>
        <v>150</v>
      </c>
      <c r="K64" s="67">
        <f>Inputs!$D118*((1+Inputs!$D$12)^(K$9-1))</f>
        <v>150</v>
      </c>
      <c r="L64" s="67">
        <f>Inputs!$D118*((1+Inputs!$D$12)^(L$9-1))</f>
        <v>150</v>
      </c>
      <c r="M64" s="67">
        <f>Inputs!$D118*((1+Inputs!$D$12)^(M$9-1))</f>
        <v>150</v>
      </c>
      <c r="N64" s="67">
        <f>Inputs!$D118*((1+Inputs!$D$12)^(N$9-1))</f>
        <v>150</v>
      </c>
      <c r="O64" s="67">
        <f>Inputs!$D118*((1+Inputs!$D$12)^(O$9-1))</f>
        <v>154.5</v>
      </c>
      <c r="P64" s="67">
        <f>Inputs!$D118*((1+Inputs!$D$12)^(P$9-1))</f>
        <v>154.5</v>
      </c>
      <c r="Q64" s="67">
        <f>Inputs!$D118*((1+Inputs!$D$12)^(Q$9-1))</f>
        <v>154.5</v>
      </c>
      <c r="R64" s="67">
        <f>Inputs!$D118*((1+Inputs!$D$12)^(R$9-1))</f>
        <v>154.5</v>
      </c>
      <c r="S64" s="67">
        <f>Inputs!$D118*((1+Inputs!$D$12)^(S$9-1))</f>
        <v>154.5</v>
      </c>
      <c r="T64" s="67">
        <f>Inputs!$D118*((1+Inputs!$D$12)^(T$9-1))</f>
        <v>154.5</v>
      </c>
      <c r="U64" s="67">
        <f>Inputs!$D118*((1+Inputs!$D$12)^(U$9-1))</f>
        <v>154.5</v>
      </c>
      <c r="V64" s="67">
        <f>Inputs!$D118*((1+Inputs!$D$12)^(V$9-1))</f>
        <v>154.5</v>
      </c>
      <c r="W64" s="67">
        <f>Inputs!$D118*((1+Inputs!$D$12)^(W$9-1))</f>
        <v>154.5</v>
      </c>
      <c r="X64" s="67">
        <f>Inputs!$D118*((1+Inputs!$D$12)^(X$9-1))</f>
        <v>154.5</v>
      </c>
      <c r="Y64" s="67">
        <f>Inputs!$D118*((1+Inputs!$D$12)^(Y$9-1))</f>
        <v>154.5</v>
      </c>
      <c r="Z64" s="67">
        <f>Inputs!$D118*((1+Inputs!$D$12)^(Z$9-1))</f>
        <v>154.5</v>
      </c>
      <c r="AA64" s="67">
        <f>Inputs!$D118*((1+Inputs!$D$12)^(AA$9-1))</f>
        <v>159.13499999999999</v>
      </c>
      <c r="AB64" s="67">
        <f>Inputs!$D118*((1+Inputs!$D$12)^(AB$9-1))</f>
        <v>159.13499999999999</v>
      </c>
      <c r="AC64" s="67">
        <f>Inputs!$D118*((1+Inputs!$D$12)^(AC$9-1))</f>
        <v>159.13499999999999</v>
      </c>
      <c r="AD64" s="67">
        <f>Inputs!$D118*((1+Inputs!$D$12)^(AD$9-1))</f>
        <v>159.13499999999999</v>
      </c>
      <c r="AE64" s="67">
        <f>Inputs!$D118*((1+Inputs!$D$12)^(AE$9-1))</f>
        <v>159.13499999999999</v>
      </c>
      <c r="AF64" s="67">
        <f>Inputs!$D118*((1+Inputs!$D$12)^(AF$9-1))</f>
        <v>159.13499999999999</v>
      </c>
      <c r="AG64" s="67">
        <f>Inputs!$D118*((1+Inputs!$D$12)^(AG$9-1))</f>
        <v>159.13499999999999</v>
      </c>
      <c r="AH64" s="67">
        <f>Inputs!$D118*((1+Inputs!$D$12)^(AH$9-1))</f>
        <v>159.13499999999999</v>
      </c>
      <c r="AI64" s="67">
        <f>Inputs!$D118*((1+Inputs!$D$12)^(AI$9-1))</f>
        <v>159.13499999999999</v>
      </c>
      <c r="AJ64" s="67">
        <f>Inputs!$D118*((1+Inputs!$D$12)^(AJ$9-1))</f>
        <v>159.13499999999999</v>
      </c>
      <c r="AK64" s="67">
        <f>Inputs!$D118*((1+Inputs!$D$12)^(AK$9-1))</f>
        <v>159.13499999999999</v>
      </c>
      <c r="AL64" s="67">
        <f>Inputs!$D118*((1+Inputs!$D$12)^(AL$9-1))</f>
        <v>159.13499999999999</v>
      </c>
      <c r="AM64" s="67">
        <f>Inputs!$D118*((1+Inputs!$D$12)^(AM$9-1))</f>
        <v>163.90905000000001</v>
      </c>
      <c r="AN64" s="67">
        <f>Inputs!$D118*((1+Inputs!$D$12)^(AN$9-1))</f>
        <v>163.90905000000001</v>
      </c>
    </row>
    <row r="65" spans="1:40" s="16" customFormat="1">
      <c r="A65" s="1"/>
      <c r="B65" s="1"/>
      <c r="C65" s="34" t="s">
        <v>1</v>
      </c>
      <c r="D65" s="15"/>
      <c r="E65" s="67">
        <f>Inputs!$D119*((1+Inputs!$D$12)^(E$9-1))</f>
        <v>0</v>
      </c>
      <c r="F65" s="67">
        <f>Inputs!$D119*((1+Inputs!$D$12)^(F$9-1))</f>
        <v>0</v>
      </c>
      <c r="G65" s="67">
        <f>Inputs!$D119*((1+Inputs!$D$12)^(G$9-1))</f>
        <v>0</v>
      </c>
      <c r="H65" s="67">
        <f>Inputs!$D119*((1+Inputs!$D$12)^(H$9-1))</f>
        <v>0</v>
      </c>
      <c r="I65" s="67">
        <f>Inputs!$D119*((1+Inputs!$D$12)^(I$9-1))</f>
        <v>0</v>
      </c>
      <c r="J65" s="67">
        <f>Inputs!$D119*((1+Inputs!$D$12)^(J$9-1))</f>
        <v>0</v>
      </c>
      <c r="K65" s="67">
        <f>Inputs!$D119*((1+Inputs!$D$12)^(K$9-1))</f>
        <v>0</v>
      </c>
      <c r="L65" s="67">
        <f>Inputs!$D119*((1+Inputs!$D$12)^(L$9-1))</f>
        <v>0</v>
      </c>
      <c r="M65" s="67">
        <f>Inputs!$D119*((1+Inputs!$D$12)^(M$9-1))</f>
        <v>0</v>
      </c>
      <c r="N65" s="67">
        <f>Inputs!$D119*((1+Inputs!$D$12)^(N$9-1))</f>
        <v>0</v>
      </c>
      <c r="O65" s="67">
        <f>Inputs!$D119*((1+Inputs!$D$12)^(O$9-1))</f>
        <v>0</v>
      </c>
      <c r="P65" s="67">
        <f>Inputs!$D119*((1+Inputs!$D$12)^(P$9-1))</f>
        <v>0</v>
      </c>
      <c r="Q65" s="67">
        <f>Inputs!$D119*((1+Inputs!$D$12)^(Q$9-1))</f>
        <v>0</v>
      </c>
      <c r="R65" s="67">
        <f>Inputs!$D119*((1+Inputs!$D$12)^(R$9-1))</f>
        <v>0</v>
      </c>
      <c r="S65" s="67">
        <f>Inputs!$D119*((1+Inputs!$D$12)^(S$9-1))</f>
        <v>0</v>
      </c>
      <c r="T65" s="67">
        <f>Inputs!$D119*((1+Inputs!$D$12)^(T$9-1))</f>
        <v>0</v>
      </c>
      <c r="U65" s="67">
        <f>Inputs!$D119*((1+Inputs!$D$12)^(U$9-1))</f>
        <v>0</v>
      </c>
      <c r="V65" s="67">
        <f>Inputs!$D119*((1+Inputs!$D$12)^(V$9-1))</f>
        <v>0</v>
      </c>
      <c r="W65" s="67">
        <f>Inputs!$D119*((1+Inputs!$D$12)^(W$9-1))</f>
        <v>0</v>
      </c>
      <c r="X65" s="67">
        <f>Inputs!$D119*((1+Inputs!$D$12)^(X$9-1))</f>
        <v>0</v>
      </c>
      <c r="Y65" s="67">
        <f>Inputs!$D119*((1+Inputs!$D$12)^(Y$9-1))</f>
        <v>0</v>
      </c>
      <c r="Z65" s="67">
        <f>Inputs!$D119*((1+Inputs!$D$12)^(Z$9-1))</f>
        <v>0</v>
      </c>
      <c r="AA65" s="67">
        <f>Inputs!$D119*((1+Inputs!$D$12)^(AA$9-1))</f>
        <v>0</v>
      </c>
      <c r="AB65" s="67">
        <f>Inputs!$D119*((1+Inputs!$D$12)^(AB$9-1))</f>
        <v>0</v>
      </c>
      <c r="AC65" s="67">
        <f>Inputs!$D119*((1+Inputs!$D$12)^(AC$9-1))</f>
        <v>0</v>
      </c>
      <c r="AD65" s="67">
        <f>Inputs!$D119*((1+Inputs!$D$12)^(AD$9-1))</f>
        <v>0</v>
      </c>
      <c r="AE65" s="67">
        <f>Inputs!$D119*((1+Inputs!$D$12)^(AE$9-1))</f>
        <v>0</v>
      </c>
      <c r="AF65" s="67">
        <f>Inputs!$D119*((1+Inputs!$D$12)^(AF$9-1))</f>
        <v>0</v>
      </c>
      <c r="AG65" s="67">
        <f>Inputs!$D119*((1+Inputs!$D$12)^(AG$9-1))</f>
        <v>0</v>
      </c>
      <c r="AH65" s="67">
        <f>Inputs!$D119*((1+Inputs!$D$12)^(AH$9-1))</f>
        <v>0</v>
      </c>
      <c r="AI65" s="67">
        <f>Inputs!$D119*((1+Inputs!$D$12)^(AI$9-1))</f>
        <v>0</v>
      </c>
      <c r="AJ65" s="67">
        <f>Inputs!$D119*((1+Inputs!$D$12)^(AJ$9-1))</f>
        <v>0</v>
      </c>
      <c r="AK65" s="67">
        <f>Inputs!$D119*((1+Inputs!$D$12)^(AK$9-1))</f>
        <v>0</v>
      </c>
      <c r="AL65" s="67">
        <f>Inputs!$D119*((1+Inputs!$D$12)^(AL$9-1))</f>
        <v>0</v>
      </c>
      <c r="AM65" s="67">
        <f>Inputs!$D119*((1+Inputs!$D$12)^(AM$9-1))</f>
        <v>0</v>
      </c>
      <c r="AN65" s="67">
        <f>Inputs!$D119*((1+Inputs!$D$12)^(AN$9-1))</f>
        <v>0</v>
      </c>
    </row>
    <row r="66" spans="1:40" s="16" customFormat="1">
      <c r="A66" s="1"/>
      <c r="B66" s="1"/>
      <c r="C66" s="34" t="str">
        <f>Inputs!C121</f>
        <v>&lt;Other Monthly Operating Expense #1, CY 1&gt;</v>
      </c>
      <c r="D66" s="15"/>
      <c r="E66" s="67">
        <f>Inputs!$D121*((1+Inputs!$D$12)^(E$9-1))</f>
        <v>0</v>
      </c>
      <c r="F66" s="67">
        <f>Inputs!$D121*((1+Inputs!$D$12)^(F$9-1))</f>
        <v>0</v>
      </c>
      <c r="G66" s="67">
        <f>Inputs!$D121*((1+Inputs!$D$12)^(G$9-1))</f>
        <v>0</v>
      </c>
      <c r="H66" s="67">
        <f>Inputs!$D121*((1+Inputs!$D$12)^(H$9-1))</f>
        <v>0</v>
      </c>
      <c r="I66" s="67">
        <f>Inputs!$D121*((1+Inputs!$D$12)^(I$9-1))</f>
        <v>0</v>
      </c>
      <c r="J66" s="67">
        <f>Inputs!$D121*((1+Inputs!$D$12)^(J$9-1))</f>
        <v>0</v>
      </c>
      <c r="K66" s="67">
        <f>Inputs!$D121*((1+Inputs!$D$12)^(K$9-1))</f>
        <v>0</v>
      </c>
      <c r="L66" s="67">
        <f>Inputs!$D121*((1+Inputs!$D$12)^(L$9-1))</f>
        <v>0</v>
      </c>
      <c r="M66" s="67">
        <f>Inputs!$D121*((1+Inputs!$D$12)^(M$9-1))</f>
        <v>0</v>
      </c>
      <c r="N66" s="67">
        <f>Inputs!$D121*((1+Inputs!$D$12)^(N$9-1))</f>
        <v>0</v>
      </c>
      <c r="O66" s="67">
        <f>Inputs!$D121*((1+Inputs!$D$12)^(O$9-1))</f>
        <v>0</v>
      </c>
      <c r="P66" s="67">
        <f>Inputs!$D121*((1+Inputs!$D$12)^(P$9-1))</f>
        <v>0</v>
      </c>
      <c r="Q66" s="67">
        <f>Inputs!$D121*((1+Inputs!$D$12)^(Q$9-1))</f>
        <v>0</v>
      </c>
      <c r="R66" s="67">
        <f>Inputs!$D121*((1+Inputs!$D$12)^(R$9-1))</f>
        <v>0</v>
      </c>
      <c r="S66" s="67">
        <f>Inputs!$D121*((1+Inputs!$D$12)^(S$9-1))</f>
        <v>0</v>
      </c>
      <c r="T66" s="67">
        <f>Inputs!$D121*((1+Inputs!$D$12)^(T$9-1))</f>
        <v>0</v>
      </c>
      <c r="U66" s="67">
        <f>Inputs!$D121*((1+Inputs!$D$12)^(U$9-1))</f>
        <v>0</v>
      </c>
      <c r="V66" s="67">
        <f>Inputs!$D121*((1+Inputs!$D$12)^(V$9-1))</f>
        <v>0</v>
      </c>
      <c r="W66" s="67">
        <f>Inputs!$D121*((1+Inputs!$D$12)^(W$9-1))</f>
        <v>0</v>
      </c>
      <c r="X66" s="67">
        <f>Inputs!$D121*((1+Inputs!$D$12)^(X$9-1))</f>
        <v>0</v>
      </c>
      <c r="Y66" s="67">
        <f>Inputs!$D121*((1+Inputs!$D$12)^(Y$9-1))</f>
        <v>0</v>
      </c>
      <c r="Z66" s="67">
        <f>Inputs!$D121*((1+Inputs!$D$12)^(Z$9-1))</f>
        <v>0</v>
      </c>
      <c r="AA66" s="67">
        <f>Inputs!$D121*((1+Inputs!$D$12)^(AA$9-1))</f>
        <v>0</v>
      </c>
      <c r="AB66" s="67">
        <f>Inputs!$D121*((1+Inputs!$D$12)^(AB$9-1))</f>
        <v>0</v>
      </c>
      <c r="AC66" s="67">
        <f>Inputs!$D121*((1+Inputs!$D$12)^(AC$9-1))</f>
        <v>0</v>
      </c>
      <c r="AD66" s="67">
        <f>Inputs!$D121*((1+Inputs!$D$12)^(AD$9-1))</f>
        <v>0</v>
      </c>
      <c r="AE66" s="67">
        <f>Inputs!$D121*((1+Inputs!$D$12)^(AE$9-1))</f>
        <v>0</v>
      </c>
      <c r="AF66" s="67">
        <f>Inputs!$D121*((1+Inputs!$D$12)^(AF$9-1))</f>
        <v>0</v>
      </c>
      <c r="AG66" s="67">
        <f>Inputs!$D121*((1+Inputs!$D$12)^(AG$9-1))</f>
        <v>0</v>
      </c>
      <c r="AH66" s="67">
        <f>Inputs!$D121*((1+Inputs!$D$12)^(AH$9-1))</f>
        <v>0</v>
      </c>
      <c r="AI66" s="67">
        <f>Inputs!$D121*((1+Inputs!$D$12)^(AI$9-1))</f>
        <v>0</v>
      </c>
      <c r="AJ66" s="67">
        <f>Inputs!$D121*((1+Inputs!$D$12)^(AJ$9-1))</f>
        <v>0</v>
      </c>
      <c r="AK66" s="67">
        <f>Inputs!$D121*((1+Inputs!$D$12)^(AK$9-1))</f>
        <v>0</v>
      </c>
      <c r="AL66" s="67">
        <f>Inputs!$D121*((1+Inputs!$D$12)^(AL$9-1))</f>
        <v>0</v>
      </c>
      <c r="AM66" s="67">
        <f>Inputs!$D121*((1+Inputs!$D$12)^(AM$9-1))</f>
        <v>0</v>
      </c>
      <c r="AN66" s="67">
        <f>Inputs!$D121*((1+Inputs!$D$12)^(AN$9-1))</f>
        <v>0</v>
      </c>
    </row>
    <row r="67" spans="1:40" s="16" customFormat="1">
      <c r="A67" s="1"/>
      <c r="B67" s="1"/>
      <c r="C67" s="34" t="str">
        <f>Inputs!C122</f>
        <v>&lt;Other Monthly Operating Expense #2, CY 1&gt;</v>
      </c>
      <c r="D67" s="15"/>
      <c r="E67" s="67">
        <f>Inputs!$D122*((1+Inputs!$D$12)^(E$9-1))</f>
        <v>0</v>
      </c>
      <c r="F67" s="67">
        <f>Inputs!$D122*((1+Inputs!$D$12)^(F$9-1))</f>
        <v>0</v>
      </c>
      <c r="G67" s="67">
        <f>Inputs!$D122*((1+Inputs!$D$12)^(G$9-1))</f>
        <v>0</v>
      </c>
      <c r="H67" s="67">
        <f>Inputs!$D122*((1+Inputs!$D$12)^(H$9-1))</f>
        <v>0</v>
      </c>
      <c r="I67" s="67">
        <f>Inputs!$D122*((1+Inputs!$D$12)^(I$9-1))</f>
        <v>0</v>
      </c>
      <c r="J67" s="67">
        <f>Inputs!$D122*((1+Inputs!$D$12)^(J$9-1))</f>
        <v>0</v>
      </c>
      <c r="K67" s="67">
        <f>Inputs!$D122*((1+Inputs!$D$12)^(K$9-1))</f>
        <v>0</v>
      </c>
      <c r="L67" s="67">
        <f>Inputs!$D122*((1+Inputs!$D$12)^(L$9-1))</f>
        <v>0</v>
      </c>
      <c r="M67" s="67">
        <f>Inputs!$D122*((1+Inputs!$D$12)^(M$9-1))</f>
        <v>0</v>
      </c>
      <c r="N67" s="67">
        <f>Inputs!$D122*((1+Inputs!$D$12)^(N$9-1))</f>
        <v>0</v>
      </c>
      <c r="O67" s="67">
        <f>Inputs!$D122*((1+Inputs!$D$12)^(O$9-1))</f>
        <v>0</v>
      </c>
      <c r="P67" s="67">
        <f>Inputs!$D122*((1+Inputs!$D$12)^(P$9-1))</f>
        <v>0</v>
      </c>
      <c r="Q67" s="67">
        <f>Inputs!$D122*((1+Inputs!$D$12)^(Q$9-1))</f>
        <v>0</v>
      </c>
      <c r="R67" s="67">
        <f>Inputs!$D122*((1+Inputs!$D$12)^(R$9-1))</f>
        <v>0</v>
      </c>
      <c r="S67" s="67">
        <f>Inputs!$D122*((1+Inputs!$D$12)^(S$9-1))</f>
        <v>0</v>
      </c>
      <c r="T67" s="67">
        <f>Inputs!$D122*((1+Inputs!$D$12)^(T$9-1))</f>
        <v>0</v>
      </c>
      <c r="U67" s="67">
        <f>Inputs!$D122*((1+Inputs!$D$12)^(U$9-1))</f>
        <v>0</v>
      </c>
      <c r="V67" s="67">
        <f>Inputs!$D122*((1+Inputs!$D$12)^(V$9-1))</f>
        <v>0</v>
      </c>
      <c r="W67" s="67">
        <f>Inputs!$D122*((1+Inputs!$D$12)^(W$9-1))</f>
        <v>0</v>
      </c>
      <c r="X67" s="67">
        <f>Inputs!$D122*((1+Inputs!$D$12)^(X$9-1))</f>
        <v>0</v>
      </c>
      <c r="Y67" s="67">
        <f>Inputs!$D122*((1+Inputs!$D$12)^(Y$9-1))</f>
        <v>0</v>
      </c>
      <c r="Z67" s="67">
        <f>Inputs!$D122*((1+Inputs!$D$12)^(Z$9-1))</f>
        <v>0</v>
      </c>
      <c r="AA67" s="67">
        <f>Inputs!$D122*((1+Inputs!$D$12)^(AA$9-1))</f>
        <v>0</v>
      </c>
      <c r="AB67" s="67">
        <f>Inputs!$D122*((1+Inputs!$D$12)^(AB$9-1))</f>
        <v>0</v>
      </c>
      <c r="AC67" s="67">
        <f>Inputs!$D122*((1+Inputs!$D$12)^(AC$9-1))</f>
        <v>0</v>
      </c>
      <c r="AD67" s="67">
        <f>Inputs!$D122*((1+Inputs!$D$12)^(AD$9-1))</f>
        <v>0</v>
      </c>
      <c r="AE67" s="67">
        <f>Inputs!$D122*((1+Inputs!$D$12)^(AE$9-1))</f>
        <v>0</v>
      </c>
      <c r="AF67" s="67">
        <f>Inputs!$D122*((1+Inputs!$D$12)^(AF$9-1))</f>
        <v>0</v>
      </c>
      <c r="AG67" s="67">
        <f>Inputs!$D122*((1+Inputs!$D$12)^(AG$9-1))</f>
        <v>0</v>
      </c>
      <c r="AH67" s="67">
        <f>Inputs!$D122*((1+Inputs!$D$12)^(AH$9-1))</f>
        <v>0</v>
      </c>
      <c r="AI67" s="67">
        <f>Inputs!$D122*((1+Inputs!$D$12)^(AI$9-1))</f>
        <v>0</v>
      </c>
      <c r="AJ67" s="67">
        <f>Inputs!$D122*((1+Inputs!$D$12)^(AJ$9-1))</f>
        <v>0</v>
      </c>
      <c r="AK67" s="67">
        <f>Inputs!$D122*((1+Inputs!$D$12)^(AK$9-1))</f>
        <v>0</v>
      </c>
      <c r="AL67" s="67">
        <f>Inputs!$D122*((1+Inputs!$D$12)^(AL$9-1))</f>
        <v>0</v>
      </c>
      <c r="AM67" s="67">
        <f>Inputs!$D122*((1+Inputs!$D$12)^(AM$9-1))</f>
        <v>0</v>
      </c>
      <c r="AN67" s="67">
        <f>Inputs!$D122*((1+Inputs!$D$12)^(AN$9-1))</f>
        <v>0</v>
      </c>
    </row>
    <row r="68" spans="1:40" s="16" customFormat="1">
      <c r="A68" s="1"/>
      <c r="B68" s="1"/>
      <c r="C68" s="34" t="str">
        <f>Inputs!C123</f>
        <v>&lt;Other Monthly Operating Expense #3, CY 1&gt;</v>
      </c>
      <c r="D68" s="15"/>
      <c r="E68" s="67">
        <f>Inputs!$D123*((1+Inputs!$D$12)^(E$9-1))</f>
        <v>0</v>
      </c>
      <c r="F68" s="67">
        <f>Inputs!$D123*((1+Inputs!$D$12)^(F$9-1))</f>
        <v>0</v>
      </c>
      <c r="G68" s="67">
        <f>Inputs!$D123*((1+Inputs!$D$12)^(G$9-1))</f>
        <v>0</v>
      </c>
      <c r="H68" s="67">
        <f>Inputs!$D123*((1+Inputs!$D$12)^(H$9-1))</f>
        <v>0</v>
      </c>
      <c r="I68" s="67">
        <f>Inputs!$D123*((1+Inputs!$D$12)^(I$9-1))</f>
        <v>0</v>
      </c>
      <c r="J68" s="67">
        <f>Inputs!$D123*((1+Inputs!$D$12)^(J$9-1))</f>
        <v>0</v>
      </c>
      <c r="K68" s="67">
        <f>Inputs!$D123*((1+Inputs!$D$12)^(K$9-1))</f>
        <v>0</v>
      </c>
      <c r="L68" s="67">
        <f>Inputs!$D123*((1+Inputs!$D$12)^(L$9-1))</f>
        <v>0</v>
      </c>
      <c r="M68" s="67">
        <f>Inputs!$D123*((1+Inputs!$D$12)^(M$9-1))</f>
        <v>0</v>
      </c>
      <c r="N68" s="67">
        <f>Inputs!$D123*((1+Inputs!$D$12)^(N$9-1))</f>
        <v>0</v>
      </c>
      <c r="O68" s="67">
        <f>Inputs!$D123*((1+Inputs!$D$12)^(O$9-1))</f>
        <v>0</v>
      </c>
      <c r="P68" s="67">
        <f>Inputs!$D123*((1+Inputs!$D$12)^(P$9-1))</f>
        <v>0</v>
      </c>
      <c r="Q68" s="67">
        <f>Inputs!$D123*((1+Inputs!$D$12)^(Q$9-1))</f>
        <v>0</v>
      </c>
      <c r="R68" s="67">
        <f>Inputs!$D123*((1+Inputs!$D$12)^(R$9-1))</f>
        <v>0</v>
      </c>
      <c r="S68" s="67">
        <f>Inputs!$D123*((1+Inputs!$D$12)^(S$9-1))</f>
        <v>0</v>
      </c>
      <c r="T68" s="67">
        <f>Inputs!$D123*((1+Inputs!$D$12)^(T$9-1))</f>
        <v>0</v>
      </c>
      <c r="U68" s="67">
        <f>Inputs!$D123*((1+Inputs!$D$12)^(U$9-1))</f>
        <v>0</v>
      </c>
      <c r="V68" s="67">
        <f>Inputs!$D123*((1+Inputs!$D$12)^(V$9-1))</f>
        <v>0</v>
      </c>
      <c r="W68" s="67">
        <f>Inputs!$D123*((1+Inputs!$D$12)^(W$9-1))</f>
        <v>0</v>
      </c>
      <c r="X68" s="67">
        <f>Inputs!$D123*((1+Inputs!$D$12)^(X$9-1))</f>
        <v>0</v>
      </c>
      <c r="Y68" s="67">
        <f>Inputs!$D123*((1+Inputs!$D$12)^(Y$9-1))</f>
        <v>0</v>
      </c>
      <c r="Z68" s="67">
        <f>Inputs!$D123*((1+Inputs!$D$12)^(Z$9-1))</f>
        <v>0</v>
      </c>
      <c r="AA68" s="67">
        <f>Inputs!$D123*((1+Inputs!$D$12)^(AA$9-1))</f>
        <v>0</v>
      </c>
      <c r="AB68" s="67">
        <f>Inputs!$D123*((1+Inputs!$D$12)^(AB$9-1))</f>
        <v>0</v>
      </c>
      <c r="AC68" s="67">
        <f>Inputs!$D123*((1+Inputs!$D$12)^(AC$9-1))</f>
        <v>0</v>
      </c>
      <c r="AD68" s="67">
        <f>Inputs!$D123*((1+Inputs!$D$12)^(AD$9-1))</f>
        <v>0</v>
      </c>
      <c r="AE68" s="67">
        <f>Inputs!$D123*((1+Inputs!$D$12)^(AE$9-1))</f>
        <v>0</v>
      </c>
      <c r="AF68" s="67">
        <f>Inputs!$D123*((1+Inputs!$D$12)^(AF$9-1))</f>
        <v>0</v>
      </c>
      <c r="AG68" s="67">
        <f>Inputs!$D123*((1+Inputs!$D$12)^(AG$9-1))</f>
        <v>0</v>
      </c>
      <c r="AH68" s="67">
        <f>Inputs!$D123*((1+Inputs!$D$12)^(AH$9-1))</f>
        <v>0</v>
      </c>
      <c r="AI68" s="67">
        <f>Inputs!$D123*((1+Inputs!$D$12)^(AI$9-1))</f>
        <v>0</v>
      </c>
      <c r="AJ68" s="67">
        <f>Inputs!$D123*((1+Inputs!$D$12)^(AJ$9-1))</f>
        <v>0</v>
      </c>
      <c r="AK68" s="67">
        <f>Inputs!$D123*((1+Inputs!$D$12)^(AK$9-1))</f>
        <v>0</v>
      </c>
      <c r="AL68" s="67">
        <f>Inputs!$D123*((1+Inputs!$D$12)^(AL$9-1))</f>
        <v>0</v>
      </c>
      <c r="AM68" s="67">
        <f>Inputs!$D123*((1+Inputs!$D$12)^(AM$9-1))</f>
        <v>0</v>
      </c>
      <c r="AN68" s="67">
        <f>Inputs!$D123*((1+Inputs!$D$12)^(AN$9-1))</f>
        <v>0</v>
      </c>
    </row>
    <row r="69" spans="1:40" s="16" customFormat="1">
      <c r="A69" s="1"/>
      <c r="B69" s="1"/>
      <c r="C69" s="34" t="str">
        <f>Inputs!C124</f>
        <v>&lt;Other Monthly Operating Expense #4, CY 1&gt;</v>
      </c>
      <c r="D69" s="15"/>
      <c r="E69" s="67">
        <f>Inputs!$D124*((1+Inputs!$D$12)^(E$9-1))</f>
        <v>0</v>
      </c>
      <c r="F69" s="67">
        <f>Inputs!$D124*((1+Inputs!$D$12)^(F$9-1))</f>
        <v>0</v>
      </c>
      <c r="G69" s="67">
        <f>Inputs!$D124*((1+Inputs!$D$12)^(G$9-1))</f>
        <v>0</v>
      </c>
      <c r="H69" s="67">
        <f>Inputs!$D124*((1+Inputs!$D$12)^(H$9-1))</f>
        <v>0</v>
      </c>
      <c r="I69" s="67">
        <f>Inputs!$D124*((1+Inputs!$D$12)^(I$9-1))</f>
        <v>0</v>
      </c>
      <c r="J69" s="67">
        <f>Inputs!$D124*((1+Inputs!$D$12)^(J$9-1))</f>
        <v>0</v>
      </c>
      <c r="K69" s="67">
        <f>Inputs!$D124*((1+Inputs!$D$12)^(K$9-1))</f>
        <v>0</v>
      </c>
      <c r="L69" s="67">
        <f>Inputs!$D124*((1+Inputs!$D$12)^(L$9-1))</f>
        <v>0</v>
      </c>
      <c r="M69" s="67">
        <f>Inputs!$D124*((1+Inputs!$D$12)^(M$9-1))</f>
        <v>0</v>
      </c>
      <c r="N69" s="67">
        <f>Inputs!$D124*((1+Inputs!$D$12)^(N$9-1))</f>
        <v>0</v>
      </c>
      <c r="O69" s="67">
        <f>Inputs!$D124*((1+Inputs!$D$12)^(O$9-1))</f>
        <v>0</v>
      </c>
      <c r="P69" s="67">
        <f>Inputs!$D124*((1+Inputs!$D$12)^(P$9-1))</f>
        <v>0</v>
      </c>
      <c r="Q69" s="67">
        <f>Inputs!$D124*((1+Inputs!$D$12)^(Q$9-1))</f>
        <v>0</v>
      </c>
      <c r="R69" s="67">
        <f>Inputs!$D124*((1+Inputs!$D$12)^(R$9-1))</f>
        <v>0</v>
      </c>
      <c r="S69" s="67">
        <f>Inputs!$D124*((1+Inputs!$D$12)^(S$9-1))</f>
        <v>0</v>
      </c>
      <c r="T69" s="67">
        <f>Inputs!$D124*((1+Inputs!$D$12)^(T$9-1))</f>
        <v>0</v>
      </c>
      <c r="U69" s="67">
        <f>Inputs!$D124*((1+Inputs!$D$12)^(U$9-1))</f>
        <v>0</v>
      </c>
      <c r="V69" s="67">
        <f>Inputs!$D124*((1+Inputs!$D$12)^(V$9-1))</f>
        <v>0</v>
      </c>
      <c r="W69" s="67">
        <f>Inputs!$D124*((1+Inputs!$D$12)^(W$9-1))</f>
        <v>0</v>
      </c>
      <c r="X69" s="67">
        <f>Inputs!$D124*((1+Inputs!$D$12)^(X$9-1))</f>
        <v>0</v>
      </c>
      <c r="Y69" s="67">
        <f>Inputs!$D124*((1+Inputs!$D$12)^(Y$9-1))</f>
        <v>0</v>
      </c>
      <c r="Z69" s="67">
        <f>Inputs!$D124*((1+Inputs!$D$12)^(Z$9-1))</f>
        <v>0</v>
      </c>
      <c r="AA69" s="67">
        <f>Inputs!$D124*((1+Inputs!$D$12)^(AA$9-1))</f>
        <v>0</v>
      </c>
      <c r="AB69" s="67">
        <f>Inputs!$D124*((1+Inputs!$D$12)^(AB$9-1))</f>
        <v>0</v>
      </c>
      <c r="AC69" s="67">
        <f>Inputs!$D124*((1+Inputs!$D$12)^(AC$9-1))</f>
        <v>0</v>
      </c>
      <c r="AD69" s="67">
        <f>Inputs!$D124*((1+Inputs!$D$12)^(AD$9-1))</f>
        <v>0</v>
      </c>
      <c r="AE69" s="67">
        <f>Inputs!$D124*((1+Inputs!$D$12)^(AE$9-1))</f>
        <v>0</v>
      </c>
      <c r="AF69" s="67">
        <f>Inputs!$D124*((1+Inputs!$D$12)^(AF$9-1))</f>
        <v>0</v>
      </c>
      <c r="AG69" s="67">
        <f>Inputs!$D124*((1+Inputs!$D$12)^(AG$9-1))</f>
        <v>0</v>
      </c>
      <c r="AH69" s="67">
        <f>Inputs!$D124*((1+Inputs!$D$12)^(AH$9-1))</f>
        <v>0</v>
      </c>
      <c r="AI69" s="67">
        <f>Inputs!$D124*((1+Inputs!$D$12)^(AI$9-1))</f>
        <v>0</v>
      </c>
      <c r="AJ69" s="67">
        <f>Inputs!$D124*((1+Inputs!$D$12)^(AJ$9-1))</f>
        <v>0</v>
      </c>
      <c r="AK69" s="67">
        <f>Inputs!$D124*((1+Inputs!$D$12)^(AK$9-1))</f>
        <v>0</v>
      </c>
      <c r="AL69" s="67">
        <f>Inputs!$D124*((1+Inputs!$D$12)^(AL$9-1))</f>
        <v>0</v>
      </c>
      <c r="AM69" s="67">
        <f>Inputs!$D124*((1+Inputs!$D$12)^(AM$9-1))</f>
        <v>0</v>
      </c>
      <c r="AN69" s="67">
        <f>Inputs!$D124*((1+Inputs!$D$12)^(AN$9-1))</f>
        <v>0</v>
      </c>
    </row>
    <row r="70" spans="1:40" s="16" customFormat="1">
      <c r="A70" s="1"/>
      <c r="B70" s="1"/>
      <c r="C70" s="34" t="str">
        <f>Inputs!C125</f>
        <v>&lt;Other Monthly Operating Expense #5, CY 1&gt;</v>
      </c>
      <c r="D70" s="15"/>
      <c r="E70" s="67">
        <f>Inputs!$D125*((1+Inputs!$D$12)^(E$9-1))</f>
        <v>0</v>
      </c>
      <c r="F70" s="67">
        <f>Inputs!$D125*((1+Inputs!$D$12)^(F$9-1))</f>
        <v>0</v>
      </c>
      <c r="G70" s="67">
        <f>Inputs!$D125*((1+Inputs!$D$12)^(G$9-1))</f>
        <v>0</v>
      </c>
      <c r="H70" s="67">
        <f>Inputs!$D125*((1+Inputs!$D$12)^(H$9-1))</f>
        <v>0</v>
      </c>
      <c r="I70" s="67">
        <f>Inputs!$D125*((1+Inputs!$D$12)^(I$9-1))</f>
        <v>0</v>
      </c>
      <c r="J70" s="67">
        <f>Inputs!$D125*((1+Inputs!$D$12)^(J$9-1))</f>
        <v>0</v>
      </c>
      <c r="K70" s="67">
        <f>Inputs!$D125*((1+Inputs!$D$12)^(K$9-1))</f>
        <v>0</v>
      </c>
      <c r="L70" s="67">
        <f>Inputs!$D125*((1+Inputs!$D$12)^(L$9-1))</f>
        <v>0</v>
      </c>
      <c r="M70" s="67">
        <f>Inputs!$D125*((1+Inputs!$D$12)^(M$9-1))</f>
        <v>0</v>
      </c>
      <c r="N70" s="67">
        <f>Inputs!$D125*((1+Inputs!$D$12)^(N$9-1))</f>
        <v>0</v>
      </c>
      <c r="O70" s="67">
        <f>Inputs!$D125*((1+Inputs!$D$12)^(O$9-1))</f>
        <v>0</v>
      </c>
      <c r="P70" s="67">
        <f>Inputs!$D125*((1+Inputs!$D$12)^(P$9-1))</f>
        <v>0</v>
      </c>
      <c r="Q70" s="67">
        <f>Inputs!$D125*((1+Inputs!$D$12)^(Q$9-1))</f>
        <v>0</v>
      </c>
      <c r="R70" s="67">
        <f>Inputs!$D125*((1+Inputs!$D$12)^(R$9-1))</f>
        <v>0</v>
      </c>
      <c r="S70" s="67">
        <f>Inputs!$D125*((1+Inputs!$D$12)^(S$9-1))</f>
        <v>0</v>
      </c>
      <c r="T70" s="67">
        <f>Inputs!$D125*((1+Inputs!$D$12)^(T$9-1))</f>
        <v>0</v>
      </c>
      <c r="U70" s="67">
        <f>Inputs!$D125*((1+Inputs!$D$12)^(U$9-1))</f>
        <v>0</v>
      </c>
      <c r="V70" s="67">
        <f>Inputs!$D125*((1+Inputs!$D$12)^(V$9-1))</f>
        <v>0</v>
      </c>
      <c r="W70" s="67">
        <f>Inputs!$D125*((1+Inputs!$D$12)^(W$9-1))</f>
        <v>0</v>
      </c>
      <c r="X70" s="67">
        <f>Inputs!$D125*((1+Inputs!$D$12)^(X$9-1))</f>
        <v>0</v>
      </c>
      <c r="Y70" s="67">
        <f>Inputs!$D125*((1+Inputs!$D$12)^(Y$9-1))</f>
        <v>0</v>
      </c>
      <c r="Z70" s="67">
        <f>Inputs!$D125*((1+Inputs!$D$12)^(Z$9-1))</f>
        <v>0</v>
      </c>
      <c r="AA70" s="67">
        <f>Inputs!$D125*((1+Inputs!$D$12)^(AA$9-1))</f>
        <v>0</v>
      </c>
      <c r="AB70" s="67">
        <f>Inputs!$D125*((1+Inputs!$D$12)^(AB$9-1))</f>
        <v>0</v>
      </c>
      <c r="AC70" s="67">
        <f>Inputs!$D125*((1+Inputs!$D$12)^(AC$9-1))</f>
        <v>0</v>
      </c>
      <c r="AD70" s="67">
        <f>Inputs!$D125*((1+Inputs!$D$12)^(AD$9-1))</f>
        <v>0</v>
      </c>
      <c r="AE70" s="67">
        <f>Inputs!$D125*((1+Inputs!$D$12)^(AE$9-1))</f>
        <v>0</v>
      </c>
      <c r="AF70" s="67">
        <f>Inputs!$D125*((1+Inputs!$D$12)^(AF$9-1))</f>
        <v>0</v>
      </c>
      <c r="AG70" s="67">
        <f>Inputs!$D125*((1+Inputs!$D$12)^(AG$9-1))</f>
        <v>0</v>
      </c>
      <c r="AH70" s="67">
        <f>Inputs!$D125*((1+Inputs!$D$12)^(AH$9-1))</f>
        <v>0</v>
      </c>
      <c r="AI70" s="67">
        <f>Inputs!$D125*((1+Inputs!$D$12)^(AI$9-1))</f>
        <v>0</v>
      </c>
      <c r="AJ70" s="67">
        <f>Inputs!$D125*((1+Inputs!$D$12)^(AJ$9-1))</f>
        <v>0</v>
      </c>
      <c r="AK70" s="67">
        <f>Inputs!$D125*((1+Inputs!$D$12)^(AK$9-1))</f>
        <v>0</v>
      </c>
      <c r="AL70" s="67">
        <f>Inputs!$D125*((1+Inputs!$D$12)^(AL$9-1))</f>
        <v>0</v>
      </c>
      <c r="AM70" s="67">
        <f>Inputs!$D125*((1+Inputs!$D$12)^(AM$9-1))</f>
        <v>0</v>
      </c>
      <c r="AN70" s="67">
        <f>Inputs!$D125*((1+Inputs!$D$12)^(AN$9-1))</f>
        <v>0</v>
      </c>
    </row>
    <row r="71" spans="1:40" s="16" customFormat="1">
      <c r="A71" s="1"/>
      <c r="B71" s="1"/>
      <c r="C71" s="34"/>
      <c r="D71" s="15"/>
    </row>
    <row r="72" spans="1:40" s="49" customFormat="1">
      <c r="A72" s="2"/>
      <c r="B72" s="48" t="s">
        <v>229</v>
      </c>
      <c r="D72" s="52">
        <f>IF(E5="New Business",-SUMIF(CreditAmort1BASE[Month],"&lt;1",CreditAmort1BASE[Principal]),"")</f>
        <v>0</v>
      </c>
      <c r="E72" s="68">
        <f>IFERROR(-VLOOKUP(E$8,CreditAmort1BASE[],4),0)-IFERROR(VLOOKUP(E$8,CreditAmort2BASE[],4),0)-IFERROR(VLOOKUP(E$8,CreditAmort3BASE[],4),0)-IFERROR(VLOOKUP(E$8,CreditAmort4BASE[],4),0)</f>
        <v>0</v>
      </c>
      <c r="F72" s="68">
        <f>IFERROR(-VLOOKUP(F$8,CreditAmort1BASE[],4),0)-IFERROR(VLOOKUP(F$8,CreditAmort2BASE[],4),0)-IFERROR(VLOOKUP(F$8,CreditAmort3BASE[],4),0)-IFERROR(VLOOKUP(F$8,CreditAmort4BASE[],4),0)</f>
        <v>0</v>
      </c>
      <c r="G72" s="68">
        <f>IFERROR(-VLOOKUP(G$8,CreditAmort1BASE[],4),0)-IFERROR(VLOOKUP(G$8,CreditAmort2BASE[],4),0)-IFERROR(VLOOKUP(G$8,CreditAmort3BASE[],4),0)-IFERROR(VLOOKUP(G$8,CreditAmort4BASE[],4),0)</f>
        <v>0</v>
      </c>
      <c r="H72" s="68">
        <f>IFERROR(-VLOOKUP(H$8,CreditAmort1BASE[],4),0)-IFERROR(VLOOKUP(H$8,CreditAmort2BASE[],4),0)-IFERROR(VLOOKUP(H$8,CreditAmort3BASE[],4),0)-IFERROR(VLOOKUP(H$8,CreditAmort4BASE[],4),0)</f>
        <v>0</v>
      </c>
      <c r="I72" s="68">
        <f>IFERROR(-VLOOKUP(I$8,CreditAmort1BASE[],4),0)-IFERROR(VLOOKUP(I$8,CreditAmort2BASE[],4),0)-IFERROR(VLOOKUP(I$8,CreditAmort3BASE[],4),0)-IFERROR(VLOOKUP(I$8,CreditAmort4BASE[],4),0)</f>
        <v>0</v>
      </c>
      <c r="J72" s="68">
        <f>IFERROR(-VLOOKUP(J$8,CreditAmort1BASE[],4),0)-IFERROR(VLOOKUP(J$8,CreditAmort2BASE[],4),0)-IFERROR(VLOOKUP(J$8,CreditAmort3BASE[],4),0)-IFERROR(VLOOKUP(J$8,CreditAmort4BASE[],4),0)</f>
        <v>0</v>
      </c>
      <c r="K72" s="68">
        <f>IFERROR(-VLOOKUP(K$8,CreditAmort1BASE[],4),0)-IFERROR(VLOOKUP(K$8,CreditAmort2BASE[],4),0)-IFERROR(VLOOKUP(K$8,CreditAmort3BASE[],4),0)-IFERROR(VLOOKUP(K$8,CreditAmort4BASE[],4),0)</f>
        <v>0</v>
      </c>
      <c r="L72" s="68">
        <f>IFERROR(-VLOOKUP(L$8,CreditAmort1BASE[],4),0)-IFERROR(VLOOKUP(L$8,CreditAmort2BASE[],4),0)-IFERROR(VLOOKUP(L$8,CreditAmort3BASE[],4),0)-IFERROR(VLOOKUP(L$8,CreditAmort4BASE[],4),0)</f>
        <v>0</v>
      </c>
      <c r="M72" s="68">
        <f>IFERROR(-VLOOKUP(M$8,CreditAmort1BASE[],4),0)-IFERROR(VLOOKUP(M$8,CreditAmort2BASE[],4),0)-IFERROR(VLOOKUP(M$8,CreditAmort3BASE[],4),0)-IFERROR(VLOOKUP(M$8,CreditAmort4BASE[],4),0)</f>
        <v>0</v>
      </c>
      <c r="N72" s="68">
        <f>IFERROR(-VLOOKUP(N$8,CreditAmort1BASE[],4),0)-IFERROR(VLOOKUP(N$8,CreditAmort2BASE[],4),0)-IFERROR(VLOOKUP(N$8,CreditAmort3BASE[],4),0)-IFERROR(VLOOKUP(N$8,CreditAmort4BASE[],4),0)</f>
        <v>0</v>
      </c>
      <c r="O72" s="68">
        <f>IFERROR(-VLOOKUP(O$8,CreditAmort1BASE[],4),0)-IFERROR(VLOOKUP(O$8,CreditAmort2BASE[],4),0)-IFERROR(VLOOKUP(O$8,CreditAmort3BASE[],4),0)-IFERROR(VLOOKUP(O$8,CreditAmort4BASE[],4),0)</f>
        <v>0</v>
      </c>
      <c r="P72" s="68">
        <f>IFERROR(-VLOOKUP(P$8,CreditAmort1BASE[],4),0)-IFERROR(VLOOKUP(P$8,CreditAmort2BASE[],4),0)-IFERROR(VLOOKUP(P$8,CreditAmort3BASE[],4),0)-IFERROR(VLOOKUP(P$8,CreditAmort4BASE[],4),0)</f>
        <v>0</v>
      </c>
      <c r="Q72" s="68">
        <f>IFERROR(-VLOOKUP(Q$8,CreditAmort1BASE[],4),0)-IFERROR(VLOOKUP(Q$8,CreditAmort2BASE[],4),0)-IFERROR(VLOOKUP(Q$8,CreditAmort3BASE[],4),0)-IFERROR(VLOOKUP(Q$8,CreditAmort4BASE[],4),0)</f>
        <v>0</v>
      </c>
      <c r="R72" s="68">
        <f>IFERROR(-VLOOKUP(R$8,CreditAmort1BASE[],4),0)-IFERROR(VLOOKUP(R$8,CreditAmort2BASE[],4),0)-IFERROR(VLOOKUP(R$8,CreditAmort3BASE[],4),0)-IFERROR(VLOOKUP(R$8,CreditAmort4BASE[],4),0)</f>
        <v>0</v>
      </c>
      <c r="S72" s="68">
        <f>IFERROR(-VLOOKUP(S$8,CreditAmort1BASE[],4),0)-IFERROR(VLOOKUP(S$8,CreditAmort2BASE[],4),0)-IFERROR(VLOOKUP(S$8,CreditAmort3BASE[],4),0)-IFERROR(VLOOKUP(S$8,CreditAmort4BASE[],4),0)</f>
        <v>0</v>
      </c>
      <c r="T72" s="68">
        <f>IFERROR(-VLOOKUP(T$8,CreditAmort1BASE[],4),0)-IFERROR(VLOOKUP(T$8,CreditAmort2BASE[],4),0)-IFERROR(VLOOKUP(T$8,CreditAmort3BASE[],4),0)-IFERROR(VLOOKUP(T$8,CreditAmort4BASE[],4),0)</f>
        <v>0</v>
      </c>
      <c r="U72" s="68">
        <f>IFERROR(-VLOOKUP(U$8,CreditAmort1BASE[],4),0)-IFERROR(VLOOKUP(U$8,CreditAmort2BASE[],4),0)-IFERROR(VLOOKUP(U$8,CreditAmort3BASE[],4),0)-IFERROR(VLOOKUP(U$8,CreditAmort4BASE[],4),0)</f>
        <v>0</v>
      </c>
      <c r="V72" s="68">
        <f>IFERROR(-VLOOKUP(V$8,CreditAmort1BASE[],4),0)-IFERROR(VLOOKUP(V$8,CreditAmort2BASE[],4),0)-IFERROR(VLOOKUP(V$8,CreditAmort3BASE[],4),0)-IFERROR(VLOOKUP(V$8,CreditAmort4BASE[],4),0)</f>
        <v>0</v>
      </c>
      <c r="W72" s="68">
        <f>IFERROR(-VLOOKUP(W$8,CreditAmort1BASE[],4),0)-IFERROR(VLOOKUP(W$8,CreditAmort2BASE[],4),0)-IFERROR(VLOOKUP(W$8,CreditAmort3BASE[],4),0)-IFERROR(VLOOKUP(W$8,CreditAmort4BASE[],4),0)</f>
        <v>0</v>
      </c>
      <c r="X72" s="68">
        <f>IFERROR(-VLOOKUP(X$8,CreditAmort1BASE[],4),0)-IFERROR(VLOOKUP(X$8,CreditAmort2BASE[],4),0)-IFERROR(VLOOKUP(X$8,CreditAmort3BASE[],4),0)-IFERROR(VLOOKUP(X$8,CreditAmort4BASE[],4),0)</f>
        <v>0</v>
      </c>
      <c r="Y72" s="68">
        <f>IFERROR(-VLOOKUP(Y$8,CreditAmort1BASE[],4),0)-IFERROR(VLOOKUP(Y$8,CreditAmort2BASE[],4),0)-IFERROR(VLOOKUP(Y$8,CreditAmort3BASE[],4),0)-IFERROR(VLOOKUP(Y$8,CreditAmort4BASE[],4),0)</f>
        <v>0</v>
      </c>
      <c r="Z72" s="68">
        <f>IFERROR(-VLOOKUP(Z$8,CreditAmort1BASE[],4),0)-IFERROR(VLOOKUP(Z$8,CreditAmort2BASE[],4),0)-IFERROR(VLOOKUP(Z$8,CreditAmort3BASE[],4),0)-IFERROR(VLOOKUP(Z$8,CreditAmort4BASE[],4),0)</f>
        <v>0</v>
      </c>
      <c r="AA72" s="68">
        <f>IFERROR(-VLOOKUP(AA$8,CreditAmort1BASE[],4),0)-IFERROR(VLOOKUP(AA$8,CreditAmort2BASE[],4),0)-IFERROR(VLOOKUP(AA$8,CreditAmort3BASE[],4),0)-IFERROR(VLOOKUP(AA$8,CreditAmort4BASE[],4),0)</f>
        <v>0</v>
      </c>
      <c r="AB72" s="68">
        <f>IFERROR(-VLOOKUP(AB$8,CreditAmort1BASE[],4),0)-IFERROR(VLOOKUP(AB$8,CreditAmort2BASE[],4),0)-IFERROR(VLOOKUP(AB$8,CreditAmort3BASE[],4),0)-IFERROR(VLOOKUP(AB$8,CreditAmort4BASE[],4),0)</f>
        <v>0</v>
      </c>
      <c r="AC72" s="68">
        <f>IFERROR(-VLOOKUP(AC$8,CreditAmort1BASE[],4),0)-IFERROR(VLOOKUP(AC$8,CreditAmort2BASE[],4),0)-IFERROR(VLOOKUP(AC$8,CreditAmort3BASE[],4),0)-IFERROR(VLOOKUP(AC$8,CreditAmort4BASE[],4),0)</f>
        <v>0</v>
      </c>
      <c r="AD72" s="68">
        <f>IFERROR(-VLOOKUP(AD$8,CreditAmort1BASE[],4),0)-IFERROR(VLOOKUP(AD$8,CreditAmort2BASE[],4),0)-IFERROR(VLOOKUP(AD$8,CreditAmort3BASE[],4),0)-IFERROR(VLOOKUP(AD$8,CreditAmort4BASE[],4),0)</f>
        <v>0</v>
      </c>
      <c r="AE72" s="68">
        <f>IFERROR(-VLOOKUP(AE$8,CreditAmort1BASE[],4),0)-IFERROR(VLOOKUP(AE$8,CreditAmort2BASE[],4),0)-IFERROR(VLOOKUP(AE$8,CreditAmort3BASE[],4),0)-IFERROR(VLOOKUP(AE$8,CreditAmort4BASE[],4),0)</f>
        <v>0</v>
      </c>
      <c r="AF72" s="68">
        <f>IFERROR(-VLOOKUP(AF$8,CreditAmort1BASE[],4),0)-IFERROR(VLOOKUP(AF$8,CreditAmort2BASE[],4),0)-IFERROR(VLOOKUP(AF$8,CreditAmort3BASE[],4),0)-IFERROR(VLOOKUP(AF$8,CreditAmort4BASE[],4),0)</f>
        <v>0</v>
      </c>
      <c r="AG72" s="68">
        <f>IFERROR(-VLOOKUP(AG$8,CreditAmort1BASE[],4),0)-IFERROR(VLOOKUP(AG$8,CreditAmort2BASE[],4),0)-IFERROR(VLOOKUP(AG$8,CreditAmort3BASE[],4),0)-IFERROR(VLOOKUP(AG$8,CreditAmort4BASE[],4),0)</f>
        <v>0</v>
      </c>
      <c r="AH72" s="68">
        <f>IFERROR(-VLOOKUP(AH$8,CreditAmort1BASE[],4),0)-IFERROR(VLOOKUP(AH$8,CreditAmort2BASE[],4),0)-IFERROR(VLOOKUP(AH$8,CreditAmort3BASE[],4),0)-IFERROR(VLOOKUP(AH$8,CreditAmort4BASE[],4),0)</f>
        <v>0</v>
      </c>
      <c r="AI72" s="68">
        <f>IFERROR(-VLOOKUP(AI$8,CreditAmort1BASE[],4),0)-IFERROR(VLOOKUP(AI$8,CreditAmort2BASE[],4),0)-IFERROR(VLOOKUP(AI$8,CreditAmort3BASE[],4),0)-IFERROR(VLOOKUP(AI$8,CreditAmort4BASE[],4),0)</f>
        <v>0</v>
      </c>
      <c r="AJ72" s="68">
        <f>IFERROR(-VLOOKUP(AJ$8,CreditAmort1BASE[],4),0)-IFERROR(VLOOKUP(AJ$8,CreditAmort2BASE[],4),0)-IFERROR(VLOOKUP(AJ$8,CreditAmort3BASE[],4),0)-IFERROR(VLOOKUP(AJ$8,CreditAmort4BASE[],4),0)</f>
        <v>0</v>
      </c>
      <c r="AK72" s="68">
        <f>IFERROR(-VLOOKUP(AK$8,CreditAmort1BASE[],4),0)-IFERROR(VLOOKUP(AK$8,CreditAmort2BASE[],4),0)-IFERROR(VLOOKUP(AK$8,CreditAmort3BASE[],4),0)-IFERROR(VLOOKUP(AK$8,CreditAmort4BASE[],4),0)</f>
        <v>0</v>
      </c>
      <c r="AL72" s="68">
        <f>IFERROR(-VLOOKUP(AL$8,CreditAmort1BASE[],4),0)-IFERROR(VLOOKUP(AL$8,CreditAmort2BASE[],4),0)-IFERROR(VLOOKUP(AL$8,CreditAmort3BASE[],4),0)-IFERROR(VLOOKUP(AL$8,CreditAmort4BASE[],4),0)</f>
        <v>0</v>
      </c>
      <c r="AM72" s="68">
        <f>IFERROR(-VLOOKUP(AM$8,CreditAmort1BASE[],4),0)-IFERROR(VLOOKUP(AM$8,CreditAmort2BASE[],4),0)-IFERROR(VLOOKUP(AM$8,CreditAmort3BASE[],4),0)-IFERROR(VLOOKUP(AM$8,CreditAmort4BASE[],4),0)</f>
        <v>0</v>
      </c>
      <c r="AN72" s="68">
        <f>IFERROR(-VLOOKUP(AN$8,CreditAmort1BASE[],4),0)-IFERROR(VLOOKUP(AN$8,CreditAmort2BASE[],4),0)-IFERROR(VLOOKUP(AN$8,CreditAmort3BASE[],4),0)-IFERROR(VLOOKUP(AN$8,CreditAmort4BASE[],4),0)</f>
        <v>0</v>
      </c>
    </row>
    <row r="73" spans="1:40" s="49" customFormat="1">
      <c r="A73" s="2"/>
      <c r="B73" s="48" t="s">
        <v>230</v>
      </c>
      <c r="D73" s="52"/>
      <c r="E73" s="68">
        <f>IFERROR(-VLOOKUP(E$8,CreditAmort1BASE[],3),0)-IFERROR(VLOOKUP(E$8,CreditAmort2BASE[],3),0)-IFERROR(VLOOKUP(E$8,CreditAmort3BASE[],3),0)-IFERROR(VLOOKUP(E$8,CreditAmort4BASE[],3),0)</f>
        <v>0</v>
      </c>
      <c r="F73" s="68">
        <f>IFERROR(-VLOOKUP(F$8,CreditAmort1BASE[],3),0)-IFERROR(VLOOKUP(F$8,CreditAmort2BASE[],3),0)-IFERROR(VLOOKUP(F$8,CreditAmort3BASE[],3),0)-IFERROR(VLOOKUP(F$8,CreditAmort4BASE[],3),0)</f>
        <v>0</v>
      </c>
      <c r="G73" s="68">
        <f>IFERROR(-VLOOKUP(G$8,CreditAmort1BASE[],3),0)-IFERROR(VLOOKUP(G$8,CreditAmort2BASE[],3),0)-IFERROR(VLOOKUP(G$8,CreditAmort3BASE[],3),0)-IFERROR(VLOOKUP(G$8,CreditAmort4BASE[],3),0)</f>
        <v>0</v>
      </c>
      <c r="H73" s="68">
        <f>IFERROR(-VLOOKUP(H$8,CreditAmort1BASE[],3),0)-IFERROR(VLOOKUP(H$8,CreditAmort2BASE[],3),0)-IFERROR(VLOOKUP(H$8,CreditAmort3BASE[],3),0)-IFERROR(VLOOKUP(H$8,CreditAmort4BASE[],3),0)</f>
        <v>0</v>
      </c>
      <c r="I73" s="68">
        <f>IFERROR(-VLOOKUP(I$8,CreditAmort1BASE[],3),0)-IFERROR(VLOOKUP(I$8,CreditAmort2BASE[],3),0)-IFERROR(VLOOKUP(I$8,CreditAmort3BASE[],3),0)-IFERROR(VLOOKUP(I$8,CreditAmort4BASE[],3),0)</f>
        <v>0</v>
      </c>
      <c r="J73" s="68">
        <f>IFERROR(-VLOOKUP(J$8,CreditAmort1BASE[],3),0)-IFERROR(VLOOKUP(J$8,CreditAmort2BASE[],3),0)-IFERROR(VLOOKUP(J$8,CreditAmort3BASE[],3),0)-IFERROR(VLOOKUP(J$8,CreditAmort4BASE[],3),0)</f>
        <v>0</v>
      </c>
      <c r="K73" s="68">
        <f>IFERROR(-VLOOKUP(K$8,CreditAmort1BASE[],3),0)-IFERROR(VLOOKUP(K$8,CreditAmort2BASE[],3),0)-IFERROR(VLOOKUP(K$8,CreditAmort3BASE[],3),0)-IFERROR(VLOOKUP(K$8,CreditAmort4BASE[],3),0)</f>
        <v>0</v>
      </c>
      <c r="L73" s="68">
        <f>IFERROR(-VLOOKUP(L$8,CreditAmort1BASE[],3),0)-IFERROR(VLOOKUP(L$8,CreditAmort2BASE[],3),0)-IFERROR(VLOOKUP(L$8,CreditAmort3BASE[],3),0)-IFERROR(VLOOKUP(L$8,CreditAmort4BASE[],3),0)</f>
        <v>0</v>
      </c>
      <c r="M73" s="68">
        <f>IFERROR(-VLOOKUP(M$8,CreditAmort1BASE[],3),0)-IFERROR(VLOOKUP(M$8,CreditAmort2BASE[],3),0)-IFERROR(VLOOKUP(M$8,CreditAmort3BASE[],3),0)-IFERROR(VLOOKUP(M$8,CreditAmort4BASE[],3),0)</f>
        <v>0</v>
      </c>
      <c r="N73" s="68">
        <f>IFERROR(-VLOOKUP(N$8,CreditAmort1BASE[],3),0)-IFERROR(VLOOKUP(N$8,CreditAmort2BASE[],3),0)-IFERROR(VLOOKUP(N$8,CreditAmort3BASE[],3),0)-IFERROR(VLOOKUP(N$8,CreditAmort4BASE[],3),0)</f>
        <v>0</v>
      </c>
      <c r="O73" s="68">
        <f>IFERROR(-VLOOKUP(O$8,CreditAmort1BASE[],3),0)-IFERROR(VLOOKUP(O$8,CreditAmort2BASE[],3),0)-IFERROR(VLOOKUP(O$8,CreditAmort3BASE[],3),0)-IFERROR(VLOOKUP(O$8,CreditAmort4BASE[],3),0)</f>
        <v>0</v>
      </c>
      <c r="P73" s="68">
        <f>IFERROR(-VLOOKUP(P$8,CreditAmort1BASE[],3),0)-IFERROR(VLOOKUP(P$8,CreditAmort2BASE[],3),0)-IFERROR(VLOOKUP(P$8,CreditAmort3BASE[],3),0)-IFERROR(VLOOKUP(P$8,CreditAmort4BASE[],3),0)</f>
        <v>0</v>
      </c>
      <c r="Q73" s="68">
        <f>IFERROR(-VLOOKUP(Q$8,CreditAmort1BASE[],3),0)-IFERROR(VLOOKUP(Q$8,CreditAmort2BASE[],3),0)-IFERROR(VLOOKUP(Q$8,CreditAmort3BASE[],3),0)-IFERROR(VLOOKUP(Q$8,CreditAmort4BASE[],3),0)</f>
        <v>0</v>
      </c>
      <c r="R73" s="68">
        <f>IFERROR(-VLOOKUP(R$8,CreditAmort1BASE[],3),0)-IFERROR(VLOOKUP(R$8,CreditAmort2BASE[],3),0)-IFERROR(VLOOKUP(R$8,CreditAmort3BASE[],3),0)-IFERROR(VLOOKUP(R$8,CreditAmort4BASE[],3),0)</f>
        <v>0</v>
      </c>
      <c r="S73" s="68">
        <f>IFERROR(-VLOOKUP(S$8,CreditAmort1BASE[],3),0)-IFERROR(VLOOKUP(S$8,CreditAmort2BASE[],3),0)-IFERROR(VLOOKUP(S$8,CreditAmort3BASE[],3),0)-IFERROR(VLOOKUP(S$8,CreditAmort4BASE[],3),0)</f>
        <v>0</v>
      </c>
      <c r="T73" s="68">
        <f>IFERROR(-VLOOKUP(T$8,CreditAmort1BASE[],3),0)-IFERROR(VLOOKUP(T$8,CreditAmort2BASE[],3),0)-IFERROR(VLOOKUP(T$8,CreditAmort3BASE[],3),0)-IFERROR(VLOOKUP(T$8,CreditAmort4BASE[],3),0)</f>
        <v>0</v>
      </c>
      <c r="U73" s="68">
        <f>IFERROR(-VLOOKUP(U$8,CreditAmort1BASE[],3),0)-IFERROR(VLOOKUP(U$8,CreditAmort2BASE[],3),0)-IFERROR(VLOOKUP(U$8,CreditAmort3BASE[],3),0)-IFERROR(VLOOKUP(U$8,CreditAmort4BASE[],3),0)</f>
        <v>0</v>
      </c>
      <c r="V73" s="68">
        <f>IFERROR(-VLOOKUP(V$8,CreditAmort1BASE[],3),0)-IFERROR(VLOOKUP(V$8,CreditAmort2BASE[],3),0)-IFERROR(VLOOKUP(V$8,CreditAmort3BASE[],3),0)-IFERROR(VLOOKUP(V$8,CreditAmort4BASE[],3),0)</f>
        <v>0</v>
      </c>
      <c r="W73" s="68">
        <f>IFERROR(-VLOOKUP(W$8,CreditAmort1BASE[],3),0)-IFERROR(VLOOKUP(W$8,CreditAmort2BASE[],3),0)-IFERROR(VLOOKUP(W$8,CreditAmort3BASE[],3),0)-IFERROR(VLOOKUP(W$8,CreditAmort4BASE[],3),0)</f>
        <v>0</v>
      </c>
      <c r="X73" s="68">
        <f>IFERROR(-VLOOKUP(X$8,CreditAmort1BASE[],3),0)-IFERROR(VLOOKUP(X$8,CreditAmort2BASE[],3),0)-IFERROR(VLOOKUP(X$8,CreditAmort3BASE[],3),0)-IFERROR(VLOOKUP(X$8,CreditAmort4BASE[],3),0)</f>
        <v>0</v>
      </c>
      <c r="Y73" s="68">
        <f>IFERROR(-VLOOKUP(Y$8,CreditAmort1BASE[],3),0)-IFERROR(VLOOKUP(Y$8,CreditAmort2BASE[],3),0)-IFERROR(VLOOKUP(Y$8,CreditAmort3BASE[],3),0)-IFERROR(VLOOKUP(Y$8,CreditAmort4BASE[],3),0)</f>
        <v>0</v>
      </c>
      <c r="Z73" s="68">
        <f>IFERROR(-VLOOKUP(Z$8,CreditAmort1BASE[],3),0)-IFERROR(VLOOKUP(Z$8,CreditAmort2BASE[],3),0)-IFERROR(VLOOKUP(Z$8,CreditAmort3BASE[],3),0)-IFERROR(VLOOKUP(Z$8,CreditAmort4BASE[],3),0)</f>
        <v>0</v>
      </c>
      <c r="AA73" s="68">
        <f>IFERROR(-VLOOKUP(AA$8,CreditAmort1BASE[],3),0)-IFERROR(VLOOKUP(AA$8,CreditAmort2BASE[],3),0)-IFERROR(VLOOKUP(AA$8,CreditAmort3BASE[],3),0)-IFERROR(VLOOKUP(AA$8,CreditAmort4BASE[],3),0)</f>
        <v>0</v>
      </c>
      <c r="AB73" s="68">
        <f>IFERROR(-VLOOKUP(AB$8,CreditAmort1BASE[],3),0)-IFERROR(VLOOKUP(AB$8,CreditAmort2BASE[],3),0)-IFERROR(VLOOKUP(AB$8,CreditAmort3BASE[],3),0)-IFERROR(VLOOKUP(AB$8,CreditAmort4BASE[],3),0)</f>
        <v>0</v>
      </c>
      <c r="AC73" s="68">
        <f>IFERROR(-VLOOKUP(AC$8,CreditAmort1BASE[],3),0)-IFERROR(VLOOKUP(AC$8,CreditAmort2BASE[],3),0)-IFERROR(VLOOKUP(AC$8,CreditAmort3BASE[],3),0)-IFERROR(VLOOKUP(AC$8,CreditAmort4BASE[],3),0)</f>
        <v>0</v>
      </c>
      <c r="AD73" s="68">
        <f>IFERROR(-VLOOKUP(AD$8,CreditAmort1BASE[],3),0)-IFERROR(VLOOKUP(AD$8,CreditAmort2BASE[],3),0)-IFERROR(VLOOKUP(AD$8,CreditAmort3BASE[],3),0)-IFERROR(VLOOKUP(AD$8,CreditAmort4BASE[],3),0)</f>
        <v>0</v>
      </c>
      <c r="AE73" s="68">
        <f>IFERROR(-VLOOKUP(AE$8,CreditAmort1BASE[],3),0)-IFERROR(VLOOKUP(AE$8,CreditAmort2BASE[],3),0)-IFERROR(VLOOKUP(AE$8,CreditAmort3BASE[],3),0)-IFERROR(VLOOKUP(AE$8,CreditAmort4BASE[],3),0)</f>
        <v>0</v>
      </c>
      <c r="AF73" s="68">
        <f>IFERROR(-VLOOKUP(AF$8,CreditAmort1BASE[],3),0)-IFERROR(VLOOKUP(AF$8,CreditAmort2BASE[],3),0)-IFERROR(VLOOKUP(AF$8,CreditAmort3BASE[],3),0)-IFERROR(VLOOKUP(AF$8,CreditAmort4BASE[],3),0)</f>
        <v>0</v>
      </c>
      <c r="AG73" s="68">
        <f>IFERROR(-VLOOKUP(AG$8,CreditAmort1BASE[],3),0)-IFERROR(VLOOKUP(AG$8,CreditAmort2BASE[],3),0)-IFERROR(VLOOKUP(AG$8,CreditAmort3BASE[],3),0)-IFERROR(VLOOKUP(AG$8,CreditAmort4BASE[],3),0)</f>
        <v>0</v>
      </c>
      <c r="AH73" s="68">
        <f>IFERROR(-VLOOKUP(AH$8,CreditAmort1BASE[],3),0)-IFERROR(VLOOKUP(AH$8,CreditAmort2BASE[],3),0)-IFERROR(VLOOKUP(AH$8,CreditAmort3BASE[],3),0)-IFERROR(VLOOKUP(AH$8,CreditAmort4BASE[],3),0)</f>
        <v>0</v>
      </c>
      <c r="AI73" s="68">
        <f>IFERROR(-VLOOKUP(AI$8,CreditAmort1BASE[],3),0)-IFERROR(VLOOKUP(AI$8,CreditAmort2BASE[],3),0)-IFERROR(VLOOKUP(AI$8,CreditAmort3BASE[],3),0)-IFERROR(VLOOKUP(AI$8,CreditAmort4BASE[],3),0)</f>
        <v>0</v>
      </c>
      <c r="AJ73" s="68">
        <f>IFERROR(-VLOOKUP(AJ$8,CreditAmort1BASE[],3),0)-IFERROR(VLOOKUP(AJ$8,CreditAmort2BASE[],3),0)-IFERROR(VLOOKUP(AJ$8,CreditAmort3BASE[],3),0)-IFERROR(VLOOKUP(AJ$8,CreditAmort4BASE[],3),0)</f>
        <v>0</v>
      </c>
      <c r="AK73" s="68">
        <f>IFERROR(-VLOOKUP(AK$8,CreditAmort1BASE[],3),0)-IFERROR(VLOOKUP(AK$8,CreditAmort2BASE[],3),0)-IFERROR(VLOOKUP(AK$8,CreditAmort3BASE[],3),0)-IFERROR(VLOOKUP(AK$8,CreditAmort4BASE[],3),0)</f>
        <v>0</v>
      </c>
      <c r="AL73" s="68">
        <f>IFERROR(-VLOOKUP(AL$8,CreditAmort1BASE[],3),0)-IFERROR(VLOOKUP(AL$8,CreditAmort2BASE[],3),0)-IFERROR(VLOOKUP(AL$8,CreditAmort3BASE[],3),0)-IFERROR(VLOOKUP(AL$8,CreditAmort4BASE[],3),0)</f>
        <v>0</v>
      </c>
      <c r="AM73" s="68">
        <f>IFERROR(-VLOOKUP(AM$8,CreditAmort1BASE[],3),0)-IFERROR(VLOOKUP(AM$8,CreditAmort2BASE[],3),0)-IFERROR(VLOOKUP(AM$8,CreditAmort3BASE[],3),0)-IFERROR(VLOOKUP(AM$8,CreditAmort4BASE[],3),0)</f>
        <v>0</v>
      </c>
      <c r="AN73" s="68">
        <f>IFERROR(-VLOOKUP(AN$8,CreditAmort1BASE[],3),0)-IFERROR(VLOOKUP(AN$8,CreditAmort2BASE[],3),0)-IFERROR(VLOOKUP(AN$8,CreditAmort3BASE[],3),0)-IFERROR(VLOOKUP(AN$8,CreditAmort4BASE[],3),0)</f>
        <v>0</v>
      </c>
    </row>
    <row r="74" spans="1:40" s="49" customFormat="1">
      <c r="A74" s="2"/>
      <c r="B74" s="2"/>
      <c r="C74" s="32"/>
      <c r="D74" s="52"/>
      <c r="E74" s="67"/>
      <c r="F74" s="67"/>
      <c r="G74" s="67"/>
      <c r="H74" s="67"/>
      <c r="I74" s="67"/>
      <c r="J74" s="67"/>
      <c r="K74" s="67"/>
      <c r="L74" s="67"/>
      <c r="M74" s="67"/>
      <c r="N74" s="67"/>
      <c r="O74" s="67"/>
      <c r="P74" s="67"/>
      <c r="Q74" s="67"/>
      <c r="R74" s="67"/>
      <c r="S74" s="67"/>
      <c r="T74" s="67"/>
      <c r="U74" s="67"/>
      <c r="V74" s="67"/>
      <c r="W74" s="67"/>
      <c r="X74" s="67"/>
      <c r="Y74" s="67"/>
      <c r="Z74" s="67"/>
      <c r="AA74" s="67"/>
      <c r="AB74" s="67"/>
      <c r="AC74" s="67"/>
      <c r="AD74" s="67"/>
      <c r="AE74" s="67"/>
      <c r="AF74" s="67"/>
      <c r="AG74" s="67"/>
      <c r="AH74" s="67"/>
      <c r="AI74" s="67"/>
      <c r="AJ74" s="67"/>
      <c r="AK74" s="67"/>
      <c r="AL74" s="67"/>
      <c r="AM74" s="67"/>
      <c r="AN74" s="67"/>
    </row>
    <row r="75" spans="1:40" s="49" customFormat="1">
      <c r="A75" s="2"/>
      <c r="B75" s="2" t="s">
        <v>226</v>
      </c>
      <c r="C75" s="32"/>
      <c r="D75" s="52"/>
      <c r="E75" s="68">
        <f>SUM(E76:E88)</f>
        <v>0</v>
      </c>
      <c r="F75" s="68">
        <f t="shared" ref="F75:AN75" si="10">SUM(F76:F88)</f>
        <v>0</v>
      </c>
      <c r="G75" s="68">
        <f t="shared" si="10"/>
        <v>0</v>
      </c>
      <c r="H75" s="68">
        <f t="shared" si="10"/>
        <v>0</v>
      </c>
      <c r="I75" s="68">
        <f t="shared" si="10"/>
        <v>0</v>
      </c>
      <c r="J75" s="68">
        <f t="shared" si="10"/>
        <v>0</v>
      </c>
      <c r="K75" s="68">
        <f t="shared" si="10"/>
        <v>0</v>
      </c>
      <c r="L75" s="68">
        <f t="shared" si="10"/>
        <v>0</v>
      </c>
      <c r="M75" s="68">
        <f t="shared" si="10"/>
        <v>0</v>
      </c>
      <c r="N75" s="68">
        <f t="shared" si="10"/>
        <v>0</v>
      </c>
      <c r="O75" s="68">
        <f t="shared" si="10"/>
        <v>150</v>
      </c>
      <c r="P75" s="68">
        <f t="shared" si="10"/>
        <v>150</v>
      </c>
      <c r="Q75" s="68">
        <f t="shared" si="10"/>
        <v>150</v>
      </c>
      <c r="R75" s="68">
        <f t="shared" si="10"/>
        <v>150</v>
      </c>
      <c r="S75" s="68">
        <f t="shared" si="10"/>
        <v>150</v>
      </c>
      <c r="T75" s="68">
        <f t="shared" si="10"/>
        <v>150</v>
      </c>
      <c r="U75" s="68">
        <f t="shared" si="10"/>
        <v>150</v>
      </c>
      <c r="V75" s="68">
        <f t="shared" si="10"/>
        <v>150</v>
      </c>
      <c r="W75" s="68">
        <f t="shared" si="10"/>
        <v>150</v>
      </c>
      <c r="X75" s="68">
        <f t="shared" si="10"/>
        <v>150</v>
      </c>
      <c r="Y75" s="68">
        <f t="shared" si="10"/>
        <v>150</v>
      </c>
      <c r="Z75" s="68">
        <f t="shared" si="10"/>
        <v>150</v>
      </c>
      <c r="AA75" s="68">
        <f t="shared" si="10"/>
        <v>250</v>
      </c>
      <c r="AB75" s="68">
        <f t="shared" si="10"/>
        <v>250</v>
      </c>
      <c r="AC75" s="68">
        <f t="shared" si="10"/>
        <v>250</v>
      </c>
      <c r="AD75" s="68">
        <f t="shared" si="10"/>
        <v>250</v>
      </c>
      <c r="AE75" s="68">
        <f t="shared" si="10"/>
        <v>250</v>
      </c>
      <c r="AF75" s="68">
        <f t="shared" si="10"/>
        <v>250</v>
      </c>
      <c r="AG75" s="68">
        <f t="shared" si="10"/>
        <v>250</v>
      </c>
      <c r="AH75" s="68">
        <f t="shared" si="10"/>
        <v>250</v>
      </c>
      <c r="AI75" s="68">
        <f t="shared" si="10"/>
        <v>250</v>
      </c>
      <c r="AJ75" s="68">
        <f t="shared" si="10"/>
        <v>250</v>
      </c>
      <c r="AK75" s="68">
        <f t="shared" si="10"/>
        <v>250</v>
      </c>
      <c r="AL75" s="68">
        <f t="shared" si="10"/>
        <v>250</v>
      </c>
      <c r="AM75" s="68">
        <f t="shared" si="10"/>
        <v>0</v>
      </c>
      <c r="AN75" s="68">
        <f t="shared" si="10"/>
        <v>0</v>
      </c>
    </row>
    <row r="76" spans="1:40" s="16" customFormat="1">
      <c r="A76" s="1"/>
      <c r="B76" s="1"/>
      <c r="C76" s="34" t="str">
        <f>Inputs!C130</f>
        <v>&lt;One-time purchase #1&gt;</v>
      </c>
      <c r="D76" s="15"/>
      <c r="E76" s="67">
        <f>IF(Inputs!$D$131=E$8,Inputs!$D$130,0)</f>
        <v>0</v>
      </c>
      <c r="F76" s="67">
        <f>IF(Inputs!$D$131=F$8,Inputs!$D$130,0)</f>
        <v>0</v>
      </c>
      <c r="G76" s="67">
        <f>IF(Inputs!$D$131=G$8,Inputs!$D$130,0)</f>
        <v>0</v>
      </c>
      <c r="H76" s="67">
        <f>IF(Inputs!$D$131=H$8,Inputs!$D$130,0)</f>
        <v>0</v>
      </c>
      <c r="I76" s="67">
        <f>IF(Inputs!$D$131=I$8,Inputs!$D$130,0)</f>
        <v>0</v>
      </c>
      <c r="J76" s="67">
        <f>IF(Inputs!$D$131=J$8,Inputs!$D$130,0)</f>
        <v>0</v>
      </c>
      <c r="K76" s="67">
        <f>IF(Inputs!$D$131=K$8,Inputs!$D$130,0)</f>
        <v>0</v>
      </c>
      <c r="L76" s="67">
        <f>IF(Inputs!$D$131=L$8,Inputs!$D$130,0)</f>
        <v>0</v>
      </c>
      <c r="M76" s="67">
        <f>IF(Inputs!$D$131=M$8,Inputs!$D$130,0)</f>
        <v>0</v>
      </c>
      <c r="N76" s="67">
        <f>IF(Inputs!$D$131=N$8,Inputs!$D$130,0)</f>
        <v>0</v>
      </c>
      <c r="O76" s="67">
        <f>IF(Inputs!$D$131=O$8,Inputs!$D$130,0)</f>
        <v>0</v>
      </c>
      <c r="P76" s="67">
        <f>IF(Inputs!$D$131=P$8,Inputs!$D$130,0)</f>
        <v>0</v>
      </c>
      <c r="Q76" s="67">
        <f>IF(Inputs!$D$131=Q$8,Inputs!$D$130,0)</f>
        <v>0</v>
      </c>
      <c r="R76" s="67">
        <f>IF(Inputs!$D$131=R$8,Inputs!$D$130,0)</f>
        <v>0</v>
      </c>
      <c r="S76" s="67">
        <f>IF(Inputs!$D$131=S$8,Inputs!$D$130,0)</f>
        <v>0</v>
      </c>
      <c r="T76" s="67">
        <f>IF(Inputs!$D$131=T$8,Inputs!$D$130,0)</f>
        <v>0</v>
      </c>
      <c r="U76" s="67">
        <f>IF(Inputs!$D$131=U$8,Inputs!$D$130,0)</f>
        <v>0</v>
      </c>
      <c r="V76" s="67">
        <f>IF(Inputs!$D$131=V$8,Inputs!$D$130,0)</f>
        <v>0</v>
      </c>
      <c r="W76" s="67">
        <f>IF(Inputs!$D$131=W$8,Inputs!$D$130,0)</f>
        <v>0</v>
      </c>
      <c r="X76" s="67">
        <f>IF(Inputs!$D$131=X$8,Inputs!$D$130,0)</f>
        <v>0</v>
      </c>
      <c r="Y76" s="67">
        <f>IF(Inputs!$D$131=Y$8,Inputs!$D$130,0)</f>
        <v>0</v>
      </c>
      <c r="Z76" s="67">
        <f>IF(Inputs!$D$131=Z$8,Inputs!$D$130,0)</f>
        <v>0</v>
      </c>
      <c r="AA76" s="67">
        <f>IF(Inputs!$D$131=AA$8,Inputs!$D$130,0)</f>
        <v>0</v>
      </c>
      <c r="AB76" s="67">
        <f>IF(Inputs!$D$131=AB$8,Inputs!$D$130,0)</f>
        <v>0</v>
      </c>
      <c r="AC76" s="67">
        <f>IF(Inputs!$D$131=AC$8,Inputs!$D$130,0)</f>
        <v>0</v>
      </c>
      <c r="AD76" s="67">
        <f>IF(Inputs!$D$131=AD$8,Inputs!$D$130,0)</f>
        <v>0</v>
      </c>
      <c r="AE76" s="67">
        <f>IF(Inputs!$D$131=AE$8,Inputs!$D$130,0)</f>
        <v>0</v>
      </c>
      <c r="AF76" s="67">
        <f>IF(Inputs!$D$131=AF$8,Inputs!$D$130,0)</f>
        <v>0</v>
      </c>
      <c r="AG76" s="67">
        <f>IF(Inputs!$D$131=AG$8,Inputs!$D$130,0)</f>
        <v>0</v>
      </c>
      <c r="AH76" s="67">
        <f>IF(Inputs!$D$131=AH$8,Inputs!$D$130,0)</f>
        <v>0</v>
      </c>
      <c r="AI76" s="67">
        <f>IF(Inputs!$D$131=AI$8,Inputs!$D$130,0)</f>
        <v>0</v>
      </c>
      <c r="AJ76" s="67">
        <f>IF(Inputs!$D$131=AJ$8,Inputs!$D$130,0)</f>
        <v>0</v>
      </c>
      <c r="AK76" s="67">
        <f>IF(Inputs!$D$131=AK$8,Inputs!$D$130,0)</f>
        <v>0</v>
      </c>
      <c r="AL76" s="67">
        <f>IF(Inputs!$D$131=AL$8,Inputs!$D$130,0)</f>
        <v>0</v>
      </c>
      <c r="AM76" s="67">
        <f>IF(Inputs!$D$131=AM$8,Inputs!$D$130,0)</f>
        <v>0</v>
      </c>
      <c r="AN76" s="67">
        <f>IF(Inputs!$D$131=AN$8,Inputs!$D$130,0)</f>
        <v>0</v>
      </c>
    </row>
    <row r="77" spans="1:40" s="16" customFormat="1">
      <c r="A77" s="1"/>
      <c r="B77" s="1"/>
      <c r="C77" s="34" t="str">
        <f>Inputs!C132</f>
        <v>&lt;One-time purchase #2&gt;</v>
      </c>
      <c r="D77" s="15"/>
      <c r="E77" s="67">
        <f>IF(Inputs!$D$133=E$8,Inputs!$D$130,0)</f>
        <v>0</v>
      </c>
      <c r="F77" s="67">
        <f>IF(Inputs!$D$133=F$8,Inputs!$D$130,0)</f>
        <v>0</v>
      </c>
      <c r="G77" s="67">
        <f>IF(Inputs!$D$133=G$8,Inputs!$D$130,0)</f>
        <v>0</v>
      </c>
      <c r="H77" s="67">
        <f>IF(Inputs!$D$133=H$8,Inputs!$D$130,0)</f>
        <v>0</v>
      </c>
      <c r="I77" s="67">
        <f>IF(Inputs!$D$133=I$8,Inputs!$D$130,0)</f>
        <v>0</v>
      </c>
      <c r="J77" s="67">
        <f>IF(Inputs!$D$133=J$8,Inputs!$D$130,0)</f>
        <v>0</v>
      </c>
      <c r="K77" s="67">
        <f>IF(Inputs!$D$133=K$8,Inputs!$D$130,0)</f>
        <v>0</v>
      </c>
      <c r="L77" s="67">
        <f>IF(Inputs!$D$133=L$8,Inputs!$D$130,0)</f>
        <v>0</v>
      </c>
      <c r="M77" s="67">
        <f>IF(Inputs!$D$133=M$8,Inputs!$D$130,0)</f>
        <v>0</v>
      </c>
      <c r="N77" s="67">
        <f>IF(Inputs!$D$133=N$8,Inputs!$D$130,0)</f>
        <v>0</v>
      </c>
      <c r="O77" s="67">
        <f>IF(Inputs!$D$133=O$8,Inputs!$D$130,0)</f>
        <v>0</v>
      </c>
      <c r="P77" s="67">
        <f>IF(Inputs!$D$133=P$8,Inputs!$D$130,0)</f>
        <v>0</v>
      </c>
      <c r="Q77" s="67">
        <f>IF(Inputs!$D$133=Q$8,Inputs!$D$130,0)</f>
        <v>0</v>
      </c>
      <c r="R77" s="67">
        <f>IF(Inputs!$D$133=R$8,Inputs!$D$130,0)</f>
        <v>0</v>
      </c>
      <c r="S77" s="67">
        <f>IF(Inputs!$D$133=S$8,Inputs!$D$130,0)</f>
        <v>0</v>
      </c>
      <c r="T77" s="67">
        <f>IF(Inputs!$D$133=T$8,Inputs!$D$130,0)</f>
        <v>0</v>
      </c>
      <c r="U77" s="67">
        <f>IF(Inputs!$D$133=U$8,Inputs!$D$130,0)</f>
        <v>0</v>
      </c>
      <c r="V77" s="67">
        <f>IF(Inputs!$D$133=V$8,Inputs!$D$130,0)</f>
        <v>0</v>
      </c>
      <c r="W77" s="67">
        <f>IF(Inputs!$D$133=W$8,Inputs!$D$130,0)</f>
        <v>0</v>
      </c>
      <c r="X77" s="67">
        <f>IF(Inputs!$D$133=X$8,Inputs!$D$130,0)</f>
        <v>0</v>
      </c>
      <c r="Y77" s="67">
        <f>IF(Inputs!$D$133=Y$8,Inputs!$D$130,0)</f>
        <v>0</v>
      </c>
      <c r="Z77" s="67">
        <f>IF(Inputs!$D$133=Z$8,Inputs!$D$130,0)</f>
        <v>0</v>
      </c>
      <c r="AA77" s="67">
        <f>IF(Inputs!$D$133=AA$8,Inputs!$D$130,0)</f>
        <v>0</v>
      </c>
      <c r="AB77" s="67">
        <f>IF(Inputs!$D$133=AB$8,Inputs!$D$130,0)</f>
        <v>0</v>
      </c>
      <c r="AC77" s="67">
        <f>IF(Inputs!$D$133=AC$8,Inputs!$D$130,0)</f>
        <v>0</v>
      </c>
      <c r="AD77" s="67">
        <f>IF(Inputs!$D$133=AD$8,Inputs!$D$130,0)</f>
        <v>0</v>
      </c>
      <c r="AE77" s="67">
        <f>IF(Inputs!$D$133=AE$8,Inputs!$D$130,0)</f>
        <v>0</v>
      </c>
      <c r="AF77" s="67">
        <f>IF(Inputs!$D$133=AF$8,Inputs!$D$130,0)</f>
        <v>0</v>
      </c>
      <c r="AG77" s="67">
        <f>IF(Inputs!$D$133=AG$8,Inputs!$D$130,0)</f>
        <v>0</v>
      </c>
      <c r="AH77" s="67">
        <f>IF(Inputs!$D$133=AH$8,Inputs!$D$130,0)</f>
        <v>0</v>
      </c>
      <c r="AI77" s="67">
        <f>IF(Inputs!$D$133=AI$8,Inputs!$D$130,0)</f>
        <v>0</v>
      </c>
      <c r="AJ77" s="67">
        <f>IF(Inputs!$D$133=AJ$8,Inputs!$D$130,0)</f>
        <v>0</v>
      </c>
      <c r="AK77" s="67">
        <f>IF(Inputs!$D$133=AK$8,Inputs!$D$130,0)</f>
        <v>0</v>
      </c>
      <c r="AL77" s="67">
        <f>IF(Inputs!$D$133=AL$8,Inputs!$D$130,0)</f>
        <v>0</v>
      </c>
      <c r="AM77" s="67">
        <f>IF(Inputs!$D$133=AM$8,Inputs!$D$130,0)</f>
        <v>0</v>
      </c>
      <c r="AN77" s="67">
        <f>IF(Inputs!$D$133=AN$8,Inputs!$D$130,0)</f>
        <v>0</v>
      </c>
    </row>
    <row r="78" spans="1:40" s="16" customFormat="1">
      <c r="A78" s="1"/>
      <c r="B78" s="1"/>
      <c r="C78" s="34" t="str">
        <f>Inputs!C134</f>
        <v>&lt;One-time purchase #3&gt;</v>
      </c>
      <c r="D78" s="15"/>
      <c r="E78" s="67">
        <f>IF(Inputs!$D$135=E$8,Inputs!$D$130,0)</f>
        <v>0</v>
      </c>
      <c r="F78" s="67">
        <f>IF(Inputs!$D$135=F$8,Inputs!$D$130,0)</f>
        <v>0</v>
      </c>
      <c r="G78" s="67">
        <f>IF(Inputs!$D$135=G$8,Inputs!$D$130,0)</f>
        <v>0</v>
      </c>
      <c r="H78" s="67">
        <f>IF(Inputs!$D$135=H$8,Inputs!$D$130,0)</f>
        <v>0</v>
      </c>
      <c r="I78" s="67">
        <f>IF(Inputs!$D$135=I$8,Inputs!$D$130,0)</f>
        <v>0</v>
      </c>
      <c r="J78" s="67">
        <f>IF(Inputs!$D$135=J$8,Inputs!$D$130,0)</f>
        <v>0</v>
      </c>
      <c r="K78" s="67">
        <f>IF(Inputs!$D$135=K$8,Inputs!$D$130,0)</f>
        <v>0</v>
      </c>
      <c r="L78" s="67">
        <f>IF(Inputs!$D$135=L$8,Inputs!$D$130,0)</f>
        <v>0</v>
      </c>
      <c r="M78" s="67">
        <f>IF(Inputs!$D$135=M$8,Inputs!$D$130,0)</f>
        <v>0</v>
      </c>
      <c r="N78" s="67">
        <f>IF(Inputs!$D$135=N$8,Inputs!$D$130,0)</f>
        <v>0</v>
      </c>
      <c r="O78" s="67">
        <f>IF(Inputs!$D$135=O$8,Inputs!$D$130,0)</f>
        <v>0</v>
      </c>
      <c r="P78" s="67">
        <f>IF(Inputs!$D$135=P$8,Inputs!$D$130,0)</f>
        <v>0</v>
      </c>
      <c r="Q78" s="67">
        <f>IF(Inputs!$D$135=Q$8,Inputs!$D$130,0)</f>
        <v>0</v>
      </c>
      <c r="R78" s="67">
        <f>IF(Inputs!$D$135=R$8,Inputs!$D$130,0)</f>
        <v>0</v>
      </c>
      <c r="S78" s="67">
        <f>IF(Inputs!$D$135=S$8,Inputs!$D$130,0)</f>
        <v>0</v>
      </c>
      <c r="T78" s="67">
        <f>IF(Inputs!$D$135=T$8,Inputs!$D$130,0)</f>
        <v>0</v>
      </c>
      <c r="U78" s="67">
        <f>IF(Inputs!$D$135=U$8,Inputs!$D$130,0)</f>
        <v>0</v>
      </c>
      <c r="V78" s="67">
        <f>IF(Inputs!$D$135=V$8,Inputs!$D$130,0)</f>
        <v>0</v>
      </c>
      <c r="W78" s="67">
        <f>IF(Inputs!$D$135=W$8,Inputs!$D$130,0)</f>
        <v>0</v>
      </c>
      <c r="X78" s="67">
        <f>IF(Inputs!$D$135=X$8,Inputs!$D$130,0)</f>
        <v>0</v>
      </c>
      <c r="Y78" s="67">
        <f>IF(Inputs!$D$135=Y$8,Inputs!$D$130,0)</f>
        <v>0</v>
      </c>
      <c r="Z78" s="67">
        <f>IF(Inputs!$D$135=Z$8,Inputs!$D$130,0)</f>
        <v>0</v>
      </c>
      <c r="AA78" s="67">
        <f>IF(Inputs!$D$135=AA$8,Inputs!$D$130,0)</f>
        <v>0</v>
      </c>
      <c r="AB78" s="67">
        <f>IF(Inputs!$D$135=AB$8,Inputs!$D$130,0)</f>
        <v>0</v>
      </c>
      <c r="AC78" s="67">
        <f>IF(Inputs!$D$135=AC$8,Inputs!$D$130,0)</f>
        <v>0</v>
      </c>
      <c r="AD78" s="67">
        <f>IF(Inputs!$D$135=AD$8,Inputs!$D$130,0)</f>
        <v>0</v>
      </c>
      <c r="AE78" s="67">
        <f>IF(Inputs!$D$135=AE$8,Inputs!$D$130,0)</f>
        <v>0</v>
      </c>
      <c r="AF78" s="67">
        <f>IF(Inputs!$D$135=AF$8,Inputs!$D$130,0)</f>
        <v>0</v>
      </c>
      <c r="AG78" s="67">
        <f>IF(Inputs!$D$135=AG$8,Inputs!$D$130,0)</f>
        <v>0</v>
      </c>
      <c r="AH78" s="67">
        <f>IF(Inputs!$D$135=AH$8,Inputs!$D$130,0)</f>
        <v>0</v>
      </c>
      <c r="AI78" s="67">
        <f>IF(Inputs!$D$135=AI$8,Inputs!$D$130,0)</f>
        <v>0</v>
      </c>
      <c r="AJ78" s="67">
        <f>IF(Inputs!$D$135=AJ$8,Inputs!$D$130,0)</f>
        <v>0</v>
      </c>
      <c r="AK78" s="67">
        <f>IF(Inputs!$D$135=AK$8,Inputs!$D$130,0)</f>
        <v>0</v>
      </c>
      <c r="AL78" s="67">
        <f>IF(Inputs!$D$135=AL$8,Inputs!$D$130,0)</f>
        <v>0</v>
      </c>
      <c r="AM78" s="67">
        <f>IF(Inputs!$D$135=AM$8,Inputs!$D$130,0)</f>
        <v>0</v>
      </c>
      <c r="AN78" s="67">
        <f>IF(Inputs!$D$135=AN$8,Inputs!$D$130,0)</f>
        <v>0</v>
      </c>
    </row>
    <row r="79" spans="1:40" s="16" customFormat="1">
      <c r="A79" s="1"/>
      <c r="B79" s="1"/>
      <c r="C79" s="34" t="str">
        <f>Inputs!C136</f>
        <v>&lt;One-time purchase #4&gt;</v>
      </c>
      <c r="D79" s="15"/>
      <c r="E79" s="67">
        <f>IF(Inputs!$D$137=E$8,Inputs!$D$130,0)</f>
        <v>0</v>
      </c>
      <c r="F79" s="67">
        <f>IF(Inputs!$D$137=F$8,Inputs!$D$130,0)</f>
        <v>0</v>
      </c>
      <c r="G79" s="67">
        <f>IF(Inputs!$D$137=G$8,Inputs!$D$130,0)</f>
        <v>0</v>
      </c>
      <c r="H79" s="67">
        <f>IF(Inputs!$D$137=H$8,Inputs!$D$130,0)</f>
        <v>0</v>
      </c>
      <c r="I79" s="67">
        <f>IF(Inputs!$D$137=I$8,Inputs!$D$130,0)</f>
        <v>0</v>
      </c>
      <c r="J79" s="67">
        <f>IF(Inputs!$D$137=J$8,Inputs!$D$130,0)</f>
        <v>0</v>
      </c>
      <c r="K79" s="67">
        <f>IF(Inputs!$D$137=K$8,Inputs!$D$130,0)</f>
        <v>0</v>
      </c>
      <c r="L79" s="67">
        <f>IF(Inputs!$D$137=L$8,Inputs!$D$130,0)</f>
        <v>0</v>
      </c>
      <c r="M79" s="67">
        <f>IF(Inputs!$D$137=M$8,Inputs!$D$130,0)</f>
        <v>0</v>
      </c>
      <c r="N79" s="67">
        <f>IF(Inputs!$D$137=N$8,Inputs!$D$130,0)</f>
        <v>0</v>
      </c>
      <c r="O79" s="67">
        <f>IF(Inputs!$D$137=O$8,Inputs!$D$130,0)</f>
        <v>0</v>
      </c>
      <c r="P79" s="67">
        <f>IF(Inputs!$D$137=P$8,Inputs!$D$130,0)</f>
        <v>0</v>
      </c>
      <c r="Q79" s="67">
        <f>IF(Inputs!$D$137=Q$8,Inputs!$D$130,0)</f>
        <v>0</v>
      </c>
      <c r="R79" s="67">
        <f>IF(Inputs!$D$137=R$8,Inputs!$D$130,0)</f>
        <v>0</v>
      </c>
      <c r="S79" s="67">
        <f>IF(Inputs!$D$137=S$8,Inputs!$D$130,0)</f>
        <v>0</v>
      </c>
      <c r="T79" s="67">
        <f>IF(Inputs!$D$137=T$8,Inputs!$D$130,0)</f>
        <v>0</v>
      </c>
      <c r="U79" s="67">
        <f>IF(Inputs!$D$137=U$8,Inputs!$D$130,0)</f>
        <v>0</v>
      </c>
      <c r="V79" s="67">
        <f>IF(Inputs!$D$137=V$8,Inputs!$D$130,0)</f>
        <v>0</v>
      </c>
      <c r="W79" s="67">
        <f>IF(Inputs!$D$137=W$8,Inputs!$D$130,0)</f>
        <v>0</v>
      </c>
      <c r="X79" s="67">
        <f>IF(Inputs!$D$137=X$8,Inputs!$D$130,0)</f>
        <v>0</v>
      </c>
      <c r="Y79" s="67">
        <f>IF(Inputs!$D$137=Y$8,Inputs!$D$130,0)</f>
        <v>0</v>
      </c>
      <c r="Z79" s="67">
        <f>IF(Inputs!$D$137=Z$8,Inputs!$D$130,0)</f>
        <v>0</v>
      </c>
      <c r="AA79" s="67">
        <f>IF(Inputs!$D$137=AA$8,Inputs!$D$130,0)</f>
        <v>0</v>
      </c>
      <c r="AB79" s="67">
        <f>IF(Inputs!$D$137=AB$8,Inputs!$D$130,0)</f>
        <v>0</v>
      </c>
      <c r="AC79" s="67">
        <f>IF(Inputs!$D$137=AC$8,Inputs!$D$130,0)</f>
        <v>0</v>
      </c>
      <c r="AD79" s="67">
        <f>IF(Inputs!$D$137=AD$8,Inputs!$D$130,0)</f>
        <v>0</v>
      </c>
      <c r="AE79" s="67">
        <f>IF(Inputs!$D$137=AE$8,Inputs!$D$130,0)</f>
        <v>0</v>
      </c>
      <c r="AF79" s="67">
        <f>IF(Inputs!$D$137=AF$8,Inputs!$D$130,0)</f>
        <v>0</v>
      </c>
      <c r="AG79" s="67">
        <f>IF(Inputs!$D$137=AG$8,Inputs!$D$130,0)</f>
        <v>0</v>
      </c>
      <c r="AH79" s="67">
        <f>IF(Inputs!$D$137=AH$8,Inputs!$D$130,0)</f>
        <v>0</v>
      </c>
      <c r="AI79" s="67">
        <f>IF(Inputs!$D$137=AI$8,Inputs!$D$130,0)</f>
        <v>0</v>
      </c>
      <c r="AJ79" s="67">
        <f>IF(Inputs!$D$137=AJ$8,Inputs!$D$130,0)</f>
        <v>0</v>
      </c>
      <c r="AK79" s="67">
        <f>IF(Inputs!$D$137=AK$8,Inputs!$D$130,0)</f>
        <v>0</v>
      </c>
      <c r="AL79" s="67">
        <f>IF(Inputs!$D$137=AL$8,Inputs!$D$130,0)</f>
        <v>0</v>
      </c>
      <c r="AM79" s="67">
        <f>IF(Inputs!$D$137=AM$8,Inputs!$D$130,0)</f>
        <v>0</v>
      </c>
      <c r="AN79" s="67">
        <f>IF(Inputs!$D$137=AN$8,Inputs!$D$130,0)</f>
        <v>0</v>
      </c>
    </row>
    <row r="80" spans="1:40" s="16" customFormat="1">
      <c r="A80" s="1"/>
      <c r="B80" s="1"/>
      <c r="C80" s="34" t="str">
        <f>Inputs!C138</f>
        <v>&lt;One-time purchase #5&gt;</v>
      </c>
      <c r="D80" s="15"/>
      <c r="E80" s="67">
        <f>IF(Inputs!$D$139=E$8,Inputs!$D$130,0)</f>
        <v>0</v>
      </c>
      <c r="F80" s="67">
        <f>IF(Inputs!$D$139=F$8,Inputs!$D$130,0)</f>
        <v>0</v>
      </c>
      <c r="G80" s="67">
        <f>IF(Inputs!$D$139=G$8,Inputs!$D$130,0)</f>
        <v>0</v>
      </c>
      <c r="H80" s="67">
        <f>IF(Inputs!$D$139=H$8,Inputs!$D$130,0)</f>
        <v>0</v>
      </c>
      <c r="I80" s="67">
        <f>IF(Inputs!$D$139=I$8,Inputs!$D$130,0)</f>
        <v>0</v>
      </c>
      <c r="J80" s="67">
        <f>IF(Inputs!$D$139=J$8,Inputs!$D$130,0)</f>
        <v>0</v>
      </c>
      <c r="K80" s="67">
        <f>IF(Inputs!$D$139=K$8,Inputs!$D$130,0)</f>
        <v>0</v>
      </c>
      <c r="L80" s="67">
        <f>IF(Inputs!$D$139=L$8,Inputs!$D$130,0)</f>
        <v>0</v>
      </c>
      <c r="M80" s="67">
        <f>IF(Inputs!$D$139=M$8,Inputs!$D$130,0)</f>
        <v>0</v>
      </c>
      <c r="N80" s="67">
        <f>IF(Inputs!$D$139=N$8,Inputs!$D$130,0)</f>
        <v>0</v>
      </c>
      <c r="O80" s="67">
        <f>IF(Inputs!$D$139=O$8,Inputs!$D$130,0)</f>
        <v>0</v>
      </c>
      <c r="P80" s="67">
        <f>IF(Inputs!$D$139=P$8,Inputs!$D$130,0)</f>
        <v>0</v>
      </c>
      <c r="Q80" s="67">
        <f>IF(Inputs!$D$139=Q$8,Inputs!$D$130,0)</f>
        <v>0</v>
      </c>
      <c r="R80" s="67">
        <f>IF(Inputs!$D$139=R$8,Inputs!$D$130,0)</f>
        <v>0</v>
      </c>
      <c r="S80" s="67">
        <f>IF(Inputs!$D$139=S$8,Inputs!$D$130,0)</f>
        <v>0</v>
      </c>
      <c r="T80" s="67">
        <f>IF(Inputs!$D$139=T$8,Inputs!$D$130,0)</f>
        <v>0</v>
      </c>
      <c r="U80" s="67">
        <f>IF(Inputs!$D$139=U$8,Inputs!$D$130,0)</f>
        <v>0</v>
      </c>
      <c r="V80" s="67">
        <f>IF(Inputs!$D$139=V$8,Inputs!$D$130,0)</f>
        <v>0</v>
      </c>
      <c r="W80" s="67">
        <f>IF(Inputs!$D$139=W$8,Inputs!$D$130,0)</f>
        <v>0</v>
      </c>
      <c r="X80" s="67">
        <f>IF(Inputs!$D$139=X$8,Inputs!$D$130,0)</f>
        <v>0</v>
      </c>
      <c r="Y80" s="67">
        <f>IF(Inputs!$D$139=Y$8,Inputs!$D$130,0)</f>
        <v>0</v>
      </c>
      <c r="Z80" s="67">
        <f>IF(Inputs!$D$139=Z$8,Inputs!$D$130,0)</f>
        <v>0</v>
      </c>
      <c r="AA80" s="67">
        <f>IF(Inputs!$D$139=AA$8,Inputs!$D$130,0)</f>
        <v>0</v>
      </c>
      <c r="AB80" s="67">
        <f>IF(Inputs!$D$139=AB$8,Inputs!$D$130,0)</f>
        <v>0</v>
      </c>
      <c r="AC80" s="67">
        <f>IF(Inputs!$D$139=AC$8,Inputs!$D$130,0)</f>
        <v>0</v>
      </c>
      <c r="AD80" s="67">
        <f>IF(Inputs!$D$139=AD$8,Inputs!$D$130,0)</f>
        <v>0</v>
      </c>
      <c r="AE80" s="67">
        <f>IF(Inputs!$D$139=AE$8,Inputs!$D$130,0)</f>
        <v>0</v>
      </c>
      <c r="AF80" s="67">
        <f>IF(Inputs!$D$139=AF$8,Inputs!$D$130,0)</f>
        <v>0</v>
      </c>
      <c r="AG80" s="67">
        <f>IF(Inputs!$D$139=AG$8,Inputs!$D$130,0)</f>
        <v>0</v>
      </c>
      <c r="AH80" s="67">
        <f>IF(Inputs!$D$139=AH$8,Inputs!$D$130,0)</f>
        <v>0</v>
      </c>
      <c r="AI80" s="67">
        <f>IF(Inputs!$D$139=AI$8,Inputs!$D$130,0)</f>
        <v>0</v>
      </c>
      <c r="AJ80" s="67">
        <f>IF(Inputs!$D$139=AJ$8,Inputs!$D$130,0)</f>
        <v>0</v>
      </c>
      <c r="AK80" s="67">
        <f>IF(Inputs!$D$139=AK$8,Inputs!$D$130,0)</f>
        <v>0</v>
      </c>
      <c r="AL80" s="67">
        <f>IF(Inputs!$D$139=AL$8,Inputs!$D$130,0)</f>
        <v>0</v>
      </c>
      <c r="AM80" s="67">
        <f>IF(Inputs!$D$139=AM$8,Inputs!$D$130,0)</f>
        <v>0</v>
      </c>
      <c r="AN80" s="67">
        <f>IF(Inputs!$D$139=AN$8,Inputs!$D$130,0)</f>
        <v>0</v>
      </c>
    </row>
    <row r="81" spans="1:40" s="16" customFormat="1">
      <c r="A81" s="1"/>
      <c r="B81" s="1"/>
      <c r="C81" s="34" t="str">
        <f>Inputs!C141</f>
        <v>Insurance - CY 2</v>
      </c>
      <c r="D81" s="15"/>
      <c r="E81" s="67">
        <f>IF(E$9=Inputs!$D$142,Inputs!$D$141,0)</f>
        <v>0</v>
      </c>
      <c r="F81" s="67">
        <f>IF(F$9=Inputs!$D$142,Inputs!$D$141,0)</f>
        <v>0</v>
      </c>
      <c r="G81" s="67">
        <f>IF(G$9=Inputs!$D$142,Inputs!$D$141,0)</f>
        <v>0</v>
      </c>
      <c r="H81" s="67">
        <f>IF(H$9=Inputs!$D$142,Inputs!$D$141,0)</f>
        <v>0</v>
      </c>
      <c r="I81" s="67">
        <f>IF(I$9=Inputs!$D$142,Inputs!$D$141,0)</f>
        <v>0</v>
      </c>
      <c r="J81" s="67">
        <f>IF(J$9=Inputs!$D$142,Inputs!$D$141,0)</f>
        <v>0</v>
      </c>
      <c r="K81" s="67">
        <f>IF(K$9=Inputs!$D$142,Inputs!$D$141,0)</f>
        <v>0</v>
      </c>
      <c r="L81" s="67">
        <f>IF(L$9=Inputs!$D$142,Inputs!$D$141,0)</f>
        <v>0</v>
      </c>
      <c r="M81" s="67">
        <f>IF(M$9=Inputs!$D$142,Inputs!$D$141,0)</f>
        <v>0</v>
      </c>
      <c r="N81" s="67">
        <f>IF(N$9=Inputs!$D$142,Inputs!$D$141,0)</f>
        <v>0</v>
      </c>
      <c r="O81" s="67">
        <f>IF(O$9=Inputs!$D$142,Inputs!$D$141,0)</f>
        <v>150</v>
      </c>
      <c r="P81" s="67">
        <f>IF(P$9=Inputs!$D$142,Inputs!$D$141,0)</f>
        <v>150</v>
      </c>
      <c r="Q81" s="67">
        <f>IF(Q$9=Inputs!$D$142,Inputs!$D$141,0)</f>
        <v>150</v>
      </c>
      <c r="R81" s="67">
        <f>IF(R$9=Inputs!$D$142,Inputs!$D$141,0)</f>
        <v>150</v>
      </c>
      <c r="S81" s="67">
        <f>IF(S$9=Inputs!$D$142,Inputs!$D$141,0)</f>
        <v>150</v>
      </c>
      <c r="T81" s="67">
        <f>IF(T$9=Inputs!$D$142,Inputs!$D$141,0)</f>
        <v>150</v>
      </c>
      <c r="U81" s="67">
        <f>IF(U$9=Inputs!$D$142,Inputs!$D$141,0)</f>
        <v>150</v>
      </c>
      <c r="V81" s="67">
        <f>IF(V$9=Inputs!$D$142,Inputs!$D$141,0)</f>
        <v>150</v>
      </c>
      <c r="W81" s="67">
        <f>IF(W$9=Inputs!$D$142,Inputs!$D$141,0)</f>
        <v>150</v>
      </c>
      <c r="X81" s="67">
        <f>IF(X$9=Inputs!$D$142,Inputs!$D$141,0)</f>
        <v>150</v>
      </c>
      <c r="Y81" s="67">
        <f>IF(Y$9=Inputs!$D$142,Inputs!$D$141,0)</f>
        <v>150</v>
      </c>
      <c r="Z81" s="67">
        <f>IF(Z$9=Inputs!$D$142,Inputs!$D$141,0)</f>
        <v>150</v>
      </c>
      <c r="AA81" s="67">
        <f>IF(AA$9=Inputs!$D$142,Inputs!$D$141,0)</f>
        <v>0</v>
      </c>
      <c r="AB81" s="67">
        <f>IF(AB$9=Inputs!$D$142,Inputs!$D$141,0)</f>
        <v>0</v>
      </c>
      <c r="AC81" s="67">
        <f>IF(AC$9=Inputs!$D$142,Inputs!$D$141,0)</f>
        <v>0</v>
      </c>
      <c r="AD81" s="67">
        <f>IF(AD$9=Inputs!$D$142,Inputs!$D$141,0)</f>
        <v>0</v>
      </c>
      <c r="AE81" s="67">
        <f>IF(AE$9=Inputs!$D$142,Inputs!$D$141,0)</f>
        <v>0</v>
      </c>
      <c r="AF81" s="67">
        <f>IF(AF$9=Inputs!$D$142,Inputs!$D$141,0)</f>
        <v>0</v>
      </c>
      <c r="AG81" s="67">
        <f>IF(AG$9=Inputs!$D$142,Inputs!$D$141,0)</f>
        <v>0</v>
      </c>
      <c r="AH81" s="67">
        <f>IF(AH$9=Inputs!$D$142,Inputs!$D$141,0)</f>
        <v>0</v>
      </c>
      <c r="AI81" s="67">
        <f>IF(AI$9=Inputs!$D$142,Inputs!$D$141,0)</f>
        <v>0</v>
      </c>
      <c r="AJ81" s="67">
        <f>IF(AJ$9=Inputs!$D$142,Inputs!$D$141,0)</f>
        <v>0</v>
      </c>
      <c r="AK81" s="67">
        <f>IF(AK$9=Inputs!$D$142,Inputs!$D$141,0)</f>
        <v>0</v>
      </c>
      <c r="AL81" s="67">
        <f>IF(AL$9=Inputs!$D$142,Inputs!$D$141,0)</f>
        <v>0</v>
      </c>
      <c r="AM81" s="67">
        <f>IF(AM$9=Inputs!$D$142,Inputs!$D$141,0)</f>
        <v>0</v>
      </c>
      <c r="AN81" s="67">
        <f>IF(AN$9=Inputs!$D$142,Inputs!$D$141,0)</f>
        <v>0</v>
      </c>
    </row>
    <row r="82" spans="1:40" s="16" customFormat="1">
      <c r="A82" s="1"/>
      <c r="B82" s="1"/>
      <c r="C82" s="34" t="str">
        <f>Inputs!C143</f>
        <v>Insurance - CY 3</v>
      </c>
      <c r="D82" s="15"/>
      <c r="E82" s="67">
        <f>IF(E$9=Inputs!$D$144,Inputs!$D$143,0)</f>
        <v>0</v>
      </c>
      <c r="F82" s="67">
        <f>IF(F$9=Inputs!$D$144,Inputs!$D$143,0)</f>
        <v>0</v>
      </c>
      <c r="G82" s="67">
        <f>IF(G$9=Inputs!$D$144,Inputs!$D$143,0)</f>
        <v>0</v>
      </c>
      <c r="H82" s="67">
        <f>IF(H$9=Inputs!$D$144,Inputs!$D$143,0)</f>
        <v>0</v>
      </c>
      <c r="I82" s="67">
        <f>IF(I$9=Inputs!$D$144,Inputs!$D$143,0)</f>
        <v>0</v>
      </c>
      <c r="J82" s="67">
        <f>IF(J$9=Inputs!$D$144,Inputs!$D$143,0)</f>
        <v>0</v>
      </c>
      <c r="K82" s="67">
        <f>IF(K$9=Inputs!$D$144,Inputs!$D$143,0)</f>
        <v>0</v>
      </c>
      <c r="L82" s="67">
        <f>IF(L$9=Inputs!$D$144,Inputs!$D$143,0)</f>
        <v>0</v>
      </c>
      <c r="M82" s="67">
        <f>IF(M$9=Inputs!$D$144,Inputs!$D$143,0)</f>
        <v>0</v>
      </c>
      <c r="N82" s="67">
        <f>IF(N$9=Inputs!$D$144,Inputs!$D$143,0)</f>
        <v>0</v>
      </c>
      <c r="O82" s="67">
        <f>IF(O$9=Inputs!$D$144,Inputs!$D$143,0)</f>
        <v>0</v>
      </c>
      <c r="P82" s="67">
        <f>IF(P$9=Inputs!$D$144,Inputs!$D$143,0)</f>
        <v>0</v>
      </c>
      <c r="Q82" s="67">
        <f>IF(Q$9=Inputs!$D$144,Inputs!$D$143,0)</f>
        <v>0</v>
      </c>
      <c r="R82" s="67">
        <f>IF(R$9=Inputs!$D$144,Inputs!$D$143,0)</f>
        <v>0</v>
      </c>
      <c r="S82" s="67">
        <f>IF(S$9=Inputs!$D$144,Inputs!$D$143,0)</f>
        <v>0</v>
      </c>
      <c r="T82" s="67">
        <f>IF(T$9=Inputs!$D$144,Inputs!$D$143,0)</f>
        <v>0</v>
      </c>
      <c r="U82" s="67">
        <f>IF(U$9=Inputs!$D$144,Inputs!$D$143,0)</f>
        <v>0</v>
      </c>
      <c r="V82" s="67">
        <f>IF(V$9=Inputs!$D$144,Inputs!$D$143,0)</f>
        <v>0</v>
      </c>
      <c r="W82" s="67">
        <f>IF(W$9=Inputs!$D$144,Inputs!$D$143,0)</f>
        <v>0</v>
      </c>
      <c r="X82" s="67">
        <f>IF(X$9=Inputs!$D$144,Inputs!$D$143,0)</f>
        <v>0</v>
      </c>
      <c r="Y82" s="67">
        <f>IF(Y$9=Inputs!$D$144,Inputs!$D$143,0)</f>
        <v>0</v>
      </c>
      <c r="Z82" s="67">
        <f>IF(Z$9=Inputs!$D$144,Inputs!$D$143,0)</f>
        <v>0</v>
      </c>
      <c r="AA82" s="67">
        <f>IF(AA$9=Inputs!$D$144,Inputs!$D$143,0)</f>
        <v>250</v>
      </c>
      <c r="AB82" s="67">
        <f>IF(AB$9=Inputs!$D$144,Inputs!$D$143,0)</f>
        <v>250</v>
      </c>
      <c r="AC82" s="67">
        <f>IF(AC$9=Inputs!$D$144,Inputs!$D$143,0)</f>
        <v>250</v>
      </c>
      <c r="AD82" s="67">
        <f>IF(AD$9=Inputs!$D$144,Inputs!$D$143,0)</f>
        <v>250</v>
      </c>
      <c r="AE82" s="67">
        <f>IF(AE$9=Inputs!$D$144,Inputs!$D$143,0)</f>
        <v>250</v>
      </c>
      <c r="AF82" s="67">
        <f>IF(AF$9=Inputs!$D$144,Inputs!$D$143,0)</f>
        <v>250</v>
      </c>
      <c r="AG82" s="67">
        <f>IF(AG$9=Inputs!$D$144,Inputs!$D$143,0)</f>
        <v>250</v>
      </c>
      <c r="AH82" s="67">
        <f>IF(AH$9=Inputs!$D$144,Inputs!$D$143,0)</f>
        <v>250</v>
      </c>
      <c r="AI82" s="67">
        <f>IF(AI$9=Inputs!$D$144,Inputs!$D$143,0)</f>
        <v>250</v>
      </c>
      <c r="AJ82" s="67">
        <f>IF(AJ$9=Inputs!$D$144,Inputs!$D$143,0)</f>
        <v>250</v>
      </c>
      <c r="AK82" s="67">
        <f>IF(AK$9=Inputs!$D$144,Inputs!$D$143,0)</f>
        <v>250</v>
      </c>
      <c r="AL82" s="67">
        <f>IF(AL$9=Inputs!$D$144,Inputs!$D$143,0)</f>
        <v>250</v>
      </c>
      <c r="AM82" s="67">
        <f>IF(AM$9=Inputs!$D$144,Inputs!$D$143,0)</f>
        <v>0</v>
      </c>
      <c r="AN82" s="67">
        <f>IF(AN$9=Inputs!$D$144,Inputs!$D$143,0)</f>
        <v>0</v>
      </c>
    </row>
    <row r="83" spans="1:40" s="16" customFormat="1">
      <c r="A83" s="1"/>
      <c r="B83" s="1"/>
      <c r="C83" s="34" t="str">
        <f>Inputs!C145</f>
        <v>&lt;Monthly expenses or cash outflow #3&gt;</v>
      </c>
      <c r="D83" s="15"/>
      <c r="E83" s="67">
        <f>IF(E$9=Inputs!$D$146,Inputs!$D$145,0)</f>
        <v>0</v>
      </c>
      <c r="F83" s="67">
        <f>IF(F$9=Inputs!$D$146,Inputs!$D$145,0)</f>
        <v>0</v>
      </c>
      <c r="G83" s="67">
        <f>IF(G$9=Inputs!$D$146,Inputs!$D$145,0)</f>
        <v>0</v>
      </c>
      <c r="H83" s="67">
        <f>IF(H$9=Inputs!$D$146,Inputs!$D$145,0)</f>
        <v>0</v>
      </c>
      <c r="I83" s="67">
        <f>IF(I$9=Inputs!$D$146,Inputs!$D$145,0)</f>
        <v>0</v>
      </c>
      <c r="J83" s="67">
        <f>IF(J$9=Inputs!$D$146,Inputs!$D$145,0)</f>
        <v>0</v>
      </c>
      <c r="K83" s="67">
        <f>IF(K$9=Inputs!$D$146,Inputs!$D$145,0)</f>
        <v>0</v>
      </c>
      <c r="L83" s="67">
        <f>IF(L$9=Inputs!$D$146,Inputs!$D$145,0)</f>
        <v>0</v>
      </c>
      <c r="M83" s="67">
        <f>IF(M$9=Inputs!$D$146,Inputs!$D$145,0)</f>
        <v>0</v>
      </c>
      <c r="N83" s="67">
        <f>IF(N$9=Inputs!$D$146,Inputs!$D$145,0)</f>
        <v>0</v>
      </c>
      <c r="O83" s="67">
        <f>IF(O$9=Inputs!$D$146,Inputs!$D$145,0)</f>
        <v>0</v>
      </c>
      <c r="P83" s="67">
        <f>IF(P$9=Inputs!$D$146,Inputs!$D$145,0)</f>
        <v>0</v>
      </c>
      <c r="Q83" s="67">
        <f>IF(Q$9=Inputs!$D$146,Inputs!$D$145,0)</f>
        <v>0</v>
      </c>
      <c r="R83" s="67">
        <f>IF(R$9=Inputs!$D$146,Inputs!$D$145,0)</f>
        <v>0</v>
      </c>
      <c r="S83" s="67">
        <f>IF(S$9=Inputs!$D$146,Inputs!$D$145,0)</f>
        <v>0</v>
      </c>
      <c r="T83" s="67">
        <f>IF(T$9=Inputs!$D$146,Inputs!$D$145,0)</f>
        <v>0</v>
      </c>
      <c r="U83" s="67">
        <f>IF(U$9=Inputs!$D$146,Inputs!$D$145,0)</f>
        <v>0</v>
      </c>
      <c r="V83" s="67">
        <f>IF(V$9=Inputs!$D$146,Inputs!$D$145,0)</f>
        <v>0</v>
      </c>
      <c r="W83" s="67">
        <f>IF(W$9=Inputs!$D$146,Inputs!$D$145,0)</f>
        <v>0</v>
      </c>
      <c r="X83" s="67">
        <f>IF(X$9=Inputs!$D$146,Inputs!$D$145,0)</f>
        <v>0</v>
      </c>
      <c r="Y83" s="67">
        <f>IF(Y$9=Inputs!$D$146,Inputs!$D$145,0)</f>
        <v>0</v>
      </c>
      <c r="Z83" s="67">
        <f>IF(Z$9=Inputs!$D$146,Inputs!$D$145,0)</f>
        <v>0</v>
      </c>
      <c r="AA83" s="67">
        <f>IF(AA$9=Inputs!$D$146,Inputs!$D$145,0)</f>
        <v>0</v>
      </c>
      <c r="AB83" s="67">
        <f>IF(AB$9=Inputs!$D$146,Inputs!$D$145,0)</f>
        <v>0</v>
      </c>
      <c r="AC83" s="67">
        <f>IF(AC$9=Inputs!$D$146,Inputs!$D$145,0)</f>
        <v>0</v>
      </c>
      <c r="AD83" s="67">
        <f>IF(AD$9=Inputs!$D$146,Inputs!$D$145,0)</f>
        <v>0</v>
      </c>
      <c r="AE83" s="67">
        <f>IF(AE$9=Inputs!$D$146,Inputs!$D$145,0)</f>
        <v>0</v>
      </c>
      <c r="AF83" s="67">
        <f>IF(AF$9=Inputs!$D$146,Inputs!$D$145,0)</f>
        <v>0</v>
      </c>
      <c r="AG83" s="67">
        <f>IF(AG$9=Inputs!$D$146,Inputs!$D$145,0)</f>
        <v>0</v>
      </c>
      <c r="AH83" s="67">
        <f>IF(AH$9=Inputs!$D$146,Inputs!$D$145,0)</f>
        <v>0</v>
      </c>
      <c r="AI83" s="67">
        <f>IF(AI$9=Inputs!$D$146,Inputs!$D$145,0)</f>
        <v>0</v>
      </c>
      <c r="AJ83" s="67">
        <f>IF(AJ$9=Inputs!$D$146,Inputs!$D$145,0)</f>
        <v>0</v>
      </c>
      <c r="AK83" s="67">
        <f>IF(AK$9=Inputs!$D$146,Inputs!$D$145,0)</f>
        <v>0</v>
      </c>
      <c r="AL83" s="67">
        <f>IF(AL$9=Inputs!$D$146,Inputs!$D$145,0)</f>
        <v>0</v>
      </c>
      <c r="AM83" s="67">
        <f>IF(AM$9=Inputs!$D$146,Inputs!$D$145,0)</f>
        <v>0</v>
      </c>
      <c r="AN83" s="67">
        <f>IF(AN$9=Inputs!$D$146,Inputs!$D$145,0)</f>
        <v>0</v>
      </c>
    </row>
    <row r="84" spans="1:40" s="16" customFormat="1">
      <c r="A84" s="1"/>
      <c r="B84" s="1"/>
      <c r="C84" s="34" t="str">
        <f>Inputs!C147</f>
        <v>&lt;Monthly expenses or cash outflow #4&gt;</v>
      </c>
      <c r="D84" s="15"/>
      <c r="E84" s="67">
        <f>IF(E$9=Inputs!$D$148,Inputs!$D$147,0)</f>
        <v>0</v>
      </c>
      <c r="F84" s="67">
        <f>IF(F$9=Inputs!$D$148,Inputs!$D$147,0)</f>
        <v>0</v>
      </c>
      <c r="G84" s="67">
        <f>IF(G$9=Inputs!$D$148,Inputs!$D$147,0)</f>
        <v>0</v>
      </c>
      <c r="H84" s="67">
        <f>IF(H$9=Inputs!$D$148,Inputs!$D$147,0)</f>
        <v>0</v>
      </c>
      <c r="I84" s="67">
        <f>IF(I$9=Inputs!$D$148,Inputs!$D$147,0)</f>
        <v>0</v>
      </c>
      <c r="J84" s="67">
        <f>IF(J$9=Inputs!$D$148,Inputs!$D$147,0)</f>
        <v>0</v>
      </c>
      <c r="K84" s="67">
        <f>IF(K$9=Inputs!$D$148,Inputs!$D$147,0)</f>
        <v>0</v>
      </c>
      <c r="L84" s="67">
        <f>IF(L$9=Inputs!$D$148,Inputs!$D$147,0)</f>
        <v>0</v>
      </c>
      <c r="M84" s="67">
        <f>IF(M$9=Inputs!$D$148,Inputs!$D$147,0)</f>
        <v>0</v>
      </c>
      <c r="N84" s="67">
        <f>IF(N$9=Inputs!$D$148,Inputs!$D$147,0)</f>
        <v>0</v>
      </c>
      <c r="O84" s="67">
        <f>IF(O$9=Inputs!$D$148,Inputs!$D$147,0)</f>
        <v>0</v>
      </c>
      <c r="P84" s="67">
        <f>IF(P$9=Inputs!$D$148,Inputs!$D$147,0)</f>
        <v>0</v>
      </c>
      <c r="Q84" s="67">
        <f>IF(Q$9=Inputs!$D$148,Inputs!$D$147,0)</f>
        <v>0</v>
      </c>
      <c r="R84" s="67">
        <f>IF(R$9=Inputs!$D$148,Inputs!$D$147,0)</f>
        <v>0</v>
      </c>
      <c r="S84" s="67">
        <f>IF(S$9=Inputs!$D$148,Inputs!$D$147,0)</f>
        <v>0</v>
      </c>
      <c r="T84" s="67">
        <f>IF(T$9=Inputs!$D$148,Inputs!$D$147,0)</f>
        <v>0</v>
      </c>
      <c r="U84" s="67">
        <f>IF(U$9=Inputs!$D$148,Inputs!$D$147,0)</f>
        <v>0</v>
      </c>
      <c r="V84" s="67">
        <f>IF(V$9=Inputs!$D$148,Inputs!$D$147,0)</f>
        <v>0</v>
      </c>
      <c r="W84" s="67">
        <f>IF(W$9=Inputs!$D$148,Inputs!$D$147,0)</f>
        <v>0</v>
      </c>
      <c r="X84" s="67">
        <f>IF(X$9=Inputs!$D$148,Inputs!$D$147,0)</f>
        <v>0</v>
      </c>
      <c r="Y84" s="67">
        <f>IF(Y$9=Inputs!$D$148,Inputs!$D$147,0)</f>
        <v>0</v>
      </c>
      <c r="Z84" s="67">
        <f>IF(Z$9=Inputs!$D$148,Inputs!$D$147,0)</f>
        <v>0</v>
      </c>
      <c r="AA84" s="67">
        <f>IF(AA$9=Inputs!$D$148,Inputs!$D$147,0)</f>
        <v>0</v>
      </c>
      <c r="AB84" s="67">
        <f>IF(AB$9=Inputs!$D$148,Inputs!$D$147,0)</f>
        <v>0</v>
      </c>
      <c r="AC84" s="67">
        <f>IF(AC$9=Inputs!$D$148,Inputs!$D$147,0)</f>
        <v>0</v>
      </c>
      <c r="AD84" s="67">
        <f>IF(AD$9=Inputs!$D$148,Inputs!$D$147,0)</f>
        <v>0</v>
      </c>
      <c r="AE84" s="67">
        <f>IF(AE$9=Inputs!$D$148,Inputs!$D$147,0)</f>
        <v>0</v>
      </c>
      <c r="AF84" s="67">
        <f>IF(AF$9=Inputs!$D$148,Inputs!$D$147,0)</f>
        <v>0</v>
      </c>
      <c r="AG84" s="67">
        <f>IF(AG$9=Inputs!$D$148,Inputs!$D$147,0)</f>
        <v>0</v>
      </c>
      <c r="AH84" s="67">
        <f>IF(AH$9=Inputs!$D$148,Inputs!$D$147,0)</f>
        <v>0</v>
      </c>
      <c r="AI84" s="67">
        <f>IF(AI$9=Inputs!$D$148,Inputs!$D$147,0)</f>
        <v>0</v>
      </c>
      <c r="AJ84" s="67">
        <f>IF(AJ$9=Inputs!$D$148,Inputs!$D$147,0)</f>
        <v>0</v>
      </c>
      <c r="AK84" s="67">
        <f>IF(AK$9=Inputs!$D$148,Inputs!$D$147,0)</f>
        <v>0</v>
      </c>
      <c r="AL84" s="67">
        <f>IF(AL$9=Inputs!$D$148,Inputs!$D$147,0)</f>
        <v>0</v>
      </c>
      <c r="AM84" s="67">
        <f>IF(AM$9=Inputs!$D$148,Inputs!$D$147,0)</f>
        <v>0</v>
      </c>
      <c r="AN84" s="67">
        <f>IF(AN$9=Inputs!$D$148,Inputs!$D$147,0)</f>
        <v>0</v>
      </c>
    </row>
    <row r="85" spans="1:40" s="16" customFormat="1">
      <c r="A85" s="1"/>
      <c r="B85" s="1"/>
      <c r="C85" s="34" t="str">
        <f>Inputs!C149</f>
        <v>&lt;Monthly expenses or cash outflow #5&gt;</v>
      </c>
      <c r="D85" s="15"/>
      <c r="E85" s="67">
        <f>IF(E$9=Inputs!$D$150,Inputs!$D$149,0)</f>
        <v>0</v>
      </c>
      <c r="F85" s="67">
        <f>IF(F$9=Inputs!$D$150,Inputs!$D$149,0)</f>
        <v>0</v>
      </c>
      <c r="G85" s="67">
        <f>IF(G$9=Inputs!$D$150,Inputs!$D$149,0)</f>
        <v>0</v>
      </c>
      <c r="H85" s="67">
        <f>IF(H$9=Inputs!$D$150,Inputs!$D$149,0)</f>
        <v>0</v>
      </c>
      <c r="I85" s="67">
        <f>IF(I$9=Inputs!$D$150,Inputs!$D$149,0)</f>
        <v>0</v>
      </c>
      <c r="J85" s="67">
        <f>IF(J$9=Inputs!$D$150,Inputs!$D$149,0)</f>
        <v>0</v>
      </c>
      <c r="K85" s="67">
        <f>IF(K$9=Inputs!$D$150,Inputs!$D$149,0)</f>
        <v>0</v>
      </c>
      <c r="L85" s="67">
        <f>IF(L$9=Inputs!$D$150,Inputs!$D$149,0)</f>
        <v>0</v>
      </c>
      <c r="M85" s="67">
        <f>IF(M$9=Inputs!$D$150,Inputs!$D$149,0)</f>
        <v>0</v>
      </c>
      <c r="N85" s="67">
        <f>IF(N$9=Inputs!$D$150,Inputs!$D$149,0)</f>
        <v>0</v>
      </c>
      <c r="O85" s="67">
        <f>IF(O$9=Inputs!$D$150,Inputs!$D$149,0)</f>
        <v>0</v>
      </c>
      <c r="P85" s="67">
        <f>IF(P$9=Inputs!$D$150,Inputs!$D$149,0)</f>
        <v>0</v>
      </c>
      <c r="Q85" s="67">
        <f>IF(Q$9=Inputs!$D$150,Inputs!$D$149,0)</f>
        <v>0</v>
      </c>
      <c r="R85" s="67">
        <f>IF(R$9=Inputs!$D$150,Inputs!$D$149,0)</f>
        <v>0</v>
      </c>
      <c r="S85" s="67">
        <f>IF(S$9=Inputs!$D$150,Inputs!$D$149,0)</f>
        <v>0</v>
      </c>
      <c r="T85" s="67">
        <f>IF(T$9=Inputs!$D$150,Inputs!$D$149,0)</f>
        <v>0</v>
      </c>
      <c r="U85" s="67">
        <f>IF(U$9=Inputs!$D$150,Inputs!$D$149,0)</f>
        <v>0</v>
      </c>
      <c r="V85" s="67">
        <f>IF(V$9=Inputs!$D$150,Inputs!$D$149,0)</f>
        <v>0</v>
      </c>
      <c r="W85" s="67">
        <f>IF(W$9=Inputs!$D$150,Inputs!$D$149,0)</f>
        <v>0</v>
      </c>
      <c r="X85" s="67">
        <f>IF(X$9=Inputs!$D$150,Inputs!$D$149,0)</f>
        <v>0</v>
      </c>
      <c r="Y85" s="67">
        <f>IF(Y$9=Inputs!$D$150,Inputs!$D$149,0)</f>
        <v>0</v>
      </c>
      <c r="Z85" s="67">
        <f>IF(Z$9=Inputs!$D$150,Inputs!$D$149,0)</f>
        <v>0</v>
      </c>
      <c r="AA85" s="67">
        <f>IF(AA$9=Inputs!$D$150,Inputs!$D$149,0)</f>
        <v>0</v>
      </c>
      <c r="AB85" s="67">
        <f>IF(AB$9=Inputs!$D$150,Inputs!$D$149,0)</f>
        <v>0</v>
      </c>
      <c r="AC85" s="67">
        <f>IF(AC$9=Inputs!$D$150,Inputs!$D$149,0)</f>
        <v>0</v>
      </c>
      <c r="AD85" s="67">
        <f>IF(AD$9=Inputs!$D$150,Inputs!$D$149,0)</f>
        <v>0</v>
      </c>
      <c r="AE85" s="67">
        <f>IF(AE$9=Inputs!$D$150,Inputs!$D$149,0)</f>
        <v>0</v>
      </c>
      <c r="AF85" s="67">
        <f>IF(AF$9=Inputs!$D$150,Inputs!$D$149,0)</f>
        <v>0</v>
      </c>
      <c r="AG85" s="67">
        <f>IF(AG$9=Inputs!$D$150,Inputs!$D$149,0)</f>
        <v>0</v>
      </c>
      <c r="AH85" s="67">
        <f>IF(AH$9=Inputs!$D$150,Inputs!$D$149,0)</f>
        <v>0</v>
      </c>
      <c r="AI85" s="67">
        <f>IF(AI$9=Inputs!$D$150,Inputs!$D$149,0)</f>
        <v>0</v>
      </c>
      <c r="AJ85" s="67">
        <f>IF(AJ$9=Inputs!$D$150,Inputs!$D$149,0)</f>
        <v>0</v>
      </c>
      <c r="AK85" s="67">
        <f>IF(AK$9=Inputs!$D$150,Inputs!$D$149,0)</f>
        <v>0</v>
      </c>
      <c r="AL85" s="67">
        <f>IF(AL$9=Inputs!$D$150,Inputs!$D$149,0)</f>
        <v>0</v>
      </c>
      <c r="AM85" s="67">
        <f>IF(AM$9=Inputs!$D$150,Inputs!$D$149,0)</f>
        <v>0</v>
      </c>
      <c r="AN85" s="67">
        <f>IF(AN$9=Inputs!$D$150,Inputs!$D$149,0)</f>
        <v>0</v>
      </c>
    </row>
    <row r="86" spans="1:40" s="16" customFormat="1">
      <c r="A86" s="1"/>
      <c r="B86" s="1"/>
      <c r="C86" s="34" t="str">
        <f>Inputs!C151</f>
        <v>&lt;Monthly expenses or cash outflow #6&gt;</v>
      </c>
      <c r="D86" s="15"/>
      <c r="E86" s="67">
        <f>IF(E$9=Inputs!$D$152,Inputs!$D$151,0)</f>
        <v>0</v>
      </c>
      <c r="F86" s="67">
        <f>IF(F$9=Inputs!$D$152,Inputs!$D$151,0)</f>
        <v>0</v>
      </c>
      <c r="G86" s="67">
        <f>IF(G$9=Inputs!$D$152,Inputs!$D$151,0)</f>
        <v>0</v>
      </c>
      <c r="H86" s="67">
        <f>IF(H$9=Inputs!$D$152,Inputs!$D$151,0)</f>
        <v>0</v>
      </c>
      <c r="I86" s="67">
        <f>IF(I$9=Inputs!$D$152,Inputs!$D$151,0)</f>
        <v>0</v>
      </c>
      <c r="J86" s="67">
        <f>IF(J$9=Inputs!$D$152,Inputs!$D$151,0)</f>
        <v>0</v>
      </c>
      <c r="K86" s="67">
        <f>IF(K$9=Inputs!$D$152,Inputs!$D$151,0)</f>
        <v>0</v>
      </c>
      <c r="L86" s="67">
        <f>IF(L$9=Inputs!$D$152,Inputs!$D$151,0)</f>
        <v>0</v>
      </c>
      <c r="M86" s="67">
        <f>IF(M$9=Inputs!$D$152,Inputs!$D$151,0)</f>
        <v>0</v>
      </c>
      <c r="N86" s="67">
        <f>IF(N$9=Inputs!$D$152,Inputs!$D$151,0)</f>
        <v>0</v>
      </c>
      <c r="O86" s="67">
        <f>IF(O$9=Inputs!$D$152,Inputs!$D$151,0)</f>
        <v>0</v>
      </c>
      <c r="P86" s="67">
        <f>IF(P$9=Inputs!$D$152,Inputs!$D$151,0)</f>
        <v>0</v>
      </c>
      <c r="Q86" s="67">
        <f>IF(Q$9=Inputs!$D$152,Inputs!$D$151,0)</f>
        <v>0</v>
      </c>
      <c r="R86" s="67">
        <f>IF(R$9=Inputs!$D$152,Inputs!$D$151,0)</f>
        <v>0</v>
      </c>
      <c r="S86" s="67">
        <f>IF(S$9=Inputs!$D$152,Inputs!$D$151,0)</f>
        <v>0</v>
      </c>
      <c r="T86" s="67">
        <f>IF(T$9=Inputs!$D$152,Inputs!$D$151,0)</f>
        <v>0</v>
      </c>
      <c r="U86" s="67">
        <f>IF(U$9=Inputs!$D$152,Inputs!$D$151,0)</f>
        <v>0</v>
      </c>
      <c r="V86" s="67">
        <f>IF(V$9=Inputs!$D$152,Inputs!$D$151,0)</f>
        <v>0</v>
      </c>
      <c r="W86" s="67">
        <f>IF(W$9=Inputs!$D$152,Inputs!$D$151,0)</f>
        <v>0</v>
      </c>
      <c r="X86" s="67">
        <f>IF(X$9=Inputs!$D$152,Inputs!$D$151,0)</f>
        <v>0</v>
      </c>
      <c r="Y86" s="67">
        <f>IF(Y$9=Inputs!$D$152,Inputs!$D$151,0)</f>
        <v>0</v>
      </c>
      <c r="Z86" s="67">
        <f>IF(Z$9=Inputs!$D$152,Inputs!$D$151,0)</f>
        <v>0</v>
      </c>
      <c r="AA86" s="67">
        <f>IF(AA$9=Inputs!$D$152,Inputs!$D$151,0)</f>
        <v>0</v>
      </c>
      <c r="AB86" s="67">
        <f>IF(AB$9=Inputs!$D$152,Inputs!$D$151,0)</f>
        <v>0</v>
      </c>
      <c r="AC86" s="67">
        <f>IF(AC$9=Inputs!$D$152,Inputs!$D$151,0)</f>
        <v>0</v>
      </c>
      <c r="AD86" s="67">
        <f>IF(AD$9=Inputs!$D$152,Inputs!$D$151,0)</f>
        <v>0</v>
      </c>
      <c r="AE86" s="67">
        <f>IF(AE$9=Inputs!$D$152,Inputs!$D$151,0)</f>
        <v>0</v>
      </c>
      <c r="AF86" s="67">
        <f>IF(AF$9=Inputs!$D$152,Inputs!$D$151,0)</f>
        <v>0</v>
      </c>
      <c r="AG86" s="67">
        <f>IF(AG$9=Inputs!$D$152,Inputs!$D$151,0)</f>
        <v>0</v>
      </c>
      <c r="AH86" s="67">
        <f>IF(AH$9=Inputs!$D$152,Inputs!$D$151,0)</f>
        <v>0</v>
      </c>
      <c r="AI86" s="67">
        <f>IF(AI$9=Inputs!$D$152,Inputs!$D$151,0)</f>
        <v>0</v>
      </c>
      <c r="AJ86" s="67">
        <f>IF(AJ$9=Inputs!$D$152,Inputs!$D$151,0)</f>
        <v>0</v>
      </c>
      <c r="AK86" s="67">
        <f>IF(AK$9=Inputs!$D$152,Inputs!$D$151,0)</f>
        <v>0</v>
      </c>
      <c r="AL86" s="67">
        <f>IF(AL$9=Inputs!$D$152,Inputs!$D$151,0)</f>
        <v>0</v>
      </c>
      <c r="AM86" s="67">
        <f>IF(AM$9=Inputs!$D$152,Inputs!$D$151,0)</f>
        <v>0</v>
      </c>
      <c r="AN86" s="67">
        <f>IF(AN$9=Inputs!$D$152,Inputs!$D$151,0)</f>
        <v>0</v>
      </c>
    </row>
    <row r="87" spans="1:40" s="16" customFormat="1">
      <c r="A87" s="1"/>
      <c r="B87" s="1"/>
      <c r="C87" s="34" t="str">
        <f>Inputs!C153</f>
        <v>&lt;Monthly expenses or cash outflow #7&gt;</v>
      </c>
      <c r="D87" s="15"/>
      <c r="E87" s="67">
        <f>IF(E$9=Inputs!$D$154,Inputs!$D$153,0)</f>
        <v>0</v>
      </c>
      <c r="F87" s="67">
        <f>IF(F$9=Inputs!$D$154,Inputs!$D$153,0)</f>
        <v>0</v>
      </c>
      <c r="G87" s="67">
        <f>IF(G$9=Inputs!$D$154,Inputs!$D$153,0)</f>
        <v>0</v>
      </c>
      <c r="H87" s="67">
        <f>IF(H$9=Inputs!$D$154,Inputs!$D$153,0)</f>
        <v>0</v>
      </c>
      <c r="I87" s="67">
        <f>IF(I$9=Inputs!$D$154,Inputs!$D$153,0)</f>
        <v>0</v>
      </c>
      <c r="J87" s="67">
        <f>IF(J$9=Inputs!$D$154,Inputs!$D$153,0)</f>
        <v>0</v>
      </c>
      <c r="K87" s="67">
        <f>IF(K$9=Inputs!$D$154,Inputs!$D$153,0)</f>
        <v>0</v>
      </c>
      <c r="L87" s="67">
        <f>IF(L$9=Inputs!$D$154,Inputs!$D$153,0)</f>
        <v>0</v>
      </c>
      <c r="M87" s="67">
        <f>IF(M$9=Inputs!$D$154,Inputs!$D$153,0)</f>
        <v>0</v>
      </c>
      <c r="N87" s="67">
        <f>IF(N$9=Inputs!$D$154,Inputs!$D$153,0)</f>
        <v>0</v>
      </c>
      <c r="O87" s="67">
        <f>IF(O$9=Inputs!$D$154,Inputs!$D$153,0)</f>
        <v>0</v>
      </c>
      <c r="P87" s="67">
        <f>IF(P$9=Inputs!$D$154,Inputs!$D$153,0)</f>
        <v>0</v>
      </c>
      <c r="Q87" s="67">
        <f>IF(Q$9=Inputs!$D$154,Inputs!$D$153,0)</f>
        <v>0</v>
      </c>
      <c r="R87" s="67">
        <f>IF(R$9=Inputs!$D$154,Inputs!$D$153,0)</f>
        <v>0</v>
      </c>
      <c r="S87" s="67">
        <f>IF(S$9=Inputs!$D$154,Inputs!$D$153,0)</f>
        <v>0</v>
      </c>
      <c r="T87" s="67">
        <f>IF(T$9=Inputs!$D$154,Inputs!$D$153,0)</f>
        <v>0</v>
      </c>
      <c r="U87" s="67">
        <f>IF(U$9=Inputs!$D$154,Inputs!$D$153,0)</f>
        <v>0</v>
      </c>
      <c r="V87" s="67">
        <f>IF(V$9=Inputs!$D$154,Inputs!$D$153,0)</f>
        <v>0</v>
      </c>
      <c r="W87" s="67">
        <f>IF(W$9=Inputs!$D$154,Inputs!$D$153,0)</f>
        <v>0</v>
      </c>
      <c r="X87" s="67">
        <f>IF(X$9=Inputs!$D$154,Inputs!$D$153,0)</f>
        <v>0</v>
      </c>
      <c r="Y87" s="67">
        <f>IF(Y$9=Inputs!$D$154,Inputs!$D$153,0)</f>
        <v>0</v>
      </c>
      <c r="Z87" s="67">
        <f>IF(Z$9=Inputs!$D$154,Inputs!$D$153,0)</f>
        <v>0</v>
      </c>
      <c r="AA87" s="67">
        <f>IF(AA$9=Inputs!$D$154,Inputs!$D$153,0)</f>
        <v>0</v>
      </c>
      <c r="AB87" s="67">
        <f>IF(AB$9=Inputs!$D$154,Inputs!$D$153,0)</f>
        <v>0</v>
      </c>
      <c r="AC87" s="67">
        <f>IF(AC$9=Inputs!$D$154,Inputs!$D$153,0)</f>
        <v>0</v>
      </c>
      <c r="AD87" s="67">
        <f>IF(AD$9=Inputs!$D$154,Inputs!$D$153,0)</f>
        <v>0</v>
      </c>
      <c r="AE87" s="67">
        <f>IF(AE$9=Inputs!$D$154,Inputs!$D$153,0)</f>
        <v>0</v>
      </c>
      <c r="AF87" s="67">
        <f>IF(AF$9=Inputs!$D$154,Inputs!$D$153,0)</f>
        <v>0</v>
      </c>
      <c r="AG87" s="67">
        <f>IF(AG$9=Inputs!$D$154,Inputs!$D$153,0)</f>
        <v>0</v>
      </c>
      <c r="AH87" s="67">
        <f>IF(AH$9=Inputs!$D$154,Inputs!$D$153,0)</f>
        <v>0</v>
      </c>
      <c r="AI87" s="67">
        <f>IF(AI$9=Inputs!$D$154,Inputs!$D$153,0)</f>
        <v>0</v>
      </c>
      <c r="AJ87" s="67">
        <f>IF(AJ$9=Inputs!$D$154,Inputs!$D$153,0)</f>
        <v>0</v>
      </c>
      <c r="AK87" s="67">
        <f>IF(AK$9=Inputs!$D$154,Inputs!$D$153,0)</f>
        <v>0</v>
      </c>
      <c r="AL87" s="67">
        <f>IF(AL$9=Inputs!$D$154,Inputs!$D$153,0)</f>
        <v>0</v>
      </c>
      <c r="AM87" s="67">
        <f>IF(AM$9=Inputs!$D$154,Inputs!$D$153,0)</f>
        <v>0</v>
      </c>
      <c r="AN87" s="67">
        <f>IF(AN$9=Inputs!$D$154,Inputs!$D$153,0)</f>
        <v>0</v>
      </c>
    </row>
    <row r="88" spans="1:40" s="16" customFormat="1">
      <c r="A88" s="1"/>
      <c r="B88" s="1"/>
      <c r="C88" s="34" t="str">
        <f>Inputs!C155</f>
        <v>&lt;Monthly expenses or cash outflow #8&gt;</v>
      </c>
      <c r="D88" s="15"/>
      <c r="E88" s="67">
        <f>IF(E$9=Inputs!$D$156,Inputs!$D$155,0)</f>
        <v>0</v>
      </c>
      <c r="F88" s="67">
        <f>IF(F$9=Inputs!$D$156,Inputs!$D$155,0)</f>
        <v>0</v>
      </c>
      <c r="G88" s="67">
        <f>IF(G$9=Inputs!$D$156,Inputs!$D$155,0)</f>
        <v>0</v>
      </c>
      <c r="H88" s="67">
        <f>IF(H$9=Inputs!$D$156,Inputs!$D$155,0)</f>
        <v>0</v>
      </c>
      <c r="I88" s="67">
        <f>IF(I$9=Inputs!$D$156,Inputs!$D$155,0)</f>
        <v>0</v>
      </c>
      <c r="J88" s="67">
        <f>IF(J$9=Inputs!$D$156,Inputs!$D$155,0)</f>
        <v>0</v>
      </c>
      <c r="K88" s="67">
        <f>IF(K$9=Inputs!$D$156,Inputs!$D$155,0)</f>
        <v>0</v>
      </c>
      <c r="L88" s="67">
        <f>IF(L$9=Inputs!$D$156,Inputs!$D$155,0)</f>
        <v>0</v>
      </c>
      <c r="M88" s="67">
        <f>IF(M$9=Inputs!$D$156,Inputs!$D$155,0)</f>
        <v>0</v>
      </c>
      <c r="N88" s="67">
        <f>IF(N$9=Inputs!$D$156,Inputs!$D$155,0)</f>
        <v>0</v>
      </c>
      <c r="O88" s="67">
        <f>IF(O$9=Inputs!$D$156,Inputs!$D$155,0)</f>
        <v>0</v>
      </c>
      <c r="P88" s="67">
        <f>IF(P$9=Inputs!$D$156,Inputs!$D$155,0)</f>
        <v>0</v>
      </c>
      <c r="Q88" s="67">
        <f>IF(Q$9=Inputs!$D$156,Inputs!$D$155,0)</f>
        <v>0</v>
      </c>
      <c r="R88" s="67">
        <f>IF(R$9=Inputs!$D$156,Inputs!$D$155,0)</f>
        <v>0</v>
      </c>
      <c r="S88" s="67">
        <f>IF(S$9=Inputs!$D$156,Inputs!$D$155,0)</f>
        <v>0</v>
      </c>
      <c r="T88" s="67">
        <f>IF(T$9=Inputs!$D$156,Inputs!$D$155,0)</f>
        <v>0</v>
      </c>
      <c r="U88" s="67">
        <f>IF(U$9=Inputs!$D$156,Inputs!$D$155,0)</f>
        <v>0</v>
      </c>
      <c r="V88" s="67">
        <f>IF(V$9=Inputs!$D$156,Inputs!$D$155,0)</f>
        <v>0</v>
      </c>
      <c r="W88" s="67">
        <f>IF(W$9=Inputs!$D$156,Inputs!$D$155,0)</f>
        <v>0</v>
      </c>
      <c r="X88" s="67">
        <f>IF(X$9=Inputs!$D$156,Inputs!$D$155,0)</f>
        <v>0</v>
      </c>
      <c r="Y88" s="67">
        <f>IF(Y$9=Inputs!$D$156,Inputs!$D$155,0)</f>
        <v>0</v>
      </c>
      <c r="Z88" s="67">
        <f>IF(Z$9=Inputs!$D$156,Inputs!$D$155,0)</f>
        <v>0</v>
      </c>
      <c r="AA88" s="67">
        <f>IF(AA$9=Inputs!$D$156,Inputs!$D$155,0)</f>
        <v>0</v>
      </c>
      <c r="AB88" s="67">
        <f>IF(AB$9=Inputs!$D$156,Inputs!$D$155,0)</f>
        <v>0</v>
      </c>
      <c r="AC88" s="67">
        <f>IF(AC$9=Inputs!$D$156,Inputs!$D$155,0)</f>
        <v>0</v>
      </c>
      <c r="AD88" s="67">
        <f>IF(AD$9=Inputs!$D$156,Inputs!$D$155,0)</f>
        <v>0</v>
      </c>
      <c r="AE88" s="67">
        <f>IF(AE$9=Inputs!$D$156,Inputs!$D$155,0)</f>
        <v>0</v>
      </c>
      <c r="AF88" s="67">
        <f>IF(AF$9=Inputs!$D$156,Inputs!$D$155,0)</f>
        <v>0</v>
      </c>
      <c r="AG88" s="67">
        <f>IF(AG$9=Inputs!$D$156,Inputs!$D$155,0)</f>
        <v>0</v>
      </c>
      <c r="AH88" s="67">
        <f>IF(AH$9=Inputs!$D$156,Inputs!$D$155,0)</f>
        <v>0</v>
      </c>
      <c r="AI88" s="67">
        <f>IF(AI$9=Inputs!$D$156,Inputs!$D$155,0)</f>
        <v>0</v>
      </c>
      <c r="AJ88" s="67">
        <f>IF(AJ$9=Inputs!$D$156,Inputs!$D$155,0)</f>
        <v>0</v>
      </c>
      <c r="AK88" s="67">
        <f>IF(AK$9=Inputs!$D$156,Inputs!$D$155,0)</f>
        <v>0</v>
      </c>
      <c r="AL88" s="67">
        <f>IF(AL$9=Inputs!$D$156,Inputs!$D$155,0)</f>
        <v>0</v>
      </c>
      <c r="AM88" s="67">
        <f>IF(AM$9=Inputs!$D$156,Inputs!$D$155,0)</f>
        <v>0</v>
      </c>
      <c r="AN88" s="67">
        <f>IF(AN$9=Inputs!$D$156,Inputs!$D$155,0)</f>
        <v>0</v>
      </c>
    </row>
    <row r="89" spans="1:40" s="16" customFormat="1">
      <c r="A89" s="1"/>
      <c r="B89" s="1"/>
      <c r="C89" s="34"/>
      <c r="D89" s="15"/>
    </row>
    <row r="90" spans="1:40" s="16" customFormat="1">
      <c r="A90" s="51" t="s">
        <v>53</v>
      </c>
      <c r="B90" s="51"/>
      <c r="C90" s="51"/>
      <c r="D90" s="52">
        <f>D32</f>
        <v>350000</v>
      </c>
      <c r="E90" s="49">
        <f>E35+E34+E36+E40+E50+E72+E73+E75</f>
        <v>25629.786493589258</v>
      </c>
      <c r="F90" s="49">
        <f t="shared" ref="F90:AN90" si="11">F35+F34+F36+F40+F50+F72+F73+F75</f>
        <v>37749.786493589258</v>
      </c>
      <c r="G90" s="49">
        <f t="shared" si="11"/>
        <v>37749.786493589258</v>
      </c>
      <c r="H90" s="49">
        <f t="shared" si="11"/>
        <v>25629.786493589258</v>
      </c>
      <c r="I90" s="49">
        <f t="shared" si="11"/>
        <v>25629.786493589258</v>
      </c>
      <c r="J90" s="49">
        <f t="shared" si="11"/>
        <v>37749.786493589258</v>
      </c>
      <c r="K90" s="49">
        <f t="shared" si="11"/>
        <v>25629.786493589258</v>
      </c>
      <c r="L90" s="49">
        <f t="shared" si="11"/>
        <v>37749.786493589258</v>
      </c>
      <c r="M90" s="49">
        <f t="shared" si="11"/>
        <v>25629.786493589258</v>
      </c>
      <c r="N90" s="49">
        <f t="shared" si="11"/>
        <v>25629.786493589258</v>
      </c>
      <c r="O90" s="49">
        <f t="shared" si="11"/>
        <v>27294.266493589257</v>
      </c>
      <c r="P90" s="49">
        <f t="shared" si="11"/>
        <v>27294.266493589257</v>
      </c>
      <c r="Q90" s="49">
        <f t="shared" si="11"/>
        <v>27294.266493589257</v>
      </c>
      <c r="R90" s="49">
        <f t="shared" si="11"/>
        <v>42097.466493589258</v>
      </c>
      <c r="S90" s="49">
        <f t="shared" si="11"/>
        <v>42097.466493589258</v>
      </c>
      <c r="T90" s="49">
        <f t="shared" si="11"/>
        <v>27294.266493589257</v>
      </c>
      <c r="U90" s="49">
        <f t="shared" si="11"/>
        <v>27294.266493589257</v>
      </c>
      <c r="V90" s="49">
        <f t="shared" si="11"/>
        <v>42097.466493589258</v>
      </c>
      <c r="W90" s="49">
        <f t="shared" si="11"/>
        <v>27294.266493589257</v>
      </c>
      <c r="X90" s="49">
        <f t="shared" si="11"/>
        <v>42097.466493589258</v>
      </c>
      <c r="Y90" s="49">
        <f t="shared" si="11"/>
        <v>27294.266493589257</v>
      </c>
      <c r="Z90" s="49">
        <f t="shared" si="11"/>
        <v>27294.266493589257</v>
      </c>
      <c r="AA90" s="49">
        <f t="shared" si="11"/>
        <v>30096.266093589256</v>
      </c>
      <c r="AB90" s="49">
        <f t="shared" si="11"/>
        <v>30096.266093589256</v>
      </c>
      <c r="AC90" s="49">
        <f t="shared" si="11"/>
        <v>30096.266093589256</v>
      </c>
      <c r="AD90" s="49">
        <f t="shared" si="11"/>
        <v>48475.677293589251</v>
      </c>
      <c r="AE90" s="49">
        <f t="shared" si="11"/>
        <v>48475.677293589251</v>
      </c>
      <c r="AF90" s="49">
        <f t="shared" si="11"/>
        <v>30096.266093589256</v>
      </c>
      <c r="AG90" s="49">
        <f t="shared" si="11"/>
        <v>30096.266093589256</v>
      </c>
      <c r="AH90" s="49">
        <f t="shared" si="11"/>
        <v>48475.677293589251</v>
      </c>
      <c r="AI90" s="49">
        <f t="shared" si="11"/>
        <v>30096.266093589256</v>
      </c>
      <c r="AJ90" s="49">
        <f t="shared" si="11"/>
        <v>48475.677293589251</v>
      </c>
      <c r="AK90" s="49">
        <f t="shared" si="11"/>
        <v>30096.266093589256</v>
      </c>
      <c r="AL90" s="49">
        <f t="shared" si="11"/>
        <v>30096.266093589256</v>
      </c>
      <c r="AM90" s="49">
        <f t="shared" si="11"/>
        <v>30206.814193589256</v>
      </c>
      <c r="AN90" s="49">
        <f t="shared" si="11"/>
        <v>30206.814193589256</v>
      </c>
    </row>
    <row r="91" spans="1:40" s="16" customFormat="1">
      <c r="A91" s="1"/>
      <c r="B91" s="1"/>
      <c r="C91" s="34"/>
    </row>
    <row r="92" spans="1:40" s="16" customFormat="1" ht="12.75" thickBot="1">
      <c r="A92" s="17"/>
      <c r="B92" s="17"/>
      <c r="C92" s="33"/>
      <c r="D92" s="19"/>
      <c r="E92" s="18"/>
      <c r="F92" s="18"/>
      <c r="G92" s="18"/>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row>
    <row r="93" spans="1:40" s="16" customFormat="1">
      <c r="A93" s="2" t="s">
        <v>231</v>
      </c>
      <c r="B93" s="1"/>
      <c r="C93" s="32"/>
      <c r="D93" s="15"/>
    </row>
    <row r="94" spans="1:40" s="16" customFormat="1" hidden="1">
      <c r="A94" s="2"/>
      <c r="B94" s="1"/>
      <c r="C94" s="43" t="s">
        <v>60</v>
      </c>
      <c r="D94" s="219"/>
      <c r="E94" s="220" t="str">
        <f t="shared" ref="E94:AN94" si="12">CONCATENATE(E9,"-",MONTH(E6))</f>
        <v>1-3</v>
      </c>
      <c r="F94" s="220" t="str">
        <f t="shared" si="12"/>
        <v>1-4</v>
      </c>
      <c r="G94" s="220" t="str">
        <f t="shared" si="12"/>
        <v>1-5</v>
      </c>
      <c r="H94" s="220" t="str">
        <f t="shared" si="12"/>
        <v>1-6</v>
      </c>
      <c r="I94" s="220" t="str">
        <f t="shared" si="12"/>
        <v>1-7</v>
      </c>
      <c r="J94" s="220" t="str">
        <f t="shared" si="12"/>
        <v>1-8</v>
      </c>
      <c r="K94" s="220" t="str">
        <f t="shared" si="12"/>
        <v>1-9</v>
      </c>
      <c r="L94" s="220" t="str">
        <f t="shared" si="12"/>
        <v>1-10</v>
      </c>
      <c r="M94" s="220" t="str">
        <f t="shared" si="12"/>
        <v>1-11</v>
      </c>
      <c r="N94" s="220" t="str">
        <f t="shared" si="12"/>
        <v>1-12</v>
      </c>
      <c r="O94" s="220" t="str">
        <f t="shared" si="12"/>
        <v>2-1</v>
      </c>
      <c r="P94" s="220" t="str">
        <f t="shared" si="12"/>
        <v>2-2</v>
      </c>
      <c r="Q94" s="220" t="str">
        <f t="shared" si="12"/>
        <v>2-3</v>
      </c>
      <c r="R94" s="220" t="str">
        <f t="shared" si="12"/>
        <v>2-4</v>
      </c>
      <c r="S94" s="220" t="str">
        <f t="shared" si="12"/>
        <v>2-5</v>
      </c>
      <c r="T94" s="220" t="str">
        <f t="shared" si="12"/>
        <v>2-6</v>
      </c>
      <c r="U94" s="220" t="str">
        <f t="shared" si="12"/>
        <v>2-7</v>
      </c>
      <c r="V94" s="220" t="str">
        <f t="shared" si="12"/>
        <v>2-8</v>
      </c>
      <c r="W94" s="220" t="str">
        <f t="shared" si="12"/>
        <v>2-9</v>
      </c>
      <c r="X94" s="220" t="str">
        <f t="shared" si="12"/>
        <v>2-10</v>
      </c>
      <c r="Y94" s="220" t="str">
        <f t="shared" si="12"/>
        <v>2-11</v>
      </c>
      <c r="Z94" s="220" t="str">
        <f t="shared" si="12"/>
        <v>2-12</v>
      </c>
      <c r="AA94" s="220" t="str">
        <f t="shared" si="12"/>
        <v>3-1</v>
      </c>
      <c r="AB94" s="220" t="str">
        <f t="shared" si="12"/>
        <v>3-2</v>
      </c>
      <c r="AC94" s="220" t="str">
        <f t="shared" si="12"/>
        <v>3-3</v>
      </c>
      <c r="AD94" s="220" t="str">
        <f t="shared" si="12"/>
        <v>3-4</v>
      </c>
      <c r="AE94" s="220" t="str">
        <f t="shared" si="12"/>
        <v>3-5</v>
      </c>
      <c r="AF94" s="220" t="str">
        <f t="shared" si="12"/>
        <v>3-6</v>
      </c>
      <c r="AG94" s="220" t="str">
        <f t="shared" si="12"/>
        <v>3-7</v>
      </c>
      <c r="AH94" s="220" t="str">
        <f t="shared" si="12"/>
        <v>3-8</v>
      </c>
      <c r="AI94" s="220" t="str">
        <f t="shared" si="12"/>
        <v>3-9</v>
      </c>
      <c r="AJ94" s="220" t="str">
        <f t="shared" si="12"/>
        <v>3-10</v>
      </c>
      <c r="AK94" s="220" t="str">
        <f t="shared" si="12"/>
        <v>3-11</v>
      </c>
      <c r="AL94" s="220" t="str">
        <f t="shared" si="12"/>
        <v>3-12</v>
      </c>
      <c r="AM94" s="220" t="str">
        <f t="shared" si="12"/>
        <v>4-1</v>
      </c>
      <c r="AN94" s="220" t="str">
        <f t="shared" si="12"/>
        <v>4-2</v>
      </c>
    </row>
    <row r="95" spans="1:40" s="16" customFormat="1">
      <c r="A95" s="1"/>
      <c r="B95" s="1"/>
      <c r="C95" s="34"/>
    </row>
    <row r="96" spans="1:40" s="16" customFormat="1">
      <c r="A96" s="1"/>
      <c r="B96" s="1"/>
      <c r="C96" s="34" t="s">
        <v>45</v>
      </c>
      <c r="D96" s="67">
        <f>-D90</f>
        <v>-350000</v>
      </c>
    </row>
    <row r="97" spans="1:40" s="16" customFormat="1">
      <c r="A97" s="1"/>
      <c r="B97" s="1"/>
      <c r="C97" s="32" t="s">
        <v>65</v>
      </c>
      <c r="D97" s="26"/>
      <c r="E97" s="67">
        <f>(E28-E19)-(E90+E35+E72)</f>
        <v>-16866.372987178514</v>
      </c>
      <c r="F97" s="67">
        <f t="shared" ref="F97:AN97" si="13">(F28-F19)-(F90+F35+F72)</f>
        <v>-16987.950230469112</v>
      </c>
      <c r="G97" s="67">
        <f t="shared" si="13"/>
        <v>-16989.537988714976</v>
      </c>
      <c r="H97" s="67">
        <f t="shared" si="13"/>
        <v>-16871.136332015813</v>
      </c>
      <c r="I97" s="67">
        <f t="shared" si="13"/>
        <v>-16872.745330938658</v>
      </c>
      <c r="J97" s="67">
        <f t="shared" si="13"/>
        <v>-16994.365056520983</v>
      </c>
      <c r="K97" s="67">
        <f t="shared" si="13"/>
        <v>-16875.995580273866</v>
      </c>
      <c r="L97" s="67">
        <f t="shared" si="13"/>
        <v>-16997.636974185094</v>
      </c>
      <c r="M97" s="67">
        <f t="shared" si="13"/>
        <v>-16879.289310722401</v>
      </c>
      <c r="N97" s="67">
        <f t="shared" si="13"/>
        <v>-16880.952662836622</v>
      </c>
      <c r="O97" s="67">
        <f t="shared" si="13"/>
        <v>-20347.107103964936</v>
      </c>
      <c r="P97" s="67">
        <f t="shared" si="13"/>
        <v>-20348.792708034107</v>
      </c>
      <c r="Q97" s="67">
        <f t="shared" si="13"/>
        <v>-20350.489549463742</v>
      </c>
      <c r="R97" s="67">
        <f t="shared" si="13"/>
        <v>-20755.397703169569</v>
      </c>
      <c r="S97" s="67">
        <f t="shared" si="13"/>
        <v>-20757.117244566776</v>
      </c>
      <c r="T97" s="67">
        <f t="shared" si="13"/>
        <v>-20355.648249573289</v>
      </c>
      <c r="U97" s="67">
        <f t="shared" si="13"/>
        <v>-20357.390794613184</v>
      </c>
      <c r="V97" s="67">
        <f t="shared" si="13"/>
        <v>-20762.344956620007</v>
      </c>
      <c r="W97" s="67">
        <f t="shared" si="13"/>
        <v>-20360.910813040213</v>
      </c>
      <c r="X97" s="67">
        <f t="shared" si="13"/>
        <v>-20765.888441836556</v>
      </c>
      <c r="Y97" s="67">
        <f t="shared" si="13"/>
        <v>-20364.477921491536</v>
      </c>
      <c r="Z97" s="67">
        <f t="shared" si="13"/>
        <v>-20366.279331010883</v>
      </c>
      <c r="AA97" s="67">
        <f t="shared" si="13"/>
        <v>-21370.092349927028</v>
      </c>
      <c r="AB97" s="67">
        <f t="shared" si="13"/>
        <v>-21371.917858302611</v>
      </c>
      <c r="AC97" s="67">
        <f t="shared" si="13"/>
        <v>-21373.755536734036</v>
      </c>
      <c r="AD97" s="67">
        <f t="shared" si="13"/>
        <v>-21755.016666354997</v>
      </c>
      <c r="AE97" s="67">
        <f t="shared" si="13"/>
        <v>-21756.878928840102</v>
      </c>
      <c r="AF97" s="67">
        <f t="shared" si="13"/>
        <v>-21379.342406408443</v>
      </c>
      <c r="AG97" s="67">
        <f t="shared" si="13"/>
        <v>-21381.22958182724</v>
      </c>
      <c r="AH97" s="67">
        <f t="shared" si="13"/>
        <v>-21762.540538415487</v>
      </c>
      <c r="AI97" s="67">
        <f t="shared" si="13"/>
        <v>-21385.041760047669</v>
      </c>
      <c r="AJ97" s="67">
        <f t="shared" si="13"/>
        <v>-21766.378131157384</v>
      </c>
      <c r="AK97" s="67">
        <f t="shared" si="13"/>
        <v>-21388.904936741179</v>
      </c>
      <c r="AL97" s="67">
        <f t="shared" si="13"/>
        <v>-21390.85586236219</v>
      </c>
      <c r="AM97" s="67">
        <f t="shared" si="13"/>
        <v>-21503.367894154009</v>
      </c>
      <c r="AN97" s="67">
        <f t="shared" si="13"/>
        <v>-21505.344918824441</v>
      </c>
    </row>
    <row r="98" spans="1:40" s="16" customFormat="1">
      <c r="A98" s="26"/>
      <c r="B98" s="1"/>
      <c r="C98" s="32" t="s">
        <v>66</v>
      </c>
      <c r="D98" s="26"/>
      <c r="E98" s="67">
        <f>E97+D98</f>
        <v>-16866.372987178514</v>
      </c>
      <c r="F98" s="67">
        <f t="shared" ref="F98:AN98" si="14">F97+E98</f>
        <v>-33854.32321764763</v>
      </c>
      <c r="G98" s="67">
        <f t="shared" si="14"/>
        <v>-50843.861206362606</v>
      </c>
      <c r="H98" s="67">
        <f t="shared" si="14"/>
        <v>-67714.997538378419</v>
      </c>
      <c r="I98" s="67">
        <f t="shared" si="14"/>
        <v>-84587.74286931708</v>
      </c>
      <c r="J98" s="67">
        <f t="shared" si="14"/>
        <v>-101582.10792583806</v>
      </c>
      <c r="K98" s="67">
        <f t="shared" si="14"/>
        <v>-118458.10350611193</v>
      </c>
      <c r="L98" s="67">
        <f t="shared" si="14"/>
        <v>-135455.74048029701</v>
      </c>
      <c r="M98" s="67">
        <f t="shared" si="14"/>
        <v>-152335.02979101942</v>
      </c>
      <c r="N98" s="67">
        <f t="shared" si="14"/>
        <v>-169215.98245385604</v>
      </c>
      <c r="O98" s="67">
        <f t="shared" si="14"/>
        <v>-189563.08955782096</v>
      </c>
      <c r="P98" s="67">
        <f t="shared" si="14"/>
        <v>-209911.88226585506</v>
      </c>
      <c r="Q98" s="67">
        <f t="shared" si="14"/>
        <v>-230262.37181531879</v>
      </c>
      <c r="R98" s="67">
        <f t="shared" si="14"/>
        <v>-251017.76951848838</v>
      </c>
      <c r="S98" s="67">
        <f t="shared" si="14"/>
        <v>-271774.88676305517</v>
      </c>
      <c r="T98" s="67">
        <f t="shared" si="14"/>
        <v>-292130.53501262848</v>
      </c>
      <c r="U98" s="67">
        <f t="shared" si="14"/>
        <v>-312487.92580724164</v>
      </c>
      <c r="V98" s="67">
        <f t="shared" si="14"/>
        <v>-333250.27076386166</v>
      </c>
      <c r="W98" s="67">
        <f t="shared" si="14"/>
        <v>-353611.18157690187</v>
      </c>
      <c r="X98" s="67">
        <f t="shared" si="14"/>
        <v>-374377.07001873845</v>
      </c>
      <c r="Y98" s="67">
        <f t="shared" si="14"/>
        <v>-394741.54794023</v>
      </c>
      <c r="Z98" s="67">
        <f t="shared" si="14"/>
        <v>-415107.82727124088</v>
      </c>
      <c r="AA98" s="67">
        <f t="shared" si="14"/>
        <v>-436477.91962116794</v>
      </c>
      <c r="AB98" s="67">
        <f t="shared" si="14"/>
        <v>-457849.83747947053</v>
      </c>
      <c r="AC98" s="67">
        <f t="shared" si="14"/>
        <v>-479223.59301620454</v>
      </c>
      <c r="AD98" s="67">
        <f t="shared" si="14"/>
        <v>-500978.60968255956</v>
      </c>
      <c r="AE98" s="67">
        <f t="shared" si="14"/>
        <v>-522735.48861139966</v>
      </c>
      <c r="AF98" s="67">
        <f t="shared" si="14"/>
        <v>-544114.83101780806</v>
      </c>
      <c r="AG98" s="67">
        <f t="shared" si="14"/>
        <v>-565496.06059963536</v>
      </c>
      <c r="AH98" s="67">
        <f t="shared" si="14"/>
        <v>-587258.6011380509</v>
      </c>
      <c r="AI98" s="67">
        <f t="shared" si="14"/>
        <v>-608643.64289809857</v>
      </c>
      <c r="AJ98" s="67">
        <f t="shared" si="14"/>
        <v>-630410.02102925593</v>
      </c>
      <c r="AK98" s="67">
        <f t="shared" si="14"/>
        <v>-651798.92596599716</v>
      </c>
      <c r="AL98" s="67">
        <f t="shared" si="14"/>
        <v>-673189.78182835935</v>
      </c>
      <c r="AM98" s="67">
        <f t="shared" si="14"/>
        <v>-694693.14972251339</v>
      </c>
      <c r="AN98" s="67">
        <f t="shared" si="14"/>
        <v>-716198.49464133778</v>
      </c>
    </row>
    <row r="99" spans="1:40" s="16" customFormat="1">
      <c r="A99" s="1"/>
      <c r="B99" s="1"/>
      <c r="C99" s="32"/>
      <c r="D99" s="26"/>
      <c r="E99" s="67"/>
      <c r="F99" s="67"/>
      <c r="G99" s="67"/>
      <c r="H99" s="67"/>
      <c r="I99" s="67"/>
      <c r="J99" s="67"/>
      <c r="K99" s="67"/>
      <c r="L99" s="67"/>
      <c r="M99" s="67"/>
      <c r="N99" s="67"/>
      <c r="O99" s="67"/>
      <c r="P99" s="67"/>
      <c r="Q99" s="67"/>
      <c r="R99" s="67"/>
      <c r="S99" s="67"/>
      <c r="T99" s="67"/>
      <c r="U99" s="67"/>
      <c r="V99" s="67"/>
      <c r="W99" s="67"/>
      <c r="X99" s="67"/>
      <c r="Y99" s="67"/>
      <c r="Z99" s="67"/>
      <c r="AA99" s="67"/>
      <c r="AB99" s="67"/>
      <c r="AC99" s="67"/>
      <c r="AD99" s="67"/>
      <c r="AE99" s="67"/>
      <c r="AF99" s="67"/>
      <c r="AG99" s="67"/>
      <c r="AH99" s="67"/>
      <c r="AI99" s="67"/>
      <c r="AJ99" s="67"/>
      <c r="AK99" s="67"/>
      <c r="AL99" s="67"/>
      <c r="AM99" s="67"/>
      <c r="AN99" s="67"/>
    </row>
    <row r="100" spans="1:40" s="16" customFormat="1">
      <c r="A100" s="1"/>
      <c r="B100" s="1"/>
      <c r="C100" s="32" t="s">
        <v>27</v>
      </c>
      <c r="D100" s="67">
        <f>D19</f>
        <v>225000</v>
      </c>
      <c r="E100" s="67">
        <f>E19</f>
        <v>0</v>
      </c>
      <c r="F100" s="67">
        <f t="shared" ref="F100:AN100" si="15">F19</f>
        <v>0</v>
      </c>
      <c r="G100" s="67">
        <f t="shared" si="15"/>
        <v>0</v>
      </c>
      <c r="H100" s="67">
        <f t="shared" si="15"/>
        <v>0</v>
      </c>
      <c r="I100" s="67">
        <f t="shared" si="15"/>
        <v>0</v>
      </c>
      <c r="J100" s="67">
        <f t="shared" si="15"/>
        <v>0</v>
      </c>
      <c r="K100" s="67">
        <f t="shared" si="15"/>
        <v>0</v>
      </c>
      <c r="L100" s="67">
        <f t="shared" si="15"/>
        <v>0</v>
      </c>
      <c r="M100" s="67">
        <f t="shared" si="15"/>
        <v>0</v>
      </c>
      <c r="N100" s="67">
        <f t="shared" si="15"/>
        <v>0</v>
      </c>
      <c r="O100" s="67">
        <f t="shared" si="15"/>
        <v>0</v>
      </c>
      <c r="P100" s="67">
        <f t="shared" si="15"/>
        <v>0</v>
      </c>
      <c r="Q100" s="67">
        <f t="shared" si="15"/>
        <v>0</v>
      </c>
      <c r="R100" s="67">
        <f t="shared" si="15"/>
        <v>0</v>
      </c>
      <c r="S100" s="67">
        <f t="shared" si="15"/>
        <v>0</v>
      </c>
      <c r="T100" s="67">
        <f t="shared" si="15"/>
        <v>0</v>
      </c>
      <c r="U100" s="67">
        <f t="shared" si="15"/>
        <v>0</v>
      </c>
      <c r="V100" s="67">
        <f t="shared" si="15"/>
        <v>0</v>
      </c>
      <c r="W100" s="67">
        <f t="shared" si="15"/>
        <v>0</v>
      </c>
      <c r="X100" s="67">
        <f t="shared" si="15"/>
        <v>0</v>
      </c>
      <c r="Y100" s="67">
        <f t="shared" si="15"/>
        <v>0</v>
      </c>
      <c r="Z100" s="67">
        <f t="shared" si="15"/>
        <v>0</v>
      </c>
      <c r="AA100" s="67">
        <f t="shared" si="15"/>
        <v>0</v>
      </c>
      <c r="AB100" s="67">
        <f t="shared" si="15"/>
        <v>0</v>
      </c>
      <c r="AC100" s="67">
        <f t="shared" si="15"/>
        <v>0</v>
      </c>
      <c r="AD100" s="67">
        <f t="shared" si="15"/>
        <v>0</v>
      </c>
      <c r="AE100" s="67">
        <f t="shared" si="15"/>
        <v>0</v>
      </c>
      <c r="AF100" s="67">
        <f t="shared" si="15"/>
        <v>0</v>
      </c>
      <c r="AG100" s="67">
        <f t="shared" si="15"/>
        <v>0</v>
      </c>
      <c r="AH100" s="67">
        <f t="shared" si="15"/>
        <v>0</v>
      </c>
      <c r="AI100" s="67">
        <f t="shared" si="15"/>
        <v>0</v>
      </c>
      <c r="AJ100" s="67">
        <f t="shared" si="15"/>
        <v>0</v>
      </c>
      <c r="AK100" s="67">
        <f t="shared" si="15"/>
        <v>0</v>
      </c>
      <c r="AL100" s="67">
        <f t="shared" si="15"/>
        <v>0</v>
      </c>
      <c r="AM100" s="67">
        <f t="shared" si="15"/>
        <v>0</v>
      </c>
      <c r="AN100" s="67">
        <f t="shared" si="15"/>
        <v>0</v>
      </c>
    </row>
    <row r="101" spans="1:40" s="16" customFormat="1">
      <c r="A101" s="1"/>
      <c r="B101" s="1"/>
      <c r="C101" s="32" t="s">
        <v>292</v>
      </c>
      <c r="D101" s="67"/>
      <c r="E101" s="67">
        <f>(E72+E35)</f>
        <v>236.58649358925678</v>
      </c>
      <c r="F101" s="67">
        <f t="shared" ref="F101:AN101" si="16">(F72+F35)</f>
        <v>238.1637368798518</v>
      </c>
      <c r="G101" s="67">
        <f t="shared" si="16"/>
        <v>239.75149512571744</v>
      </c>
      <c r="H101" s="67">
        <f t="shared" si="16"/>
        <v>241.34983842655566</v>
      </c>
      <c r="I101" s="67">
        <f t="shared" si="16"/>
        <v>242.95883734939932</v>
      </c>
      <c r="J101" s="67">
        <f t="shared" si="16"/>
        <v>244.57856293172867</v>
      </c>
      <c r="K101" s="67">
        <f t="shared" si="16"/>
        <v>246.20908668460686</v>
      </c>
      <c r="L101" s="67">
        <f t="shared" si="16"/>
        <v>247.85048059583755</v>
      </c>
      <c r="M101" s="67">
        <f t="shared" si="16"/>
        <v>249.50281713314311</v>
      </c>
      <c r="N101" s="67">
        <f t="shared" si="16"/>
        <v>251.16616924736414</v>
      </c>
      <c r="O101" s="67">
        <f t="shared" si="16"/>
        <v>252.84061037567983</v>
      </c>
      <c r="P101" s="67">
        <f t="shared" si="16"/>
        <v>254.52621444485109</v>
      </c>
      <c r="Q101" s="67">
        <f t="shared" si="16"/>
        <v>256.22305587448341</v>
      </c>
      <c r="R101" s="67">
        <f t="shared" si="16"/>
        <v>257.93120958031329</v>
      </c>
      <c r="S101" s="67">
        <f t="shared" si="16"/>
        <v>259.65075097751537</v>
      </c>
      <c r="T101" s="67">
        <f t="shared" si="16"/>
        <v>261.38175598403211</v>
      </c>
      <c r="U101" s="67">
        <f t="shared" si="16"/>
        <v>263.12430102392574</v>
      </c>
      <c r="V101" s="67">
        <f t="shared" si="16"/>
        <v>264.87846303075185</v>
      </c>
      <c r="W101" s="67">
        <f t="shared" si="16"/>
        <v>266.64431945095691</v>
      </c>
      <c r="X101" s="67">
        <f t="shared" si="16"/>
        <v>268.4219482472966</v>
      </c>
      <c r="Y101" s="67">
        <f t="shared" si="16"/>
        <v>270.21142790227856</v>
      </c>
      <c r="Z101" s="67">
        <f t="shared" si="16"/>
        <v>272.01283742162707</v>
      </c>
      <c r="AA101" s="67">
        <f t="shared" si="16"/>
        <v>273.82625633777133</v>
      </c>
      <c r="AB101" s="67">
        <f t="shared" si="16"/>
        <v>275.65176471335644</v>
      </c>
      <c r="AC101" s="67">
        <f t="shared" si="16"/>
        <v>277.48944314477882</v>
      </c>
      <c r="AD101" s="67">
        <f t="shared" si="16"/>
        <v>279.33937276574397</v>
      </c>
      <c r="AE101" s="67">
        <f t="shared" si="16"/>
        <v>281.20163525084894</v>
      </c>
      <c r="AF101" s="67">
        <f t="shared" si="16"/>
        <v>283.07631281918788</v>
      </c>
      <c r="AG101" s="67">
        <f t="shared" si="16"/>
        <v>284.96348823798257</v>
      </c>
      <c r="AH101" s="67">
        <f t="shared" si="16"/>
        <v>286.86324482623576</v>
      </c>
      <c r="AI101" s="67">
        <f t="shared" si="16"/>
        <v>288.77566645841063</v>
      </c>
      <c r="AJ101" s="67">
        <f t="shared" si="16"/>
        <v>290.70083756813341</v>
      </c>
      <c r="AK101" s="67">
        <f t="shared" si="16"/>
        <v>292.63884315192092</v>
      </c>
      <c r="AL101" s="67">
        <f t="shared" si="16"/>
        <v>294.58976877293372</v>
      </c>
      <c r="AM101" s="67">
        <f t="shared" si="16"/>
        <v>296.55370056475329</v>
      </c>
      <c r="AN101" s="67">
        <f t="shared" si="16"/>
        <v>298.530725235185</v>
      </c>
    </row>
    <row r="102" spans="1:40" s="16" customFormat="1">
      <c r="A102" s="1"/>
      <c r="B102" s="1"/>
      <c r="C102" s="32" t="s">
        <v>293</v>
      </c>
      <c r="D102" s="67"/>
      <c r="E102" s="67">
        <f>(E73+E36)</f>
        <v>1500</v>
      </c>
      <c r="F102" s="67">
        <f t="shared" ref="F102:AN102" si="17">(F73+F36)</f>
        <v>1498.4227567094051</v>
      </c>
      <c r="G102" s="67">
        <f t="shared" si="17"/>
        <v>1496.8349984635395</v>
      </c>
      <c r="H102" s="67">
        <f t="shared" si="17"/>
        <v>1495.2366551627013</v>
      </c>
      <c r="I102" s="67">
        <f t="shared" si="17"/>
        <v>1493.6276562398575</v>
      </c>
      <c r="J102" s="67">
        <f t="shared" si="17"/>
        <v>1492.0079306575283</v>
      </c>
      <c r="K102" s="67">
        <f t="shared" si="17"/>
        <v>1490.3774069046499</v>
      </c>
      <c r="L102" s="67">
        <f t="shared" si="17"/>
        <v>1488.7360129934193</v>
      </c>
      <c r="M102" s="67">
        <f t="shared" si="17"/>
        <v>1487.0836764561138</v>
      </c>
      <c r="N102" s="67">
        <f t="shared" si="17"/>
        <v>1485.4203243418929</v>
      </c>
      <c r="O102" s="67">
        <f t="shared" si="17"/>
        <v>1483.7458832135771</v>
      </c>
      <c r="P102" s="67">
        <f t="shared" si="17"/>
        <v>1482.060279144406</v>
      </c>
      <c r="Q102" s="67">
        <f t="shared" si="17"/>
        <v>1480.3634377147735</v>
      </c>
      <c r="R102" s="67">
        <f t="shared" si="17"/>
        <v>1478.6552840089437</v>
      </c>
      <c r="S102" s="67">
        <f t="shared" si="17"/>
        <v>1476.9357426117415</v>
      </c>
      <c r="T102" s="67">
        <f t="shared" si="17"/>
        <v>1475.2047376052249</v>
      </c>
      <c r="U102" s="67">
        <f t="shared" si="17"/>
        <v>1473.4621925653312</v>
      </c>
      <c r="V102" s="67">
        <f t="shared" si="17"/>
        <v>1471.708030558505</v>
      </c>
      <c r="W102" s="67">
        <f t="shared" si="17"/>
        <v>1469.9421741383001</v>
      </c>
      <c r="X102" s="67">
        <f t="shared" si="17"/>
        <v>1468.1645453419603</v>
      </c>
      <c r="Y102" s="67">
        <f t="shared" si="17"/>
        <v>1466.3750656869784</v>
      </c>
      <c r="Z102" s="67">
        <f t="shared" si="17"/>
        <v>1464.5736561676299</v>
      </c>
      <c r="AA102" s="67">
        <f t="shared" si="17"/>
        <v>1462.7602372514857</v>
      </c>
      <c r="AB102" s="67">
        <f t="shared" si="17"/>
        <v>1460.9347288759004</v>
      </c>
      <c r="AC102" s="67">
        <f t="shared" si="17"/>
        <v>1459.0970504444783</v>
      </c>
      <c r="AD102" s="67">
        <f t="shared" si="17"/>
        <v>1457.2471208235129</v>
      </c>
      <c r="AE102" s="67">
        <f t="shared" si="17"/>
        <v>1455.3848583384081</v>
      </c>
      <c r="AF102" s="67">
        <f t="shared" si="17"/>
        <v>1453.5101807700689</v>
      </c>
      <c r="AG102" s="67">
        <f t="shared" si="17"/>
        <v>1451.6230053512743</v>
      </c>
      <c r="AH102" s="67">
        <f t="shared" si="17"/>
        <v>1449.723248763021</v>
      </c>
      <c r="AI102" s="67">
        <f t="shared" si="17"/>
        <v>1447.8108271308463</v>
      </c>
      <c r="AJ102" s="67">
        <f t="shared" si="17"/>
        <v>1445.8856560211236</v>
      </c>
      <c r="AK102" s="67">
        <f t="shared" si="17"/>
        <v>1443.9476504373358</v>
      </c>
      <c r="AL102" s="67">
        <f t="shared" si="17"/>
        <v>1441.9967248163232</v>
      </c>
      <c r="AM102" s="67">
        <f t="shared" si="17"/>
        <v>1440.0327930245035</v>
      </c>
      <c r="AN102" s="67">
        <f t="shared" si="17"/>
        <v>1438.0557683540719</v>
      </c>
    </row>
    <row r="103" spans="1:40" s="16" customFormat="1">
      <c r="A103" s="1"/>
      <c r="B103" s="1"/>
      <c r="C103" s="32" t="s">
        <v>21</v>
      </c>
      <c r="D103" s="67">
        <f>D100-D101</f>
        <v>225000</v>
      </c>
      <c r="E103" s="67">
        <f>D103+E100-E101</f>
        <v>224763.41350641075</v>
      </c>
      <c r="F103" s="67">
        <f t="shared" ref="F103:AN103" si="18">E103+F100-F101</f>
        <v>224525.2497695309</v>
      </c>
      <c r="G103" s="67">
        <f t="shared" si="18"/>
        <v>224285.4982744052</v>
      </c>
      <c r="H103" s="67">
        <f t="shared" si="18"/>
        <v>224044.14843597863</v>
      </c>
      <c r="I103" s="67">
        <f t="shared" si="18"/>
        <v>223801.18959862922</v>
      </c>
      <c r="J103" s="67">
        <f t="shared" si="18"/>
        <v>223556.61103569748</v>
      </c>
      <c r="K103" s="67">
        <f t="shared" si="18"/>
        <v>223310.40194901288</v>
      </c>
      <c r="L103" s="67">
        <f t="shared" si="18"/>
        <v>223062.55146841705</v>
      </c>
      <c r="M103" s="67">
        <f t="shared" si="18"/>
        <v>222813.0486512839</v>
      </c>
      <c r="N103" s="67">
        <f t="shared" si="18"/>
        <v>222561.88248203654</v>
      </c>
      <c r="O103" s="67">
        <f t="shared" si="18"/>
        <v>222309.04187166085</v>
      </c>
      <c r="P103" s="67">
        <f t="shared" si="18"/>
        <v>222054.51565721599</v>
      </c>
      <c r="Q103" s="67">
        <f t="shared" si="18"/>
        <v>221798.2926013415</v>
      </c>
      <c r="R103" s="67">
        <f t="shared" si="18"/>
        <v>221540.36139176119</v>
      </c>
      <c r="S103" s="67">
        <f t="shared" si="18"/>
        <v>221280.71064078368</v>
      </c>
      <c r="T103" s="67">
        <f t="shared" si="18"/>
        <v>221019.32888479964</v>
      </c>
      <c r="U103" s="67">
        <f t="shared" si="18"/>
        <v>220756.20458377572</v>
      </c>
      <c r="V103" s="67">
        <f t="shared" si="18"/>
        <v>220491.32612074495</v>
      </c>
      <c r="W103" s="67">
        <f t="shared" si="18"/>
        <v>220224.68180129401</v>
      </c>
      <c r="X103" s="67">
        <f t="shared" si="18"/>
        <v>219956.25985304671</v>
      </c>
      <c r="Y103" s="67">
        <f t="shared" si="18"/>
        <v>219686.04842514443</v>
      </c>
      <c r="Z103" s="67">
        <f t="shared" si="18"/>
        <v>219414.03558772281</v>
      </c>
      <c r="AA103" s="67">
        <f t="shared" si="18"/>
        <v>219140.20933138503</v>
      </c>
      <c r="AB103" s="67">
        <f t="shared" si="18"/>
        <v>218864.55756667169</v>
      </c>
      <c r="AC103" s="67">
        <f t="shared" si="18"/>
        <v>218587.0681235269</v>
      </c>
      <c r="AD103" s="67">
        <f t="shared" si="18"/>
        <v>218307.72875076116</v>
      </c>
      <c r="AE103" s="67">
        <f t="shared" si="18"/>
        <v>218026.52711551031</v>
      </c>
      <c r="AF103" s="67">
        <f t="shared" si="18"/>
        <v>217743.45080269114</v>
      </c>
      <c r="AG103" s="67">
        <f t="shared" si="18"/>
        <v>217458.48731445314</v>
      </c>
      <c r="AH103" s="67">
        <f t="shared" si="18"/>
        <v>217171.62406962691</v>
      </c>
      <c r="AI103" s="67">
        <f t="shared" si="18"/>
        <v>216882.84840316849</v>
      </c>
      <c r="AJ103" s="67">
        <f t="shared" si="18"/>
        <v>216592.14756560035</v>
      </c>
      <c r="AK103" s="67">
        <f t="shared" si="18"/>
        <v>216299.50872244843</v>
      </c>
      <c r="AL103" s="67">
        <f t="shared" si="18"/>
        <v>216004.91895367549</v>
      </c>
      <c r="AM103" s="67">
        <f t="shared" si="18"/>
        <v>215708.36525311074</v>
      </c>
      <c r="AN103" s="67">
        <f t="shared" si="18"/>
        <v>215409.83452787556</v>
      </c>
    </row>
    <row r="104" spans="1:40" s="16" customFormat="1">
      <c r="A104" s="1"/>
      <c r="B104" s="1"/>
      <c r="C104" s="32"/>
      <c r="D104" s="67"/>
      <c r="E104" s="67"/>
      <c r="F104" s="67"/>
      <c r="G104" s="67"/>
      <c r="H104" s="67"/>
      <c r="I104" s="67"/>
      <c r="J104" s="67"/>
      <c r="K104" s="67"/>
      <c r="L104" s="67"/>
      <c r="M104" s="67"/>
      <c r="N104" s="67"/>
      <c r="O104" s="67"/>
      <c r="P104" s="67"/>
      <c r="Q104" s="67"/>
      <c r="R104" s="67"/>
      <c r="S104" s="67"/>
      <c r="T104" s="67"/>
      <c r="U104" s="67"/>
      <c r="V104" s="67"/>
      <c r="W104" s="67"/>
      <c r="X104" s="67"/>
      <c r="Y104" s="67"/>
      <c r="Z104" s="67"/>
      <c r="AA104" s="67"/>
      <c r="AB104" s="67"/>
      <c r="AC104" s="67"/>
      <c r="AD104" s="67"/>
      <c r="AE104" s="67"/>
      <c r="AF104" s="67"/>
      <c r="AG104" s="67"/>
      <c r="AH104" s="67"/>
      <c r="AI104" s="67"/>
      <c r="AJ104" s="67"/>
      <c r="AK104" s="67"/>
      <c r="AL104" s="67"/>
      <c r="AM104" s="67"/>
      <c r="AN104" s="67"/>
    </row>
    <row r="105" spans="1:40" s="179" customFormat="1" ht="24.75">
      <c r="A105" s="138"/>
      <c r="B105" s="138"/>
      <c r="C105" s="177" t="s">
        <v>291</v>
      </c>
      <c r="D105" s="67">
        <f>D26</f>
        <v>0</v>
      </c>
      <c r="E105" s="178"/>
      <c r="F105" s="178"/>
      <c r="G105" s="178"/>
      <c r="H105" s="178"/>
      <c r="I105" s="178"/>
      <c r="J105" s="178"/>
      <c r="K105" s="178"/>
      <c r="L105" s="178"/>
      <c r="M105" s="178"/>
      <c r="N105" s="178"/>
      <c r="O105" s="178"/>
      <c r="P105" s="178"/>
      <c r="Q105" s="178"/>
      <c r="R105" s="178"/>
      <c r="S105" s="178"/>
      <c r="T105" s="178"/>
      <c r="U105" s="178"/>
      <c r="V105" s="178"/>
      <c r="W105" s="178"/>
      <c r="X105" s="178"/>
      <c r="Y105" s="178"/>
      <c r="Z105" s="178"/>
      <c r="AA105" s="178"/>
      <c r="AB105" s="178"/>
      <c r="AC105" s="178"/>
      <c r="AD105" s="178"/>
      <c r="AE105" s="178"/>
      <c r="AF105" s="178"/>
      <c r="AG105" s="178"/>
      <c r="AH105" s="178"/>
      <c r="AI105" s="178"/>
      <c r="AJ105" s="178"/>
      <c r="AK105" s="178"/>
      <c r="AL105" s="178"/>
      <c r="AM105" s="178"/>
      <c r="AN105" s="178"/>
    </row>
    <row r="106" spans="1:40" s="16" customFormat="1">
      <c r="A106" s="1"/>
      <c r="B106" s="1"/>
      <c r="C106" s="32"/>
      <c r="D106" s="67"/>
      <c r="E106" s="67"/>
      <c r="F106" s="67"/>
      <c r="G106" s="67"/>
      <c r="H106" s="67"/>
      <c r="I106" s="67"/>
      <c r="J106" s="67"/>
      <c r="K106" s="67"/>
      <c r="L106" s="67"/>
      <c r="M106" s="67"/>
      <c r="N106" s="67"/>
      <c r="O106" s="67"/>
      <c r="P106" s="67"/>
      <c r="Q106" s="67"/>
      <c r="R106" s="67"/>
      <c r="S106" s="67"/>
      <c r="T106" s="67"/>
      <c r="U106" s="67"/>
      <c r="V106" s="67"/>
      <c r="W106" s="67"/>
      <c r="X106" s="67"/>
      <c r="Y106" s="67"/>
      <c r="Z106" s="67"/>
      <c r="AA106" s="67"/>
      <c r="AB106" s="67"/>
      <c r="AC106" s="67"/>
      <c r="AD106" s="67"/>
      <c r="AE106" s="67"/>
      <c r="AF106" s="67"/>
      <c r="AG106" s="67"/>
      <c r="AH106" s="67"/>
      <c r="AI106" s="67"/>
      <c r="AJ106" s="67"/>
      <c r="AK106" s="67"/>
      <c r="AL106" s="67"/>
      <c r="AM106" s="67"/>
      <c r="AN106" s="67"/>
    </row>
    <row r="107" spans="1:40" s="16" customFormat="1">
      <c r="A107" s="1"/>
      <c r="B107" s="1"/>
      <c r="C107" s="35" t="s">
        <v>22</v>
      </c>
      <c r="D107" s="67">
        <f>D105+D100+D96</f>
        <v>-125000</v>
      </c>
      <c r="E107" s="67">
        <f>E97+E100+E101</f>
        <v>-16629.786493589258</v>
      </c>
      <c r="F107" s="67">
        <f t="shared" ref="F107:AN107" si="19">F97+F100+F101</f>
        <v>-16749.786493589261</v>
      </c>
      <c r="G107" s="67">
        <f t="shared" si="19"/>
        <v>-16749.786493589258</v>
      </c>
      <c r="H107" s="67">
        <f t="shared" si="19"/>
        <v>-16629.786493589258</v>
      </c>
      <c r="I107" s="67">
        <f t="shared" si="19"/>
        <v>-16629.786493589258</v>
      </c>
      <c r="J107" s="67">
        <f t="shared" si="19"/>
        <v>-16749.786493589254</v>
      </c>
      <c r="K107" s="67">
        <f t="shared" si="19"/>
        <v>-16629.786493589258</v>
      </c>
      <c r="L107" s="67">
        <f t="shared" si="19"/>
        <v>-16749.786493589258</v>
      </c>
      <c r="M107" s="67">
        <f t="shared" si="19"/>
        <v>-16629.786493589258</v>
      </c>
      <c r="N107" s="67">
        <f t="shared" si="19"/>
        <v>-16629.786493589258</v>
      </c>
      <c r="O107" s="67">
        <f t="shared" si="19"/>
        <v>-20094.266493589257</v>
      </c>
      <c r="P107" s="67">
        <f t="shared" si="19"/>
        <v>-20094.266493589257</v>
      </c>
      <c r="Q107" s="67">
        <f t="shared" si="19"/>
        <v>-20094.266493589257</v>
      </c>
      <c r="R107" s="67">
        <f t="shared" si="19"/>
        <v>-20497.466493589254</v>
      </c>
      <c r="S107" s="67">
        <f t="shared" si="19"/>
        <v>-20497.466493589262</v>
      </c>
      <c r="T107" s="67">
        <f t="shared" si="19"/>
        <v>-20094.266493589257</v>
      </c>
      <c r="U107" s="67">
        <f t="shared" si="19"/>
        <v>-20094.266493589257</v>
      </c>
      <c r="V107" s="67">
        <f t="shared" si="19"/>
        <v>-20497.466493589254</v>
      </c>
      <c r="W107" s="67">
        <f t="shared" si="19"/>
        <v>-20094.266493589257</v>
      </c>
      <c r="X107" s="67">
        <f t="shared" si="19"/>
        <v>-20497.466493589258</v>
      </c>
      <c r="Y107" s="67">
        <f t="shared" si="19"/>
        <v>-20094.266493589257</v>
      </c>
      <c r="Z107" s="67">
        <f t="shared" si="19"/>
        <v>-20094.266493589257</v>
      </c>
      <c r="AA107" s="67">
        <f t="shared" si="19"/>
        <v>-21096.266093589256</v>
      </c>
      <c r="AB107" s="67">
        <f t="shared" si="19"/>
        <v>-21096.266093589256</v>
      </c>
      <c r="AC107" s="67">
        <f t="shared" si="19"/>
        <v>-21096.266093589256</v>
      </c>
      <c r="AD107" s="67">
        <f t="shared" si="19"/>
        <v>-21475.677293589251</v>
      </c>
      <c r="AE107" s="67">
        <f t="shared" si="19"/>
        <v>-21475.677293589255</v>
      </c>
      <c r="AF107" s="67">
        <f t="shared" si="19"/>
        <v>-21096.266093589256</v>
      </c>
      <c r="AG107" s="67">
        <f t="shared" si="19"/>
        <v>-21096.266093589256</v>
      </c>
      <c r="AH107" s="67">
        <f t="shared" si="19"/>
        <v>-21475.677293589251</v>
      </c>
      <c r="AI107" s="67">
        <f t="shared" si="19"/>
        <v>-21096.266093589256</v>
      </c>
      <c r="AJ107" s="67">
        <f t="shared" si="19"/>
        <v>-21475.677293589251</v>
      </c>
      <c r="AK107" s="67">
        <f t="shared" si="19"/>
        <v>-21096.266093589256</v>
      </c>
      <c r="AL107" s="67">
        <f t="shared" si="19"/>
        <v>-21096.266093589256</v>
      </c>
      <c r="AM107" s="67">
        <f t="shared" si="19"/>
        <v>-21206.814193589256</v>
      </c>
      <c r="AN107" s="67">
        <f t="shared" si="19"/>
        <v>-21206.814193589256</v>
      </c>
    </row>
    <row r="108" spans="1:40" s="16" customFormat="1">
      <c r="A108" s="26"/>
      <c r="B108" s="1"/>
      <c r="C108" s="35" t="s">
        <v>57</v>
      </c>
      <c r="D108" s="67">
        <f>D107</f>
        <v>-125000</v>
      </c>
      <c r="E108" s="67">
        <f>D108+E107</f>
        <v>-141629.78649358926</v>
      </c>
      <c r="F108" s="67">
        <f t="shared" ref="F108:AN108" si="20">E108+F107</f>
        <v>-158379.57298717852</v>
      </c>
      <c r="G108" s="67">
        <f t="shared" si="20"/>
        <v>-175129.35948076777</v>
      </c>
      <c r="H108" s="67">
        <f t="shared" si="20"/>
        <v>-191759.14597435703</v>
      </c>
      <c r="I108" s="67">
        <f t="shared" si="20"/>
        <v>-208388.93246794629</v>
      </c>
      <c r="J108" s="67">
        <f t="shared" si="20"/>
        <v>-225138.71896153555</v>
      </c>
      <c r="K108" s="67">
        <f t="shared" si="20"/>
        <v>-241768.5054551248</v>
      </c>
      <c r="L108" s="67">
        <f t="shared" si="20"/>
        <v>-258518.29194871406</v>
      </c>
      <c r="M108" s="67">
        <f t="shared" si="20"/>
        <v>-275148.07844230335</v>
      </c>
      <c r="N108" s="67">
        <f t="shared" si="20"/>
        <v>-291777.86493589263</v>
      </c>
      <c r="O108" s="67">
        <f t="shared" si="20"/>
        <v>-311872.1314294819</v>
      </c>
      <c r="P108" s="67">
        <f t="shared" si="20"/>
        <v>-331966.39792307117</v>
      </c>
      <c r="Q108" s="67">
        <f t="shared" si="20"/>
        <v>-352060.66441666044</v>
      </c>
      <c r="R108" s="67">
        <f t="shared" si="20"/>
        <v>-372558.13091024972</v>
      </c>
      <c r="S108" s="67">
        <f t="shared" si="20"/>
        <v>-393055.597403839</v>
      </c>
      <c r="T108" s="67">
        <f t="shared" si="20"/>
        <v>-413149.86389742827</v>
      </c>
      <c r="U108" s="67">
        <f t="shared" si="20"/>
        <v>-433244.13039101753</v>
      </c>
      <c r="V108" s="67">
        <f t="shared" si="20"/>
        <v>-453741.59688460681</v>
      </c>
      <c r="W108" s="67">
        <f t="shared" si="20"/>
        <v>-473835.86337819608</v>
      </c>
      <c r="X108" s="67">
        <f t="shared" si="20"/>
        <v>-494333.32987178536</v>
      </c>
      <c r="Y108" s="67">
        <f t="shared" si="20"/>
        <v>-514427.59636537463</v>
      </c>
      <c r="Z108" s="67">
        <f t="shared" si="20"/>
        <v>-534521.8628589639</v>
      </c>
      <c r="AA108" s="67">
        <f t="shared" si="20"/>
        <v>-555618.12895255315</v>
      </c>
      <c r="AB108" s="67">
        <f t="shared" si="20"/>
        <v>-576714.3950461424</v>
      </c>
      <c r="AC108" s="67">
        <f t="shared" si="20"/>
        <v>-597810.66113973164</v>
      </c>
      <c r="AD108" s="67">
        <f t="shared" si="20"/>
        <v>-619286.33843332087</v>
      </c>
      <c r="AE108" s="67">
        <f t="shared" si="20"/>
        <v>-640762.01572691009</v>
      </c>
      <c r="AF108" s="67">
        <f t="shared" si="20"/>
        <v>-661858.28182049934</v>
      </c>
      <c r="AG108" s="67">
        <f t="shared" si="20"/>
        <v>-682954.54791408859</v>
      </c>
      <c r="AH108" s="67">
        <f t="shared" si="20"/>
        <v>-704430.22520767781</v>
      </c>
      <c r="AI108" s="67">
        <f t="shared" si="20"/>
        <v>-725526.49130126706</v>
      </c>
      <c r="AJ108" s="67">
        <f t="shared" si="20"/>
        <v>-747002.16859485628</v>
      </c>
      <c r="AK108" s="67">
        <f t="shared" si="20"/>
        <v>-768098.43468844553</v>
      </c>
      <c r="AL108" s="67">
        <f t="shared" si="20"/>
        <v>-789194.70078203478</v>
      </c>
      <c r="AM108" s="67">
        <f t="shared" si="20"/>
        <v>-810401.51497562404</v>
      </c>
      <c r="AN108" s="67">
        <f t="shared" si="20"/>
        <v>-831608.32916921331</v>
      </c>
    </row>
    <row r="109" spans="1:40" s="16" customFormat="1">
      <c r="A109" s="1"/>
      <c r="B109" s="1"/>
      <c r="C109" s="32"/>
      <c r="D109" s="67"/>
      <c r="E109" s="67"/>
      <c r="F109" s="67"/>
      <c r="G109" s="67"/>
      <c r="H109" s="67"/>
      <c r="I109" s="67"/>
      <c r="J109" s="67"/>
      <c r="K109" s="67"/>
      <c r="L109" s="67"/>
      <c r="M109" s="67"/>
      <c r="N109" s="67"/>
      <c r="O109" s="67"/>
      <c r="P109" s="67"/>
      <c r="Q109" s="67"/>
      <c r="R109" s="67"/>
      <c r="S109" s="67"/>
      <c r="T109" s="67"/>
      <c r="U109" s="67"/>
      <c r="V109" s="67"/>
      <c r="W109" s="67"/>
      <c r="X109" s="67"/>
      <c r="Y109" s="67"/>
      <c r="Z109" s="67"/>
      <c r="AA109" s="67"/>
      <c r="AB109" s="67"/>
      <c r="AC109" s="67"/>
      <c r="AD109" s="67"/>
      <c r="AE109" s="67"/>
      <c r="AF109" s="67"/>
      <c r="AG109" s="67"/>
      <c r="AH109" s="67"/>
      <c r="AI109" s="67"/>
      <c r="AJ109" s="67"/>
      <c r="AK109" s="67"/>
      <c r="AL109" s="67"/>
      <c r="AM109" s="67"/>
      <c r="AN109" s="67"/>
    </row>
    <row r="110" spans="1:40" s="16" customFormat="1">
      <c r="A110" s="1"/>
      <c r="B110" s="1"/>
      <c r="C110" s="32"/>
    </row>
    <row r="111" spans="1:40" s="16" customFormat="1">
      <c r="A111" s="1"/>
      <c r="B111" s="1"/>
      <c r="C111" s="32"/>
    </row>
    <row r="112" spans="1:40" s="16" customFormat="1">
      <c r="A112" s="1"/>
      <c r="B112" s="1"/>
      <c r="C112" s="32"/>
    </row>
    <row r="113" spans="1:4" s="16" customFormat="1">
      <c r="A113" s="1"/>
      <c r="B113" s="1"/>
      <c r="C113" s="32"/>
    </row>
    <row r="114" spans="1:4" s="16" customFormat="1">
      <c r="A114" s="1"/>
      <c r="B114" s="1"/>
      <c r="C114" s="32"/>
    </row>
    <row r="115" spans="1:4" s="16" customFormat="1">
      <c r="A115" s="1"/>
      <c r="B115" s="1"/>
      <c r="C115" s="32"/>
      <c r="D115" s="15"/>
    </row>
    <row r="116" spans="1:4" s="16" customFormat="1">
      <c r="A116" s="1"/>
      <c r="B116" s="1"/>
      <c r="C116" s="32"/>
      <c r="D116" s="15"/>
    </row>
    <row r="117" spans="1:4" s="16" customFormat="1">
      <c r="A117" s="1"/>
      <c r="B117" s="1"/>
      <c r="C117" s="32"/>
      <c r="D117" s="15"/>
    </row>
    <row r="118" spans="1:4" s="16" customFormat="1">
      <c r="A118" s="1"/>
      <c r="B118" s="1"/>
      <c r="C118" s="32"/>
      <c r="D118" s="15"/>
    </row>
    <row r="119" spans="1:4" s="16" customFormat="1">
      <c r="A119" s="1"/>
      <c r="B119" s="1"/>
      <c r="C119" s="32"/>
      <c r="D119" s="15"/>
    </row>
    <row r="120" spans="1:4" s="16" customFormat="1">
      <c r="A120" s="1"/>
      <c r="B120" s="1"/>
      <c r="C120" s="32"/>
      <c r="D120" s="15"/>
    </row>
    <row r="121" spans="1:4" s="16" customFormat="1">
      <c r="A121" s="1"/>
      <c r="B121" s="1"/>
      <c r="C121" s="32"/>
      <c r="D121" s="15"/>
    </row>
    <row r="122" spans="1:4" s="16" customFormat="1">
      <c r="A122" s="1"/>
      <c r="B122" s="1"/>
      <c r="C122" s="32"/>
      <c r="D122" s="15"/>
    </row>
    <row r="123" spans="1:4" s="16" customFormat="1">
      <c r="A123" s="1"/>
      <c r="B123" s="1"/>
      <c r="C123" s="32"/>
      <c r="D123" s="15"/>
    </row>
    <row r="124" spans="1:4" s="16" customFormat="1">
      <c r="A124" s="1"/>
      <c r="B124" s="1"/>
      <c r="C124" s="32"/>
      <c r="D124" s="15"/>
    </row>
    <row r="125" spans="1:4" s="16" customFormat="1">
      <c r="A125" s="1"/>
      <c r="B125" s="1"/>
      <c r="C125" s="32"/>
      <c r="D125" s="15"/>
    </row>
    <row r="126" spans="1:4" s="16" customFormat="1">
      <c r="A126" s="1"/>
      <c r="B126" s="1"/>
      <c r="C126" s="32"/>
      <c r="D126" s="15"/>
    </row>
    <row r="127" spans="1:4" s="16" customFormat="1">
      <c r="A127" s="1"/>
      <c r="B127" s="1"/>
      <c r="C127" s="32"/>
      <c r="D127" s="15"/>
    </row>
    <row r="128" spans="1:4" s="16" customFormat="1">
      <c r="A128" s="1"/>
      <c r="B128" s="1"/>
      <c r="C128" s="32"/>
      <c r="D128" s="15"/>
    </row>
    <row r="129" spans="1:4" s="16" customFormat="1">
      <c r="A129" s="1"/>
      <c r="B129" s="1"/>
      <c r="C129" s="32"/>
      <c r="D129" s="15"/>
    </row>
    <row r="130" spans="1:4" s="16" customFormat="1">
      <c r="A130" s="1"/>
      <c r="B130" s="1"/>
      <c r="C130" s="32"/>
      <c r="D130" s="15"/>
    </row>
    <row r="131" spans="1:4" s="16" customFormat="1">
      <c r="A131" s="1"/>
      <c r="B131" s="1"/>
      <c r="C131" s="32"/>
      <c r="D131" s="15"/>
    </row>
  </sheetData>
  <sheetProtection algorithmName="SHA-512" hashValue="bdziq3FF5Yxq+TmZSKuiBgfqhni70Hxvbvuiw95q03fFPHSF1XA3Qi/Dj/Id0s/qjE/w5yknChN61sNb4r94dg==" saltValue="ouyYaXkPT+9zlq+6k5NzHQ==" spinCount="100000" sheet="1" objects="1" scenarios="1"/>
  <mergeCells count="2">
    <mergeCell ref="B26:C26"/>
    <mergeCell ref="A3:C3"/>
  </mergeCells>
  <phoneticPr fontId="2" type="noConversion"/>
  <conditionalFormatting sqref="D10:Y10 D11:D12">
    <cfRule type="notContainsBlanks" dxfId="11" priority="5">
      <formula>LEN(TRIM(D10))&gt;0</formula>
    </cfRule>
  </conditionalFormatting>
  <conditionalFormatting sqref="D7:AN7">
    <cfRule type="expression" dxfId="10" priority="3" stopIfTrue="1">
      <formula>ISEVEN(YEAR(D7))</formula>
    </cfRule>
    <cfRule type="expression" dxfId="9" priority="4">
      <formula>ISODD(YEAR(D7))</formula>
    </cfRule>
  </conditionalFormatting>
  <conditionalFormatting sqref="AU13:AU108">
    <cfRule type="duplicateValues" dxfId="8" priority="20"/>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48D15-8540-4800-B8EB-65C0CF5AD836}">
  <sheetPr>
    <tabColor rgb="FF2F6F6B"/>
  </sheetPr>
  <dimension ref="A1:AN131"/>
  <sheetViews>
    <sheetView showGridLines="0" zoomScaleNormal="100" workbookViewId="0">
      <pane xSplit="3" ySplit="9" topLeftCell="D10" activePane="bottomRight" state="frozen"/>
      <selection pane="topRight" activeCell="D1" sqref="D1"/>
      <selection pane="bottomLeft" activeCell="A10" sqref="A10"/>
      <selection pane="bottomRight" activeCell="D12" sqref="D12"/>
    </sheetView>
  </sheetViews>
  <sheetFormatPr defaultColWidth="13.33203125" defaultRowHeight="12.4"/>
  <cols>
    <col min="1" max="2" width="8.06640625" style="1" customWidth="1"/>
    <col min="3" max="3" width="48.53125" style="32" customWidth="1"/>
    <col min="4" max="4" width="19.1328125" style="14" customWidth="1"/>
    <col min="5" max="40" width="18.3984375" style="1" customWidth="1"/>
    <col min="41" max="16384" width="13.33203125" style="1"/>
  </cols>
  <sheetData>
    <row r="1" spans="1:40" s="45" customFormat="1" ht="6.85" customHeight="1">
      <c r="A1" s="230"/>
      <c r="B1" s="230"/>
      <c r="C1" s="231"/>
      <c r="D1" s="227"/>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J1" s="226"/>
      <c r="AK1" s="226"/>
      <c r="AL1" s="226"/>
      <c r="AM1" s="226"/>
      <c r="AN1" s="226"/>
    </row>
    <row r="2" spans="1:40" ht="15.75">
      <c r="A2" s="232" t="s">
        <v>70</v>
      </c>
      <c r="B2" s="233"/>
      <c r="C2" s="234"/>
      <c r="D2" s="228"/>
      <c r="E2" s="229"/>
      <c r="F2" s="229"/>
      <c r="G2" s="229"/>
      <c r="H2" s="229"/>
      <c r="I2" s="229"/>
      <c r="J2" s="229"/>
      <c r="K2" s="229"/>
      <c r="L2" s="229"/>
      <c r="M2" s="229"/>
      <c r="N2" s="229"/>
      <c r="O2" s="229"/>
      <c r="P2" s="229"/>
      <c r="Q2" s="229"/>
      <c r="R2" s="191" t="s">
        <v>31</v>
      </c>
      <c r="S2" s="229"/>
      <c r="T2" s="229"/>
      <c r="U2" s="229"/>
      <c r="V2" s="229"/>
      <c r="W2" s="229"/>
      <c r="X2" s="229"/>
      <c r="Y2" s="229"/>
      <c r="Z2" s="229"/>
      <c r="AA2" s="229"/>
      <c r="AB2" s="229"/>
      <c r="AC2" s="229"/>
      <c r="AD2" s="229"/>
      <c r="AE2" s="229"/>
      <c r="AF2" s="229"/>
      <c r="AG2" s="229"/>
      <c r="AH2" s="229"/>
      <c r="AI2" s="229"/>
      <c r="AJ2" s="229"/>
      <c r="AK2" s="229"/>
      <c r="AL2" s="229"/>
      <c r="AM2" s="229"/>
      <c r="AN2" s="229"/>
    </row>
    <row r="3" spans="1:40" ht="23.25" customHeight="1" thickBot="1">
      <c r="A3" s="274" t="s">
        <v>297</v>
      </c>
      <c r="B3" s="274"/>
      <c r="C3" s="275"/>
      <c r="D3" s="228"/>
      <c r="E3" s="229"/>
      <c r="F3" s="229"/>
      <c r="G3" s="229"/>
      <c r="H3" s="229"/>
      <c r="I3" s="229"/>
      <c r="J3" s="229"/>
      <c r="K3" s="229"/>
      <c r="L3" s="229"/>
      <c r="M3" s="229"/>
      <c r="N3" s="229"/>
      <c r="O3" s="229"/>
      <c r="P3" s="229"/>
      <c r="Q3" s="229"/>
      <c r="R3" s="229"/>
      <c r="S3" s="229"/>
      <c r="T3" s="229"/>
      <c r="U3" s="229"/>
      <c r="V3" s="229"/>
      <c r="W3" s="229"/>
      <c r="X3" s="229"/>
      <c r="Y3" s="229"/>
      <c r="Z3" s="229"/>
      <c r="AA3" s="229"/>
      <c r="AB3" s="229"/>
      <c r="AC3" s="229"/>
      <c r="AD3" s="229"/>
      <c r="AE3" s="229"/>
      <c r="AF3" s="229"/>
      <c r="AG3" s="229"/>
      <c r="AH3" s="229"/>
      <c r="AI3" s="229"/>
      <c r="AJ3" s="229"/>
      <c r="AK3" s="229"/>
      <c r="AL3" s="229"/>
      <c r="AM3" s="229"/>
      <c r="AN3" s="229"/>
    </row>
    <row r="4" spans="1:40" s="16" customFormat="1" hidden="1">
      <c r="A4" s="1"/>
      <c r="B4" s="1"/>
      <c r="C4" s="43" t="s">
        <v>58</v>
      </c>
      <c r="D4" s="29"/>
      <c r="E4" s="59"/>
      <c r="F4" s="59"/>
      <c r="G4" s="59"/>
      <c r="H4" s="59"/>
      <c r="I4" s="59"/>
      <c r="J4" s="59" t="str">
        <f>IF(I4&lt;&gt;"",0,IF(AVERAGE(E97:J97)&gt;=0,"Operating Breakeven Achieved On:",""))</f>
        <v/>
      </c>
      <c r="K4" s="59" t="str">
        <f t="shared" ref="K4:AN4" si="0">IF(J4&lt;&gt;"",0,IF(AVERAGE(F97:K97)&gt;=0,"Operating Breakeven Achieved On:",""))</f>
        <v/>
      </c>
      <c r="L4" s="59" t="str">
        <f t="shared" si="0"/>
        <v/>
      </c>
      <c r="M4" s="59" t="str">
        <f t="shared" si="0"/>
        <v/>
      </c>
      <c r="N4" s="59" t="str">
        <f t="shared" si="0"/>
        <v/>
      </c>
      <c r="O4" s="59" t="str">
        <f t="shared" si="0"/>
        <v/>
      </c>
      <c r="P4" s="59" t="str">
        <f t="shared" si="0"/>
        <v/>
      </c>
      <c r="Q4" s="59" t="str">
        <f t="shared" si="0"/>
        <v/>
      </c>
      <c r="R4" s="59" t="str">
        <f t="shared" si="0"/>
        <v/>
      </c>
      <c r="S4" s="59" t="str">
        <f t="shared" si="0"/>
        <v/>
      </c>
      <c r="T4" s="59" t="str">
        <f t="shared" si="0"/>
        <v/>
      </c>
      <c r="U4" s="59" t="str">
        <f t="shared" si="0"/>
        <v/>
      </c>
      <c r="V4" s="59" t="str">
        <f t="shared" si="0"/>
        <v/>
      </c>
      <c r="W4" s="59" t="str">
        <f t="shared" si="0"/>
        <v/>
      </c>
      <c r="X4" s="59" t="str">
        <f t="shared" si="0"/>
        <v/>
      </c>
      <c r="Y4" s="59" t="str">
        <f t="shared" si="0"/>
        <v/>
      </c>
      <c r="Z4" s="59" t="str">
        <f t="shared" si="0"/>
        <v/>
      </c>
      <c r="AA4" s="59" t="str">
        <f t="shared" si="0"/>
        <v/>
      </c>
      <c r="AB4" s="59" t="str">
        <f t="shared" si="0"/>
        <v/>
      </c>
      <c r="AC4" s="59" t="str">
        <f t="shared" si="0"/>
        <v/>
      </c>
      <c r="AD4" s="59" t="str">
        <f t="shared" si="0"/>
        <v/>
      </c>
      <c r="AE4" s="59" t="str">
        <f t="shared" si="0"/>
        <v/>
      </c>
      <c r="AF4" s="59" t="str">
        <f t="shared" si="0"/>
        <v/>
      </c>
      <c r="AG4" s="59" t="str">
        <f t="shared" si="0"/>
        <v/>
      </c>
      <c r="AH4" s="59" t="str">
        <f t="shared" si="0"/>
        <v>Operating Breakeven Achieved On:</v>
      </c>
      <c r="AI4" s="59">
        <f t="shared" si="0"/>
        <v>0</v>
      </c>
      <c r="AJ4" s="59">
        <f t="shared" si="0"/>
        <v>0</v>
      </c>
      <c r="AK4" s="59">
        <f t="shared" si="0"/>
        <v>0</v>
      </c>
      <c r="AL4" s="59">
        <f t="shared" si="0"/>
        <v>0</v>
      </c>
      <c r="AM4" s="59">
        <f t="shared" si="0"/>
        <v>0</v>
      </c>
      <c r="AN4" s="59">
        <f t="shared" si="0"/>
        <v>0</v>
      </c>
    </row>
    <row r="5" spans="1:40" s="16" customFormat="1" ht="12.75" hidden="1" thickBot="1">
      <c r="A5" s="1"/>
      <c r="B5" s="1"/>
      <c r="C5" s="43" t="s">
        <v>193</v>
      </c>
      <c r="D5" s="29"/>
      <c r="E5" s="59" t="str">
        <f>Inputs!E13</f>
        <v>New Business</v>
      </c>
      <c r="F5" s="60">
        <f>Inputs!$E$15</f>
        <v>46447</v>
      </c>
      <c r="G5" s="60"/>
      <c r="H5" s="59"/>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row>
    <row r="6" spans="1:40" ht="17.649999999999999" customHeight="1">
      <c r="A6" s="244"/>
      <c r="B6" s="244"/>
      <c r="C6" s="245" t="s">
        <v>2</v>
      </c>
      <c r="D6" s="247"/>
      <c r="E6" s="246">
        <f>EDATE(F5,0)</f>
        <v>46447</v>
      </c>
      <c r="F6" s="246">
        <f>EDATE(E6,1)</f>
        <v>46478</v>
      </c>
      <c r="G6" s="246">
        <f t="shared" ref="G6:AN6" si="1">EDATE(F6,1)</f>
        <v>46508</v>
      </c>
      <c r="H6" s="246">
        <f t="shared" si="1"/>
        <v>46539</v>
      </c>
      <c r="I6" s="246">
        <f t="shared" si="1"/>
        <v>46569</v>
      </c>
      <c r="J6" s="246">
        <f t="shared" si="1"/>
        <v>46600</v>
      </c>
      <c r="K6" s="246">
        <f t="shared" si="1"/>
        <v>46631</v>
      </c>
      <c r="L6" s="246">
        <f t="shared" si="1"/>
        <v>46661</v>
      </c>
      <c r="M6" s="246">
        <f t="shared" si="1"/>
        <v>46692</v>
      </c>
      <c r="N6" s="246">
        <f t="shared" si="1"/>
        <v>46722</v>
      </c>
      <c r="O6" s="246">
        <f t="shared" si="1"/>
        <v>46753</v>
      </c>
      <c r="P6" s="246">
        <f t="shared" si="1"/>
        <v>46784</v>
      </c>
      <c r="Q6" s="246">
        <f t="shared" si="1"/>
        <v>46813</v>
      </c>
      <c r="R6" s="246">
        <f t="shared" si="1"/>
        <v>46844</v>
      </c>
      <c r="S6" s="246">
        <f t="shared" si="1"/>
        <v>46874</v>
      </c>
      <c r="T6" s="246">
        <f t="shared" si="1"/>
        <v>46905</v>
      </c>
      <c r="U6" s="246">
        <f t="shared" si="1"/>
        <v>46935</v>
      </c>
      <c r="V6" s="246">
        <f t="shared" si="1"/>
        <v>46966</v>
      </c>
      <c r="W6" s="246">
        <f t="shared" si="1"/>
        <v>46997</v>
      </c>
      <c r="X6" s="246">
        <f t="shared" si="1"/>
        <v>47027</v>
      </c>
      <c r="Y6" s="246">
        <f t="shared" si="1"/>
        <v>47058</v>
      </c>
      <c r="Z6" s="246">
        <f t="shared" si="1"/>
        <v>47088</v>
      </c>
      <c r="AA6" s="246">
        <f t="shared" si="1"/>
        <v>47119</v>
      </c>
      <c r="AB6" s="246">
        <f t="shared" si="1"/>
        <v>47150</v>
      </c>
      <c r="AC6" s="246">
        <f t="shared" si="1"/>
        <v>47178</v>
      </c>
      <c r="AD6" s="246">
        <f t="shared" si="1"/>
        <v>47209</v>
      </c>
      <c r="AE6" s="246">
        <f t="shared" si="1"/>
        <v>47239</v>
      </c>
      <c r="AF6" s="246">
        <f t="shared" si="1"/>
        <v>47270</v>
      </c>
      <c r="AG6" s="246">
        <f t="shared" si="1"/>
        <v>47300</v>
      </c>
      <c r="AH6" s="246">
        <f t="shared" si="1"/>
        <v>47331</v>
      </c>
      <c r="AI6" s="246">
        <f t="shared" si="1"/>
        <v>47362</v>
      </c>
      <c r="AJ6" s="246">
        <f t="shared" si="1"/>
        <v>47392</v>
      </c>
      <c r="AK6" s="246">
        <f t="shared" si="1"/>
        <v>47423</v>
      </c>
      <c r="AL6" s="246">
        <f t="shared" si="1"/>
        <v>47453</v>
      </c>
      <c r="AM6" s="246">
        <f t="shared" si="1"/>
        <v>47484</v>
      </c>
      <c r="AN6" s="246">
        <f t="shared" si="1"/>
        <v>47515</v>
      </c>
    </row>
    <row r="7" spans="1:40" ht="14.65">
      <c r="A7" s="244"/>
      <c r="B7" s="244"/>
      <c r="C7" s="245" t="s">
        <v>20</v>
      </c>
      <c r="D7" s="80" t="str">
        <f>IF(E5="New Business","Pre-Launch","Cash On Hand")</f>
        <v>Pre-Launch</v>
      </c>
      <c r="E7" s="31">
        <f>E6</f>
        <v>46447</v>
      </c>
      <c r="F7" s="31">
        <f>F6</f>
        <v>46478</v>
      </c>
      <c r="G7" s="31">
        <f t="shared" ref="G7:AN7" si="2">G6</f>
        <v>46508</v>
      </c>
      <c r="H7" s="31">
        <f t="shared" si="2"/>
        <v>46539</v>
      </c>
      <c r="I7" s="31">
        <f t="shared" si="2"/>
        <v>46569</v>
      </c>
      <c r="J7" s="31">
        <f t="shared" si="2"/>
        <v>46600</v>
      </c>
      <c r="K7" s="31">
        <f t="shared" si="2"/>
        <v>46631</v>
      </c>
      <c r="L7" s="31">
        <f t="shared" si="2"/>
        <v>46661</v>
      </c>
      <c r="M7" s="31">
        <f t="shared" si="2"/>
        <v>46692</v>
      </c>
      <c r="N7" s="31">
        <f t="shared" si="2"/>
        <v>46722</v>
      </c>
      <c r="O7" s="31">
        <f t="shared" si="2"/>
        <v>46753</v>
      </c>
      <c r="P7" s="31">
        <f t="shared" si="2"/>
        <v>46784</v>
      </c>
      <c r="Q7" s="31">
        <f t="shared" si="2"/>
        <v>46813</v>
      </c>
      <c r="R7" s="31">
        <f t="shared" si="2"/>
        <v>46844</v>
      </c>
      <c r="S7" s="31">
        <f t="shared" si="2"/>
        <v>46874</v>
      </c>
      <c r="T7" s="31">
        <f t="shared" si="2"/>
        <v>46905</v>
      </c>
      <c r="U7" s="31">
        <f t="shared" si="2"/>
        <v>46935</v>
      </c>
      <c r="V7" s="31">
        <f t="shared" si="2"/>
        <v>46966</v>
      </c>
      <c r="W7" s="31">
        <f t="shared" si="2"/>
        <v>46997</v>
      </c>
      <c r="X7" s="31">
        <f t="shared" si="2"/>
        <v>47027</v>
      </c>
      <c r="Y7" s="31">
        <f t="shared" si="2"/>
        <v>47058</v>
      </c>
      <c r="Z7" s="31">
        <f t="shared" si="2"/>
        <v>47088</v>
      </c>
      <c r="AA7" s="31">
        <f t="shared" si="2"/>
        <v>47119</v>
      </c>
      <c r="AB7" s="31">
        <f t="shared" si="2"/>
        <v>47150</v>
      </c>
      <c r="AC7" s="31">
        <f t="shared" si="2"/>
        <v>47178</v>
      </c>
      <c r="AD7" s="31">
        <f t="shared" si="2"/>
        <v>47209</v>
      </c>
      <c r="AE7" s="31">
        <f t="shared" si="2"/>
        <v>47239</v>
      </c>
      <c r="AF7" s="31">
        <f t="shared" si="2"/>
        <v>47270</v>
      </c>
      <c r="AG7" s="31">
        <f t="shared" si="2"/>
        <v>47300</v>
      </c>
      <c r="AH7" s="31">
        <f t="shared" si="2"/>
        <v>47331</v>
      </c>
      <c r="AI7" s="31">
        <f t="shared" si="2"/>
        <v>47362</v>
      </c>
      <c r="AJ7" s="31">
        <f t="shared" si="2"/>
        <v>47392</v>
      </c>
      <c r="AK7" s="31">
        <f t="shared" si="2"/>
        <v>47423</v>
      </c>
      <c r="AL7" s="31">
        <f t="shared" si="2"/>
        <v>47453</v>
      </c>
      <c r="AM7" s="31">
        <f t="shared" si="2"/>
        <v>47484</v>
      </c>
      <c r="AN7" s="31">
        <f t="shared" si="2"/>
        <v>47515</v>
      </c>
    </row>
    <row r="8" spans="1:40" s="46" customFormat="1" ht="17.649999999999999" hidden="1" customHeight="1">
      <c r="A8" s="47"/>
      <c r="B8" s="47"/>
      <c r="C8" s="43" t="s">
        <v>46</v>
      </c>
      <c r="D8" s="217"/>
      <c r="E8" s="218">
        <v>1</v>
      </c>
      <c r="F8" s="218">
        <f>E8+1</f>
        <v>2</v>
      </c>
      <c r="G8" s="218">
        <f t="shared" ref="G8:AN8" si="3">F8+1</f>
        <v>3</v>
      </c>
      <c r="H8" s="218">
        <f t="shared" si="3"/>
        <v>4</v>
      </c>
      <c r="I8" s="218">
        <f t="shared" si="3"/>
        <v>5</v>
      </c>
      <c r="J8" s="218">
        <f t="shared" si="3"/>
        <v>6</v>
      </c>
      <c r="K8" s="218">
        <f t="shared" si="3"/>
        <v>7</v>
      </c>
      <c r="L8" s="218">
        <f t="shared" si="3"/>
        <v>8</v>
      </c>
      <c r="M8" s="218">
        <f t="shared" si="3"/>
        <v>9</v>
      </c>
      <c r="N8" s="218">
        <f t="shared" si="3"/>
        <v>10</v>
      </c>
      <c r="O8" s="218">
        <f t="shared" si="3"/>
        <v>11</v>
      </c>
      <c r="P8" s="218">
        <f t="shared" si="3"/>
        <v>12</v>
      </c>
      <c r="Q8" s="218">
        <f t="shared" si="3"/>
        <v>13</v>
      </c>
      <c r="R8" s="218">
        <f t="shared" si="3"/>
        <v>14</v>
      </c>
      <c r="S8" s="218">
        <f t="shared" si="3"/>
        <v>15</v>
      </c>
      <c r="T8" s="218">
        <f t="shared" si="3"/>
        <v>16</v>
      </c>
      <c r="U8" s="218">
        <f t="shared" si="3"/>
        <v>17</v>
      </c>
      <c r="V8" s="218">
        <f t="shared" si="3"/>
        <v>18</v>
      </c>
      <c r="W8" s="218">
        <f t="shared" si="3"/>
        <v>19</v>
      </c>
      <c r="X8" s="218">
        <f t="shared" si="3"/>
        <v>20</v>
      </c>
      <c r="Y8" s="218">
        <f t="shared" si="3"/>
        <v>21</v>
      </c>
      <c r="Z8" s="218">
        <f t="shared" si="3"/>
        <v>22</v>
      </c>
      <c r="AA8" s="218">
        <f t="shared" si="3"/>
        <v>23</v>
      </c>
      <c r="AB8" s="218">
        <f t="shared" si="3"/>
        <v>24</v>
      </c>
      <c r="AC8" s="218">
        <f t="shared" si="3"/>
        <v>25</v>
      </c>
      <c r="AD8" s="218">
        <f t="shared" si="3"/>
        <v>26</v>
      </c>
      <c r="AE8" s="218">
        <f t="shared" si="3"/>
        <v>27</v>
      </c>
      <c r="AF8" s="218">
        <f t="shared" si="3"/>
        <v>28</v>
      </c>
      <c r="AG8" s="218">
        <f t="shared" si="3"/>
        <v>29</v>
      </c>
      <c r="AH8" s="218">
        <f t="shared" si="3"/>
        <v>30</v>
      </c>
      <c r="AI8" s="218">
        <f t="shared" si="3"/>
        <v>31</v>
      </c>
      <c r="AJ8" s="218">
        <f t="shared" si="3"/>
        <v>32</v>
      </c>
      <c r="AK8" s="218">
        <f t="shared" si="3"/>
        <v>33</v>
      </c>
      <c r="AL8" s="218">
        <f t="shared" si="3"/>
        <v>34</v>
      </c>
      <c r="AM8" s="218">
        <f t="shared" si="3"/>
        <v>35</v>
      </c>
      <c r="AN8" s="218">
        <f t="shared" si="3"/>
        <v>36</v>
      </c>
    </row>
    <row r="9" spans="1:40" s="46" customFormat="1" ht="17.649999999999999" hidden="1" customHeight="1">
      <c r="A9" s="30"/>
      <c r="B9" s="30"/>
      <c r="C9" s="43" t="s">
        <v>194</v>
      </c>
      <c r="D9" s="217"/>
      <c r="E9" s="218">
        <f>YEAR(E7)+1-YEAR($F$5)</f>
        <v>1</v>
      </c>
      <c r="F9" s="218">
        <f t="shared" ref="F9:AN9" si="4">YEAR(F7)+1-YEAR($F$5)</f>
        <v>1</v>
      </c>
      <c r="G9" s="218">
        <f t="shared" si="4"/>
        <v>1</v>
      </c>
      <c r="H9" s="218">
        <f t="shared" si="4"/>
        <v>1</v>
      </c>
      <c r="I9" s="218">
        <f t="shared" si="4"/>
        <v>1</v>
      </c>
      <c r="J9" s="218">
        <f t="shared" si="4"/>
        <v>1</v>
      </c>
      <c r="K9" s="218">
        <f t="shared" si="4"/>
        <v>1</v>
      </c>
      <c r="L9" s="218">
        <f t="shared" si="4"/>
        <v>1</v>
      </c>
      <c r="M9" s="218">
        <f t="shared" si="4"/>
        <v>1</v>
      </c>
      <c r="N9" s="218">
        <f t="shared" si="4"/>
        <v>1</v>
      </c>
      <c r="O9" s="218">
        <f t="shared" si="4"/>
        <v>2</v>
      </c>
      <c r="P9" s="218">
        <f t="shared" si="4"/>
        <v>2</v>
      </c>
      <c r="Q9" s="218">
        <f t="shared" si="4"/>
        <v>2</v>
      </c>
      <c r="R9" s="218">
        <f t="shared" si="4"/>
        <v>2</v>
      </c>
      <c r="S9" s="218">
        <f t="shared" si="4"/>
        <v>2</v>
      </c>
      <c r="T9" s="218">
        <f t="shared" si="4"/>
        <v>2</v>
      </c>
      <c r="U9" s="218">
        <f t="shared" si="4"/>
        <v>2</v>
      </c>
      <c r="V9" s="218">
        <f t="shared" si="4"/>
        <v>2</v>
      </c>
      <c r="W9" s="218">
        <f t="shared" si="4"/>
        <v>2</v>
      </c>
      <c r="X9" s="218">
        <f t="shared" si="4"/>
        <v>2</v>
      </c>
      <c r="Y9" s="218">
        <f t="shared" si="4"/>
        <v>2</v>
      </c>
      <c r="Z9" s="218">
        <f t="shared" si="4"/>
        <v>2</v>
      </c>
      <c r="AA9" s="218">
        <f t="shared" si="4"/>
        <v>3</v>
      </c>
      <c r="AB9" s="218">
        <f t="shared" si="4"/>
        <v>3</v>
      </c>
      <c r="AC9" s="218">
        <f t="shared" si="4"/>
        <v>3</v>
      </c>
      <c r="AD9" s="218">
        <f t="shared" si="4"/>
        <v>3</v>
      </c>
      <c r="AE9" s="218">
        <f t="shared" si="4"/>
        <v>3</v>
      </c>
      <c r="AF9" s="218">
        <f t="shared" si="4"/>
        <v>3</v>
      </c>
      <c r="AG9" s="218">
        <f t="shared" si="4"/>
        <v>3</v>
      </c>
      <c r="AH9" s="218">
        <f t="shared" si="4"/>
        <v>3</v>
      </c>
      <c r="AI9" s="218">
        <f t="shared" si="4"/>
        <v>3</v>
      </c>
      <c r="AJ9" s="218">
        <f t="shared" si="4"/>
        <v>3</v>
      </c>
      <c r="AK9" s="218">
        <f t="shared" si="4"/>
        <v>3</v>
      </c>
      <c r="AL9" s="218">
        <f t="shared" si="4"/>
        <v>3</v>
      </c>
      <c r="AM9" s="218">
        <f t="shared" si="4"/>
        <v>4</v>
      </c>
      <c r="AN9" s="218">
        <f t="shared" si="4"/>
        <v>4</v>
      </c>
    </row>
    <row r="10" spans="1:40">
      <c r="A10" s="2" t="s">
        <v>24</v>
      </c>
      <c r="D10" s="1"/>
    </row>
    <row r="11" spans="1:40" hidden="1">
      <c r="A11" s="2"/>
      <c r="C11" s="44" t="s">
        <v>199</v>
      </c>
      <c r="D11" s="69"/>
      <c r="E11" s="70">
        <f>HLOOKUP(MONTH(E6),'Seasonality Adjustment'!$C$8:$N$10,2,FALSE)</f>
        <v>0.05</v>
      </c>
      <c r="F11" s="70">
        <f>HLOOKUP(MONTH(F6),'Seasonality Adjustment'!$C$8:$N$10,2,FALSE)</f>
        <v>0.15</v>
      </c>
      <c r="G11" s="70">
        <f>HLOOKUP(MONTH(G6),'Seasonality Adjustment'!$C$8:$N$10,2,FALSE)</f>
        <v>0.15</v>
      </c>
      <c r="H11" s="70">
        <f>HLOOKUP(MONTH(H6),'Seasonality Adjustment'!$C$8:$N$10,2,FALSE)</f>
        <v>0.05</v>
      </c>
      <c r="I11" s="70">
        <f>HLOOKUP(MONTH(I6),'Seasonality Adjustment'!$C$8:$N$10,2,FALSE)</f>
        <v>0.05</v>
      </c>
      <c r="J11" s="70">
        <f>HLOOKUP(MONTH(J6),'Seasonality Adjustment'!$C$8:$N$10,2,FALSE)</f>
        <v>0.15</v>
      </c>
      <c r="K11" s="70">
        <f>HLOOKUP(MONTH(K6),'Seasonality Adjustment'!$C$8:$N$10,2,FALSE)</f>
        <v>0.05</v>
      </c>
      <c r="L11" s="70">
        <f>HLOOKUP(MONTH(L6),'Seasonality Adjustment'!$C$8:$N$10,2,FALSE)</f>
        <v>0.15</v>
      </c>
      <c r="M11" s="70">
        <f>HLOOKUP(MONTH(M6),'Seasonality Adjustment'!$C$8:$N$10,2,FALSE)</f>
        <v>0.05</v>
      </c>
      <c r="N11" s="70">
        <f>HLOOKUP(MONTH(N6),'Seasonality Adjustment'!$C$8:$N$10,2,FALSE)</f>
        <v>0.05</v>
      </c>
      <c r="O11" s="70">
        <f>HLOOKUP(MONTH(O6),'Seasonality Adjustment'!$C$8:$N$10,2,FALSE)</f>
        <v>0.05</v>
      </c>
      <c r="P11" s="70">
        <f>HLOOKUP(MONTH(P6),'Seasonality Adjustment'!$C$8:$N$10,2,FALSE)</f>
        <v>0.05</v>
      </c>
      <c r="Q11" s="70">
        <f>HLOOKUP(MONTH(Q6),'Seasonality Adjustment'!$C$8:$N$10,2,FALSE)</f>
        <v>0.05</v>
      </c>
      <c r="R11" s="70">
        <f>HLOOKUP(MONTH(R6),'Seasonality Adjustment'!$C$8:$N$10,2,FALSE)</f>
        <v>0.15</v>
      </c>
      <c r="S11" s="70">
        <f>HLOOKUP(MONTH(S6),'Seasonality Adjustment'!$C$8:$N$10,2,FALSE)</f>
        <v>0.15</v>
      </c>
      <c r="T11" s="70">
        <f>HLOOKUP(MONTH(T6),'Seasonality Adjustment'!$C$8:$N$10,2,FALSE)</f>
        <v>0.05</v>
      </c>
      <c r="U11" s="70">
        <f>HLOOKUP(MONTH(U6),'Seasonality Adjustment'!$C$8:$N$10,2,FALSE)</f>
        <v>0.05</v>
      </c>
      <c r="V11" s="70">
        <f>HLOOKUP(MONTH(V6),'Seasonality Adjustment'!$C$8:$N$10,2,FALSE)</f>
        <v>0.15</v>
      </c>
      <c r="W11" s="70">
        <f>HLOOKUP(MONTH(W6),'Seasonality Adjustment'!$C$8:$N$10,2,FALSE)</f>
        <v>0.05</v>
      </c>
      <c r="X11" s="70">
        <f>HLOOKUP(MONTH(X6),'Seasonality Adjustment'!$C$8:$N$10,2,FALSE)</f>
        <v>0.15</v>
      </c>
      <c r="Y11" s="70">
        <f>HLOOKUP(MONTH(Y6),'Seasonality Adjustment'!$C$8:$N$10,2,FALSE)</f>
        <v>0.05</v>
      </c>
      <c r="Z11" s="70">
        <f>HLOOKUP(MONTH(Z6),'Seasonality Adjustment'!$C$8:$N$10,2,FALSE)</f>
        <v>0.05</v>
      </c>
      <c r="AA11" s="70">
        <f>HLOOKUP(MONTH(AA6),'Seasonality Adjustment'!$C$8:$N$10,2,FALSE)</f>
        <v>0.05</v>
      </c>
      <c r="AB11" s="70">
        <f>HLOOKUP(MONTH(AB6),'Seasonality Adjustment'!$C$8:$N$10,2,FALSE)</f>
        <v>0.05</v>
      </c>
      <c r="AC11" s="70">
        <f>HLOOKUP(MONTH(AC6),'Seasonality Adjustment'!$C$8:$N$10,2,FALSE)</f>
        <v>0.05</v>
      </c>
      <c r="AD11" s="70">
        <f>HLOOKUP(MONTH(AD6),'Seasonality Adjustment'!$C$8:$N$10,2,FALSE)</f>
        <v>0.15</v>
      </c>
      <c r="AE11" s="70">
        <f>HLOOKUP(MONTH(AE6),'Seasonality Adjustment'!$C$8:$N$10,2,FALSE)</f>
        <v>0.15</v>
      </c>
      <c r="AF11" s="70">
        <f>HLOOKUP(MONTH(AF6),'Seasonality Adjustment'!$C$8:$N$10,2,FALSE)</f>
        <v>0.05</v>
      </c>
      <c r="AG11" s="70">
        <f>HLOOKUP(MONTH(AG6),'Seasonality Adjustment'!$C$8:$N$10,2,FALSE)</f>
        <v>0.05</v>
      </c>
      <c r="AH11" s="70">
        <f>HLOOKUP(MONTH(AH6),'Seasonality Adjustment'!$C$8:$N$10,2,FALSE)</f>
        <v>0.15</v>
      </c>
      <c r="AI11" s="70">
        <f>HLOOKUP(MONTH(AI6),'Seasonality Adjustment'!$C$8:$N$10,2,FALSE)</f>
        <v>0.05</v>
      </c>
      <c r="AJ11" s="70">
        <f>HLOOKUP(MONTH(AJ6),'Seasonality Adjustment'!$C$8:$N$10,2,FALSE)</f>
        <v>0.15</v>
      </c>
      <c r="AK11" s="70">
        <f>HLOOKUP(MONTH(AK6),'Seasonality Adjustment'!$C$8:$N$10,2,FALSE)</f>
        <v>0.05</v>
      </c>
      <c r="AL11" s="70">
        <f>HLOOKUP(MONTH(AL6),'Seasonality Adjustment'!$C$8:$N$10,2,FALSE)</f>
        <v>0.05</v>
      </c>
      <c r="AM11" s="70">
        <f>HLOOKUP(MONTH(AM6),'Seasonality Adjustment'!$C$8:$N$10,2,FALSE)</f>
        <v>0.05</v>
      </c>
      <c r="AN11" s="70">
        <f>HLOOKUP(MONTH(AN6),'Seasonality Adjustment'!$C$8:$N$10,2,FALSE)</f>
        <v>0.05</v>
      </c>
    </row>
    <row r="12" spans="1:40" s="2" customFormat="1">
      <c r="B12" s="2" t="s">
        <v>200</v>
      </c>
      <c r="C12" s="48"/>
      <c r="D12" s="54"/>
      <c r="E12" s="68">
        <f>SUM(E13:E15)</f>
        <v>6000</v>
      </c>
      <c r="F12" s="68">
        <f t="shared" ref="F12:AN12" si="5">SUM(F13:F15)</f>
        <v>6000</v>
      </c>
      <c r="G12" s="68">
        <f t="shared" si="5"/>
        <v>6000</v>
      </c>
      <c r="H12" s="68">
        <f t="shared" si="5"/>
        <v>6000</v>
      </c>
      <c r="I12" s="68">
        <f t="shared" si="5"/>
        <v>6000</v>
      </c>
      <c r="J12" s="68">
        <f t="shared" si="5"/>
        <v>6000</v>
      </c>
      <c r="K12" s="68">
        <f t="shared" si="5"/>
        <v>6000</v>
      </c>
      <c r="L12" s="68">
        <f t="shared" si="5"/>
        <v>6000</v>
      </c>
      <c r="M12" s="68">
        <f t="shared" si="5"/>
        <v>6000</v>
      </c>
      <c r="N12" s="68">
        <f t="shared" si="5"/>
        <v>6000</v>
      </c>
      <c r="O12" s="68">
        <f t="shared" si="5"/>
        <v>0</v>
      </c>
      <c r="P12" s="68">
        <f t="shared" si="5"/>
        <v>0</v>
      </c>
      <c r="Q12" s="68">
        <f t="shared" si="5"/>
        <v>0</v>
      </c>
      <c r="R12" s="68">
        <f t="shared" si="5"/>
        <v>0</v>
      </c>
      <c r="S12" s="68">
        <f t="shared" si="5"/>
        <v>0</v>
      </c>
      <c r="T12" s="68">
        <f t="shared" si="5"/>
        <v>0</v>
      </c>
      <c r="U12" s="68">
        <f t="shared" si="5"/>
        <v>0</v>
      </c>
      <c r="V12" s="68">
        <f t="shared" si="5"/>
        <v>0</v>
      </c>
      <c r="W12" s="68">
        <f t="shared" si="5"/>
        <v>0</v>
      </c>
      <c r="X12" s="68">
        <f t="shared" si="5"/>
        <v>0</v>
      </c>
      <c r="Y12" s="68">
        <f t="shared" si="5"/>
        <v>0</v>
      </c>
      <c r="Z12" s="68">
        <f t="shared" si="5"/>
        <v>0</v>
      </c>
      <c r="AA12" s="68">
        <f t="shared" si="5"/>
        <v>0</v>
      </c>
      <c r="AB12" s="68">
        <f t="shared" si="5"/>
        <v>0</v>
      </c>
      <c r="AC12" s="68">
        <f t="shared" si="5"/>
        <v>0</v>
      </c>
      <c r="AD12" s="68">
        <f t="shared" si="5"/>
        <v>0</v>
      </c>
      <c r="AE12" s="68">
        <f t="shared" si="5"/>
        <v>0</v>
      </c>
      <c r="AF12" s="68">
        <f t="shared" si="5"/>
        <v>0</v>
      </c>
      <c r="AG12" s="68">
        <f t="shared" si="5"/>
        <v>0</v>
      </c>
      <c r="AH12" s="68">
        <f t="shared" si="5"/>
        <v>0</v>
      </c>
      <c r="AI12" s="68">
        <f t="shared" si="5"/>
        <v>0</v>
      </c>
      <c r="AJ12" s="68">
        <f t="shared" si="5"/>
        <v>0</v>
      </c>
      <c r="AK12" s="68">
        <f t="shared" si="5"/>
        <v>0</v>
      </c>
      <c r="AL12" s="68">
        <f t="shared" si="5"/>
        <v>0</v>
      </c>
      <c r="AM12" s="68">
        <f t="shared" si="5"/>
        <v>0</v>
      </c>
      <c r="AN12" s="68">
        <f t="shared" si="5"/>
        <v>0</v>
      </c>
    </row>
    <row r="13" spans="1:40" s="16" customFormat="1">
      <c r="A13" s="1"/>
      <c r="B13" s="2"/>
      <c r="C13" s="32" t="s">
        <v>18</v>
      </c>
      <c r="D13" s="64"/>
      <c r="E13" s="67">
        <f>IF(E9=1,Inputs!$E$33/Inputs!$E$32,IF(E9=2,Inputs!$E$34/12,Inputs!$E$35/12))</f>
        <v>2000</v>
      </c>
      <c r="F13" s="67">
        <f>IF(F9=1,Inputs!$E$33/Inputs!$E$32,IF(F9=2,Inputs!$E$34/12,Inputs!$E$35/12))</f>
        <v>2000</v>
      </c>
      <c r="G13" s="67">
        <f>IF(G9=1,Inputs!$E$33/Inputs!$E$32,IF(G9=2,Inputs!$E$34/12,Inputs!$E$35/12))</f>
        <v>2000</v>
      </c>
      <c r="H13" s="67">
        <f>IF(H9=1,Inputs!$E$33/Inputs!$E$32,IF(H9=2,Inputs!$E$34/12,Inputs!$E$35/12))</f>
        <v>2000</v>
      </c>
      <c r="I13" s="67">
        <f>IF(I9=1,Inputs!$E$33/Inputs!$E$32,IF(I9=2,Inputs!$E$34/12,Inputs!$E$35/12))</f>
        <v>2000</v>
      </c>
      <c r="J13" s="67">
        <f>IF(J9=1,Inputs!$E$33/Inputs!$E$32,IF(J9=2,Inputs!$E$34/12,Inputs!$E$35/12))</f>
        <v>2000</v>
      </c>
      <c r="K13" s="67">
        <f>IF(K9=1,Inputs!$E$33/Inputs!$E$32,IF(K9=2,Inputs!$E$34/12,Inputs!$E$35/12))</f>
        <v>2000</v>
      </c>
      <c r="L13" s="67">
        <f>IF(L9=1,Inputs!$E$33/Inputs!$E$32,IF(L9=2,Inputs!$E$34/12,Inputs!$E$35/12))</f>
        <v>2000</v>
      </c>
      <c r="M13" s="67">
        <f>IF(M9=1,Inputs!$E$33/Inputs!$E$32,IF(M9=2,Inputs!$E$34/12,Inputs!$E$35/12))</f>
        <v>2000</v>
      </c>
      <c r="N13" s="67">
        <f>IF(N9=1,Inputs!$E$33/Inputs!$E$32,IF(N9=2,Inputs!$E$34/12,Inputs!$E$35/12))</f>
        <v>2000</v>
      </c>
      <c r="O13" s="67">
        <f>IF(O9=1,Inputs!$E$33/Inputs!$E$32,IF(O9=2,Inputs!$E$34/12,Inputs!$E$35/12))</f>
        <v>0</v>
      </c>
      <c r="P13" s="67">
        <f>IF(P9=1,Inputs!$E$33/Inputs!$E$32,IF(P9=2,Inputs!$E$34/12,Inputs!$E$35/12))</f>
        <v>0</v>
      </c>
      <c r="Q13" s="67">
        <f>IF(Q9=1,Inputs!$E$33/Inputs!$E$32,IF(Q9=2,Inputs!$E$34/12,Inputs!$E$35/12))</f>
        <v>0</v>
      </c>
      <c r="R13" s="67">
        <f>IF(R9=1,Inputs!$E$33/Inputs!$E$32,IF(R9=2,Inputs!$E$34/12,Inputs!$E$35/12))</f>
        <v>0</v>
      </c>
      <c r="S13" s="67">
        <f>IF(S9=1,Inputs!$E$33/Inputs!$E$32,IF(S9=2,Inputs!$E$34/12,Inputs!$E$35/12))</f>
        <v>0</v>
      </c>
      <c r="T13" s="67">
        <f>IF(T9=1,Inputs!$E$33/Inputs!$E$32,IF(T9=2,Inputs!$E$34/12,Inputs!$E$35/12))</f>
        <v>0</v>
      </c>
      <c r="U13" s="67">
        <f>IF(U9=1,Inputs!$E$33/Inputs!$E$32,IF(U9=2,Inputs!$E$34/12,Inputs!$E$35/12))</f>
        <v>0</v>
      </c>
      <c r="V13" s="67">
        <f>IF(V9=1,Inputs!$E$33/Inputs!$E$32,IF(V9=2,Inputs!$E$34/12,Inputs!$E$35/12))</f>
        <v>0</v>
      </c>
      <c r="W13" s="67">
        <f>IF(W9=1,Inputs!$E$33/Inputs!$E$32,IF(W9=2,Inputs!$E$34/12,Inputs!$E$35/12))</f>
        <v>0</v>
      </c>
      <c r="X13" s="67">
        <f>IF(X9=1,Inputs!$E$33/Inputs!$E$32,IF(X9=2,Inputs!$E$34/12,Inputs!$E$35/12))</f>
        <v>0</v>
      </c>
      <c r="Y13" s="67">
        <f>IF(Y9=1,Inputs!$E$33/Inputs!$E$32,IF(Y9=2,Inputs!$E$34/12,Inputs!$E$35/12))</f>
        <v>0</v>
      </c>
      <c r="Z13" s="67">
        <f>IF(Z9=1,Inputs!$E$33/Inputs!$E$32,IF(Z9=2,Inputs!$E$34/12,Inputs!$E$35/12))</f>
        <v>0</v>
      </c>
      <c r="AA13" s="67">
        <f>IF(AA9=1,Inputs!$E$33/Inputs!$E$32,IF(AA9=2,Inputs!$E$34/12,Inputs!$E$35/12))</f>
        <v>0</v>
      </c>
      <c r="AB13" s="67">
        <f>IF(AB9=1,Inputs!$E$33/Inputs!$E$32,IF(AB9=2,Inputs!$E$34/12,Inputs!$E$35/12))</f>
        <v>0</v>
      </c>
      <c r="AC13" s="67">
        <f>IF(AC9=1,Inputs!$E$33/Inputs!$E$32,IF(AC9=2,Inputs!$E$34/12,Inputs!$E$35/12))</f>
        <v>0</v>
      </c>
      <c r="AD13" s="67">
        <f>IF(AD9=1,Inputs!$E$33/Inputs!$E$32,IF(AD9=2,Inputs!$E$34/12,Inputs!$E$35/12))</f>
        <v>0</v>
      </c>
      <c r="AE13" s="67">
        <f>IF(AE9=1,Inputs!$E$33/Inputs!$E$32,IF(AE9=2,Inputs!$E$34/12,Inputs!$E$35/12))</f>
        <v>0</v>
      </c>
      <c r="AF13" s="67">
        <f>IF(AF9=1,Inputs!$E$33/Inputs!$E$32,IF(AF9=2,Inputs!$E$34/12,Inputs!$E$35/12))</f>
        <v>0</v>
      </c>
      <c r="AG13" s="67">
        <f>IF(AG9=1,Inputs!$E$33/Inputs!$E$32,IF(AG9=2,Inputs!$E$34/12,Inputs!$E$35/12))</f>
        <v>0</v>
      </c>
      <c r="AH13" s="67">
        <f>IF(AH9=1,Inputs!$E$33/Inputs!$E$32,IF(AH9=2,Inputs!$E$34/12,Inputs!$E$35/12))</f>
        <v>0</v>
      </c>
      <c r="AI13" s="67">
        <f>IF(AI9=1,Inputs!$E$33/Inputs!$E$32,IF(AI9=2,Inputs!$E$34/12,Inputs!$E$35/12))</f>
        <v>0</v>
      </c>
      <c r="AJ13" s="67">
        <f>IF(AJ9=1,Inputs!$E$33/Inputs!$E$32,IF(AJ9=2,Inputs!$E$34/12,Inputs!$E$35/12))</f>
        <v>0</v>
      </c>
      <c r="AK13" s="67">
        <f>IF(AK9=1,Inputs!$E$33/Inputs!$E$32,IF(AK9=2,Inputs!$E$34/12,Inputs!$E$35/12))</f>
        <v>0</v>
      </c>
      <c r="AL13" s="67">
        <f>IF(AL9=1,Inputs!$E$33/Inputs!$E$32,IF(AL9=2,Inputs!$E$34/12,Inputs!$E$35/12))</f>
        <v>0</v>
      </c>
      <c r="AM13" s="67">
        <f>IF(AM9=1,Inputs!$E$33/Inputs!$E$32,IF(AM9=2,Inputs!$E$34/12,Inputs!$E$35/12))</f>
        <v>0</v>
      </c>
      <c r="AN13" s="67">
        <f>IF(AN9=1,Inputs!$E$33/Inputs!$E$32,IF(AN9=2,Inputs!$E$34/12,Inputs!$E$35/12))</f>
        <v>0</v>
      </c>
    </row>
    <row r="14" spans="1:40" s="16" customFormat="1">
      <c r="A14" s="1"/>
      <c r="B14" s="1"/>
      <c r="C14" s="32" t="s">
        <v>12</v>
      </c>
      <c r="D14" s="65"/>
      <c r="E14" s="67">
        <f>IF(E9=1,Inputs!$E$36/Inputs!$E$32,IF(E9=2,Inputs!$E$37/12,Inputs!$E$38/12))</f>
        <v>2000</v>
      </c>
      <c r="F14" s="67">
        <f>IF(F9=1,Inputs!$E$36/Inputs!$E$32,IF(F9=2,Inputs!$E$37/12,Inputs!$E$38/12))</f>
        <v>2000</v>
      </c>
      <c r="G14" s="67">
        <f>IF(G9=1,Inputs!$E$36/Inputs!$E$32,IF(G9=2,Inputs!$E$37/12,Inputs!$E$38/12))</f>
        <v>2000</v>
      </c>
      <c r="H14" s="67">
        <f>IF(H9=1,Inputs!$E$36/Inputs!$E$32,IF(H9=2,Inputs!$E$37/12,Inputs!$E$38/12))</f>
        <v>2000</v>
      </c>
      <c r="I14" s="67">
        <f>IF(I9=1,Inputs!$E$36/Inputs!$E$32,IF(I9=2,Inputs!$E$37/12,Inputs!$E$38/12))</f>
        <v>2000</v>
      </c>
      <c r="J14" s="67">
        <f>IF(J9=1,Inputs!$E$36/Inputs!$E$32,IF(J9=2,Inputs!$E$37/12,Inputs!$E$38/12))</f>
        <v>2000</v>
      </c>
      <c r="K14" s="67">
        <f>IF(K9=1,Inputs!$E$36/Inputs!$E$32,IF(K9=2,Inputs!$E$37/12,Inputs!$E$38/12))</f>
        <v>2000</v>
      </c>
      <c r="L14" s="67">
        <f>IF(L9=1,Inputs!$E$36/Inputs!$E$32,IF(L9=2,Inputs!$E$37/12,Inputs!$E$38/12))</f>
        <v>2000</v>
      </c>
      <c r="M14" s="67">
        <f>IF(M9=1,Inputs!$E$36/Inputs!$E$32,IF(M9=2,Inputs!$E$37/12,Inputs!$E$38/12))</f>
        <v>2000</v>
      </c>
      <c r="N14" s="67">
        <f>IF(N9=1,Inputs!$E$36/Inputs!$E$32,IF(N9=2,Inputs!$E$37/12,Inputs!$E$38/12))</f>
        <v>2000</v>
      </c>
      <c r="O14" s="67">
        <f>IF(O9=1,Inputs!$E$36/Inputs!$E$32,IF(O9=2,Inputs!$E$37/12,Inputs!$E$38/12))</f>
        <v>0</v>
      </c>
      <c r="P14" s="67">
        <f>IF(P9=1,Inputs!$E$36/Inputs!$E$32,IF(P9=2,Inputs!$E$37/12,Inputs!$E$38/12))</f>
        <v>0</v>
      </c>
      <c r="Q14" s="67">
        <f>IF(Q9=1,Inputs!$E$36/Inputs!$E$32,IF(Q9=2,Inputs!$E$37/12,Inputs!$E$38/12))</f>
        <v>0</v>
      </c>
      <c r="R14" s="67">
        <f>IF(R9=1,Inputs!$E$36/Inputs!$E$32,IF(R9=2,Inputs!$E$37/12,Inputs!$E$38/12))</f>
        <v>0</v>
      </c>
      <c r="S14" s="67">
        <f>IF(S9=1,Inputs!$E$36/Inputs!$E$32,IF(S9=2,Inputs!$E$37/12,Inputs!$E$38/12))</f>
        <v>0</v>
      </c>
      <c r="T14" s="67">
        <f>IF(T9=1,Inputs!$E$36/Inputs!$E$32,IF(T9=2,Inputs!$E$37/12,Inputs!$E$38/12))</f>
        <v>0</v>
      </c>
      <c r="U14" s="67">
        <f>IF(U9=1,Inputs!$E$36/Inputs!$E$32,IF(U9=2,Inputs!$E$37/12,Inputs!$E$38/12))</f>
        <v>0</v>
      </c>
      <c r="V14" s="67">
        <f>IF(V9=1,Inputs!$E$36/Inputs!$E$32,IF(V9=2,Inputs!$E$37/12,Inputs!$E$38/12))</f>
        <v>0</v>
      </c>
      <c r="W14" s="67">
        <f>IF(W9=1,Inputs!$E$36/Inputs!$E$32,IF(W9=2,Inputs!$E$37/12,Inputs!$E$38/12))</f>
        <v>0</v>
      </c>
      <c r="X14" s="67">
        <f>IF(X9=1,Inputs!$E$36/Inputs!$E$32,IF(X9=2,Inputs!$E$37/12,Inputs!$E$38/12))</f>
        <v>0</v>
      </c>
      <c r="Y14" s="67">
        <f>IF(Y9=1,Inputs!$E$36/Inputs!$E$32,IF(Y9=2,Inputs!$E$37/12,Inputs!$E$38/12))</f>
        <v>0</v>
      </c>
      <c r="Z14" s="67">
        <f>IF(Z9=1,Inputs!$E$36/Inputs!$E$32,IF(Z9=2,Inputs!$E$37/12,Inputs!$E$38/12))</f>
        <v>0</v>
      </c>
      <c r="AA14" s="67">
        <f>IF(AA9=1,Inputs!$E$36/Inputs!$E$32,IF(AA9=2,Inputs!$E$37/12,Inputs!$E$38/12))</f>
        <v>0</v>
      </c>
      <c r="AB14" s="67">
        <f>IF(AB9=1,Inputs!$E$36/Inputs!$E$32,IF(AB9=2,Inputs!$E$37/12,Inputs!$E$38/12))</f>
        <v>0</v>
      </c>
      <c r="AC14" s="67">
        <f>IF(AC9=1,Inputs!$E$36/Inputs!$E$32,IF(AC9=2,Inputs!$E$37/12,Inputs!$E$38/12))</f>
        <v>0</v>
      </c>
      <c r="AD14" s="67">
        <f>IF(AD9=1,Inputs!$E$36/Inputs!$E$32,IF(AD9=2,Inputs!$E$37/12,Inputs!$E$38/12))</f>
        <v>0</v>
      </c>
      <c r="AE14" s="67">
        <f>IF(AE9=1,Inputs!$E$36/Inputs!$E$32,IF(AE9=2,Inputs!$E$37/12,Inputs!$E$38/12))</f>
        <v>0</v>
      </c>
      <c r="AF14" s="67">
        <f>IF(AF9=1,Inputs!$E$36/Inputs!$E$32,IF(AF9=2,Inputs!$E$37/12,Inputs!$E$38/12))</f>
        <v>0</v>
      </c>
      <c r="AG14" s="67">
        <f>IF(AG9=1,Inputs!$E$36/Inputs!$E$32,IF(AG9=2,Inputs!$E$37/12,Inputs!$E$38/12))</f>
        <v>0</v>
      </c>
      <c r="AH14" s="67">
        <f>IF(AH9=1,Inputs!$E$36/Inputs!$E$32,IF(AH9=2,Inputs!$E$37/12,Inputs!$E$38/12))</f>
        <v>0</v>
      </c>
      <c r="AI14" s="67">
        <f>IF(AI9=1,Inputs!$E$36/Inputs!$E$32,IF(AI9=2,Inputs!$E$37/12,Inputs!$E$38/12))</f>
        <v>0</v>
      </c>
      <c r="AJ14" s="67">
        <f>IF(AJ9=1,Inputs!$E$36/Inputs!$E$32,IF(AJ9=2,Inputs!$E$37/12,Inputs!$E$38/12))</f>
        <v>0</v>
      </c>
      <c r="AK14" s="67">
        <f>IF(AK9=1,Inputs!$E$36/Inputs!$E$32,IF(AK9=2,Inputs!$E$37/12,Inputs!$E$38/12))</f>
        <v>0</v>
      </c>
      <c r="AL14" s="67">
        <f>IF(AL9=1,Inputs!$E$36/Inputs!$E$32,IF(AL9=2,Inputs!$E$37/12,Inputs!$E$38/12))</f>
        <v>0</v>
      </c>
      <c r="AM14" s="67">
        <f>IF(AM9=1,Inputs!$E$36/Inputs!$E$32,IF(AM9=2,Inputs!$E$37/12,Inputs!$E$38/12))</f>
        <v>0</v>
      </c>
      <c r="AN14" s="67">
        <f>IF(AN9=1,Inputs!$E$36/Inputs!$E$32,IF(AN9=2,Inputs!$E$37/12,Inputs!$E$38/12))</f>
        <v>0</v>
      </c>
    </row>
    <row r="15" spans="1:40" s="16" customFormat="1">
      <c r="A15" s="1"/>
      <c r="B15" s="1"/>
      <c r="C15" s="32" t="s">
        <v>192</v>
      </c>
      <c r="D15" s="64"/>
      <c r="E15" s="67">
        <f>IF(E9=1,Inputs!$E$39/Inputs!$E$32,IF(E9=2,Inputs!$E$40/12,Inputs!$E$41/12))</f>
        <v>2000</v>
      </c>
      <c r="F15" s="67">
        <f>IF(F9=1,Inputs!$E$39/Inputs!$E$32,IF(F9=2,Inputs!$E$40/12,Inputs!$E$41/12))</f>
        <v>2000</v>
      </c>
      <c r="G15" s="67">
        <f>IF(G9=1,Inputs!$E$39/Inputs!$E$32,IF(G9=2,Inputs!$E$40/12,Inputs!$E$41/12))</f>
        <v>2000</v>
      </c>
      <c r="H15" s="67">
        <f>IF(H9=1,Inputs!$E$39/Inputs!$E$32,IF(H9=2,Inputs!$E$40/12,Inputs!$E$41/12))</f>
        <v>2000</v>
      </c>
      <c r="I15" s="67">
        <f>IF(I9=1,Inputs!$E$39/Inputs!$E$32,IF(I9=2,Inputs!$E$40/12,Inputs!$E$41/12))</f>
        <v>2000</v>
      </c>
      <c r="J15" s="67">
        <f>IF(J9=1,Inputs!$E$39/Inputs!$E$32,IF(J9=2,Inputs!$E$40/12,Inputs!$E$41/12))</f>
        <v>2000</v>
      </c>
      <c r="K15" s="67">
        <f>IF(K9=1,Inputs!$E$39/Inputs!$E$32,IF(K9=2,Inputs!$E$40/12,Inputs!$E$41/12))</f>
        <v>2000</v>
      </c>
      <c r="L15" s="67">
        <f>IF(L9=1,Inputs!$E$39/Inputs!$E$32,IF(L9=2,Inputs!$E$40/12,Inputs!$E$41/12))</f>
        <v>2000</v>
      </c>
      <c r="M15" s="67">
        <f>IF(M9=1,Inputs!$E$39/Inputs!$E$32,IF(M9=2,Inputs!$E$40/12,Inputs!$E$41/12))</f>
        <v>2000</v>
      </c>
      <c r="N15" s="67">
        <f>IF(N9=1,Inputs!$E$39/Inputs!$E$32,IF(N9=2,Inputs!$E$40/12,Inputs!$E$41/12))</f>
        <v>2000</v>
      </c>
      <c r="O15" s="67">
        <f>IF(O9=1,Inputs!$E$39/Inputs!$E$32,IF(O9=2,Inputs!$E$40/12,Inputs!$E$41/12))</f>
        <v>0</v>
      </c>
      <c r="P15" s="67">
        <f>IF(P9=1,Inputs!$E$39/Inputs!$E$32,IF(P9=2,Inputs!$E$40/12,Inputs!$E$41/12))</f>
        <v>0</v>
      </c>
      <c r="Q15" s="67">
        <f>IF(Q9=1,Inputs!$E$39/Inputs!$E$32,IF(Q9=2,Inputs!$E$40/12,Inputs!$E$41/12))</f>
        <v>0</v>
      </c>
      <c r="R15" s="67">
        <f>IF(R9=1,Inputs!$E$39/Inputs!$E$32,IF(R9=2,Inputs!$E$40/12,Inputs!$E$41/12))</f>
        <v>0</v>
      </c>
      <c r="S15" s="67">
        <f>IF(S9=1,Inputs!$E$39/Inputs!$E$32,IF(S9=2,Inputs!$E$40/12,Inputs!$E$41/12))</f>
        <v>0</v>
      </c>
      <c r="T15" s="67">
        <f>IF(T9=1,Inputs!$E$39/Inputs!$E$32,IF(T9=2,Inputs!$E$40/12,Inputs!$E$41/12))</f>
        <v>0</v>
      </c>
      <c r="U15" s="67">
        <f>IF(U9=1,Inputs!$E$39/Inputs!$E$32,IF(U9=2,Inputs!$E$40/12,Inputs!$E$41/12))</f>
        <v>0</v>
      </c>
      <c r="V15" s="67">
        <f>IF(V9=1,Inputs!$E$39/Inputs!$E$32,IF(V9=2,Inputs!$E$40/12,Inputs!$E$41/12))</f>
        <v>0</v>
      </c>
      <c r="W15" s="67">
        <f>IF(W9=1,Inputs!$E$39/Inputs!$E$32,IF(W9=2,Inputs!$E$40/12,Inputs!$E$41/12))</f>
        <v>0</v>
      </c>
      <c r="X15" s="67">
        <f>IF(X9=1,Inputs!$E$39/Inputs!$E$32,IF(X9=2,Inputs!$E$40/12,Inputs!$E$41/12))</f>
        <v>0</v>
      </c>
      <c r="Y15" s="67">
        <f>IF(Y9=1,Inputs!$E$39/Inputs!$E$32,IF(Y9=2,Inputs!$E$40/12,Inputs!$E$41/12))</f>
        <v>0</v>
      </c>
      <c r="Z15" s="67">
        <f>IF(Z9=1,Inputs!$E$39/Inputs!$E$32,IF(Z9=2,Inputs!$E$40/12,Inputs!$E$41/12))</f>
        <v>0</v>
      </c>
      <c r="AA15" s="67">
        <f>IF(AA9=1,Inputs!$E$39/Inputs!$E$32,IF(AA9=2,Inputs!$E$40/12,Inputs!$E$41/12))</f>
        <v>0</v>
      </c>
      <c r="AB15" s="67">
        <f>IF(AB9=1,Inputs!$E$39/Inputs!$E$32,IF(AB9=2,Inputs!$E$40/12,Inputs!$E$41/12))</f>
        <v>0</v>
      </c>
      <c r="AC15" s="67">
        <f>IF(AC9=1,Inputs!$E$39/Inputs!$E$32,IF(AC9=2,Inputs!$E$40/12,Inputs!$E$41/12))</f>
        <v>0</v>
      </c>
      <c r="AD15" s="67">
        <f>IF(AD9=1,Inputs!$E$39/Inputs!$E$32,IF(AD9=2,Inputs!$E$40/12,Inputs!$E$41/12))</f>
        <v>0</v>
      </c>
      <c r="AE15" s="67">
        <f>IF(AE9=1,Inputs!$E$39/Inputs!$E$32,IF(AE9=2,Inputs!$E$40/12,Inputs!$E$41/12))</f>
        <v>0</v>
      </c>
      <c r="AF15" s="67">
        <f>IF(AF9=1,Inputs!$E$39/Inputs!$E$32,IF(AF9=2,Inputs!$E$40/12,Inputs!$E$41/12))</f>
        <v>0</v>
      </c>
      <c r="AG15" s="67">
        <f>IF(AG9=1,Inputs!$E$39/Inputs!$E$32,IF(AG9=2,Inputs!$E$40/12,Inputs!$E$41/12))</f>
        <v>0</v>
      </c>
      <c r="AH15" s="67">
        <f>IF(AH9=1,Inputs!$E$39/Inputs!$E$32,IF(AH9=2,Inputs!$E$40/12,Inputs!$E$41/12))</f>
        <v>0</v>
      </c>
      <c r="AI15" s="67">
        <f>IF(AI9=1,Inputs!$E$39/Inputs!$E$32,IF(AI9=2,Inputs!$E$40/12,Inputs!$E$41/12))</f>
        <v>0</v>
      </c>
      <c r="AJ15" s="67">
        <f>IF(AJ9=1,Inputs!$E$39/Inputs!$E$32,IF(AJ9=2,Inputs!$E$40/12,Inputs!$E$41/12))</f>
        <v>0</v>
      </c>
      <c r="AK15" s="67">
        <f>IF(AK9=1,Inputs!$E$39/Inputs!$E$32,IF(AK9=2,Inputs!$E$40/12,Inputs!$E$41/12))</f>
        <v>0</v>
      </c>
      <c r="AL15" s="67">
        <f>IF(AL9=1,Inputs!$E$39/Inputs!$E$32,IF(AL9=2,Inputs!$E$40/12,Inputs!$E$41/12))</f>
        <v>0</v>
      </c>
      <c r="AM15" s="67">
        <f>IF(AM9=1,Inputs!$E$39/Inputs!$E$32,IF(AM9=2,Inputs!$E$40/12,Inputs!$E$41/12))</f>
        <v>0</v>
      </c>
      <c r="AN15" s="67">
        <f>IF(AN9=1,Inputs!$E$39/Inputs!$E$32,IF(AN9=2,Inputs!$E$40/12,Inputs!$E$41/12))</f>
        <v>0</v>
      </c>
    </row>
    <row r="16" spans="1:40" s="16" customFormat="1">
      <c r="A16" s="1"/>
      <c r="B16" s="1"/>
      <c r="C16" s="32"/>
      <c r="D16" s="65"/>
      <c r="E16" s="67"/>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row>
    <row r="17" spans="1:40" s="49" customFormat="1">
      <c r="A17" s="2"/>
      <c r="B17" s="2" t="s">
        <v>201</v>
      </c>
      <c r="C17" s="48"/>
      <c r="D17" s="66"/>
      <c r="E17" s="68">
        <f>IF(E$9=1,Inputs!$E$46*12*'Projections-BEST'!E$11,IF(E$9=2,Inputs!$E$50*'Projections-BEST'!E$11,Inputs!$E$54*'Projections-BEST'!E$11))</f>
        <v>15000</v>
      </c>
      <c r="F17" s="68">
        <f>IF(F$9=1,Inputs!$E$46*12*'Projections-BEST'!F$11,IF(F$9=2,Inputs!$E$50*'Projections-BEST'!F$11,Inputs!$E$54*'Projections-BEST'!F$11))</f>
        <v>45000</v>
      </c>
      <c r="G17" s="68">
        <f>IF(G$9=1,Inputs!$E$46*12*'Projections-BEST'!G$11,IF(G$9=2,Inputs!$E$50*'Projections-BEST'!G$11,Inputs!$E$54*'Projections-BEST'!G$11))</f>
        <v>45000</v>
      </c>
      <c r="H17" s="68">
        <f>IF(H$9=1,Inputs!$E$46*12*'Projections-BEST'!H$11,IF(H$9=2,Inputs!$E$50*'Projections-BEST'!H$11,Inputs!$E$54*'Projections-BEST'!H$11))</f>
        <v>15000</v>
      </c>
      <c r="I17" s="68">
        <f>IF(I$9=1,Inputs!$E$46*12*'Projections-BEST'!I$11,IF(I$9=2,Inputs!$E$50*'Projections-BEST'!I$11,Inputs!$E$54*'Projections-BEST'!I$11))</f>
        <v>15000</v>
      </c>
      <c r="J17" s="68">
        <f>IF(J$9=1,Inputs!$E$46*12*'Projections-BEST'!J$11,IF(J$9=2,Inputs!$E$50*'Projections-BEST'!J$11,Inputs!$E$54*'Projections-BEST'!J$11))</f>
        <v>45000</v>
      </c>
      <c r="K17" s="68">
        <f>IF(K$9=1,Inputs!$E$46*12*'Projections-BEST'!K$11,IF(K$9=2,Inputs!$E$50*'Projections-BEST'!K$11,Inputs!$E$54*'Projections-BEST'!K$11))</f>
        <v>15000</v>
      </c>
      <c r="L17" s="68">
        <f>IF(L$9=1,Inputs!$E$46*12*'Projections-BEST'!L$11,IF(L$9=2,Inputs!$E$50*'Projections-BEST'!L$11,Inputs!$E$54*'Projections-BEST'!L$11))</f>
        <v>45000</v>
      </c>
      <c r="M17" s="68">
        <f>IF(M$9=1,Inputs!$E$46*12*'Projections-BEST'!M$11,IF(M$9=2,Inputs!$E$50*'Projections-BEST'!M$11,Inputs!$E$54*'Projections-BEST'!M$11))</f>
        <v>15000</v>
      </c>
      <c r="N17" s="68">
        <f>IF(N$9=1,Inputs!$E$46*12*'Projections-BEST'!N$11,IF(N$9=2,Inputs!$E$50*'Projections-BEST'!N$11,Inputs!$E$54*'Projections-BEST'!N$11))</f>
        <v>15000</v>
      </c>
      <c r="O17" s="68">
        <f>IF(O$9=1,Inputs!$E$46*12*'Projections-BEST'!O$11,IF(O$9=2,Inputs!$E$50*'Projections-BEST'!O$11,Inputs!$E$54*'Projections-BEST'!O$11))</f>
        <v>21000</v>
      </c>
      <c r="P17" s="68">
        <f>IF(P$9=1,Inputs!$E$46*12*'Projections-BEST'!P$11,IF(P$9=2,Inputs!$E$50*'Projections-BEST'!P$11,Inputs!$E$54*'Projections-BEST'!P$11))</f>
        <v>21000</v>
      </c>
      <c r="Q17" s="68">
        <f>IF(Q$9=1,Inputs!$E$46*12*'Projections-BEST'!Q$11,IF(Q$9=2,Inputs!$E$50*'Projections-BEST'!Q$11,Inputs!$E$54*'Projections-BEST'!Q$11))</f>
        <v>21000</v>
      </c>
      <c r="R17" s="68">
        <f>IF(R$9=1,Inputs!$E$46*12*'Projections-BEST'!R$11,IF(R$9=2,Inputs!$E$50*'Projections-BEST'!R$11,Inputs!$E$54*'Projections-BEST'!R$11))</f>
        <v>63000</v>
      </c>
      <c r="S17" s="68">
        <f>IF(S$9=1,Inputs!$E$46*12*'Projections-BEST'!S$11,IF(S$9=2,Inputs!$E$50*'Projections-BEST'!S$11,Inputs!$E$54*'Projections-BEST'!S$11))</f>
        <v>63000</v>
      </c>
      <c r="T17" s="68">
        <f>IF(T$9=1,Inputs!$E$46*12*'Projections-BEST'!T$11,IF(T$9=2,Inputs!$E$50*'Projections-BEST'!T$11,Inputs!$E$54*'Projections-BEST'!T$11))</f>
        <v>21000</v>
      </c>
      <c r="U17" s="68">
        <f>IF(U$9=1,Inputs!$E$46*12*'Projections-BEST'!U$11,IF(U$9=2,Inputs!$E$50*'Projections-BEST'!U$11,Inputs!$E$54*'Projections-BEST'!U$11))</f>
        <v>21000</v>
      </c>
      <c r="V17" s="68">
        <f>IF(V$9=1,Inputs!$E$46*12*'Projections-BEST'!V$11,IF(V$9=2,Inputs!$E$50*'Projections-BEST'!V$11,Inputs!$E$54*'Projections-BEST'!V$11))</f>
        <v>63000</v>
      </c>
      <c r="W17" s="68">
        <f>IF(W$9=1,Inputs!$E$46*12*'Projections-BEST'!W$11,IF(W$9=2,Inputs!$E$50*'Projections-BEST'!W$11,Inputs!$E$54*'Projections-BEST'!W$11))</f>
        <v>21000</v>
      </c>
      <c r="X17" s="68">
        <f>IF(X$9=1,Inputs!$E$46*12*'Projections-BEST'!X$11,IF(X$9=2,Inputs!$E$50*'Projections-BEST'!X$11,Inputs!$E$54*'Projections-BEST'!X$11))</f>
        <v>63000</v>
      </c>
      <c r="Y17" s="68">
        <f>IF(Y$9=1,Inputs!$E$46*12*'Projections-BEST'!Y$11,IF(Y$9=2,Inputs!$E$50*'Projections-BEST'!Y$11,Inputs!$E$54*'Projections-BEST'!Y$11))</f>
        <v>21000</v>
      </c>
      <c r="Z17" s="68">
        <f>IF(Z$9=1,Inputs!$E$46*12*'Projections-BEST'!Z$11,IF(Z$9=2,Inputs!$E$50*'Projections-BEST'!Z$11,Inputs!$E$54*'Projections-BEST'!Z$11))</f>
        <v>21000</v>
      </c>
      <c r="AA17" s="68">
        <f>IF(AA$9=1,Inputs!$E$46*12*'Projections-BEST'!AA$11,IF(AA$9=2,Inputs!$E$50*'Projections-BEST'!AA$11,Inputs!$E$54*'Projections-BEST'!AA$11))</f>
        <v>31500</v>
      </c>
      <c r="AB17" s="68">
        <f>IF(AB$9=1,Inputs!$E$46*12*'Projections-BEST'!AB$11,IF(AB$9=2,Inputs!$E$50*'Projections-BEST'!AB$11,Inputs!$E$54*'Projections-BEST'!AB$11))</f>
        <v>31500</v>
      </c>
      <c r="AC17" s="68">
        <f>IF(AC$9=1,Inputs!$E$46*12*'Projections-BEST'!AC$11,IF(AC$9=2,Inputs!$E$50*'Projections-BEST'!AC$11,Inputs!$E$54*'Projections-BEST'!AC$11))</f>
        <v>31500</v>
      </c>
      <c r="AD17" s="68">
        <f>IF(AD$9=1,Inputs!$E$46*12*'Projections-BEST'!AD$11,IF(AD$9=2,Inputs!$E$50*'Projections-BEST'!AD$11,Inputs!$E$54*'Projections-BEST'!AD$11))</f>
        <v>94500</v>
      </c>
      <c r="AE17" s="68">
        <f>IF(AE$9=1,Inputs!$E$46*12*'Projections-BEST'!AE$11,IF(AE$9=2,Inputs!$E$50*'Projections-BEST'!AE$11,Inputs!$E$54*'Projections-BEST'!AE$11))</f>
        <v>94500</v>
      </c>
      <c r="AF17" s="68">
        <f>IF(AF$9=1,Inputs!$E$46*12*'Projections-BEST'!AF$11,IF(AF$9=2,Inputs!$E$50*'Projections-BEST'!AF$11,Inputs!$E$54*'Projections-BEST'!AF$11))</f>
        <v>31500</v>
      </c>
      <c r="AG17" s="68">
        <f>IF(AG$9=1,Inputs!$E$46*12*'Projections-BEST'!AG$11,IF(AG$9=2,Inputs!$E$50*'Projections-BEST'!AG$11,Inputs!$E$54*'Projections-BEST'!AG$11))</f>
        <v>31500</v>
      </c>
      <c r="AH17" s="68">
        <f>IF(AH$9=1,Inputs!$E$46*12*'Projections-BEST'!AH$11,IF(AH$9=2,Inputs!$E$50*'Projections-BEST'!AH$11,Inputs!$E$54*'Projections-BEST'!AH$11))</f>
        <v>94500</v>
      </c>
      <c r="AI17" s="68">
        <f>IF(AI$9=1,Inputs!$E$46*12*'Projections-BEST'!AI$11,IF(AI$9=2,Inputs!$E$50*'Projections-BEST'!AI$11,Inputs!$E$54*'Projections-BEST'!AI$11))</f>
        <v>31500</v>
      </c>
      <c r="AJ17" s="68">
        <f>IF(AJ$9=1,Inputs!$E$46*12*'Projections-BEST'!AJ$11,IF(AJ$9=2,Inputs!$E$50*'Projections-BEST'!AJ$11,Inputs!$E$54*'Projections-BEST'!AJ$11))</f>
        <v>94500</v>
      </c>
      <c r="AK17" s="68">
        <f>IF(AK$9=1,Inputs!$E$46*12*'Projections-BEST'!AK$11,IF(AK$9=2,Inputs!$E$50*'Projections-BEST'!AK$11,Inputs!$E$54*'Projections-BEST'!AK$11))</f>
        <v>31500</v>
      </c>
      <c r="AL17" s="68">
        <f>IF(AL$9=1,Inputs!$E$46*12*'Projections-BEST'!AL$11,IF(AL$9=2,Inputs!$E$50*'Projections-BEST'!AL$11,Inputs!$E$54*'Projections-BEST'!AL$11))</f>
        <v>31500</v>
      </c>
      <c r="AM17" s="68">
        <f>IF(AM$9=1,Inputs!$E$46*12*'Projections-BEST'!AM$11,IF(AM$9=2,Inputs!$E$50*'Projections-BEST'!AM$11,Inputs!$E$54*'Projections-BEST'!AM$11))</f>
        <v>31500</v>
      </c>
      <c r="AN17" s="68">
        <f>IF(AN$9=1,Inputs!$E$46*12*'Projections-BEST'!AN$11,IF(AN$9=2,Inputs!$E$50*'Projections-BEST'!AN$11,Inputs!$E$54*'Projections-BEST'!AN$11))</f>
        <v>31500</v>
      </c>
    </row>
    <row r="18" spans="1:40" s="16" customFormat="1">
      <c r="A18" s="1"/>
      <c r="B18" s="1"/>
      <c r="C18" s="32"/>
      <c r="D18" s="65"/>
      <c r="E18" s="65"/>
      <c r="F18" s="65"/>
      <c r="G18" s="65"/>
      <c r="H18" s="65"/>
      <c r="I18" s="65"/>
      <c r="J18" s="65"/>
      <c r="K18" s="65"/>
      <c r="L18" s="65"/>
      <c r="M18" s="65"/>
      <c r="N18" s="65"/>
      <c r="O18" s="65"/>
      <c r="P18" s="65"/>
      <c r="Q18" s="65"/>
      <c r="R18" s="65"/>
      <c r="S18" s="65"/>
      <c r="T18" s="65"/>
      <c r="U18" s="65"/>
      <c r="V18" s="65"/>
      <c r="W18" s="65"/>
      <c r="X18" s="65"/>
      <c r="Y18" s="65"/>
      <c r="Z18" s="65"/>
      <c r="AA18" s="65"/>
      <c r="AB18" s="65"/>
      <c r="AC18" s="65"/>
      <c r="AD18" s="65"/>
      <c r="AE18" s="65"/>
      <c r="AF18" s="65"/>
      <c r="AG18" s="65"/>
      <c r="AH18" s="65"/>
      <c r="AI18" s="65"/>
      <c r="AJ18" s="65"/>
      <c r="AK18" s="65"/>
      <c r="AL18" s="65"/>
      <c r="AM18" s="65"/>
      <c r="AN18" s="65"/>
    </row>
    <row r="19" spans="1:40" s="49" customFormat="1">
      <c r="A19" s="2"/>
      <c r="B19" s="48" t="s">
        <v>204</v>
      </c>
      <c r="C19" s="48"/>
      <c r="D19" s="68">
        <f>SUM(D20:D24)</f>
        <v>175000</v>
      </c>
      <c r="E19" s="68">
        <f>SUM(E20:E24)</f>
        <v>0</v>
      </c>
      <c r="F19" s="68">
        <f t="shared" ref="F19:AN19" si="6">SUM(F20:F24)</f>
        <v>0</v>
      </c>
      <c r="G19" s="68">
        <f t="shared" si="6"/>
        <v>0</v>
      </c>
      <c r="H19" s="68">
        <f t="shared" si="6"/>
        <v>0</v>
      </c>
      <c r="I19" s="68">
        <f t="shared" si="6"/>
        <v>0</v>
      </c>
      <c r="J19" s="68">
        <f t="shared" si="6"/>
        <v>0</v>
      </c>
      <c r="K19" s="68">
        <f t="shared" si="6"/>
        <v>0</v>
      </c>
      <c r="L19" s="68">
        <f t="shared" si="6"/>
        <v>0</v>
      </c>
      <c r="M19" s="68">
        <f t="shared" si="6"/>
        <v>0</v>
      </c>
      <c r="N19" s="68">
        <f t="shared" si="6"/>
        <v>0</v>
      </c>
      <c r="O19" s="68">
        <f t="shared" si="6"/>
        <v>0</v>
      </c>
      <c r="P19" s="68">
        <f t="shared" si="6"/>
        <v>0</v>
      </c>
      <c r="Q19" s="68">
        <f t="shared" si="6"/>
        <v>0</v>
      </c>
      <c r="R19" s="68">
        <f t="shared" si="6"/>
        <v>0</v>
      </c>
      <c r="S19" s="68">
        <f t="shared" si="6"/>
        <v>0</v>
      </c>
      <c r="T19" s="68">
        <f t="shared" si="6"/>
        <v>0</v>
      </c>
      <c r="U19" s="68">
        <f t="shared" si="6"/>
        <v>0</v>
      </c>
      <c r="V19" s="68">
        <f t="shared" si="6"/>
        <v>0</v>
      </c>
      <c r="W19" s="68">
        <f t="shared" si="6"/>
        <v>0</v>
      </c>
      <c r="X19" s="68">
        <f t="shared" si="6"/>
        <v>0</v>
      </c>
      <c r="Y19" s="68">
        <f t="shared" si="6"/>
        <v>0</v>
      </c>
      <c r="Z19" s="68">
        <f t="shared" si="6"/>
        <v>0</v>
      </c>
      <c r="AA19" s="68">
        <f t="shared" si="6"/>
        <v>0</v>
      </c>
      <c r="AB19" s="68">
        <f t="shared" si="6"/>
        <v>0</v>
      </c>
      <c r="AC19" s="68">
        <f t="shared" si="6"/>
        <v>0</v>
      </c>
      <c r="AD19" s="68">
        <f t="shared" si="6"/>
        <v>0</v>
      </c>
      <c r="AE19" s="68">
        <f t="shared" si="6"/>
        <v>0</v>
      </c>
      <c r="AF19" s="68">
        <f t="shared" si="6"/>
        <v>0</v>
      </c>
      <c r="AG19" s="68">
        <f t="shared" si="6"/>
        <v>0</v>
      </c>
      <c r="AH19" s="68">
        <f t="shared" si="6"/>
        <v>0</v>
      </c>
      <c r="AI19" s="68">
        <f t="shared" si="6"/>
        <v>0</v>
      </c>
      <c r="AJ19" s="68">
        <f t="shared" si="6"/>
        <v>0</v>
      </c>
      <c r="AK19" s="68">
        <f t="shared" si="6"/>
        <v>0</v>
      </c>
      <c r="AL19" s="68">
        <f t="shared" si="6"/>
        <v>0</v>
      </c>
      <c r="AM19" s="68">
        <f t="shared" si="6"/>
        <v>0</v>
      </c>
      <c r="AN19" s="68">
        <f t="shared" si="6"/>
        <v>0</v>
      </c>
    </row>
    <row r="20" spans="1:40" s="16" customFormat="1">
      <c r="A20" s="1"/>
      <c r="B20" s="32"/>
      <c r="C20" s="32" t="s">
        <v>203</v>
      </c>
      <c r="D20" s="67">
        <f>IF(AND(E$5="New Business",Inputs!$E$14="Purchase"),IFERROR('Amort. Sched.-BEST'!G11,0),0)</f>
        <v>175000</v>
      </c>
      <c r="E20" s="67"/>
      <c r="F20" s="67"/>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67"/>
      <c r="AK20" s="67"/>
      <c r="AL20" s="67"/>
      <c r="AM20" s="67"/>
      <c r="AN20" s="67"/>
    </row>
    <row r="21" spans="1:40" s="49" customFormat="1">
      <c r="A21" s="2"/>
      <c r="B21" s="48"/>
      <c r="C21" s="32" t="s">
        <v>9</v>
      </c>
      <c r="D21" s="67">
        <f>IF(Inputs!E171&lt;1,IFERROR('Amort. Sched.-BEST'!P11,0),0)</f>
        <v>0</v>
      </c>
      <c r="E21" s="67">
        <f>IF($D$21&lt;&gt;0,0,IFERROR(VLOOKUP(E$8,CreditAmort1BEST[],5),0))</f>
        <v>0</v>
      </c>
      <c r="F21" s="67">
        <f>IF($D$21&lt;&gt;0,0,IFERROR(VLOOKUP(F$8,CreditAmort1BEST[],5),0))</f>
        <v>0</v>
      </c>
      <c r="G21" s="67">
        <f>IF($D$21&lt;&gt;0,0,IFERROR(VLOOKUP(G$8,CreditAmort1BEST[],5),0))</f>
        <v>0</v>
      </c>
      <c r="H21" s="67">
        <f>IF($D$21&lt;&gt;0,0,IFERROR(VLOOKUP(H$8,CreditAmort1BEST[],5),0))</f>
        <v>0</v>
      </c>
      <c r="I21" s="67">
        <f>IF($D$21&lt;&gt;0,0,IFERROR(VLOOKUP(I$8,CreditAmort1BEST[],5),0))</f>
        <v>0</v>
      </c>
      <c r="J21" s="67">
        <f>IF($D$21&lt;&gt;0,0,IFERROR(VLOOKUP(J$8,CreditAmort1BEST[],5),0))</f>
        <v>0</v>
      </c>
      <c r="K21" s="67">
        <f>IF($D$21&lt;&gt;0,0,IFERROR(VLOOKUP(K$8,CreditAmort1BEST[],5),0))</f>
        <v>0</v>
      </c>
      <c r="L21" s="67">
        <f>IF($D$21&lt;&gt;0,0,IFERROR(VLOOKUP(L$8,CreditAmort1BEST[],5),0))</f>
        <v>0</v>
      </c>
      <c r="M21" s="67">
        <f>IF($D$21&lt;&gt;0,0,IFERROR(VLOOKUP(M$8,CreditAmort1BEST[],5),0))</f>
        <v>0</v>
      </c>
      <c r="N21" s="67">
        <f>IF($D$21&lt;&gt;0,0,IFERROR(VLOOKUP(N$8,CreditAmort1BEST[],5),0))</f>
        <v>0</v>
      </c>
      <c r="O21" s="67">
        <f>IF($D$21&lt;&gt;0,0,IFERROR(VLOOKUP(O$8,CreditAmort1BEST[],5),0))</f>
        <v>0</v>
      </c>
      <c r="P21" s="67">
        <f>IF($D$21&lt;&gt;0,0,IFERROR(VLOOKUP(P$8,CreditAmort1BEST[],5),0))</f>
        <v>0</v>
      </c>
      <c r="Q21" s="67">
        <f>IF($D$21&lt;&gt;0,0,IFERROR(VLOOKUP(Q$8,CreditAmort1BEST[],5),0))</f>
        <v>0</v>
      </c>
      <c r="R21" s="67">
        <f>IF($D$21&lt;&gt;0,0,IFERROR(VLOOKUP(R$8,CreditAmort1BEST[],5),0))</f>
        <v>0</v>
      </c>
      <c r="S21" s="67">
        <f>IF($D$21&lt;&gt;0,0,IFERROR(VLOOKUP(S$8,CreditAmort1BEST[],5),0))</f>
        <v>0</v>
      </c>
      <c r="T21" s="67">
        <f>IF($D$21&lt;&gt;0,0,IFERROR(VLOOKUP(T$8,CreditAmort1BEST[],5),0))</f>
        <v>0</v>
      </c>
      <c r="U21" s="67">
        <f>IF($D$21&lt;&gt;0,0,IFERROR(VLOOKUP(U$8,CreditAmort1BEST[],5),0))</f>
        <v>0</v>
      </c>
      <c r="V21" s="67">
        <f>IF($D$21&lt;&gt;0,0,IFERROR(VLOOKUP(V$8,CreditAmort1BEST[],5),0))</f>
        <v>0</v>
      </c>
      <c r="W21" s="67">
        <f>IF($D$21&lt;&gt;0,0,IFERROR(VLOOKUP(W$8,CreditAmort1BEST[],5),0))</f>
        <v>0</v>
      </c>
      <c r="X21" s="67">
        <f>IF($D$21&lt;&gt;0,0,IFERROR(VLOOKUP(X$8,CreditAmort1BEST[],5),0))</f>
        <v>0</v>
      </c>
      <c r="Y21" s="67">
        <f>IF($D$21&lt;&gt;0,0,IFERROR(VLOOKUP(Y$8,CreditAmort1BEST[],5),0))</f>
        <v>0</v>
      </c>
      <c r="Z21" s="67">
        <f>IF($D$21&lt;&gt;0,0,IFERROR(VLOOKUP(Z$8,CreditAmort1BEST[],5),0))</f>
        <v>0</v>
      </c>
      <c r="AA21" s="67">
        <f>IF($D$21&lt;&gt;0,0,IFERROR(VLOOKUP(AA$8,CreditAmort1BEST[],5),0))</f>
        <v>0</v>
      </c>
      <c r="AB21" s="67">
        <f>IF($D$21&lt;&gt;0,0,IFERROR(VLOOKUP(AB$8,CreditAmort1BEST[],5),0))</f>
        <v>0</v>
      </c>
      <c r="AC21" s="67">
        <f>IF($D$21&lt;&gt;0,0,IFERROR(VLOOKUP(AC$8,CreditAmort1BEST[],5),0))</f>
        <v>0</v>
      </c>
      <c r="AD21" s="67">
        <f>IF($D$21&lt;&gt;0,0,IFERROR(VLOOKUP(AD$8,CreditAmort1BEST[],5),0))</f>
        <v>0</v>
      </c>
      <c r="AE21" s="67">
        <f>IF($D$21&lt;&gt;0,0,IFERROR(VLOOKUP(AE$8,CreditAmort1BEST[],5),0))</f>
        <v>0</v>
      </c>
      <c r="AF21" s="67">
        <f>IF($D$21&lt;&gt;0,0,IFERROR(VLOOKUP(AF$8,CreditAmort1BEST[],5),0))</f>
        <v>0</v>
      </c>
      <c r="AG21" s="67">
        <f>IF($D$21&lt;&gt;0,0,IFERROR(VLOOKUP(AG$8,CreditAmort1BEST[],5),0))</f>
        <v>0</v>
      </c>
      <c r="AH21" s="67">
        <f>IF($D$21&lt;&gt;0,0,IFERROR(VLOOKUP(AH$8,CreditAmort1BEST[],5),0))</f>
        <v>0</v>
      </c>
      <c r="AI21" s="67">
        <f>IF($D$21&lt;&gt;0,0,IFERROR(VLOOKUP(AI$8,CreditAmort1BEST[],5),0))</f>
        <v>0</v>
      </c>
      <c r="AJ21" s="67">
        <f>IF($D$21&lt;&gt;0,0,IFERROR(VLOOKUP(AJ$8,CreditAmort1BEST[],5),0))</f>
        <v>0</v>
      </c>
      <c r="AK21" s="67">
        <f>IF($D$21&lt;&gt;0,0,IFERROR(VLOOKUP(AK$8,CreditAmort1BEST[],5),0))</f>
        <v>0</v>
      </c>
      <c r="AL21" s="67">
        <f>IF($D$21&lt;&gt;0,0,IFERROR(VLOOKUP(AL$8,CreditAmort1BEST[],5),0))</f>
        <v>0</v>
      </c>
      <c r="AM21" s="67">
        <f>IF($D$21&lt;&gt;0,0,IFERROR(VLOOKUP(AM$8,CreditAmort1BEST[],5),0))</f>
        <v>0</v>
      </c>
      <c r="AN21" s="67">
        <f>IF($D$21&lt;&gt;0,0,IFERROR(VLOOKUP(AN$8,CreditAmort1BEST[],5),0))</f>
        <v>0</v>
      </c>
    </row>
    <row r="22" spans="1:40" s="49" customFormat="1">
      <c r="A22" s="2"/>
      <c r="B22" s="48"/>
      <c r="C22" s="32" t="s">
        <v>10</v>
      </c>
      <c r="D22" s="67">
        <f>IFERROR(VLOOKUP(0,CreditAmort2BEST[],5),0)</f>
        <v>0</v>
      </c>
      <c r="E22" s="67">
        <f>IFERROR(VLOOKUP(E$8,CreditAmort2BEST[],5),0)</f>
        <v>0</v>
      </c>
      <c r="F22" s="67">
        <f>IFERROR(VLOOKUP(F$8,CreditAmort2BEST[],5),0)</f>
        <v>0</v>
      </c>
      <c r="G22" s="67">
        <f>IFERROR(VLOOKUP(G$8,CreditAmort2BEST[],5),0)</f>
        <v>0</v>
      </c>
      <c r="H22" s="67">
        <f>IFERROR(VLOOKUP(H$8,CreditAmort2BEST[],5),0)</f>
        <v>0</v>
      </c>
      <c r="I22" s="67">
        <f>IFERROR(VLOOKUP(I$8,CreditAmort2BEST[],5),0)</f>
        <v>0</v>
      </c>
      <c r="J22" s="67">
        <f>IFERROR(VLOOKUP(J$8,CreditAmort2BEST[],5),0)</f>
        <v>0</v>
      </c>
      <c r="K22" s="67">
        <f>IFERROR(VLOOKUP(K$8,CreditAmort2BEST[],5),0)</f>
        <v>0</v>
      </c>
      <c r="L22" s="67">
        <f>IFERROR(VLOOKUP(L$8,CreditAmort2BEST[],5),0)</f>
        <v>0</v>
      </c>
      <c r="M22" s="67">
        <f>IFERROR(VLOOKUP(M$8,CreditAmort2BEST[],5),0)</f>
        <v>0</v>
      </c>
      <c r="N22" s="67">
        <f>IFERROR(VLOOKUP(N$8,CreditAmort2BEST[],5),0)</f>
        <v>0</v>
      </c>
      <c r="O22" s="67">
        <f>IFERROR(VLOOKUP(O$8,CreditAmort2BEST[],5),0)</f>
        <v>0</v>
      </c>
      <c r="P22" s="67">
        <f>IFERROR(VLOOKUP(P$8,CreditAmort2BEST[],5),0)</f>
        <v>0</v>
      </c>
      <c r="Q22" s="67">
        <f>IFERROR(VLOOKUP(Q$8,CreditAmort2BEST[],5),0)</f>
        <v>0</v>
      </c>
      <c r="R22" s="67">
        <f>IFERROR(VLOOKUP(R$8,CreditAmort2BEST[],5),0)</f>
        <v>0</v>
      </c>
      <c r="S22" s="67">
        <f>IFERROR(VLOOKUP(S$8,CreditAmort2BEST[],5),0)</f>
        <v>0</v>
      </c>
      <c r="T22" s="67">
        <f>IFERROR(VLOOKUP(T$8,CreditAmort2BEST[],5),0)</f>
        <v>0</v>
      </c>
      <c r="U22" s="67">
        <f>IFERROR(VLOOKUP(U$8,CreditAmort2BEST[],5),0)</f>
        <v>0</v>
      </c>
      <c r="V22" s="67">
        <f>IFERROR(VLOOKUP(V$8,CreditAmort2BEST[],5),0)</f>
        <v>0</v>
      </c>
      <c r="W22" s="67">
        <f>IFERROR(VLOOKUP(W$8,CreditAmort2BEST[],5),0)</f>
        <v>0</v>
      </c>
      <c r="X22" s="67">
        <f>IFERROR(VLOOKUP(X$8,CreditAmort2BEST[],5),0)</f>
        <v>0</v>
      </c>
      <c r="Y22" s="67">
        <f>IFERROR(VLOOKUP(Y$8,CreditAmort2BEST[],5),0)</f>
        <v>0</v>
      </c>
      <c r="Z22" s="67">
        <f>IFERROR(VLOOKUP(Z$8,CreditAmort2BEST[],5),0)</f>
        <v>0</v>
      </c>
      <c r="AA22" s="67">
        <f>IFERROR(VLOOKUP(AA$8,CreditAmort2BEST[],5),0)</f>
        <v>0</v>
      </c>
      <c r="AB22" s="67">
        <f>IFERROR(VLOOKUP(AB$8,CreditAmort2BEST[],5),0)</f>
        <v>0</v>
      </c>
      <c r="AC22" s="67">
        <f>IFERROR(VLOOKUP(AC$8,CreditAmort2BEST[],5),0)</f>
        <v>0</v>
      </c>
      <c r="AD22" s="67">
        <f>IFERROR(VLOOKUP(AD$8,CreditAmort2BEST[],5),0)</f>
        <v>0</v>
      </c>
      <c r="AE22" s="67">
        <f>IFERROR(VLOOKUP(AE$8,CreditAmort2BEST[],5),0)</f>
        <v>0</v>
      </c>
      <c r="AF22" s="67">
        <f>IFERROR(VLOOKUP(AF$8,CreditAmort2BEST[],5),0)</f>
        <v>0</v>
      </c>
      <c r="AG22" s="67">
        <f>IFERROR(VLOOKUP(AG$8,CreditAmort2BEST[],5),0)</f>
        <v>0</v>
      </c>
      <c r="AH22" s="67">
        <f>IFERROR(VLOOKUP(AH$8,CreditAmort2BEST[],5),0)</f>
        <v>0</v>
      </c>
      <c r="AI22" s="67">
        <f>IFERROR(VLOOKUP(AI$8,CreditAmort2BEST[],5),0)</f>
        <v>0</v>
      </c>
      <c r="AJ22" s="67">
        <f>IFERROR(VLOOKUP(AJ$8,CreditAmort2BEST[],5),0)</f>
        <v>0</v>
      </c>
      <c r="AK22" s="67">
        <f>IFERROR(VLOOKUP(AK$8,CreditAmort2BEST[],5),0)</f>
        <v>0</v>
      </c>
      <c r="AL22" s="67">
        <f>IFERROR(VLOOKUP(AL$8,CreditAmort2BEST[],5),0)</f>
        <v>0</v>
      </c>
      <c r="AM22" s="67">
        <f>IFERROR(VLOOKUP(AM$8,CreditAmort2BEST[],5),0)</f>
        <v>0</v>
      </c>
      <c r="AN22" s="67">
        <f>IFERROR(VLOOKUP(AN$8,CreditAmort2BEST[],5),0)</f>
        <v>0</v>
      </c>
    </row>
    <row r="23" spans="1:40" s="49" customFormat="1">
      <c r="A23" s="2"/>
      <c r="B23" s="48"/>
      <c r="C23" s="32" t="s">
        <v>11</v>
      </c>
      <c r="D23" s="67">
        <f>IFERROR(VLOOKUP(0,CreditAmort3BEST[],5),0)</f>
        <v>0</v>
      </c>
      <c r="E23" s="67">
        <f>IFERROR(VLOOKUP(E$8,CreditAmort3BEST[],5),0)</f>
        <v>0</v>
      </c>
      <c r="F23" s="67">
        <f>IFERROR(VLOOKUP(F$8,CreditAmort3BEST[],5),0)</f>
        <v>0</v>
      </c>
      <c r="G23" s="67">
        <f>IFERROR(VLOOKUP(G$8,CreditAmort3BEST[],5),0)</f>
        <v>0</v>
      </c>
      <c r="H23" s="67">
        <f>IFERROR(VLOOKUP(H$8,CreditAmort3BEST[],5),0)</f>
        <v>0</v>
      </c>
      <c r="I23" s="67">
        <f>IFERROR(VLOOKUP(I$8,CreditAmort3BEST[],5),0)</f>
        <v>0</v>
      </c>
      <c r="J23" s="67">
        <f>IFERROR(VLOOKUP(J$8,CreditAmort3BEST[],5),0)</f>
        <v>0</v>
      </c>
      <c r="K23" s="67">
        <f>IFERROR(VLOOKUP(K$8,CreditAmort3BEST[],5),0)</f>
        <v>0</v>
      </c>
      <c r="L23" s="67">
        <f>IFERROR(VLOOKUP(L$8,CreditAmort3BEST[],5),0)</f>
        <v>0</v>
      </c>
      <c r="M23" s="67">
        <f>IFERROR(VLOOKUP(M$8,CreditAmort3BEST[],5),0)</f>
        <v>0</v>
      </c>
      <c r="N23" s="67">
        <f>IFERROR(VLOOKUP(N$8,CreditAmort3BEST[],5),0)</f>
        <v>0</v>
      </c>
      <c r="O23" s="67">
        <f>IFERROR(VLOOKUP(O$8,CreditAmort3BEST[],5),0)</f>
        <v>0</v>
      </c>
      <c r="P23" s="67">
        <f>IFERROR(VLOOKUP(P$8,CreditAmort3BEST[],5),0)</f>
        <v>0</v>
      </c>
      <c r="Q23" s="67">
        <f>IFERROR(VLOOKUP(Q$8,CreditAmort3BEST[],5),0)</f>
        <v>0</v>
      </c>
      <c r="R23" s="67">
        <f>IFERROR(VLOOKUP(R$8,CreditAmort3BEST[],5),0)</f>
        <v>0</v>
      </c>
      <c r="S23" s="67">
        <f>IFERROR(VLOOKUP(S$8,CreditAmort3BEST[],5),0)</f>
        <v>0</v>
      </c>
      <c r="T23" s="67">
        <f>IFERROR(VLOOKUP(T$8,CreditAmort3BEST[],5),0)</f>
        <v>0</v>
      </c>
      <c r="U23" s="67">
        <f>IFERROR(VLOOKUP(U$8,CreditAmort3BEST[],5),0)</f>
        <v>0</v>
      </c>
      <c r="V23" s="67">
        <f>IFERROR(VLOOKUP(V$8,CreditAmort3BEST[],5),0)</f>
        <v>0</v>
      </c>
      <c r="W23" s="67">
        <f>IFERROR(VLOOKUP(W$8,CreditAmort3BEST[],5),0)</f>
        <v>0</v>
      </c>
      <c r="X23" s="67">
        <f>IFERROR(VLOOKUP(X$8,CreditAmort3BEST[],5),0)</f>
        <v>0</v>
      </c>
      <c r="Y23" s="67">
        <f>IFERROR(VLOOKUP(Y$8,CreditAmort3BEST[],5),0)</f>
        <v>0</v>
      </c>
      <c r="Z23" s="67">
        <f>IFERROR(VLOOKUP(Z$8,CreditAmort3BEST[],5),0)</f>
        <v>0</v>
      </c>
      <c r="AA23" s="67">
        <f>IFERROR(VLOOKUP(AA$8,CreditAmort3BEST[],5),0)</f>
        <v>0</v>
      </c>
      <c r="AB23" s="67">
        <f>IFERROR(VLOOKUP(AB$8,CreditAmort3BEST[],5),0)</f>
        <v>0</v>
      </c>
      <c r="AC23" s="67">
        <f>IFERROR(VLOOKUP(AC$8,CreditAmort3BEST[],5),0)</f>
        <v>0</v>
      </c>
      <c r="AD23" s="67">
        <f>IFERROR(VLOOKUP(AD$8,CreditAmort3BEST[],5),0)</f>
        <v>0</v>
      </c>
      <c r="AE23" s="67">
        <f>IFERROR(VLOOKUP(AE$8,CreditAmort3BEST[],5),0)</f>
        <v>0</v>
      </c>
      <c r="AF23" s="67">
        <f>IFERROR(VLOOKUP(AF$8,CreditAmort3BEST[],5),0)</f>
        <v>0</v>
      </c>
      <c r="AG23" s="67">
        <f>IFERROR(VLOOKUP(AG$8,CreditAmort3BEST[],5),0)</f>
        <v>0</v>
      </c>
      <c r="AH23" s="67">
        <f>IFERROR(VLOOKUP(AH$8,CreditAmort3BEST[],5),0)</f>
        <v>0</v>
      </c>
      <c r="AI23" s="67">
        <f>IFERROR(VLOOKUP(AI$8,CreditAmort3BEST[],5),0)</f>
        <v>0</v>
      </c>
      <c r="AJ23" s="67">
        <f>IFERROR(VLOOKUP(AJ$8,CreditAmort3BEST[],5),0)</f>
        <v>0</v>
      </c>
      <c r="AK23" s="67">
        <f>IFERROR(VLOOKUP(AK$8,CreditAmort3BEST[],5),0)</f>
        <v>0</v>
      </c>
      <c r="AL23" s="67">
        <f>IFERROR(VLOOKUP(AL$8,CreditAmort3BEST[],5),0)</f>
        <v>0</v>
      </c>
      <c r="AM23" s="67">
        <f>IFERROR(VLOOKUP(AM$8,CreditAmort3BEST[],5),0)</f>
        <v>0</v>
      </c>
      <c r="AN23" s="67">
        <f>IFERROR(VLOOKUP(AN$8,CreditAmort3BEST[],5),0)</f>
        <v>0</v>
      </c>
    </row>
    <row r="24" spans="1:40" s="49" customFormat="1">
      <c r="A24" s="2"/>
      <c r="B24" s="48"/>
      <c r="C24" s="32" t="s">
        <v>39</v>
      </c>
      <c r="D24" s="67">
        <f>IFERROR(VLOOKUP(0,CreditAmort4BEST[],5),0)</f>
        <v>0</v>
      </c>
      <c r="E24" s="67">
        <f>IFERROR(VLOOKUP(E$8,CreditAmort4BEST[],5),0)</f>
        <v>0</v>
      </c>
      <c r="F24" s="67">
        <f>IFERROR(VLOOKUP(F$8,CreditAmort4BEST[],5),0)</f>
        <v>0</v>
      </c>
      <c r="G24" s="67">
        <f>IFERROR(VLOOKUP(G$8,CreditAmort4BEST[],5),0)</f>
        <v>0</v>
      </c>
      <c r="H24" s="67">
        <f>IFERROR(VLOOKUP(H$8,CreditAmort4BEST[],5),0)</f>
        <v>0</v>
      </c>
      <c r="I24" s="67">
        <f>IFERROR(VLOOKUP(I$8,CreditAmort4BEST[],5),0)</f>
        <v>0</v>
      </c>
      <c r="J24" s="67">
        <f>IFERROR(VLOOKUP(J$8,CreditAmort4BEST[],5),0)</f>
        <v>0</v>
      </c>
      <c r="K24" s="67">
        <f>IFERROR(VLOOKUP(K$8,CreditAmort4BEST[],5),0)</f>
        <v>0</v>
      </c>
      <c r="L24" s="67">
        <f>IFERROR(VLOOKUP(L$8,CreditAmort4BEST[],5),0)</f>
        <v>0</v>
      </c>
      <c r="M24" s="67">
        <f>IFERROR(VLOOKUP(M$8,CreditAmort4BEST[],5),0)</f>
        <v>0</v>
      </c>
      <c r="N24" s="67">
        <f>IFERROR(VLOOKUP(N$8,CreditAmort4BEST[],5),0)</f>
        <v>0</v>
      </c>
      <c r="O24" s="67">
        <f>IFERROR(VLOOKUP(O$8,CreditAmort4BEST[],5),0)</f>
        <v>0</v>
      </c>
      <c r="P24" s="67">
        <f>IFERROR(VLOOKUP(P$8,CreditAmort4BEST[],5),0)</f>
        <v>0</v>
      </c>
      <c r="Q24" s="67">
        <f>IFERROR(VLOOKUP(Q$8,CreditAmort4BEST[],5),0)</f>
        <v>0</v>
      </c>
      <c r="R24" s="67">
        <f>IFERROR(VLOOKUP(R$8,CreditAmort4BEST[],5),0)</f>
        <v>0</v>
      </c>
      <c r="S24" s="67">
        <f>IFERROR(VLOOKUP(S$8,CreditAmort4BEST[],5),0)</f>
        <v>0</v>
      </c>
      <c r="T24" s="67">
        <f>IFERROR(VLOOKUP(T$8,CreditAmort4BEST[],5),0)</f>
        <v>0</v>
      </c>
      <c r="U24" s="67">
        <f>IFERROR(VLOOKUP(U$8,CreditAmort4BEST[],5),0)</f>
        <v>0</v>
      </c>
      <c r="V24" s="67">
        <f>IFERROR(VLOOKUP(V$8,CreditAmort4BEST[],5),0)</f>
        <v>0</v>
      </c>
      <c r="W24" s="67">
        <f>IFERROR(VLOOKUP(W$8,CreditAmort4BEST[],5),0)</f>
        <v>0</v>
      </c>
      <c r="X24" s="67">
        <f>IFERROR(VLOOKUP(X$8,CreditAmort4BEST[],5),0)</f>
        <v>0</v>
      </c>
      <c r="Y24" s="67">
        <f>IFERROR(VLOOKUP(Y$8,CreditAmort4BEST[],5),0)</f>
        <v>0</v>
      </c>
      <c r="Z24" s="67">
        <f>IFERROR(VLOOKUP(Z$8,CreditAmort4BEST[],5),0)</f>
        <v>0</v>
      </c>
      <c r="AA24" s="67">
        <f>IFERROR(VLOOKUP(AA$8,CreditAmort4BEST[],5),0)</f>
        <v>0</v>
      </c>
      <c r="AB24" s="67">
        <f>IFERROR(VLOOKUP(AB$8,CreditAmort4BEST[],5),0)</f>
        <v>0</v>
      </c>
      <c r="AC24" s="67">
        <f>IFERROR(VLOOKUP(AC$8,CreditAmort4BEST[],5),0)</f>
        <v>0</v>
      </c>
      <c r="AD24" s="67">
        <f>IFERROR(VLOOKUP(AD$8,CreditAmort4BEST[],5),0)</f>
        <v>0</v>
      </c>
      <c r="AE24" s="67">
        <f>IFERROR(VLOOKUP(AE$8,CreditAmort4BEST[],5),0)</f>
        <v>0</v>
      </c>
      <c r="AF24" s="67">
        <f>IFERROR(VLOOKUP(AF$8,CreditAmort4BEST[],5),0)</f>
        <v>0</v>
      </c>
      <c r="AG24" s="67">
        <f>IFERROR(VLOOKUP(AG$8,CreditAmort4BEST[],5),0)</f>
        <v>0</v>
      </c>
      <c r="AH24" s="67">
        <f>IFERROR(VLOOKUP(AH$8,CreditAmort4BEST[],5),0)</f>
        <v>0</v>
      </c>
      <c r="AI24" s="67">
        <f>IFERROR(VLOOKUP(AI$8,CreditAmort4BEST[],5),0)</f>
        <v>0</v>
      </c>
      <c r="AJ24" s="67">
        <f>IFERROR(VLOOKUP(AJ$8,CreditAmort4BEST[],5),0)</f>
        <v>0</v>
      </c>
      <c r="AK24" s="67">
        <f>IFERROR(VLOOKUP(AK$8,CreditAmort4BEST[],5),0)</f>
        <v>0</v>
      </c>
      <c r="AL24" s="67">
        <f>IFERROR(VLOOKUP(AL$8,CreditAmort4BEST[],5),0)</f>
        <v>0</v>
      </c>
      <c r="AM24" s="67">
        <f>IFERROR(VLOOKUP(AM$8,CreditAmort4BEST[],5),0)</f>
        <v>0</v>
      </c>
      <c r="AN24" s="67">
        <f>IFERROR(VLOOKUP(AN$8,CreditAmort4BEST[],5),0)</f>
        <v>0</v>
      </c>
    </row>
    <row r="25" spans="1:40" s="16" customFormat="1">
      <c r="A25" s="1"/>
      <c r="B25" s="1"/>
      <c r="C25" s="32"/>
    </row>
    <row r="26" spans="1:40" s="182" customFormat="1" ht="28.15" customHeight="1">
      <c r="A26" s="180"/>
      <c r="B26" s="271" t="s">
        <v>294</v>
      </c>
      <c r="C26" s="269"/>
      <c r="D26" s="181">
        <f>Inputs!E160</f>
        <v>0</v>
      </c>
    </row>
    <row r="27" spans="1:40" s="49" customFormat="1">
      <c r="A27" s="2"/>
      <c r="B27" s="2"/>
      <c r="C27" s="48"/>
      <c r="D27" s="68"/>
    </row>
    <row r="28" spans="1:40" s="16" customFormat="1">
      <c r="A28" s="51" t="s">
        <v>228</v>
      </c>
      <c r="C28" s="51"/>
      <c r="D28" s="49">
        <f>D26+D19</f>
        <v>175000</v>
      </c>
      <c r="E28" s="49">
        <f>E26+E19+E17+E12</f>
        <v>21000</v>
      </c>
      <c r="F28" s="49">
        <f t="shared" ref="F28:AN28" si="7">F26+F19+F17+F12</f>
        <v>51000</v>
      </c>
      <c r="G28" s="49">
        <f t="shared" si="7"/>
        <v>51000</v>
      </c>
      <c r="H28" s="49">
        <f t="shared" si="7"/>
        <v>21000</v>
      </c>
      <c r="I28" s="49">
        <f t="shared" si="7"/>
        <v>21000</v>
      </c>
      <c r="J28" s="49">
        <f t="shared" si="7"/>
        <v>51000</v>
      </c>
      <c r="K28" s="49">
        <f t="shared" si="7"/>
        <v>21000</v>
      </c>
      <c r="L28" s="49">
        <f t="shared" si="7"/>
        <v>51000</v>
      </c>
      <c r="M28" s="49">
        <f t="shared" si="7"/>
        <v>21000</v>
      </c>
      <c r="N28" s="49">
        <f t="shared" si="7"/>
        <v>21000</v>
      </c>
      <c r="O28" s="49">
        <f t="shared" si="7"/>
        <v>21000</v>
      </c>
      <c r="P28" s="49">
        <f t="shared" si="7"/>
        <v>21000</v>
      </c>
      <c r="Q28" s="49">
        <f t="shared" si="7"/>
        <v>21000</v>
      </c>
      <c r="R28" s="49">
        <f t="shared" si="7"/>
        <v>63000</v>
      </c>
      <c r="S28" s="49">
        <f t="shared" si="7"/>
        <v>63000</v>
      </c>
      <c r="T28" s="49">
        <f t="shared" si="7"/>
        <v>21000</v>
      </c>
      <c r="U28" s="49">
        <f t="shared" si="7"/>
        <v>21000</v>
      </c>
      <c r="V28" s="49">
        <f t="shared" si="7"/>
        <v>63000</v>
      </c>
      <c r="W28" s="49">
        <f t="shared" si="7"/>
        <v>21000</v>
      </c>
      <c r="X28" s="49">
        <f t="shared" si="7"/>
        <v>63000</v>
      </c>
      <c r="Y28" s="49">
        <f t="shared" si="7"/>
        <v>21000</v>
      </c>
      <c r="Z28" s="49">
        <f t="shared" si="7"/>
        <v>21000</v>
      </c>
      <c r="AA28" s="49">
        <f t="shared" si="7"/>
        <v>31500</v>
      </c>
      <c r="AB28" s="49">
        <f t="shared" si="7"/>
        <v>31500</v>
      </c>
      <c r="AC28" s="49">
        <f t="shared" si="7"/>
        <v>31500</v>
      </c>
      <c r="AD28" s="49">
        <f t="shared" si="7"/>
        <v>94500</v>
      </c>
      <c r="AE28" s="49">
        <f t="shared" si="7"/>
        <v>94500</v>
      </c>
      <c r="AF28" s="49">
        <f t="shared" si="7"/>
        <v>31500</v>
      </c>
      <c r="AG28" s="49">
        <f t="shared" si="7"/>
        <v>31500</v>
      </c>
      <c r="AH28" s="49">
        <f t="shared" si="7"/>
        <v>94500</v>
      </c>
      <c r="AI28" s="49">
        <f t="shared" si="7"/>
        <v>31500</v>
      </c>
      <c r="AJ28" s="49">
        <f t="shared" si="7"/>
        <v>94500</v>
      </c>
      <c r="AK28" s="49">
        <f t="shared" si="7"/>
        <v>31500</v>
      </c>
      <c r="AL28" s="49">
        <f t="shared" si="7"/>
        <v>31500</v>
      </c>
      <c r="AM28" s="49">
        <f t="shared" si="7"/>
        <v>31500</v>
      </c>
      <c r="AN28" s="49">
        <f t="shared" si="7"/>
        <v>31500</v>
      </c>
    </row>
    <row r="29" spans="1:40" s="16" customFormat="1" ht="12.75" thickBot="1">
      <c r="A29" s="17"/>
      <c r="B29" s="17"/>
      <c r="C29" s="33"/>
      <c r="D29" s="19"/>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row>
    <row r="30" spans="1:40" s="16" customFormat="1">
      <c r="A30" s="2" t="s">
        <v>25</v>
      </c>
      <c r="B30" s="1"/>
      <c r="C30" s="32"/>
      <c r="D30" s="15"/>
    </row>
    <row r="31" spans="1:40" s="16" customFormat="1">
      <c r="A31" s="2"/>
      <c r="B31" s="1"/>
      <c r="C31" s="32"/>
      <c r="D31" s="15"/>
    </row>
    <row r="32" spans="1:40" s="49" customFormat="1">
      <c r="A32" s="2"/>
      <c r="B32" s="2" t="s">
        <v>189</v>
      </c>
      <c r="C32" s="55"/>
      <c r="D32" s="66">
        <f>IF(E$5="New Business",Inputs!E26,0)</f>
        <v>300000</v>
      </c>
    </row>
    <row r="33" spans="1:40" s="16" customFormat="1">
      <c r="A33" s="2"/>
      <c r="B33" s="1"/>
      <c r="C33" s="32"/>
      <c r="D33" s="15"/>
    </row>
    <row r="34" spans="1:40" s="49" customFormat="1">
      <c r="A34" s="2"/>
      <c r="B34" s="2" t="s">
        <v>206</v>
      </c>
      <c r="C34" s="48"/>
      <c r="D34" s="52"/>
      <c r="E34" s="68">
        <f>IF(Inputs!$E$14="Lease",Inputs!$E$23,0)</f>
        <v>0</v>
      </c>
      <c r="F34" s="68">
        <f>IF(Inputs!$E$14="Lease",Inputs!$E$23,0)</f>
        <v>0</v>
      </c>
      <c r="G34" s="68">
        <f>IF(Inputs!$E$14="Lease",Inputs!$E$23,0)</f>
        <v>0</v>
      </c>
      <c r="H34" s="68">
        <f>IF(Inputs!$E$14="Lease",Inputs!$E$23,0)</f>
        <v>0</v>
      </c>
      <c r="I34" s="68">
        <f>IF(Inputs!$E$14="Lease",Inputs!$E$23,0)</f>
        <v>0</v>
      </c>
      <c r="J34" s="68">
        <f>IF(Inputs!$E$14="Lease",Inputs!$E$23,0)</f>
        <v>0</v>
      </c>
      <c r="K34" s="68">
        <f>IF(Inputs!$E$14="Lease",Inputs!$E$23,0)</f>
        <v>0</v>
      </c>
      <c r="L34" s="68">
        <f>IF(Inputs!$E$14="Lease",Inputs!$E$23,0)</f>
        <v>0</v>
      </c>
      <c r="M34" s="68">
        <f>IF(Inputs!$E$14="Lease",Inputs!$E$23,0)</f>
        <v>0</v>
      </c>
      <c r="N34" s="68">
        <f>IF(Inputs!$E$14="Lease",Inputs!$E$23,0)</f>
        <v>0</v>
      </c>
      <c r="O34" s="68">
        <f>IF(Inputs!$E$14="Lease",Inputs!$E$23,0)</f>
        <v>0</v>
      </c>
      <c r="P34" s="68">
        <f>IF(Inputs!$E$14="Lease",Inputs!$E$23,0)</f>
        <v>0</v>
      </c>
      <c r="Q34" s="68">
        <f>IF(Inputs!$E$14="Lease",Inputs!$E$23,0)</f>
        <v>0</v>
      </c>
      <c r="R34" s="68">
        <f>IF(Inputs!$E$14="Lease",Inputs!$E$23,0)</f>
        <v>0</v>
      </c>
      <c r="S34" s="68">
        <f>IF(Inputs!$E$14="Lease",Inputs!$E$23,0)</f>
        <v>0</v>
      </c>
      <c r="T34" s="68">
        <f>IF(Inputs!$E$14="Lease",Inputs!$E$23,0)</f>
        <v>0</v>
      </c>
      <c r="U34" s="68">
        <f>IF(Inputs!$E$14="Lease",Inputs!$E$23,0)</f>
        <v>0</v>
      </c>
      <c r="V34" s="68">
        <f>IF(Inputs!$E$14="Lease",Inputs!$E$23,0)</f>
        <v>0</v>
      </c>
      <c r="W34" s="68">
        <f>IF(Inputs!$E$14="Lease",Inputs!$E$23,0)</f>
        <v>0</v>
      </c>
      <c r="X34" s="68">
        <f>IF(Inputs!$E$14="Lease",Inputs!$E$23,0)</f>
        <v>0</v>
      </c>
      <c r="Y34" s="68">
        <f>IF(Inputs!$E$14="Lease",Inputs!$E$23,0)</f>
        <v>0</v>
      </c>
      <c r="Z34" s="68">
        <f>IF(Inputs!$E$14="Lease",Inputs!$E$23,0)</f>
        <v>0</v>
      </c>
      <c r="AA34" s="68">
        <f>IF(Inputs!$E$14="Lease",Inputs!$E$23,0)</f>
        <v>0</v>
      </c>
      <c r="AB34" s="68">
        <f>IF(Inputs!$E$14="Lease",Inputs!$E$23,0)</f>
        <v>0</v>
      </c>
      <c r="AC34" s="68">
        <f>IF(Inputs!$E$14="Lease",Inputs!$E$23,0)</f>
        <v>0</v>
      </c>
      <c r="AD34" s="68">
        <f>IF(Inputs!$E$14="Lease",Inputs!$E$23,0)</f>
        <v>0</v>
      </c>
      <c r="AE34" s="68">
        <f>IF(Inputs!$E$14="Lease",Inputs!$E$23,0)</f>
        <v>0</v>
      </c>
      <c r="AF34" s="68">
        <f>IF(Inputs!$E$14="Lease",Inputs!$E$23,0)</f>
        <v>0</v>
      </c>
      <c r="AG34" s="68">
        <f>IF(Inputs!$E$14="Lease",Inputs!$E$23,0)</f>
        <v>0</v>
      </c>
      <c r="AH34" s="68">
        <f>IF(Inputs!$E$14="Lease",Inputs!$E$23,0)</f>
        <v>0</v>
      </c>
      <c r="AI34" s="68">
        <f>IF(Inputs!$E$14="Lease",Inputs!$E$23,0)</f>
        <v>0</v>
      </c>
      <c r="AJ34" s="68">
        <f>IF(Inputs!$E$14="Lease",Inputs!$E$23,0)</f>
        <v>0</v>
      </c>
      <c r="AK34" s="68">
        <f>IF(Inputs!$E$14="Lease",Inputs!$E$23,0)</f>
        <v>0</v>
      </c>
      <c r="AL34" s="68">
        <f>IF(Inputs!$E$14="Lease",Inputs!$E$23,0)</f>
        <v>0</v>
      </c>
      <c r="AM34" s="68">
        <f>IF(Inputs!$E$14="Lease",Inputs!$E$23,0)</f>
        <v>0</v>
      </c>
      <c r="AN34" s="68">
        <f>IF(Inputs!$E$14="Lease",Inputs!$E$23,0)</f>
        <v>0</v>
      </c>
    </row>
    <row r="35" spans="1:40" s="49" customFormat="1">
      <c r="A35" s="2"/>
      <c r="B35" s="2" t="s">
        <v>207</v>
      </c>
      <c r="C35" s="48"/>
      <c r="D35" s="52"/>
      <c r="E35" s="68">
        <f>IF(Inputs!$E$14="Purchase",-VLOOKUP('Projections-BEST'!E$8,MortgageAmortBEST[],4,FALSE),0)</f>
        <v>184.01171723608857</v>
      </c>
      <c r="F35" s="68">
        <f>IF(Inputs!$E$14="Purchase",-VLOOKUP('Projections-BEST'!F$8,MortgageAmortBEST[],4,FALSE),0)</f>
        <v>185.2384620176625</v>
      </c>
      <c r="G35" s="68">
        <f>IF(Inputs!$E$14="Purchase",-VLOOKUP('Projections-BEST'!G$8,MortgageAmortBEST[],4,FALSE),0)</f>
        <v>186.47338509778027</v>
      </c>
      <c r="H35" s="68">
        <f>IF(Inputs!$E$14="Purchase",-VLOOKUP('Projections-BEST'!H$8,MortgageAmortBEST[],4,FALSE),0)</f>
        <v>187.71654099843215</v>
      </c>
      <c r="I35" s="68">
        <f>IF(Inputs!$E$14="Purchase",-VLOOKUP('Projections-BEST'!I$8,MortgageAmortBEST[],4,FALSE),0)</f>
        <v>188.96798460508836</v>
      </c>
      <c r="J35" s="68">
        <f>IF(Inputs!$E$14="Purchase",-VLOOKUP('Projections-BEST'!J$8,MortgageAmortBEST[],4,FALSE),0)</f>
        <v>190.22777116912229</v>
      </c>
      <c r="K35" s="68">
        <f>IF(Inputs!$E$14="Purchase",-VLOOKUP('Projections-BEST'!K$8,MortgageAmortBEST[],4,FALSE),0)</f>
        <v>191.4959563102498</v>
      </c>
      <c r="L35" s="68">
        <f>IF(Inputs!$E$14="Purchase",-VLOOKUP('Projections-BEST'!L$8,MortgageAmortBEST[],4,FALSE),0)</f>
        <v>192.77259601898473</v>
      </c>
      <c r="M35" s="68">
        <f>IF(Inputs!$E$14="Purchase",-VLOOKUP('Projections-BEST'!M$8,MortgageAmortBEST[],4,FALSE),0)</f>
        <v>194.0577466591113</v>
      </c>
      <c r="N35" s="68">
        <f>IF(Inputs!$E$14="Purchase",-VLOOKUP('Projections-BEST'!N$8,MortgageAmortBEST[],4,FALSE),0)</f>
        <v>195.35146497017209</v>
      </c>
      <c r="O35" s="68">
        <f>IF(Inputs!$E$14="Purchase",-VLOOKUP('Projections-BEST'!O$8,MortgageAmortBEST[],4,FALSE),0)</f>
        <v>196.65380806997319</v>
      </c>
      <c r="P35" s="68">
        <f>IF(Inputs!$E$14="Purchase",-VLOOKUP('Projections-BEST'!P$8,MortgageAmortBEST[],4,FALSE),0)</f>
        <v>197.96483345710641</v>
      </c>
      <c r="Q35" s="68">
        <f>IF(Inputs!$E$14="Purchase",-VLOOKUP('Projections-BEST'!Q$8,MortgageAmortBEST[],4,FALSE),0)</f>
        <v>199.28459901348708</v>
      </c>
      <c r="R35" s="68">
        <f>IF(Inputs!$E$14="Purchase",-VLOOKUP('Projections-BEST'!R$8,MortgageAmortBEST[],4,FALSE),0)</f>
        <v>200.61316300691033</v>
      </c>
      <c r="S35" s="68">
        <f>IF(Inputs!$E$14="Purchase",-VLOOKUP('Projections-BEST'!S$8,MortgageAmortBEST[],4,FALSE),0)</f>
        <v>201.95058409362306</v>
      </c>
      <c r="T35" s="68">
        <f>IF(Inputs!$E$14="Purchase",-VLOOKUP('Projections-BEST'!T$8,MortgageAmortBEST[],4,FALSE),0)</f>
        <v>203.29692132091387</v>
      </c>
      <c r="U35" s="68">
        <f>IF(Inputs!$E$14="Purchase",-VLOOKUP('Projections-BEST'!U$8,MortgageAmortBEST[],4,FALSE),0)</f>
        <v>204.65223412971997</v>
      </c>
      <c r="V35" s="68">
        <f>IF(Inputs!$E$14="Purchase",-VLOOKUP('Projections-BEST'!V$8,MortgageAmortBEST[],4,FALSE),0)</f>
        <v>206.01658235725145</v>
      </c>
      <c r="W35" s="68">
        <f>IF(Inputs!$E$14="Purchase",-VLOOKUP('Projections-BEST'!W$8,MortgageAmortBEST[],4,FALSE),0)</f>
        <v>207.39002623963313</v>
      </c>
      <c r="X35" s="68">
        <f>IF(Inputs!$E$14="Purchase",-VLOOKUP('Projections-BEST'!X$8,MortgageAmortBEST[],4,FALSE),0)</f>
        <v>208.772626414564</v>
      </c>
      <c r="Y35" s="68">
        <f>IF(Inputs!$E$14="Purchase",-VLOOKUP('Projections-BEST'!Y$8,MortgageAmortBEST[],4,FALSE),0)</f>
        <v>210.16444392399441</v>
      </c>
      <c r="Z35" s="68">
        <f>IF(Inputs!$E$14="Purchase",-VLOOKUP('Projections-BEST'!Z$8,MortgageAmortBEST[],4,FALSE),0)</f>
        <v>211.56554021682101</v>
      </c>
      <c r="AA35" s="68">
        <f>IF(Inputs!$E$14="Purchase",-VLOOKUP('Projections-BEST'!AA$8,MortgageAmortBEST[],4,FALSE),0)</f>
        <v>212.97597715159989</v>
      </c>
      <c r="AB35" s="68">
        <f>IF(Inputs!$E$14="Purchase",-VLOOKUP('Projections-BEST'!AB$8,MortgageAmortBEST[],4,FALSE),0)</f>
        <v>214.39581699927723</v>
      </c>
      <c r="AC35" s="68">
        <f>IF(Inputs!$E$14="Purchase",-VLOOKUP('Projections-BEST'!AC$8,MortgageAmortBEST[],4,FALSE),0)</f>
        <v>215.82512244593903</v>
      </c>
      <c r="AD35" s="68">
        <f>IF(Inputs!$E$14="Purchase",-VLOOKUP('Projections-BEST'!AD$8,MortgageAmortBEST[],4,FALSE),0)</f>
        <v>217.26395659557863</v>
      </c>
      <c r="AE35" s="68">
        <f>IF(Inputs!$E$14="Purchase",-VLOOKUP('Projections-BEST'!AE$8,MortgageAmortBEST[],4,FALSE),0)</f>
        <v>218.71238297288249</v>
      </c>
      <c r="AF35" s="68">
        <f>IF(Inputs!$E$14="Purchase",-VLOOKUP('Projections-BEST'!AF$8,MortgageAmortBEST[],4,FALSE),0)</f>
        <v>220.17046552603503</v>
      </c>
      <c r="AG35" s="68">
        <f>IF(Inputs!$E$14="Purchase",-VLOOKUP('Projections-BEST'!AG$8,MortgageAmortBEST[],4,FALSE),0)</f>
        <v>221.63826862954201</v>
      </c>
      <c r="AH35" s="68">
        <f>IF(Inputs!$E$14="Purchase",-VLOOKUP('Projections-BEST'!AH$8,MortgageAmortBEST[],4,FALSE),0)</f>
        <v>223.11585708707224</v>
      </c>
      <c r="AI35" s="68">
        <f>IF(Inputs!$E$14="Purchase",-VLOOKUP('Projections-BEST'!AI$8,MortgageAmortBEST[],4,FALSE),0)</f>
        <v>224.60329613431941</v>
      </c>
      <c r="AJ35" s="68">
        <f>IF(Inputs!$E$14="Purchase",-VLOOKUP('Projections-BEST'!AJ$8,MortgageAmortBEST[],4,FALSE),0)</f>
        <v>226.1006514418815</v>
      </c>
      <c r="AK35" s="68">
        <f>IF(Inputs!$E$14="Purchase",-VLOOKUP('Projections-BEST'!AK$8,MortgageAmortBEST[],4,FALSE),0)</f>
        <v>227.60798911816073</v>
      </c>
      <c r="AL35" s="68">
        <f>IF(Inputs!$E$14="Purchase",-VLOOKUP('Projections-BEST'!AL$8,MortgageAmortBEST[],4,FALSE),0)</f>
        <v>229.12537571228179</v>
      </c>
      <c r="AM35" s="68">
        <f>IF(Inputs!$E$14="Purchase",-VLOOKUP('Projections-BEST'!AM$8,MortgageAmortBEST[],4,FALSE),0)</f>
        <v>230.65287821703035</v>
      </c>
      <c r="AN35" s="68">
        <f>IF(Inputs!$E$14="Purchase",-VLOOKUP('Projections-BEST'!AN$8,MortgageAmortBEST[],4,FALSE),0)</f>
        <v>232.19056407181057</v>
      </c>
    </row>
    <row r="36" spans="1:40" s="49" customFormat="1">
      <c r="A36" s="2"/>
      <c r="B36" s="2" t="s">
        <v>208</v>
      </c>
      <c r="C36" s="48"/>
      <c r="D36" s="52"/>
      <c r="E36" s="68">
        <f>IF(Inputs!$E$14="Purchase",-VLOOKUP('Projections-BEST'!E$8,MortgageAmortBEST[],3,FALSE),0)</f>
        <v>1166.6666666666667</v>
      </c>
      <c r="F36" s="68">
        <f>IF(Inputs!$E$14="Purchase",-VLOOKUP('Projections-BEST'!F$8,MortgageAmortBEST[],3,FALSE),0)</f>
        <v>1165.4399218850929</v>
      </c>
      <c r="G36" s="68">
        <f>IF(Inputs!$E$14="Purchase",-VLOOKUP('Projections-BEST'!G$8,MortgageAmortBEST[],3,FALSE),0)</f>
        <v>1164.204998804975</v>
      </c>
      <c r="H36" s="68">
        <f>IF(Inputs!$E$14="Purchase",-VLOOKUP('Projections-BEST'!H$8,MortgageAmortBEST[],3,FALSE),0)</f>
        <v>1162.9618429043232</v>
      </c>
      <c r="I36" s="68">
        <f>IF(Inputs!$E$14="Purchase",-VLOOKUP('Projections-BEST'!I$8,MortgageAmortBEST[],3,FALSE),0)</f>
        <v>1161.710399297667</v>
      </c>
      <c r="J36" s="68">
        <f>IF(Inputs!$E$14="Purchase",-VLOOKUP('Projections-BEST'!J$8,MortgageAmortBEST[],3,FALSE),0)</f>
        <v>1160.4506127336331</v>
      </c>
      <c r="K36" s="68">
        <f>IF(Inputs!$E$14="Purchase",-VLOOKUP('Projections-BEST'!K$8,MortgageAmortBEST[],3,FALSE),0)</f>
        <v>1159.1824275925055</v>
      </c>
      <c r="L36" s="68">
        <f>IF(Inputs!$E$14="Purchase",-VLOOKUP('Projections-BEST'!L$8,MortgageAmortBEST[],3,FALSE),0)</f>
        <v>1157.9057878837707</v>
      </c>
      <c r="M36" s="68">
        <f>IF(Inputs!$E$14="Purchase",-VLOOKUP('Projections-BEST'!M$8,MortgageAmortBEST[],3,FALSE),0)</f>
        <v>1156.6206372436438</v>
      </c>
      <c r="N36" s="68">
        <f>IF(Inputs!$E$14="Purchase",-VLOOKUP('Projections-BEST'!N$8,MortgageAmortBEST[],3,FALSE),0)</f>
        <v>1155.3269189325833</v>
      </c>
      <c r="O36" s="68">
        <f>IF(Inputs!$E$14="Purchase",-VLOOKUP('Projections-BEST'!O$8,MortgageAmortBEST[],3,FALSE),0)</f>
        <v>1154.0245758327821</v>
      </c>
      <c r="P36" s="68">
        <f>IF(Inputs!$E$14="Purchase",-VLOOKUP('Projections-BEST'!P$8,MortgageAmortBEST[],3,FALSE),0)</f>
        <v>1152.7135504456489</v>
      </c>
      <c r="Q36" s="68">
        <f>IF(Inputs!$E$14="Purchase",-VLOOKUP('Projections-BEST'!Q$8,MortgageAmortBEST[],3,FALSE),0)</f>
        <v>1151.3937848892683</v>
      </c>
      <c r="R36" s="68">
        <f>IF(Inputs!$E$14="Purchase",-VLOOKUP('Projections-BEST'!R$8,MortgageAmortBEST[],3,FALSE),0)</f>
        <v>1150.065220895845</v>
      </c>
      <c r="S36" s="68">
        <f>IF(Inputs!$E$14="Purchase",-VLOOKUP('Projections-BEST'!S$8,MortgageAmortBEST[],3,FALSE),0)</f>
        <v>1148.7277998091322</v>
      </c>
      <c r="T36" s="68">
        <f>IF(Inputs!$E$14="Purchase",-VLOOKUP('Projections-BEST'!T$8,MortgageAmortBEST[],3,FALSE),0)</f>
        <v>1147.3814625818416</v>
      </c>
      <c r="U36" s="68">
        <f>IF(Inputs!$E$14="Purchase",-VLOOKUP('Projections-BEST'!U$8,MortgageAmortBEST[],3,FALSE),0)</f>
        <v>1146.0261497730355</v>
      </c>
      <c r="V36" s="68">
        <f>IF(Inputs!$E$14="Purchase",-VLOOKUP('Projections-BEST'!V$8,MortgageAmortBEST[],3,FALSE),0)</f>
        <v>1144.6618015455037</v>
      </c>
      <c r="W36" s="68">
        <f>IF(Inputs!$E$14="Purchase",-VLOOKUP('Projections-BEST'!W$8,MortgageAmortBEST[],3,FALSE),0)</f>
        <v>1143.2883576631223</v>
      </c>
      <c r="X36" s="68">
        <f>IF(Inputs!$E$14="Purchase",-VLOOKUP('Projections-BEST'!X$8,MortgageAmortBEST[],3,FALSE),0)</f>
        <v>1141.9057574881913</v>
      </c>
      <c r="Y36" s="68">
        <f>IF(Inputs!$E$14="Purchase",-VLOOKUP('Projections-BEST'!Y$8,MortgageAmortBEST[],3,FALSE),0)</f>
        <v>1140.5139399787611</v>
      </c>
      <c r="Z36" s="68">
        <f>IF(Inputs!$E$14="Purchase",-VLOOKUP('Projections-BEST'!Z$8,MortgageAmortBEST[],3,FALSE),0)</f>
        <v>1139.1128436859342</v>
      </c>
      <c r="AA36" s="68">
        <f>IF(Inputs!$E$14="Purchase",-VLOOKUP('Projections-BEST'!AA$8,MortgageAmortBEST[],3,FALSE),0)</f>
        <v>1137.7024067511554</v>
      </c>
      <c r="AB36" s="68">
        <f>IF(Inputs!$E$14="Purchase",-VLOOKUP('Projections-BEST'!AB$8,MortgageAmortBEST[],3,FALSE),0)</f>
        <v>1136.282566903478</v>
      </c>
      <c r="AC36" s="68">
        <f>IF(Inputs!$E$14="Purchase",-VLOOKUP('Projections-BEST'!AC$8,MortgageAmortBEST[],3,FALSE),0)</f>
        <v>1134.8532614568164</v>
      </c>
      <c r="AD36" s="68">
        <f>IF(Inputs!$E$14="Purchase",-VLOOKUP('Projections-BEST'!AD$8,MortgageAmortBEST[],3,FALSE),0)</f>
        <v>1133.4144273071765</v>
      </c>
      <c r="AE36" s="68">
        <f>IF(Inputs!$E$14="Purchase",-VLOOKUP('Projections-BEST'!AE$8,MortgageAmortBEST[],3,FALSE),0)</f>
        <v>1131.966000929873</v>
      </c>
      <c r="AF36" s="68">
        <f>IF(Inputs!$E$14="Purchase",-VLOOKUP('Projections-BEST'!AF$8,MortgageAmortBEST[],3,FALSE),0)</f>
        <v>1130.5079183767202</v>
      </c>
      <c r="AG36" s="68">
        <f>IF(Inputs!$E$14="Purchase",-VLOOKUP('Projections-BEST'!AG$8,MortgageAmortBEST[],3,FALSE),0)</f>
        <v>1129.0401152732134</v>
      </c>
      <c r="AH36" s="68">
        <f>IF(Inputs!$E$14="Purchase",-VLOOKUP('Projections-BEST'!AH$8,MortgageAmortBEST[],3,FALSE),0)</f>
        <v>1127.562526815683</v>
      </c>
      <c r="AI36" s="68">
        <f>IF(Inputs!$E$14="Purchase",-VLOOKUP('Projections-BEST'!AI$8,MortgageAmortBEST[],3,FALSE),0)</f>
        <v>1126.0750877684359</v>
      </c>
      <c r="AJ36" s="68">
        <f>IF(Inputs!$E$14="Purchase",-VLOOKUP('Projections-BEST'!AJ$8,MortgageAmortBEST[],3,FALSE),0)</f>
        <v>1124.5777324608737</v>
      </c>
      <c r="AK36" s="68">
        <f>IF(Inputs!$E$14="Purchase",-VLOOKUP('Projections-BEST'!AK$8,MortgageAmortBEST[],3,FALSE),0)</f>
        <v>1123.0703947845946</v>
      </c>
      <c r="AL36" s="68">
        <f>IF(Inputs!$E$14="Purchase",-VLOOKUP('Projections-BEST'!AL$8,MortgageAmortBEST[],3,FALSE),0)</f>
        <v>1121.5530081904737</v>
      </c>
      <c r="AM36" s="68">
        <f>IF(Inputs!$E$14="Purchase",-VLOOKUP('Projections-BEST'!AM$8,MortgageAmortBEST[],3,FALSE),0)</f>
        <v>1120.025505685725</v>
      </c>
      <c r="AN36" s="68">
        <f>IF(Inputs!$E$14="Purchase",-VLOOKUP('Projections-BEST'!AN$8,MortgageAmortBEST[],3,FALSE),0)</f>
        <v>1118.4878198309448</v>
      </c>
    </row>
    <row r="37" spans="1:40" s="16" customFormat="1">
      <c r="A37" s="2"/>
      <c r="B37" s="71" t="s">
        <v>219</v>
      </c>
      <c r="C37" s="32"/>
      <c r="D37" s="15"/>
    </row>
    <row r="38" spans="1:40" s="16" customFormat="1">
      <c r="A38" s="2"/>
      <c r="B38" s="50" t="s">
        <v>290</v>
      </c>
      <c r="C38" s="32"/>
      <c r="D38" s="15"/>
    </row>
    <row r="39" spans="1:40" s="16" customFormat="1">
      <c r="A39" s="2"/>
      <c r="B39" s="50"/>
      <c r="C39" s="32"/>
      <c r="D39" s="15"/>
    </row>
    <row r="40" spans="1:40" s="49" customFormat="1">
      <c r="A40" s="2"/>
      <c r="B40" s="2" t="s">
        <v>209</v>
      </c>
      <c r="C40" s="56"/>
      <c r="D40" s="52"/>
      <c r="E40" s="68">
        <f>SUM(E41:E48)</f>
        <v>13843.2</v>
      </c>
      <c r="F40" s="68">
        <f t="shared" ref="F40:AN40" si="8">SUM(F41:F48)</f>
        <v>33043.199999999997</v>
      </c>
      <c r="G40" s="68">
        <f t="shared" si="8"/>
        <v>33043.199999999997</v>
      </c>
      <c r="H40" s="68">
        <f t="shared" si="8"/>
        <v>13843.2</v>
      </c>
      <c r="I40" s="68">
        <f t="shared" si="8"/>
        <v>13843.2</v>
      </c>
      <c r="J40" s="68">
        <f t="shared" si="8"/>
        <v>33043.199999999997</v>
      </c>
      <c r="K40" s="68">
        <f t="shared" si="8"/>
        <v>13843.2</v>
      </c>
      <c r="L40" s="68">
        <f t="shared" si="8"/>
        <v>33043.199999999997</v>
      </c>
      <c r="M40" s="68">
        <f t="shared" si="8"/>
        <v>13843.2</v>
      </c>
      <c r="N40" s="68">
        <f t="shared" si="8"/>
        <v>13843.2</v>
      </c>
      <c r="O40" s="68">
        <f t="shared" si="8"/>
        <v>16466</v>
      </c>
      <c r="P40" s="68">
        <f t="shared" si="8"/>
        <v>16466</v>
      </c>
      <c r="Q40" s="68">
        <f t="shared" si="8"/>
        <v>16466</v>
      </c>
      <c r="R40" s="68">
        <f t="shared" si="8"/>
        <v>42113.84</v>
      </c>
      <c r="S40" s="68">
        <f t="shared" si="8"/>
        <v>42113.84</v>
      </c>
      <c r="T40" s="68">
        <f t="shared" si="8"/>
        <v>16466</v>
      </c>
      <c r="U40" s="68">
        <f t="shared" si="8"/>
        <v>16466</v>
      </c>
      <c r="V40" s="68">
        <f t="shared" si="8"/>
        <v>42113.84</v>
      </c>
      <c r="W40" s="68">
        <f t="shared" si="8"/>
        <v>16466</v>
      </c>
      <c r="X40" s="68">
        <f t="shared" si="8"/>
        <v>42113.84</v>
      </c>
      <c r="Y40" s="68">
        <f t="shared" si="8"/>
        <v>16466</v>
      </c>
      <c r="Z40" s="68">
        <f t="shared" si="8"/>
        <v>16466</v>
      </c>
      <c r="AA40" s="68">
        <f t="shared" si="8"/>
        <v>21508.543999999998</v>
      </c>
      <c r="AB40" s="68">
        <f t="shared" si="8"/>
        <v>21508.543999999998</v>
      </c>
      <c r="AC40" s="68">
        <f t="shared" si="8"/>
        <v>21508.543999999998</v>
      </c>
      <c r="AD40" s="68">
        <f t="shared" si="8"/>
        <v>57029.311999999984</v>
      </c>
      <c r="AE40" s="68">
        <f t="shared" si="8"/>
        <v>57029.311999999984</v>
      </c>
      <c r="AF40" s="68">
        <f t="shared" si="8"/>
        <v>21508.543999999998</v>
      </c>
      <c r="AG40" s="68">
        <f t="shared" si="8"/>
        <v>21508.543999999998</v>
      </c>
      <c r="AH40" s="68">
        <f t="shared" si="8"/>
        <v>57029.311999999984</v>
      </c>
      <c r="AI40" s="68">
        <f t="shared" si="8"/>
        <v>21508.543999999998</v>
      </c>
      <c r="AJ40" s="68">
        <f t="shared" si="8"/>
        <v>57029.311999999984</v>
      </c>
      <c r="AK40" s="68">
        <f t="shared" si="8"/>
        <v>21508.543999999998</v>
      </c>
      <c r="AL40" s="68">
        <f t="shared" si="8"/>
        <v>21508.543999999998</v>
      </c>
      <c r="AM40" s="68">
        <f t="shared" si="8"/>
        <v>21508.543999999998</v>
      </c>
      <c r="AN40" s="68">
        <f t="shared" si="8"/>
        <v>21508.543999999998</v>
      </c>
    </row>
    <row r="41" spans="1:40" s="16" customFormat="1">
      <c r="A41" s="1"/>
      <c r="B41" s="1"/>
      <c r="C41" s="32" t="s">
        <v>0</v>
      </c>
      <c r="D41" s="15"/>
      <c r="E41" s="67">
        <f>IF(E$9=1,Inputs!$E$61*'Projections-BEST'!E$17,IF(E$9=2,Inputs!$E$62*'Projections-BEST'!E$17,Inputs!$E$63*'Projections-BEST'!E$17))</f>
        <v>2250</v>
      </c>
      <c r="F41" s="67">
        <f>IF(F$9=1,Inputs!$E$61*'Projections-BEST'!F$17,IF(F$9=2,Inputs!$E$62*'Projections-BEST'!F$17,Inputs!$E$63*'Projections-BEST'!F$17))</f>
        <v>6750</v>
      </c>
      <c r="G41" s="67">
        <f>IF(G$9=1,Inputs!$E$61*'Projections-BEST'!G$17,IF(G$9=2,Inputs!$E$62*'Projections-BEST'!G$17,Inputs!$E$63*'Projections-BEST'!G$17))</f>
        <v>6750</v>
      </c>
      <c r="H41" s="67">
        <f>IF(H$9=1,Inputs!$E$61*'Projections-BEST'!H$17,IF(H$9=2,Inputs!$E$62*'Projections-BEST'!H$17,Inputs!$E$63*'Projections-BEST'!H$17))</f>
        <v>2250</v>
      </c>
      <c r="I41" s="67">
        <f>IF(I$9=1,Inputs!$E$61*'Projections-BEST'!I$17,IF(I$9=2,Inputs!$E$62*'Projections-BEST'!I$17,Inputs!$E$63*'Projections-BEST'!I$17))</f>
        <v>2250</v>
      </c>
      <c r="J41" s="67">
        <f>IF(J$9=1,Inputs!$E$61*'Projections-BEST'!J$17,IF(J$9=2,Inputs!$E$62*'Projections-BEST'!J$17,Inputs!$E$63*'Projections-BEST'!J$17))</f>
        <v>6750</v>
      </c>
      <c r="K41" s="67">
        <f>IF(K$9=1,Inputs!$E$61*'Projections-BEST'!K$17,IF(K$9=2,Inputs!$E$62*'Projections-BEST'!K$17,Inputs!$E$63*'Projections-BEST'!K$17))</f>
        <v>2250</v>
      </c>
      <c r="L41" s="67">
        <f>IF(L$9=1,Inputs!$E$61*'Projections-BEST'!L$17,IF(L$9=2,Inputs!$E$62*'Projections-BEST'!L$17,Inputs!$E$63*'Projections-BEST'!L$17))</f>
        <v>6750</v>
      </c>
      <c r="M41" s="67">
        <f>IF(M$9=1,Inputs!$E$61*'Projections-BEST'!M$17,IF(M$9=2,Inputs!$E$62*'Projections-BEST'!M$17,Inputs!$E$63*'Projections-BEST'!M$17))</f>
        <v>2250</v>
      </c>
      <c r="N41" s="67">
        <f>IF(N$9=1,Inputs!$E$61*'Projections-BEST'!N$17,IF(N$9=2,Inputs!$E$62*'Projections-BEST'!N$17,Inputs!$E$63*'Projections-BEST'!N$17))</f>
        <v>2250</v>
      </c>
      <c r="O41" s="67">
        <f>IF(O$9=1,Inputs!$E$61*'Projections-BEST'!O$17,IF(O$9=2,Inputs!$E$62*'Projections-BEST'!O$17,Inputs!$E$63*'Projections-BEST'!O$17))</f>
        <v>4200</v>
      </c>
      <c r="P41" s="67">
        <f>IF(P$9=1,Inputs!$E$61*'Projections-BEST'!P$17,IF(P$9=2,Inputs!$E$62*'Projections-BEST'!P$17,Inputs!$E$63*'Projections-BEST'!P$17))</f>
        <v>4200</v>
      </c>
      <c r="Q41" s="67">
        <f>IF(Q$9=1,Inputs!$E$61*'Projections-BEST'!Q$17,IF(Q$9=2,Inputs!$E$62*'Projections-BEST'!Q$17,Inputs!$E$63*'Projections-BEST'!Q$17))</f>
        <v>4200</v>
      </c>
      <c r="R41" s="67">
        <f>IF(R$9=1,Inputs!$E$61*'Projections-BEST'!R$17,IF(R$9=2,Inputs!$E$62*'Projections-BEST'!R$17,Inputs!$E$63*'Projections-BEST'!R$17))</f>
        <v>12600</v>
      </c>
      <c r="S41" s="67">
        <f>IF(S$9=1,Inputs!$E$61*'Projections-BEST'!S$17,IF(S$9=2,Inputs!$E$62*'Projections-BEST'!S$17,Inputs!$E$63*'Projections-BEST'!S$17))</f>
        <v>12600</v>
      </c>
      <c r="T41" s="67">
        <f>IF(T$9=1,Inputs!$E$61*'Projections-BEST'!T$17,IF(T$9=2,Inputs!$E$62*'Projections-BEST'!T$17,Inputs!$E$63*'Projections-BEST'!T$17))</f>
        <v>4200</v>
      </c>
      <c r="U41" s="67">
        <f>IF(U$9=1,Inputs!$E$61*'Projections-BEST'!U$17,IF(U$9=2,Inputs!$E$62*'Projections-BEST'!U$17,Inputs!$E$63*'Projections-BEST'!U$17))</f>
        <v>4200</v>
      </c>
      <c r="V41" s="67">
        <f>IF(V$9=1,Inputs!$E$61*'Projections-BEST'!V$17,IF(V$9=2,Inputs!$E$62*'Projections-BEST'!V$17,Inputs!$E$63*'Projections-BEST'!V$17))</f>
        <v>12600</v>
      </c>
      <c r="W41" s="67">
        <f>IF(W$9=1,Inputs!$E$61*'Projections-BEST'!W$17,IF(W$9=2,Inputs!$E$62*'Projections-BEST'!W$17,Inputs!$E$63*'Projections-BEST'!W$17))</f>
        <v>4200</v>
      </c>
      <c r="X41" s="67">
        <f>IF(X$9=1,Inputs!$E$61*'Projections-BEST'!X$17,IF(X$9=2,Inputs!$E$62*'Projections-BEST'!X$17,Inputs!$E$63*'Projections-BEST'!X$17))</f>
        <v>12600</v>
      </c>
      <c r="Y41" s="67">
        <f>IF(Y$9=1,Inputs!$E$61*'Projections-BEST'!Y$17,IF(Y$9=2,Inputs!$E$62*'Projections-BEST'!Y$17,Inputs!$E$63*'Projections-BEST'!Y$17))</f>
        <v>4200</v>
      </c>
      <c r="Z41" s="67">
        <f>IF(Z$9=1,Inputs!$E$61*'Projections-BEST'!Z$17,IF(Z$9=2,Inputs!$E$62*'Projections-BEST'!Z$17,Inputs!$E$63*'Projections-BEST'!Z$17))</f>
        <v>4200</v>
      </c>
      <c r="AA41" s="67">
        <f>IF(AA$9=1,Inputs!$E$61*'Projections-BEST'!AA$17,IF(AA$9=2,Inputs!$E$62*'Projections-BEST'!AA$17,Inputs!$E$63*'Projections-BEST'!AA$17))</f>
        <v>6300</v>
      </c>
      <c r="AB41" s="67">
        <f>IF(AB$9=1,Inputs!$E$61*'Projections-BEST'!AB$17,IF(AB$9=2,Inputs!$E$62*'Projections-BEST'!AB$17,Inputs!$E$63*'Projections-BEST'!AB$17))</f>
        <v>6300</v>
      </c>
      <c r="AC41" s="67">
        <f>IF(AC$9=1,Inputs!$E$61*'Projections-BEST'!AC$17,IF(AC$9=2,Inputs!$E$62*'Projections-BEST'!AC$17,Inputs!$E$63*'Projections-BEST'!AC$17))</f>
        <v>6300</v>
      </c>
      <c r="AD41" s="67">
        <f>IF(AD$9=1,Inputs!$E$61*'Projections-BEST'!AD$17,IF(AD$9=2,Inputs!$E$62*'Projections-BEST'!AD$17,Inputs!$E$63*'Projections-BEST'!AD$17))</f>
        <v>18900</v>
      </c>
      <c r="AE41" s="67">
        <f>IF(AE$9=1,Inputs!$E$61*'Projections-BEST'!AE$17,IF(AE$9=2,Inputs!$E$62*'Projections-BEST'!AE$17,Inputs!$E$63*'Projections-BEST'!AE$17))</f>
        <v>18900</v>
      </c>
      <c r="AF41" s="67">
        <f>IF(AF$9=1,Inputs!$E$61*'Projections-BEST'!AF$17,IF(AF$9=2,Inputs!$E$62*'Projections-BEST'!AF$17,Inputs!$E$63*'Projections-BEST'!AF$17))</f>
        <v>6300</v>
      </c>
      <c r="AG41" s="67">
        <f>IF(AG$9=1,Inputs!$E$61*'Projections-BEST'!AG$17,IF(AG$9=2,Inputs!$E$62*'Projections-BEST'!AG$17,Inputs!$E$63*'Projections-BEST'!AG$17))</f>
        <v>6300</v>
      </c>
      <c r="AH41" s="67">
        <f>IF(AH$9=1,Inputs!$E$61*'Projections-BEST'!AH$17,IF(AH$9=2,Inputs!$E$62*'Projections-BEST'!AH$17,Inputs!$E$63*'Projections-BEST'!AH$17))</f>
        <v>18900</v>
      </c>
      <c r="AI41" s="67">
        <f>IF(AI$9=1,Inputs!$E$61*'Projections-BEST'!AI$17,IF(AI$9=2,Inputs!$E$62*'Projections-BEST'!AI$17,Inputs!$E$63*'Projections-BEST'!AI$17))</f>
        <v>6300</v>
      </c>
      <c r="AJ41" s="67">
        <f>IF(AJ$9=1,Inputs!$E$61*'Projections-BEST'!AJ$17,IF(AJ$9=2,Inputs!$E$62*'Projections-BEST'!AJ$17,Inputs!$E$63*'Projections-BEST'!AJ$17))</f>
        <v>18900</v>
      </c>
      <c r="AK41" s="67">
        <f>IF(AK$9=1,Inputs!$E$61*'Projections-BEST'!AK$17,IF(AK$9=2,Inputs!$E$62*'Projections-BEST'!AK$17,Inputs!$E$63*'Projections-BEST'!AK$17))</f>
        <v>6300</v>
      </c>
      <c r="AL41" s="67">
        <f>IF(AL$9=1,Inputs!$E$61*'Projections-BEST'!AL$17,IF(AL$9=2,Inputs!$E$62*'Projections-BEST'!AL$17,Inputs!$E$63*'Projections-BEST'!AL$17))</f>
        <v>6300</v>
      </c>
      <c r="AM41" s="67">
        <f>IF(AM$9=1,Inputs!$E$61*'Projections-BEST'!AM$17,IF(AM$9=2,Inputs!$E$62*'Projections-BEST'!AM$17,Inputs!$E$63*'Projections-BEST'!AM$17))</f>
        <v>6300</v>
      </c>
      <c r="AN41" s="67">
        <f>IF(AN$9=1,Inputs!$E$61*'Projections-BEST'!AN$17,IF(AN$9=2,Inputs!$E$62*'Projections-BEST'!AN$17,Inputs!$E$63*'Projections-BEST'!AN$17))</f>
        <v>6300</v>
      </c>
    </row>
    <row r="42" spans="1:40" s="16" customFormat="1">
      <c r="A42" s="1"/>
      <c r="B42" s="1"/>
      <c r="C42" s="32" t="s">
        <v>212</v>
      </c>
      <c r="D42" s="15"/>
      <c r="E42" s="67">
        <f>IF(E$9=1,Inputs!$E$74*'Projections-BEST'!E$17,IF(E$9=2,Inputs!$E$79*'Projections-BEST'!E$17,Inputs!$E$80*'Projections-BEST'!E$17))</f>
        <v>5250</v>
      </c>
      <c r="F42" s="67">
        <f>IF(F$9=1,Inputs!$E$74*'Projections-BEST'!F$17,IF(F$9=2,Inputs!$E$79*'Projections-BEST'!F$17,Inputs!$E$80*'Projections-BEST'!F$17))</f>
        <v>15749.999999999998</v>
      </c>
      <c r="G42" s="67">
        <f>IF(G$9=1,Inputs!$E$74*'Projections-BEST'!G$17,IF(G$9=2,Inputs!$E$79*'Projections-BEST'!G$17,Inputs!$E$80*'Projections-BEST'!G$17))</f>
        <v>15749.999999999998</v>
      </c>
      <c r="H42" s="67">
        <f>IF(H$9=1,Inputs!$E$74*'Projections-BEST'!H$17,IF(H$9=2,Inputs!$E$79*'Projections-BEST'!H$17,Inputs!$E$80*'Projections-BEST'!H$17))</f>
        <v>5250</v>
      </c>
      <c r="I42" s="67">
        <f>IF(I$9=1,Inputs!$E$74*'Projections-BEST'!I$17,IF(I$9=2,Inputs!$E$79*'Projections-BEST'!I$17,Inputs!$E$80*'Projections-BEST'!I$17))</f>
        <v>5250</v>
      </c>
      <c r="J42" s="67">
        <f>IF(J$9=1,Inputs!$E$74*'Projections-BEST'!J$17,IF(J$9=2,Inputs!$E$79*'Projections-BEST'!J$17,Inputs!$E$80*'Projections-BEST'!J$17))</f>
        <v>15749.999999999998</v>
      </c>
      <c r="K42" s="67">
        <f>IF(K$9=1,Inputs!$E$74*'Projections-BEST'!K$17,IF(K$9=2,Inputs!$E$79*'Projections-BEST'!K$17,Inputs!$E$80*'Projections-BEST'!K$17))</f>
        <v>5250</v>
      </c>
      <c r="L42" s="67">
        <f>IF(L$9=1,Inputs!$E$74*'Projections-BEST'!L$17,IF(L$9=2,Inputs!$E$79*'Projections-BEST'!L$17,Inputs!$E$80*'Projections-BEST'!L$17))</f>
        <v>15749.999999999998</v>
      </c>
      <c r="M42" s="67">
        <f>IF(M$9=1,Inputs!$E$74*'Projections-BEST'!M$17,IF(M$9=2,Inputs!$E$79*'Projections-BEST'!M$17,Inputs!$E$80*'Projections-BEST'!M$17))</f>
        <v>5250</v>
      </c>
      <c r="N42" s="67">
        <f>IF(N$9=1,Inputs!$E$74*'Projections-BEST'!N$17,IF(N$9=2,Inputs!$E$79*'Projections-BEST'!N$17,Inputs!$E$80*'Projections-BEST'!N$17))</f>
        <v>5250</v>
      </c>
      <c r="O42" s="67">
        <f>IF(O$9=1,Inputs!$E$74*'Projections-BEST'!O$17,IF(O$9=2,Inputs!$E$79*'Projections-BEST'!O$17,Inputs!$E$80*'Projections-BEST'!O$17))</f>
        <v>5961.5999999999995</v>
      </c>
      <c r="P42" s="67">
        <f>IF(P$9=1,Inputs!$E$74*'Projections-BEST'!P$17,IF(P$9=2,Inputs!$E$79*'Projections-BEST'!P$17,Inputs!$E$80*'Projections-BEST'!P$17))</f>
        <v>5961.5999999999995</v>
      </c>
      <c r="Q42" s="67">
        <f>IF(Q$9=1,Inputs!$E$74*'Projections-BEST'!Q$17,IF(Q$9=2,Inputs!$E$79*'Projections-BEST'!Q$17,Inputs!$E$80*'Projections-BEST'!Q$17))</f>
        <v>5961.5999999999995</v>
      </c>
      <c r="R42" s="67">
        <f>IF(R$9=1,Inputs!$E$74*'Projections-BEST'!R$17,IF(R$9=2,Inputs!$E$79*'Projections-BEST'!R$17,Inputs!$E$80*'Projections-BEST'!R$17))</f>
        <v>17884.799999999996</v>
      </c>
      <c r="S42" s="67">
        <f>IF(S$9=1,Inputs!$E$74*'Projections-BEST'!S$17,IF(S$9=2,Inputs!$E$79*'Projections-BEST'!S$17,Inputs!$E$80*'Projections-BEST'!S$17))</f>
        <v>17884.799999999996</v>
      </c>
      <c r="T42" s="67">
        <f>IF(T$9=1,Inputs!$E$74*'Projections-BEST'!T$17,IF(T$9=2,Inputs!$E$79*'Projections-BEST'!T$17,Inputs!$E$80*'Projections-BEST'!T$17))</f>
        <v>5961.5999999999995</v>
      </c>
      <c r="U42" s="67">
        <f>IF(U$9=1,Inputs!$E$74*'Projections-BEST'!U$17,IF(U$9=2,Inputs!$E$79*'Projections-BEST'!U$17,Inputs!$E$80*'Projections-BEST'!U$17))</f>
        <v>5961.5999999999995</v>
      </c>
      <c r="V42" s="67">
        <f>IF(V$9=1,Inputs!$E$74*'Projections-BEST'!V$17,IF(V$9=2,Inputs!$E$79*'Projections-BEST'!V$17,Inputs!$E$80*'Projections-BEST'!V$17))</f>
        <v>17884.799999999996</v>
      </c>
      <c r="W42" s="67">
        <f>IF(W$9=1,Inputs!$E$74*'Projections-BEST'!W$17,IF(W$9=2,Inputs!$E$79*'Projections-BEST'!W$17,Inputs!$E$80*'Projections-BEST'!W$17))</f>
        <v>5961.5999999999995</v>
      </c>
      <c r="X42" s="67">
        <f>IF(X$9=1,Inputs!$E$74*'Projections-BEST'!X$17,IF(X$9=2,Inputs!$E$79*'Projections-BEST'!X$17,Inputs!$E$80*'Projections-BEST'!X$17))</f>
        <v>17884.799999999996</v>
      </c>
      <c r="Y42" s="67">
        <f>IF(Y$9=1,Inputs!$E$74*'Projections-BEST'!Y$17,IF(Y$9=2,Inputs!$E$79*'Projections-BEST'!Y$17,Inputs!$E$80*'Projections-BEST'!Y$17))</f>
        <v>5961.5999999999995</v>
      </c>
      <c r="Z42" s="67">
        <f>IF(Z$9=1,Inputs!$E$74*'Projections-BEST'!Z$17,IF(Z$9=2,Inputs!$E$79*'Projections-BEST'!Z$17,Inputs!$E$80*'Projections-BEST'!Z$17))</f>
        <v>5961.5999999999995</v>
      </c>
      <c r="AA42" s="67">
        <f>IF(AA$9=1,Inputs!$E$74*'Projections-BEST'!AA$17,IF(AA$9=2,Inputs!$E$79*'Projections-BEST'!AA$17,Inputs!$E$80*'Projections-BEST'!AA$17))</f>
        <v>7712.8199999999988</v>
      </c>
      <c r="AB42" s="67">
        <f>IF(AB$9=1,Inputs!$E$74*'Projections-BEST'!AB$17,IF(AB$9=2,Inputs!$E$79*'Projections-BEST'!AB$17,Inputs!$E$80*'Projections-BEST'!AB$17))</f>
        <v>7712.8199999999988</v>
      </c>
      <c r="AC42" s="67">
        <f>IF(AC$9=1,Inputs!$E$74*'Projections-BEST'!AC$17,IF(AC$9=2,Inputs!$E$79*'Projections-BEST'!AC$17,Inputs!$E$80*'Projections-BEST'!AC$17))</f>
        <v>7712.8199999999988</v>
      </c>
      <c r="AD42" s="67">
        <f>IF(AD$9=1,Inputs!$E$74*'Projections-BEST'!AD$17,IF(AD$9=2,Inputs!$E$79*'Projections-BEST'!AD$17,Inputs!$E$80*'Projections-BEST'!AD$17))</f>
        <v>23138.459999999995</v>
      </c>
      <c r="AE42" s="67">
        <f>IF(AE$9=1,Inputs!$E$74*'Projections-BEST'!AE$17,IF(AE$9=2,Inputs!$E$79*'Projections-BEST'!AE$17,Inputs!$E$80*'Projections-BEST'!AE$17))</f>
        <v>23138.459999999995</v>
      </c>
      <c r="AF42" s="67">
        <f>IF(AF$9=1,Inputs!$E$74*'Projections-BEST'!AF$17,IF(AF$9=2,Inputs!$E$79*'Projections-BEST'!AF$17,Inputs!$E$80*'Projections-BEST'!AF$17))</f>
        <v>7712.8199999999988</v>
      </c>
      <c r="AG42" s="67">
        <f>IF(AG$9=1,Inputs!$E$74*'Projections-BEST'!AG$17,IF(AG$9=2,Inputs!$E$79*'Projections-BEST'!AG$17,Inputs!$E$80*'Projections-BEST'!AG$17))</f>
        <v>7712.8199999999988</v>
      </c>
      <c r="AH42" s="67">
        <f>IF(AH$9=1,Inputs!$E$74*'Projections-BEST'!AH$17,IF(AH$9=2,Inputs!$E$79*'Projections-BEST'!AH$17,Inputs!$E$80*'Projections-BEST'!AH$17))</f>
        <v>23138.459999999995</v>
      </c>
      <c r="AI42" s="67">
        <f>IF(AI$9=1,Inputs!$E$74*'Projections-BEST'!AI$17,IF(AI$9=2,Inputs!$E$79*'Projections-BEST'!AI$17,Inputs!$E$80*'Projections-BEST'!AI$17))</f>
        <v>7712.8199999999988</v>
      </c>
      <c r="AJ42" s="67">
        <f>IF(AJ$9=1,Inputs!$E$74*'Projections-BEST'!AJ$17,IF(AJ$9=2,Inputs!$E$79*'Projections-BEST'!AJ$17,Inputs!$E$80*'Projections-BEST'!AJ$17))</f>
        <v>23138.459999999995</v>
      </c>
      <c r="AK42" s="67">
        <f>IF(AK$9=1,Inputs!$E$74*'Projections-BEST'!AK$17,IF(AK$9=2,Inputs!$E$79*'Projections-BEST'!AK$17,Inputs!$E$80*'Projections-BEST'!AK$17))</f>
        <v>7712.8199999999988</v>
      </c>
      <c r="AL42" s="67">
        <f>IF(AL$9=1,Inputs!$E$74*'Projections-BEST'!AL$17,IF(AL$9=2,Inputs!$E$79*'Projections-BEST'!AL$17,Inputs!$E$80*'Projections-BEST'!AL$17))</f>
        <v>7712.8199999999988</v>
      </c>
      <c r="AM42" s="67">
        <f>IF(AM$9=1,Inputs!$E$74*'Projections-BEST'!AM$17,IF(AM$9=2,Inputs!$E$79*'Projections-BEST'!AM$17,Inputs!$E$80*'Projections-BEST'!AM$17))</f>
        <v>7712.8199999999988</v>
      </c>
      <c r="AN42" s="67">
        <f>IF(AN$9=1,Inputs!$E$74*'Projections-BEST'!AN$17,IF(AN$9=2,Inputs!$E$79*'Projections-BEST'!AN$17,Inputs!$E$80*'Projections-BEST'!AN$17))</f>
        <v>7712.8199999999988</v>
      </c>
    </row>
    <row r="43" spans="1:40" s="16" customFormat="1">
      <c r="A43" s="1"/>
      <c r="B43" s="1"/>
      <c r="C43" s="32" t="s">
        <v>317</v>
      </c>
      <c r="D43" s="15"/>
      <c r="E43" s="67">
        <f>Inputs!$E$78*'Projections-BEST'!E42</f>
        <v>1050</v>
      </c>
      <c r="F43" s="67">
        <f>Inputs!$E$78*'Projections-BEST'!F42</f>
        <v>3150</v>
      </c>
      <c r="G43" s="67">
        <f>Inputs!$E$78*'Projections-BEST'!G42</f>
        <v>3150</v>
      </c>
      <c r="H43" s="67">
        <f>Inputs!$E$78*'Projections-BEST'!H42</f>
        <v>1050</v>
      </c>
      <c r="I43" s="67">
        <f>Inputs!$E$78*'Projections-BEST'!I42</f>
        <v>1050</v>
      </c>
      <c r="J43" s="67">
        <f>Inputs!$E$78*'Projections-BEST'!J42</f>
        <v>3150</v>
      </c>
      <c r="K43" s="67">
        <f>Inputs!$E$78*'Projections-BEST'!K42</f>
        <v>1050</v>
      </c>
      <c r="L43" s="67">
        <f>Inputs!$E$78*'Projections-BEST'!L42</f>
        <v>3150</v>
      </c>
      <c r="M43" s="67">
        <f>Inputs!$E$78*'Projections-BEST'!M42</f>
        <v>1050</v>
      </c>
      <c r="N43" s="67">
        <f>Inputs!$E$78*'Projections-BEST'!N42</f>
        <v>1050</v>
      </c>
      <c r="O43" s="67">
        <f>Inputs!$E$78*'Projections-BEST'!O42</f>
        <v>1192.32</v>
      </c>
      <c r="P43" s="67">
        <f>Inputs!$E$78*'Projections-BEST'!P42</f>
        <v>1192.32</v>
      </c>
      <c r="Q43" s="67">
        <f>Inputs!$E$78*'Projections-BEST'!Q42</f>
        <v>1192.32</v>
      </c>
      <c r="R43" s="67">
        <f>Inputs!$E$78*'Projections-BEST'!R42</f>
        <v>3576.9599999999991</v>
      </c>
      <c r="S43" s="67">
        <f>Inputs!$E$78*'Projections-BEST'!S42</f>
        <v>3576.9599999999991</v>
      </c>
      <c r="T43" s="67">
        <f>Inputs!$E$78*'Projections-BEST'!T42</f>
        <v>1192.32</v>
      </c>
      <c r="U43" s="67">
        <f>Inputs!$E$78*'Projections-BEST'!U42</f>
        <v>1192.32</v>
      </c>
      <c r="V43" s="67">
        <f>Inputs!$E$78*'Projections-BEST'!V42</f>
        <v>3576.9599999999991</v>
      </c>
      <c r="W43" s="67">
        <f>Inputs!$E$78*'Projections-BEST'!W42</f>
        <v>1192.32</v>
      </c>
      <c r="X43" s="67">
        <f>Inputs!$E$78*'Projections-BEST'!X42</f>
        <v>3576.9599999999991</v>
      </c>
      <c r="Y43" s="67">
        <f>Inputs!$E$78*'Projections-BEST'!Y42</f>
        <v>1192.32</v>
      </c>
      <c r="Z43" s="67">
        <f>Inputs!$E$78*'Projections-BEST'!Z42</f>
        <v>1192.32</v>
      </c>
      <c r="AA43" s="67">
        <f>Inputs!$E$78*'Projections-BEST'!AA42</f>
        <v>1542.5639999999999</v>
      </c>
      <c r="AB43" s="67">
        <f>Inputs!$E$78*'Projections-BEST'!AB42</f>
        <v>1542.5639999999999</v>
      </c>
      <c r="AC43" s="67">
        <f>Inputs!$E$78*'Projections-BEST'!AC42</f>
        <v>1542.5639999999999</v>
      </c>
      <c r="AD43" s="67">
        <f>Inputs!$E$78*'Projections-BEST'!AD42</f>
        <v>4627.6919999999991</v>
      </c>
      <c r="AE43" s="67">
        <f>Inputs!$E$78*'Projections-BEST'!AE42</f>
        <v>4627.6919999999991</v>
      </c>
      <c r="AF43" s="67">
        <f>Inputs!$E$78*'Projections-BEST'!AF42</f>
        <v>1542.5639999999999</v>
      </c>
      <c r="AG43" s="67">
        <f>Inputs!$E$78*'Projections-BEST'!AG42</f>
        <v>1542.5639999999999</v>
      </c>
      <c r="AH43" s="67">
        <f>Inputs!$E$78*'Projections-BEST'!AH42</f>
        <v>4627.6919999999991</v>
      </c>
      <c r="AI43" s="67">
        <f>Inputs!$E$78*'Projections-BEST'!AI42</f>
        <v>1542.5639999999999</v>
      </c>
      <c r="AJ43" s="67">
        <f>Inputs!$E$78*'Projections-BEST'!AJ42</f>
        <v>4627.6919999999991</v>
      </c>
      <c r="AK43" s="67">
        <f>Inputs!$E$78*'Projections-BEST'!AK42</f>
        <v>1542.5639999999999</v>
      </c>
      <c r="AL43" s="67">
        <f>Inputs!$E$78*'Projections-BEST'!AL42</f>
        <v>1542.5639999999999</v>
      </c>
      <c r="AM43" s="67">
        <f>Inputs!$E$78*'Projections-BEST'!AM42</f>
        <v>1542.5639999999999</v>
      </c>
      <c r="AN43" s="67">
        <f>Inputs!$E$78*'Projections-BEST'!AN42</f>
        <v>1542.5639999999999</v>
      </c>
    </row>
    <row r="44" spans="1:40" s="16" customFormat="1">
      <c r="A44" s="1"/>
      <c r="B44" s="1"/>
      <c r="C44" s="32" t="s">
        <v>213</v>
      </c>
      <c r="D44" s="15"/>
      <c r="E44" s="67">
        <f>IF(E$9=1,Inputs!$E$84*Inputs!$E$9*Inputs!$E$10*Inputs!$E$11*Inputs!$E$82/(13-MONTH($E$6)),IF(E$9=2,Inputs!$E$85*Inputs!$E$9*Inputs!$E$10*Inputs!$E$11*Inputs!$E$82*(1+Inputs!$E$88)/12,Inputs!$E$86*Inputs!$E$9*Inputs!$E$10*Inputs!$E$11*Inputs!$E$82*(1+2*Inputs!$E$88)/12))</f>
        <v>3264</v>
      </c>
      <c r="F44" s="67">
        <f>IF(F$9=1,Inputs!$E$84*Inputs!$E$9*Inputs!$E$10*Inputs!$E$11*Inputs!$E$82/(13-MONTH($E$6)),IF(F$9=2,Inputs!$E$85*Inputs!$E$9*Inputs!$E$10*Inputs!$E$11*Inputs!$E$82*(1+Inputs!$E$88)/12,Inputs!$E$86*Inputs!$E$9*Inputs!$E$10*Inputs!$E$11*Inputs!$E$82*(1+2*Inputs!$E$88)/12))</f>
        <v>3264</v>
      </c>
      <c r="G44" s="67">
        <f>IF(G$9=1,Inputs!$E$84*Inputs!$E$9*Inputs!$E$10*Inputs!$E$11*Inputs!$E$82/(13-MONTH($E$6)),IF(G$9=2,Inputs!$E$85*Inputs!$E$9*Inputs!$E$10*Inputs!$E$11*Inputs!$E$82*(1+Inputs!$E$88)/12,Inputs!$E$86*Inputs!$E$9*Inputs!$E$10*Inputs!$E$11*Inputs!$E$82*(1+2*Inputs!$E$88)/12))</f>
        <v>3264</v>
      </c>
      <c r="H44" s="67">
        <f>IF(H$9=1,Inputs!$E$84*Inputs!$E$9*Inputs!$E$10*Inputs!$E$11*Inputs!$E$82/(13-MONTH($E$6)),IF(H$9=2,Inputs!$E$85*Inputs!$E$9*Inputs!$E$10*Inputs!$E$11*Inputs!$E$82*(1+Inputs!$E$88)/12,Inputs!$E$86*Inputs!$E$9*Inputs!$E$10*Inputs!$E$11*Inputs!$E$82*(1+2*Inputs!$E$88)/12))</f>
        <v>3264</v>
      </c>
      <c r="I44" s="67">
        <f>IF(I$9=1,Inputs!$E$84*Inputs!$E$9*Inputs!$E$10*Inputs!$E$11*Inputs!$E$82/(13-MONTH($E$6)),IF(I$9=2,Inputs!$E$85*Inputs!$E$9*Inputs!$E$10*Inputs!$E$11*Inputs!$E$82*(1+Inputs!$E$88)/12,Inputs!$E$86*Inputs!$E$9*Inputs!$E$10*Inputs!$E$11*Inputs!$E$82*(1+2*Inputs!$E$88)/12))</f>
        <v>3264</v>
      </c>
      <c r="J44" s="67">
        <f>IF(J$9=1,Inputs!$E$84*Inputs!$E$9*Inputs!$E$10*Inputs!$E$11*Inputs!$E$82/(13-MONTH($E$6)),IF(J$9=2,Inputs!$E$85*Inputs!$E$9*Inputs!$E$10*Inputs!$E$11*Inputs!$E$82*(1+Inputs!$E$88)/12,Inputs!$E$86*Inputs!$E$9*Inputs!$E$10*Inputs!$E$11*Inputs!$E$82*(1+2*Inputs!$E$88)/12))</f>
        <v>3264</v>
      </c>
      <c r="K44" s="67">
        <f>IF(K$9=1,Inputs!$E$84*Inputs!$E$9*Inputs!$E$10*Inputs!$E$11*Inputs!$E$82/(13-MONTH($E$6)),IF(K$9=2,Inputs!$E$85*Inputs!$E$9*Inputs!$E$10*Inputs!$E$11*Inputs!$E$82*(1+Inputs!$E$88)/12,Inputs!$E$86*Inputs!$E$9*Inputs!$E$10*Inputs!$E$11*Inputs!$E$82*(1+2*Inputs!$E$88)/12))</f>
        <v>3264</v>
      </c>
      <c r="L44" s="67">
        <f>IF(L$9=1,Inputs!$E$84*Inputs!$E$9*Inputs!$E$10*Inputs!$E$11*Inputs!$E$82/(13-MONTH($E$6)),IF(L$9=2,Inputs!$E$85*Inputs!$E$9*Inputs!$E$10*Inputs!$E$11*Inputs!$E$82*(1+Inputs!$E$88)/12,Inputs!$E$86*Inputs!$E$9*Inputs!$E$10*Inputs!$E$11*Inputs!$E$82*(1+2*Inputs!$E$88)/12))</f>
        <v>3264</v>
      </c>
      <c r="M44" s="67">
        <f>IF(M$9=1,Inputs!$E$84*Inputs!$E$9*Inputs!$E$10*Inputs!$E$11*Inputs!$E$82/(13-MONTH($E$6)),IF(M$9=2,Inputs!$E$85*Inputs!$E$9*Inputs!$E$10*Inputs!$E$11*Inputs!$E$82*(1+Inputs!$E$88)/12,Inputs!$E$86*Inputs!$E$9*Inputs!$E$10*Inputs!$E$11*Inputs!$E$82*(1+2*Inputs!$E$88)/12))</f>
        <v>3264</v>
      </c>
      <c r="N44" s="67">
        <f>IF(N$9=1,Inputs!$E$84*Inputs!$E$9*Inputs!$E$10*Inputs!$E$11*Inputs!$E$82/(13-MONTH($E$6)),IF(N$9=2,Inputs!$E$85*Inputs!$E$9*Inputs!$E$10*Inputs!$E$11*Inputs!$E$82*(1+Inputs!$E$88)/12,Inputs!$E$86*Inputs!$E$9*Inputs!$E$10*Inputs!$E$11*Inputs!$E$82*(1+2*Inputs!$E$88)/12))</f>
        <v>3264</v>
      </c>
      <c r="O44" s="67">
        <f>IF(O$9=1,Inputs!$E$84*Inputs!$E$9*Inputs!$E$10*Inputs!$E$11*Inputs!$E$82/(13-MONTH($E$6)),IF(O$9=2,Inputs!$E$85*Inputs!$E$9*Inputs!$E$10*Inputs!$E$11*Inputs!$E$82*(1+Inputs!$E$88)/12,Inputs!$E$86*Inputs!$E$9*Inputs!$E$10*Inputs!$E$11*Inputs!$E$82*(1+2*Inputs!$E$88)/12))</f>
        <v>2801.6000000000004</v>
      </c>
      <c r="P44" s="67">
        <f>IF(P$9=1,Inputs!$E$84*Inputs!$E$9*Inputs!$E$10*Inputs!$E$11*Inputs!$E$82/(13-MONTH($E$6)),IF(P$9=2,Inputs!$E$85*Inputs!$E$9*Inputs!$E$10*Inputs!$E$11*Inputs!$E$82*(1+Inputs!$E$88)/12,Inputs!$E$86*Inputs!$E$9*Inputs!$E$10*Inputs!$E$11*Inputs!$E$82*(1+2*Inputs!$E$88)/12))</f>
        <v>2801.6000000000004</v>
      </c>
      <c r="Q44" s="67">
        <f>IF(Q$9=1,Inputs!$E$84*Inputs!$E$9*Inputs!$E$10*Inputs!$E$11*Inputs!$E$82/(13-MONTH($E$6)),IF(Q$9=2,Inputs!$E$85*Inputs!$E$9*Inputs!$E$10*Inputs!$E$11*Inputs!$E$82*(1+Inputs!$E$88)/12,Inputs!$E$86*Inputs!$E$9*Inputs!$E$10*Inputs!$E$11*Inputs!$E$82*(1+2*Inputs!$E$88)/12))</f>
        <v>2801.6000000000004</v>
      </c>
      <c r="R44" s="67">
        <f>IF(R$9=1,Inputs!$E$84*Inputs!$E$9*Inputs!$E$10*Inputs!$E$11*Inputs!$E$82/(13-MONTH($E$6)),IF(R$9=2,Inputs!$E$85*Inputs!$E$9*Inputs!$E$10*Inputs!$E$11*Inputs!$E$82*(1+Inputs!$E$88)/12,Inputs!$E$86*Inputs!$E$9*Inputs!$E$10*Inputs!$E$11*Inputs!$E$82*(1+2*Inputs!$E$88)/12))</f>
        <v>2801.6000000000004</v>
      </c>
      <c r="S44" s="67">
        <f>IF(S$9=1,Inputs!$E$84*Inputs!$E$9*Inputs!$E$10*Inputs!$E$11*Inputs!$E$82/(13-MONTH($E$6)),IF(S$9=2,Inputs!$E$85*Inputs!$E$9*Inputs!$E$10*Inputs!$E$11*Inputs!$E$82*(1+Inputs!$E$88)/12,Inputs!$E$86*Inputs!$E$9*Inputs!$E$10*Inputs!$E$11*Inputs!$E$82*(1+2*Inputs!$E$88)/12))</f>
        <v>2801.6000000000004</v>
      </c>
      <c r="T44" s="67">
        <f>IF(T$9=1,Inputs!$E$84*Inputs!$E$9*Inputs!$E$10*Inputs!$E$11*Inputs!$E$82/(13-MONTH($E$6)),IF(T$9=2,Inputs!$E$85*Inputs!$E$9*Inputs!$E$10*Inputs!$E$11*Inputs!$E$82*(1+Inputs!$E$88)/12,Inputs!$E$86*Inputs!$E$9*Inputs!$E$10*Inputs!$E$11*Inputs!$E$82*(1+2*Inputs!$E$88)/12))</f>
        <v>2801.6000000000004</v>
      </c>
      <c r="U44" s="67">
        <f>IF(U$9=1,Inputs!$E$84*Inputs!$E$9*Inputs!$E$10*Inputs!$E$11*Inputs!$E$82/(13-MONTH($E$6)),IF(U$9=2,Inputs!$E$85*Inputs!$E$9*Inputs!$E$10*Inputs!$E$11*Inputs!$E$82*(1+Inputs!$E$88)/12,Inputs!$E$86*Inputs!$E$9*Inputs!$E$10*Inputs!$E$11*Inputs!$E$82*(1+2*Inputs!$E$88)/12))</f>
        <v>2801.6000000000004</v>
      </c>
      <c r="V44" s="67">
        <f>IF(V$9=1,Inputs!$E$84*Inputs!$E$9*Inputs!$E$10*Inputs!$E$11*Inputs!$E$82/(13-MONTH($E$6)),IF(V$9=2,Inputs!$E$85*Inputs!$E$9*Inputs!$E$10*Inputs!$E$11*Inputs!$E$82*(1+Inputs!$E$88)/12,Inputs!$E$86*Inputs!$E$9*Inputs!$E$10*Inputs!$E$11*Inputs!$E$82*(1+2*Inputs!$E$88)/12))</f>
        <v>2801.6000000000004</v>
      </c>
      <c r="W44" s="67">
        <f>IF(W$9=1,Inputs!$E$84*Inputs!$E$9*Inputs!$E$10*Inputs!$E$11*Inputs!$E$82/(13-MONTH($E$6)),IF(W$9=2,Inputs!$E$85*Inputs!$E$9*Inputs!$E$10*Inputs!$E$11*Inputs!$E$82*(1+Inputs!$E$88)/12,Inputs!$E$86*Inputs!$E$9*Inputs!$E$10*Inputs!$E$11*Inputs!$E$82*(1+2*Inputs!$E$88)/12))</f>
        <v>2801.6000000000004</v>
      </c>
      <c r="X44" s="67">
        <f>IF(X$9=1,Inputs!$E$84*Inputs!$E$9*Inputs!$E$10*Inputs!$E$11*Inputs!$E$82/(13-MONTH($E$6)),IF(X$9=2,Inputs!$E$85*Inputs!$E$9*Inputs!$E$10*Inputs!$E$11*Inputs!$E$82*(1+Inputs!$E$88)/12,Inputs!$E$86*Inputs!$E$9*Inputs!$E$10*Inputs!$E$11*Inputs!$E$82*(1+2*Inputs!$E$88)/12))</f>
        <v>2801.6000000000004</v>
      </c>
      <c r="Y44" s="67">
        <f>IF(Y$9=1,Inputs!$E$84*Inputs!$E$9*Inputs!$E$10*Inputs!$E$11*Inputs!$E$82/(13-MONTH($E$6)),IF(Y$9=2,Inputs!$E$85*Inputs!$E$9*Inputs!$E$10*Inputs!$E$11*Inputs!$E$82*(1+Inputs!$E$88)/12,Inputs!$E$86*Inputs!$E$9*Inputs!$E$10*Inputs!$E$11*Inputs!$E$82*(1+2*Inputs!$E$88)/12))</f>
        <v>2801.6000000000004</v>
      </c>
      <c r="Z44" s="67">
        <f>IF(Z$9=1,Inputs!$E$84*Inputs!$E$9*Inputs!$E$10*Inputs!$E$11*Inputs!$E$82/(13-MONTH($E$6)),IF(Z$9=2,Inputs!$E$85*Inputs!$E$9*Inputs!$E$10*Inputs!$E$11*Inputs!$E$82*(1+Inputs!$E$88)/12,Inputs!$E$86*Inputs!$E$9*Inputs!$E$10*Inputs!$E$11*Inputs!$E$82*(1+2*Inputs!$E$88)/12))</f>
        <v>2801.6000000000004</v>
      </c>
      <c r="AA44" s="67">
        <f>IF(AA$9=1,Inputs!$E$84*Inputs!$E$9*Inputs!$E$10*Inputs!$E$11*Inputs!$E$82/(13-MONTH($E$6)),IF(AA$9=2,Inputs!$E$85*Inputs!$E$9*Inputs!$E$10*Inputs!$E$11*Inputs!$E$82*(1+Inputs!$E$88)/12,Inputs!$E$86*Inputs!$E$9*Inputs!$E$10*Inputs!$E$11*Inputs!$E$82*(1+2*Inputs!$E$88)/12))</f>
        <v>2883.2000000000003</v>
      </c>
      <c r="AB44" s="67">
        <f>IF(AB$9=1,Inputs!$E$84*Inputs!$E$9*Inputs!$E$10*Inputs!$E$11*Inputs!$E$82/(13-MONTH($E$6)),IF(AB$9=2,Inputs!$E$85*Inputs!$E$9*Inputs!$E$10*Inputs!$E$11*Inputs!$E$82*(1+Inputs!$E$88)/12,Inputs!$E$86*Inputs!$E$9*Inputs!$E$10*Inputs!$E$11*Inputs!$E$82*(1+2*Inputs!$E$88)/12))</f>
        <v>2883.2000000000003</v>
      </c>
      <c r="AC44" s="67">
        <f>IF(AC$9=1,Inputs!$E$84*Inputs!$E$9*Inputs!$E$10*Inputs!$E$11*Inputs!$E$82/(13-MONTH($E$6)),IF(AC$9=2,Inputs!$E$85*Inputs!$E$9*Inputs!$E$10*Inputs!$E$11*Inputs!$E$82*(1+Inputs!$E$88)/12,Inputs!$E$86*Inputs!$E$9*Inputs!$E$10*Inputs!$E$11*Inputs!$E$82*(1+2*Inputs!$E$88)/12))</f>
        <v>2883.2000000000003</v>
      </c>
      <c r="AD44" s="67">
        <f>IF(AD$9=1,Inputs!$E$84*Inputs!$E$9*Inputs!$E$10*Inputs!$E$11*Inputs!$E$82/(13-MONTH($E$6)),IF(AD$9=2,Inputs!$E$85*Inputs!$E$9*Inputs!$E$10*Inputs!$E$11*Inputs!$E$82*(1+Inputs!$E$88)/12,Inputs!$E$86*Inputs!$E$9*Inputs!$E$10*Inputs!$E$11*Inputs!$E$82*(1+2*Inputs!$E$88)/12))</f>
        <v>2883.2000000000003</v>
      </c>
      <c r="AE44" s="67">
        <f>IF(AE$9=1,Inputs!$E$84*Inputs!$E$9*Inputs!$E$10*Inputs!$E$11*Inputs!$E$82/(13-MONTH($E$6)),IF(AE$9=2,Inputs!$E$85*Inputs!$E$9*Inputs!$E$10*Inputs!$E$11*Inputs!$E$82*(1+Inputs!$E$88)/12,Inputs!$E$86*Inputs!$E$9*Inputs!$E$10*Inputs!$E$11*Inputs!$E$82*(1+2*Inputs!$E$88)/12))</f>
        <v>2883.2000000000003</v>
      </c>
      <c r="AF44" s="67">
        <f>IF(AF$9=1,Inputs!$E$84*Inputs!$E$9*Inputs!$E$10*Inputs!$E$11*Inputs!$E$82/(13-MONTH($E$6)),IF(AF$9=2,Inputs!$E$85*Inputs!$E$9*Inputs!$E$10*Inputs!$E$11*Inputs!$E$82*(1+Inputs!$E$88)/12,Inputs!$E$86*Inputs!$E$9*Inputs!$E$10*Inputs!$E$11*Inputs!$E$82*(1+2*Inputs!$E$88)/12))</f>
        <v>2883.2000000000003</v>
      </c>
      <c r="AG44" s="67">
        <f>IF(AG$9=1,Inputs!$E$84*Inputs!$E$9*Inputs!$E$10*Inputs!$E$11*Inputs!$E$82/(13-MONTH($E$6)),IF(AG$9=2,Inputs!$E$85*Inputs!$E$9*Inputs!$E$10*Inputs!$E$11*Inputs!$E$82*(1+Inputs!$E$88)/12,Inputs!$E$86*Inputs!$E$9*Inputs!$E$10*Inputs!$E$11*Inputs!$E$82*(1+2*Inputs!$E$88)/12))</f>
        <v>2883.2000000000003</v>
      </c>
      <c r="AH44" s="67">
        <f>IF(AH$9=1,Inputs!$E$84*Inputs!$E$9*Inputs!$E$10*Inputs!$E$11*Inputs!$E$82/(13-MONTH($E$6)),IF(AH$9=2,Inputs!$E$85*Inputs!$E$9*Inputs!$E$10*Inputs!$E$11*Inputs!$E$82*(1+Inputs!$E$88)/12,Inputs!$E$86*Inputs!$E$9*Inputs!$E$10*Inputs!$E$11*Inputs!$E$82*(1+2*Inputs!$E$88)/12))</f>
        <v>2883.2000000000003</v>
      </c>
      <c r="AI44" s="67">
        <f>IF(AI$9=1,Inputs!$E$84*Inputs!$E$9*Inputs!$E$10*Inputs!$E$11*Inputs!$E$82/(13-MONTH($E$6)),IF(AI$9=2,Inputs!$E$85*Inputs!$E$9*Inputs!$E$10*Inputs!$E$11*Inputs!$E$82*(1+Inputs!$E$88)/12,Inputs!$E$86*Inputs!$E$9*Inputs!$E$10*Inputs!$E$11*Inputs!$E$82*(1+2*Inputs!$E$88)/12))</f>
        <v>2883.2000000000003</v>
      </c>
      <c r="AJ44" s="67">
        <f>IF(AJ$9=1,Inputs!$E$84*Inputs!$E$9*Inputs!$E$10*Inputs!$E$11*Inputs!$E$82/(13-MONTH($E$6)),IF(AJ$9=2,Inputs!$E$85*Inputs!$E$9*Inputs!$E$10*Inputs!$E$11*Inputs!$E$82*(1+Inputs!$E$88)/12,Inputs!$E$86*Inputs!$E$9*Inputs!$E$10*Inputs!$E$11*Inputs!$E$82*(1+2*Inputs!$E$88)/12))</f>
        <v>2883.2000000000003</v>
      </c>
      <c r="AK44" s="67">
        <f>IF(AK$9=1,Inputs!$E$84*Inputs!$E$9*Inputs!$E$10*Inputs!$E$11*Inputs!$E$82/(13-MONTH($E$6)),IF(AK$9=2,Inputs!$E$85*Inputs!$E$9*Inputs!$E$10*Inputs!$E$11*Inputs!$E$82*(1+Inputs!$E$88)/12,Inputs!$E$86*Inputs!$E$9*Inputs!$E$10*Inputs!$E$11*Inputs!$E$82*(1+2*Inputs!$E$88)/12))</f>
        <v>2883.2000000000003</v>
      </c>
      <c r="AL44" s="67">
        <f>IF(AL$9=1,Inputs!$E$84*Inputs!$E$9*Inputs!$E$10*Inputs!$E$11*Inputs!$E$82/(13-MONTH($E$6)),IF(AL$9=2,Inputs!$E$85*Inputs!$E$9*Inputs!$E$10*Inputs!$E$11*Inputs!$E$82*(1+Inputs!$E$88)/12,Inputs!$E$86*Inputs!$E$9*Inputs!$E$10*Inputs!$E$11*Inputs!$E$82*(1+2*Inputs!$E$88)/12))</f>
        <v>2883.2000000000003</v>
      </c>
      <c r="AM44" s="67">
        <f>IF(AM$9=1,Inputs!$E$84*Inputs!$E$9*Inputs!$E$10*Inputs!$E$11*Inputs!$E$82/(13-MONTH($E$6)),IF(AM$9=2,Inputs!$E$85*Inputs!$E$9*Inputs!$E$10*Inputs!$E$11*Inputs!$E$82*(1+Inputs!$E$88)/12,Inputs!$E$86*Inputs!$E$9*Inputs!$E$10*Inputs!$E$11*Inputs!$E$82*(1+2*Inputs!$E$88)/12))</f>
        <v>2883.2000000000003</v>
      </c>
      <c r="AN44" s="67">
        <f>IF(AN$9=1,Inputs!$E$84*Inputs!$E$9*Inputs!$E$10*Inputs!$E$11*Inputs!$E$82/(13-MONTH($E$6)),IF(AN$9=2,Inputs!$E$85*Inputs!$E$9*Inputs!$E$10*Inputs!$E$11*Inputs!$E$82*(1+Inputs!$E$88)/12,Inputs!$E$86*Inputs!$E$9*Inputs!$E$10*Inputs!$E$11*Inputs!$E$82*(1+2*Inputs!$E$88)/12))</f>
        <v>2883.2000000000003</v>
      </c>
    </row>
    <row r="45" spans="1:40" s="16" customFormat="1">
      <c r="A45" s="1"/>
      <c r="B45" s="1"/>
      <c r="C45" s="32" t="s">
        <v>318</v>
      </c>
      <c r="D45" s="15"/>
      <c r="E45" s="67">
        <f>Inputs!$E$87*'Projections-BEST'!E44</f>
        <v>979.19999999999993</v>
      </c>
      <c r="F45" s="67">
        <f>Inputs!$E$87*'Projections-BEST'!F44</f>
        <v>979.19999999999993</v>
      </c>
      <c r="G45" s="67">
        <f>Inputs!$E$87*'Projections-BEST'!G44</f>
        <v>979.19999999999993</v>
      </c>
      <c r="H45" s="67">
        <f>Inputs!$E$87*'Projections-BEST'!H44</f>
        <v>979.19999999999993</v>
      </c>
      <c r="I45" s="67">
        <f>Inputs!$E$87*'Projections-BEST'!I44</f>
        <v>979.19999999999993</v>
      </c>
      <c r="J45" s="67">
        <f>Inputs!$E$87*'Projections-BEST'!J44</f>
        <v>979.19999999999993</v>
      </c>
      <c r="K45" s="67">
        <f>Inputs!$E$87*'Projections-BEST'!K44</f>
        <v>979.19999999999993</v>
      </c>
      <c r="L45" s="67">
        <f>Inputs!$E$87*'Projections-BEST'!L44</f>
        <v>979.19999999999993</v>
      </c>
      <c r="M45" s="67">
        <f>Inputs!$E$87*'Projections-BEST'!M44</f>
        <v>979.19999999999993</v>
      </c>
      <c r="N45" s="67">
        <f>Inputs!$E$87*'Projections-BEST'!N44</f>
        <v>979.19999999999993</v>
      </c>
      <c r="O45" s="67">
        <f>Inputs!$E$87*'Projections-BEST'!O44</f>
        <v>840.48000000000013</v>
      </c>
      <c r="P45" s="67">
        <f>Inputs!$E$87*'Projections-BEST'!P44</f>
        <v>840.48000000000013</v>
      </c>
      <c r="Q45" s="67">
        <f>Inputs!$E$87*'Projections-BEST'!Q44</f>
        <v>840.48000000000013</v>
      </c>
      <c r="R45" s="67">
        <f>Inputs!$E$87*'Projections-BEST'!R44</f>
        <v>840.48000000000013</v>
      </c>
      <c r="S45" s="67">
        <f>Inputs!$E$87*'Projections-BEST'!S44</f>
        <v>840.48000000000013</v>
      </c>
      <c r="T45" s="67">
        <f>Inputs!$E$87*'Projections-BEST'!T44</f>
        <v>840.48000000000013</v>
      </c>
      <c r="U45" s="67">
        <f>Inputs!$E$87*'Projections-BEST'!U44</f>
        <v>840.48000000000013</v>
      </c>
      <c r="V45" s="67">
        <f>Inputs!$E$87*'Projections-BEST'!V44</f>
        <v>840.48000000000013</v>
      </c>
      <c r="W45" s="67">
        <f>Inputs!$E$87*'Projections-BEST'!W44</f>
        <v>840.48000000000013</v>
      </c>
      <c r="X45" s="67">
        <f>Inputs!$E$87*'Projections-BEST'!X44</f>
        <v>840.48000000000013</v>
      </c>
      <c r="Y45" s="67">
        <f>Inputs!$E$87*'Projections-BEST'!Y44</f>
        <v>840.48000000000013</v>
      </c>
      <c r="Z45" s="67">
        <f>Inputs!$E$87*'Projections-BEST'!Z44</f>
        <v>840.48000000000013</v>
      </c>
      <c r="AA45" s="67">
        <f>Inputs!$E$87*'Projections-BEST'!AA44</f>
        <v>864.96</v>
      </c>
      <c r="AB45" s="67">
        <f>Inputs!$E$87*'Projections-BEST'!AB44</f>
        <v>864.96</v>
      </c>
      <c r="AC45" s="67">
        <f>Inputs!$E$87*'Projections-BEST'!AC44</f>
        <v>864.96</v>
      </c>
      <c r="AD45" s="67">
        <f>Inputs!$E$87*'Projections-BEST'!AD44</f>
        <v>864.96</v>
      </c>
      <c r="AE45" s="67">
        <f>Inputs!$E$87*'Projections-BEST'!AE44</f>
        <v>864.96</v>
      </c>
      <c r="AF45" s="67">
        <f>Inputs!$E$87*'Projections-BEST'!AF44</f>
        <v>864.96</v>
      </c>
      <c r="AG45" s="67">
        <f>Inputs!$E$87*'Projections-BEST'!AG44</f>
        <v>864.96</v>
      </c>
      <c r="AH45" s="67">
        <f>Inputs!$E$87*'Projections-BEST'!AH44</f>
        <v>864.96</v>
      </c>
      <c r="AI45" s="67">
        <f>Inputs!$E$87*'Projections-BEST'!AI44</f>
        <v>864.96</v>
      </c>
      <c r="AJ45" s="67">
        <f>Inputs!$E$87*'Projections-BEST'!AJ44</f>
        <v>864.96</v>
      </c>
      <c r="AK45" s="67">
        <f>Inputs!$E$87*'Projections-BEST'!AK44</f>
        <v>864.96</v>
      </c>
      <c r="AL45" s="67">
        <f>Inputs!$E$87*'Projections-BEST'!AL44</f>
        <v>864.96</v>
      </c>
      <c r="AM45" s="67">
        <f>Inputs!$E$87*'Projections-BEST'!AM44</f>
        <v>864.96</v>
      </c>
      <c r="AN45" s="67">
        <f>Inputs!$E$87*'Projections-BEST'!AN44</f>
        <v>864.96</v>
      </c>
    </row>
    <row r="46" spans="1:40" s="16" customFormat="1">
      <c r="A46" s="1"/>
      <c r="B46" s="1"/>
      <c r="C46" s="32" t="s">
        <v>41</v>
      </c>
      <c r="D46" s="15"/>
      <c r="E46" s="67">
        <f>IF(E$9=1,Inputs!$E$64*'Projections-BEST'!E$17,IF(E$9=2,Inputs!$E$65*'Projections-BEST'!E$17,Inputs!$E$66*'Projections-BEST'!E$17))</f>
        <v>600</v>
      </c>
      <c r="F46" s="67">
        <f>IF(F$9=1,Inputs!$E$64*'Projections-BEST'!F$17,IF(F$9=2,Inputs!$E$65*'Projections-BEST'!F$17,Inputs!$E$66*'Projections-BEST'!F$17))</f>
        <v>1800</v>
      </c>
      <c r="G46" s="67">
        <f>IF(G$9=1,Inputs!$E$64*'Projections-BEST'!G$17,IF(G$9=2,Inputs!$E$65*'Projections-BEST'!G$17,Inputs!$E$66*'Projections-BEST'!G$17))</f>
        <v>1800</v>
      </c>
      <c r="H46" s="67">
        <f>IF(H$9=1,Inputs!$E$64*'Projections-BEST'!H$17,IF(H$9=2,Inputs!$E$65*'Projections-BEST'!H$17,Inputs!$E$66*'Projections-BEST'!H$17))</f>
        <v>600</v>
      </c>
      <c r="I46" s="67">
        <f>IF(I$9=1,Inputs!$E$64*'Projections-BEST'!I$17,IF(I$9=2,Inputs!$E$65*'Projections-BEST'!I$17,Inputs!$E$66*'Projections-BEST'!I$17))</f>
        <v>600</v>
      </c>
      <c r="J46" s="67">
        <f>IF(J$9=1,Inputs!$E$64*'Projections-BEST'!J$17,IF(J$9=2,Inputs!$E$65*'Projections-BEST'!J$17,Inputs!$E$66*'Projections-BEST'!J$17))</f>
        <v>1800</v>
      </c>
      <c r="K46" s="67">
        <f>IF(K$9=1,Inputs!$E$64*'Projections-BEST'!K$17,IF(K$9=2,Inputs!$E$65*'Projections-BEST'!K$17,Inputs!$E$66*'Projections-BEST'!K$17))</f>
        <v>600</v>
      </c>
      <c r="L46" s="67">
        <f>IF(L$9=1,Inputs!$E$64*'Projections-BEST'!L$17,IF(L$9=2,Inputs!$E$65*'Projections-BEST'!L$17,Inputs!$E$66*'Projections-BEST'!L$17))</f>
        <v>1800</v>
      </c>
      <c r="M46" s="67">
        <f>IF(M$9=1,Inputs!$E$64*'Projections-BEST'!M$17,IF(M$9=2,Inputs!$E$65*'Projections-BEST'!M$17,Inputs!$E$66*'Projections-BEST'!M$17))</f>
        <v>600</v>
      </c>
      <c r="N46" s="67">
        <f>IF(N$9=1,Inputs!$E$64*'Projections-BEST'!N$17,IF(N$9=2,Inputs!$E$65*'Projections-BEST'!N$17,Inputs!$E$66*'Projections-BEST'!N$17))</f>
        <v>600</v>
      </c>
      <c r="O46" s="67">
        <f>IF(O$9=1,Inputs!$E$64*'Projections-BEST'!O$17,IF(O$9=2,Inputs!$E$65*'Projections-BEST'!O$17,Inputs!$E$66*'Projections-BEST'!O$17))</f>
        <v>840</v>
      </c>
      <c r="P46" s="67">
        <f>IF(P$9=1,Inputs!$E$64*'Projections-BEST'!P$17,IF(P$9=2,Inputs!$E$65*'Projections-BEST'!P$17,Inputs!$E$66*'Projections-BEST'!P$17))</f>
        <v>840</v>
      </c>
      <c r="Q46" s="67">
        <f>IF(Q$9=1,Inputs!$E$64*'Projections-BEST'!Q$17,IF(Q$9=2,Inputs!$E$65*'Projections-BEST'!Q$17,Inputs!$E$66*'Projections-BEST'!Q$17))</f>
        <v>840</v>
      </c>
      <c r="R46" s="67">
        <f>IF(R$9=1,Inputs!$E$64*'Projections-BEST'!R$17,IF(R$9=2,Inputs!$E$65*'Projections-BEST'!R$17,Inputs!$E$66*'Projections-BEST'!R$17))</f>
        <v>2520</v>
      </c>
      <c r="S46" s="67">
        <f>IF(S$9=1,Inputs!$E$64*'Projections-BEST'!S$17,IF(S$9=2,Inputs!$E$65*'Projections-BEST'!S$17,Inputs!$E$66*'Projections-BEST'!S$17))</f>
        <v>2520</v>
      </c>
      <c r="T46" s="67">
        <f>IF(T$9=1,Inputs!$E$64*'Projections-BEST'!T$17,IF(T$9=2,Inputs!$E$65*'Projections-BEST'!T$17,Inputs!$E$66*'Projections-BEST'!T$17))</f>
        <v>840</v>
      </c>
      <c r="U46" s="67">
        <f>IF(U$9=1,Inputs!$E$64*'Projections-BEST'!U$17,IF(U$9=2,Inputs!$E$65*'Projections-BEST'!U$17,Inputs!$E$66*'Projections-BEST'!U$17))</f>
        <v>840</v>
      </c>
      <c r="V46" s="67">
        <f>IF(V$9=1,Inputs!$E$64*'Projections-BEST'!V$17,IF(V$9=2,Inputs!$E$65*'Projections-BEST'!V$17,Inputs!$E$66*'Projections-BEST'!V$17))</f>
        <v>2520</v>
      </c>
      <c r="W46" s="67">
        <f>IF(W$9=1,Inputs!$E$64*'Projections-BEST'!W$17,IF(W$9=2,Inputs!$E$65*'Projections-BEST'!W$17,Inputs!$E$66*'Projections-BEST'!W$17))</f>
        <v>840</v>
      </c>
      <c r="X46" s="67">
        <f>IF(X$9=1,Inputs!$E$64*'Projections-BEST'!X$17,IF(X$9=2,Inputs!$E$65*'Projections-BEST'!X$17,Inputs!$E$66*'Projections-BEST'!X$17))</f>
        <v>2520</v>
      </c>
      <c r="Y46" s="67">
        <f>IF(Y$9=1,Inputs!$E$64*'Projections-BEST'!Y$17,IF(Y$9=2,Inputs!$E$65*'Projections-BEST'!Y$17,Inputs!$E$66*'Projections-BEST'!Y$17))</f>
        <v>840</v>
      </c>
      <c r="Z46" s="67">
        <f>IF(Z$9=1,Inputs!$E$64*'Projections-BEST'!Z$17,IF(Z$9=2,Inputs!$E$65*'Projections-BEST'!Z$17,Inputs!$E$66*'Projections-BEST'!Z$17))</f>
        <v>840</v>
      </c>
      <c r="AA46" s="67">
        <f>IF(AA$9=1,Inputs!$E$64*'Projections-BEST'!AA$17,IF(AA$9=2,Inputs!$E$65*'Projections-BEST'!AA$17,Inputs!$E$66*'Projections-BEST'!AA$17))</f>
        <v>1260</v>
      </c>
      <c r="AB46" s="67">
        <f>IF(AB$9=1,Inputs!$E$64*'Projections-BEST'!AB$17,IF(AB$9=2,Inputs!$E$65*'Projections-BEST'!AB$17,Inputs!$E$66*'Projections-BEST'!AB$17))</f>
        <v>1260</v>
      </c>
      <c r="AC46" s="67">
        <f>IF(AC$9=1,Inputs!$E$64*'Projections-BEST'!AC$17,IF(AC$9=2,Inputs!$E$65*'Projections-BEST'!AC$17,Inputs!$E$66*'Projections-BEST'!AC$17))</f>
        <v>1260</v>
      </c>
      <c r="AD46" s="67">
        <f>IF(AD$9=1,Inputs!$E$64*'Projections-BEST'!AD$17,IF(AD$9=2,Inputs!$E$65*'Projections-BEST'!AD$17,Inputs!$E$66*'Projections-BEST'!AD$17))</f>
        <v>3780</v>
      </c>
      <c r="AE46" s="67">
        <f>IF(AE$9=1,Inputs!$E$64*'Projections-BEST'!AE$17,IF(AE$9=2,Inputs!$E$65*'Projections-BEST'!AE$17,Inputs!$E$66*'Projections-BEST'!AE$17))</f>
        <v>3780</v>
      </c>
      <c r="AF46" s="67">
        <f>IF(AF$9=1,Inputs!$E$64*'Projections-BEST'!AF$17,IF(AF$9=2,Inputs!$E$65*'Projections-BEST'!AF$17,Inputs!$E$66*'Projections-BEST'!AF$17))</f>
        <v>1260</v>
      </c>
      <c r="AG46" s="67">
        <f>IF(AG$9=1,Inputs!$E$64*'Projections-BEST'!AG$17,IF(AG$9=2,Inputs!$E$65*'Projections-BEST'!AG$17,Inputs!$E$66*'Projections-BEST'!AG$17))</f>
        <v>1260</v>
      </c>
      <c r="AH46" s="67">
        <f>IF(AH$9=1,Inputs!$E$64*'Projections-BEST'!AH$17,IF(AH$9=2,Inputs!$E$65*'Projections-BEST'!AH$17,Inputs!$E$66*'Projections-BEST'!AH$17))</f>
        <v>3780</v>
      </c>
      <c r="AI46" s="67">
        <f>IF(AI$9=1,Inputs!$E$64*'Projections-BEST'!AI$17,IF(AI$9=2,Inputs!$E$65*'Projections-BEST'!AI$17,Inputs!$E$66*'Projections-BEST'!AI$17))</f>
        <v>1260</v>
      </c>
      <c r="AJ46" s="67">
        <f>IF(AJ$9=1,Inputs!$E$64*'Projections-BEST'!AJ$17,IF(AJ$9=2,Inputs!$E$65*'Projections-BEST'!AJ$17,Inputs!$E$66*'Projections-BEST'!AJ$17))</f>
        <v>3780</v>
      </c>
      <c r="AK46" s="67">
        <f>IF(AK$9=1,Inputs!$E$64*'Projections-BEST'!AK$17,IF(AK$9=2,Inputs!$E$65*'Projections-BEST'!AK$17,Inputs!$E$66*'Projections-BEST'!AK$17))</f>
        <v>1260</v>
      </c>
      <c r="AL46" s="67">
        <f>IF(AL$9=1,Inputs!$E$64*'Projections-BEST'!AL$17,IF(AL$9=2,Inputs!$E$65*'Projections-BEST'!AL$17,Inputs!$E$66*'Projections-BEST'!AL$17))</f>
        <v>1260</v>
      </c>
      <c r="AM46" s="67">
        <f>IF(AM$9=1,Inputs!$E$64*'Projections-BEST'!AM$17,IF(AM$9=2,Inputs!$E$65*'Projections-BEST'!AM$17,Inputs!$E$66*'Projections-BEST'!AM$17))</f>
        <v>1260</v>
      </c>
      <c r="AN46" s="67">
        <f>IF(AN$9=1,Inputs!$E$64*'Projections-BEST'!AN$17,IF(AN$9=2,Inputs!$E$65*'Projections-BEST'!AN$17,Inputs!$E$66*'Projections-BEST'!AN$17))</f>
        <v>1260</v>
      </c>
    </row>
    <row r="47" spans="1:40" s="16" customFormat="1">
      <c r="A47" s="1"/>
      <c r="B47" s="1"/>
      <c r="C47" s="32" t="s">
        <v>210</v>
      </c>
      <c r="D47" s="15"/>
      <c r="E47" s="67">
        <f>IF(E$9=1,Inputs!$E$67*'Projections-BEST'!E$17,IF(E$9=2,Inputs!$E$68*'Projections-BEST'!E$17,Inputs!$E$69*'Projections-BEST'!E$17))</f>
        <v>150</v>
      </c>
      <c r="F47" s="67">
        <f>IF(F$9=1,Inputs!$E$67*'Projections-BEST'!F$17,IF(F$9=2,Inputs!$E$68*'Projections-BEST'!F$17,Inputs!$E$69*'Projections-BEST'!F$17))</f>
        <v>450</v>
      </c>
      <c r="G47" s="67">
        <f>IF(G$9=1,Inputs!$E$67*'Projections-BEST'!G$17,IF(G$9=2,Inputs!$E$68*'Projections-BEST'!G$17,Inputs!$E$69*'Projections-BEST'!G$17))</f>
        <v>450</v>
      </c>
      <c r="H47" s="67">
        <f>IF(H$9=1,Inputs!$E$67*'Projections-BEST'!H$17,IF(H$9=2,Inputs!$E$68*'Projections-BEST'!H$17,Inputs!$E$69*'Projections-BEST'!H$17))</f>
        <v>150</v>
      </c>
      <c r="I47" s="67">
        <f>IF(I$9=1,Inputs!$E$67*'Projections-BEST'!I$17,IF(I$9=2,Inputs!$E$68*'Projections-BEST'!I$17,Inputs!$E$69*'Projections-BEST'!I$17))</f>
        <v>150</v>
      </c>
      <c r="J47" s="67">
        <f>IF(J$9=1,Inputs!$E$67*'Projections-BEST'!J$17,IF(J$9=2,Inputs!$E$68*'Projections-BEST'!J$17,Inputs!$E$69*'Projections-BEST'!J$17))</f>
        <v>450</v>
      </c>
      <c r="K47" s="67">
        <f>IF(K$9=1,Inputs!$E$67*'Projections-BEST'!K$17,IF(K$9=2,Inputs!$E$68*'Projections-BEST'!K$17,Inputs!$E$69*'Projections-BEST'!K$17))</f>
        <v>150</v>
      </c>
      <c r="L47" s="67">
        <f>IF(L$9=1,Inputs!$E$67*'Projections-BEST'!L$17,IF(L$9=2,Inputs!$E$68*'Projections-BEST'!L$17,Inputs!$E$69*'Projections-BEST'!L$17))</f>
        <v>450</v>
      </c>
      <c r="M47" s="67">
        <f>IF(M$9=1,Inputs!$E$67*'Projections-BEST'!M$17,IF(M$9=2,Inputs!$E$68*'Projections-BEST'!M$17,Inputs!$E$69*'Projections-BEST'!M$17))</f>
        <v>150</v>
      </c>
      <c r="N47" s="67">
        <f>IF(N$9=1,Inputs!$E$67*'Projections-BEST'!N$17,IF(N$9=2,Inputs!$E$68*'Projections-BEST'!N$17,Inputs!$E$69*'Projections-BEST'!N$17))</f>
        <v>150</v>
      </c>
      <c r="O47" s="67">
        <f>IF(O$9=1,Inputs!$E$67*'Projections-BEST'!O$17,IF(O$9=2,Inputs!$E$68*'Projections-BEST'!O$17,Inputs!$E$69*'Projections-BEST'!O$17))</f>
        <v>210</v>
      </c>
      <c r="P47" s="67">
        <f>IF(P$9=1,Inputs!$E$67*'Projections-BEST'!P$17,IF(P$9=2,Inputs!$E$68*'Projections-BEST'!P$17,Inputs!$E$69*'Projections-BEST'!P$17))</f>
        <v>210</v>
      </c>
      <c r="Q47" s="67">
        <f>IF(Q$9=1,Inputs!$E$67*'Projections-BEST'!Q$17,IF(Q$9=2,Inputs!$E$68*'Projections-BEST'!Q$17,Inputs!$E$69*'Projections-BEST'!Q$17))</f>
        <v>210</v>
      </c>
      <c r="R47" s="67">
        <f>IF(R$9=1,Inputs!$E$67*'Projections-BEST'!R$17,IF(R$9=2,Inputs!$E$68*'Projections-BEST'!R$17,Inputs!$E$69*'Projections-BEST'!R$17))</f>
        <v>630</v>
      </c>
      <c r="S47" s="67">
        <f>IF(S$9=1,Inputs!$E$67*'Projections-BEST'!S$17,IF(S$9=2,Inputs!$E$68*'Projections-BEST'!S$17,Inputs!$E$69*'Projections-BEST'!S$17))</f>
        <v>630</v>
      </c>
      <c r="T47" s="67">
        <f>IF(T$9=1,Inputs!$E$67*'Projections-BEST'!T$17,IF(T$9=2,Inputs!$E$68*'Projections-BEST'!T$17,Inputs!$E$69*'Projections-BEST'!T$17))</f>
        <v>210</v>
      </c>
      <c r="U47" s="67">
        <f>IF(U$9=1,Inputs!$E$67*'Projections-BEST'!U$17,IF(U$9=2,Inputs!$E$68*'Projections-BEST'!U$17,Inputs!$E$69*'Projections-BEST'!U$17))</f>
        <v>210</v>
      </c>
      <c r="V47" s="67">
        <f>IF(V$9=1,Inputs!$E$67*'Projections-BEST'!V$17,IF(V$9=2,Inputs!$E$68*'Projections-BEST'!V$17,Inputs!$E$69*'Projections-BEST'!V$17))</f>
        <v>630</v>
      </c>
      <c r="W47" s="67">
        <f>IF(W$9=1,Inputs!$E$67*'Projections-BEST'!W$17,IF(W$9=2,Inputs!$E$68*'Projections-BEST'!W$17,Inputs!$E$69*'Projections-BEST'!W$17))</f>
        <v>210</v>
      </c>
      <c r="X47" s="67">
        <f>IF(X$9=1,Inputs!$E$67*'Projections-BEST'!X$17,IF(X$9=2,Inputs!$E$68*'Projections-BEST'!X$17,Inputs!$E$69*'Projections-BEST'!X$17))</f>
        <v>630</v>
      </c>
      <c r="Y47" s="67">
        <f>IF(Y$9=1,Inputs!$E$67*'Projections-BEST'!Y$17,IF(Y$9=2,Inputs!$E$68*'Projections-BEST'!Y$17,Inputs!$E$69*'Projections-BEST'!Y$17))</f>
        <v>210</v>
      </c>
      <c r="Z47" s="67">
        <f>IF(Z$9=1,Inputs!$E$67*'Projections-BEST'!Z$17,IF(Z$9=2,Inputs!$E$68*'Projections-BEST'!Z$17,Inputs!$E$69*'Projections-BEST'!Z$17))</f>
        <v>210</v>
      </c>
      <c r="AA47" s="67">
        <f>IF(AA$9=1,Inputs!$E$67*'Projections-BEST'!AA$17,IF(AA$9=2,Inputs!$E$68*'Projections-BEST'!AA$17,Inputs!$E$69*'Projections-BEST'!AA$17))</f>
        <v>315</v>
      </c>
      <c r="AB47" s="67">
        <f>IF(AB$9=1,Inputs!$E$67*'Projections-BEST'!AB$17,IF(AB$9=2,Inputs!$E$68*'Projections-BEST'!AB$17,Inputs!$E$69*'Projections-BEST'!AB$17))</f>
        <v>315</v>
      </c>
      <c r="AC47" s="67">
        <f>IF(AC$9=1,Inputs!$E$67*'Projections-BEST'!AC$17,IF(AC$9=2,Inputs!$E$68*'Projections-BEST'!AC$17,Inputs!$E$69*'Projections-BEST'!AC$17))</f>
        <v>315</v>
      </c>
      <c r="AD47" s="67">
        <f>IF(AD$9=1,Inputs!$E$67*'Projections-BEST'!AD$17,IF(AD$9=2,Inputs!$E$68*'Projections-BEST'!AD$17,Inputs!$E$69*'Projections-BEST'!AD$17))</f>
        <v>945</v>
      </c>
      <c r="AE47" s="67">
        <f>IF(AE$9=1,Inputs!$E$67*'Projections-BEST'!AE$17,IF(AE$9=2,Inputs!$E$68*'Projections-BEST'!AE$17,Inputs!$E$69*'Projections-BEST'!AE$17))</f>
        <v>945</v>
      </c>
      <c r="AF47" s="67">
        <f>IF(AF$9=1,Inputs!$E$67*'Projections-BEST'!AF$17,IF(AF$9=2,Inputs!$E$68*'Projections-BEST'!AF$17,Inputs!$E$69*'Projections-BEST'!AF$17))</f>
        <v>315</v>
      </c>
      <c r="AG47" s="67">
        <f>IF(AG$9=1,Inputs!$E$67*'Projections-BEST'!AG$17,IF(AG$9=2,Inputs!$E$68*'Projections-BEST'!AG$17,Inputs!$E$69*'Projections-BEST'!AG$17))</f>
        <v>315</v>
      </c>
      <c r="AH47" s="67">
        <f>IF(AH$9=1,Inputs!$E$67*'Projections-BEST'!AH$17,IF(AH$9=2,Inputs!$E$68*'Projections-BEST'!AH$17,Inputs!$E$69*'Projections-BEST'!AH$17))</f>
        <v>945</v>
      </c>
      <c r="AI47" s="67">
        <f>IF(AI$9=1,Inputs!$E$67*'Projections-BEST'!AI$17,IF(AI$9=2,Inputs!$E$68*'Projections-BEST'!AI$17,Inputs!$E$69*'Projections-BEST'!AI$17))</f>
        <v>315</v>
      </c>
      <c r="AJ47" s="67">
        <f>IF(AJ$9=1,Inputs!$E$67*'Projections-BEST'!AJ$17,IF(AJ$9=2,Inputs!$E$68*'Projections-BEST'!AJ$17,Inputs!$E$69*'Projections-BEST'!AJ$17))</f>
        <v>945</v>
      </c>
      <c r="AK47" s="67">
        <f>IF(AK$9=1,Inputs!$E$67*'Projections-BEST'!AK$17,IF(AK$9=2,Inputs!$E$68*'Projections-BEST'!AK$17,Inputs!$E$69*'Projections-BEST'!AK$17))</f>
        <v>315</v>
      </c>
      <c r="AL47" s="67">
        <f>IF(AL$9=1,Inputs!$E$67*'Projections-BEST'!AL$17,IF(AL$9=2,Inputs!$E$68*'Projections-BEST'!AL$17,Inputs!$E$69*'Projections-BEST'!AL$17))</f>
        <v>315</v>
      </c>
      <c r="AM47" s="67">
        <f>IF(AM$9=1,Inputs!$E$67*'Projections-BEST'!AM$17,IF(AM$9=2,Inputs!$E$68*'Projections-BEST'!AM$17,Inputs!$E$69*'Projections-BEST'!AM$17))</f>
        <v>315</v>
      </c>
      <c r="AN47" s="67">
        <f>IF(AN$9=1,Inputs!$E$67*'Projections-BEST'!AN$17,IF(AN$9=2,Inputs!$E$68*'Projections-BEST'!AN$17,Inputs!$E$69*'Projections-BEST'!AN$17))</f>
        <v>315</v>
      </c>
    </row>
    <row r="48" spans="1:40" s="16" customFormat="1">
      <c r="A48" s="1"/>
      <c r="B48" s="1"/>
      <c r="C48" s="32" t="s">
        <v>211</v>
      </c>
      <c r="D48" s="15"/>
      <c r="E48" s="67">
        <f>IF(E$9=1,Inputs!$E$70*'Projections-BEST'!E$17,IF(E$9=2,Inputs!$E$71*'Projections-BEST'!E$17,Inputs!$E$72*'Projections-BEST'!E$17))</f>
        <v>300</v>
      </c>
      <c r="F48" s="67">
        <f>IF(F$9=1,Inputs!$E$70*'Projections-BEST'!F$17,IF(F$9=2,Inputs!$E$71*'Projections-BEST'!F$17,Inputs!$E$72*'Projections-BEST'!F$17))</f>
        <v>900</v>
      </c>
      <c r="G48" s="67">
        <f>IF(G$9=1,Inputs!$E$70*'Projections-BEST'!G$17,IF(G$9=2,Inputs!$E$71*'Projections-BEST'!G$17,Inputs!$E$72*'Projections-BEST'!G$17))</f>
        <v>900</v>
      </c>
      <c r="H48" s="67">
        <f>IF(H$9=1,Inputs!$E$70*'Projections-BEST'!H$17,IF(H$9=2,Inputs!$E$71*'Projections-BEST'!H$17,Inputs!$E$72*'Projections-BEST'!H$17))</f>
        <v>300</v>
      </c>
      <c r="I48" s="67">
        <f>IF(I$9=1,Inputs!$E$70*'Projections-BEST'!I$17,IF(I$9=2,Inputs!$E$71*'Projections-BEST'!I$17,Inputs!$E$72*'Projections-BEST'!I$17))</f>
        <v>300</v>
      </c>
      <c r="J48" s="67">
        <f>IF(J$9=1,Inputs!$E$70*'Projections-BEST'!J$17,IF(J$9=2,Inputs!$E$71*'Projections-BEST'!J$17,Inputs!$E$72*'Projections-BEST'!J$17))</f>
        <v>900</v>
      </c>
      <c r="K48" s="67">
        <f>IF(K$9=1,Inputs!$E$70*'Projections-BEST'!K$17,IF(K$9=2,Inputs!$E$71*'Projections-BEST'!K$17,Inputs!$E$72*'Projections-BEST'!K$17))</f>
        <v>300</v>
      </c>
      <c r="L48" s="67">
        <f>IF(L$9=1,Inputs!$E$70*'Projections-BEST'!L$17,IF(L$9=2,Inputs!$E$71*'Projections-BEST'!L$17,Inputs!$E$72*'Projections-BEST'!L$17))</f>
        <v>900</v>
      </c>
      <c r="M48" s="67">
        <f>IF(M$9=1,Inputs!$E$70*'Projections-BEST'!M$17,IF(M$9=2,Inputs!$E$71*'Projections-BEST'!M$17,Inputs!$E$72*'Projections-BEST'!M$17))</f>
        <v>300</v>
      </c>
      <c r="N48" s="67">
        <f>IF(N$9=1,Inputs!$E$70*'Projections-BEST'!N$17,IF(N$9=2,Inputs!$E$71*'Projections-BEST'!N$17,Inputs!$E$72*'Projections-BEST'!N$17))</f>
        <v>300</v>
      </c>
      <c r="O48" s="67">
        <f>IF(O$9=1,Inputs!$E$70*'Projections-BEST'!O$17,IF(O$9=2,Inputs!$E$71*'Projections-BEST'!O$17,Inputs!$E$72*'Projections-BEST'!O$17))</f>
        <v>420</v>
      </c>
      <c r="P48" s="67">
        <f>IF(P$9=1,Inputs!$E$70*'Projections-BEST'!P$17,IF(P$9=2,Inputs!$E$71*'Projections-BEST'!P$17,Inputs!$E$72*'Projections-BEST'!P$17))</f>
        <v>420</v>
      </c>
      <c r="Q48" s="67">
        <f>IF(Q$9=1,Inputs!$E$70*'Projections-BEST'!Q$17,IF(Q$9=2,Inputs!$E$71*'Projections-BEST'!Q$17,Inputs!$E$72*'Projections-BEST'!Q$17))</f>
        <v>420</v>
      </c>
      <c r="R48" s="67">
        <f>IF(R$9=1,Inputs!$E$70*'Projections-BEST'!R$17,IF(R$9=2,Inputs!$E$71*'Projections-BEST'!R$17,Inputs!$E$72*'Projections-BEST'!R$17))</f>
        <v>1260</v>
      </c>
      <c r="S48" s="67">
        <f>IF(S$9=1,Inputs!$E$70*'Projections-BEST'!S$17,IF(S$9=2,Inputs!$E$71*'Projections-BEST'!S$17,Inputs!$E$72*'Projections-BEST'!S$17))</f>
        <v>1260</v>
      </c>
      <c r="T48" s="67">
        <f>IF(T$9=1,Inputs!$E$70*'Projections-BEST'!T$17,IF(T$9=2,Inputs!$E$71*'Projections-BEST'!T$17,Inputs!$E$72*'Projections-BEST'!T$17))</f>
        <v>420</v>
      </c>
      <c r="U48" s="67">
        <f>IF(U$9=1,Inputs!$E$70*'Projections-BEST'!U$17,IF(U$9=2,Inputs!$E$71*'Projections-BEST'!U$17,Inputs!$E$72*'Projections-BEST'!U$17))</f>
        <v>420</v>
      </c>
      <c r="V48" s="67">
        <f>IF(V$9=1,Inputs!$E$70*'Projections-BEST'!V$17,IF(V$9=2,Inputs!$E$71*'Projections-BEST'!V$17,Inputs!$E$72*'Projections-BEST'!V$17))</f>
        <v>1260</v>
      </c>
      <c r="W48" s="67">
        <f>IF(W$9=1,Inputs!$E$70*'Projections-BEST'!W$17,IF(W$9=2,Inputs!$E$71*'Projections-BEST'!W$17,Inputs!$E$72*'Projections-BEST'!W$17))</f>
        <v>420</v>
      </c>
      <c r="X48" s="67">
        <f>IF(X$9=1,Inputs!$E$70*'Projections-BEST'!X$17,IF(X$9=2,Inputs!$E$71*'Projections-BEST'!X$17,Inputs!$E$72*'Projections-BEST'!X$17))</f>
        <v>1260</v>
      </c>
      <c r="Y48" s="67">
        <f>IF(Y$9=1,Inputs!$E$70*'Projections-BEST'!Y$17,IF(Y$9=2,Inputs!$E$71*'Projections-BEST'!Y$17,Inputs!$E$72*'Projections-BEST'!Y$17))</f>
        <v>420</v>
      </c>
      <c r="Z48" s="67">
        <f>IF(Z$9=1,Inputs!$E$70*'Projections-BEST'!Z$17,IF(Z$9=2,Inputs!$E$71*'Projections-BEST'!Z$17,Inputs!$E$72*'Projections-BEST'!Z$17))</f>
        <v>420</v>
      </c>
      <c r="AA48" s="67">
        <f>IF(AA$9=1,Inputs!$E$70*'Projections-BEST'!AA$17,IF(AA$9=2,Inputs!$E$71*'Projections-BEST'!AA$17,Inputs!$E$72*'Projections-BEST'!AA$17))</f>
        <v>630</v>
      </c>
      <c r="AB48" s="67">
        <f>IF(AB$9=1,Inputs!$E$70*'Projections-BEST'!AB$17,IF(AB$9=2,Inputs!$E$71*'Projections-BEST'!AB$17,Inputs!$E$72*'Projections-BEST'!AB$17))</f>
        <v>630</v>
      </c>
      <c r="AC48" s="67">
        <f>IF(AC$9=1,Inputs!$E$70*'Projections-BEST'!AC$17,IF(AC$9=2,Inputs!$E$71*'Projections-BEST'!AC$17,Inputs!$E$72*'Projections-BEST'!AC$17))</f>
        <v>630</v>
      </c>
      <c r="AD48" s="67">
        <f>IF(AD$9=1,Inputs!$E$70*'Projections-BEST'!AD$17,IF(AD$9=2,Inputs!$E$71*'Projections-BEST'!AD$17,Inputs!$E$72*'Projections-BEST'!AD$17))</f>
        <v>1890</v>
      </c>
      <c r="AE48" s="67">
        <f>IF(AE$9=1,Inputs!$E$70*'Projections-BEST'!AE$17,IF(AE$9=2,Inputs!$E$71*'Projections-BEST'!AE$17,Inputs!$E$72*'Projections-BEST'!AE$17))</f>
        <v>1890</v>
      </c>
      <c r="AF48" s="67">
        <f>IF(AF$9=1,Inputs!$E$70*'Projections-BEST'!AF$17,IF(AF$9=2,Inputs!$E$71*'Projections-BEST'!AF$17,Inputs!$E$72*'Projections-BEST'!AF$17))</f>
        <v>630</v>
      </c>
      <c r="AG48" s="67">
        <f>IF(AG$9=1,Inputs!$E$70*'Projections-BEST'!AG$17,IF(AG$9=2,Inputs!$E$71*'Projections-BEST'!AG$17,Inputs!$E$72*'Projections-BEST'!AG$17))</f>
        <v>630</v>
      </c>
      <c r="AH48" s="67">
        <f>IF(AH$9=1,Inputs!$E$70*'Projections-BEST'!AH$17,IF(AH$9=2,Inputs!$E$71*'Projections-BEST'!AH$17,Inputs!$E$72*'Projections-BEST'!AH$17))</f>
        <v>1890</v>
      </c>
      <c r="AI48" s="67">
        <f>IF(AI$9=1,Inputs!$E$70*'Projections-BEST'!AI$17,IF(AI$9=2,Inputs!$E$71*'Projections-BEST'!AI$17,Inputs!$E$72*'Projections-BEST'!AI$17))</f>
        <v>630</v>
      </c>
      <c r="AJ48" s="67">
        <f>IF(AJ$9=1,Inputs!$E$70*'Projections-BEST'!AJ$17,IF(AJ$9=2,Inputs!$E$71*'Projections-BEST'!AJ$17,Inputs!$E$72*'Projections-BEST'!AJ$17))</f>
        <v>1890</v>
      </c>
      <c r="AK48" s="67">
        <f>IF(AK$9=1,Inputs!$E$70*'Projections-BEST'!AK$17,IF(AK$9=2,Inputs!$E$71*'Projections-BEST'!AK$17,Inputs!$E$72*'Projections-BEST'!AK$17))</f>
        <v>630</v>
      </c>
      <c r="AL48" s="67">
        <f>IF(AL$9=1,Inputs!$E$70*'Projections-BEST'!AL$17,IF(AL$9=2,Inputs!$E$71*'Projections-BEST'!AL$17,Inputs!$E$72*'Projections-BEST'!AL$17))</f>
        <v>630</v>
      </c>
      <c r="AM48" s="67">
        <f>IF(AM$9=1,Inputs!$E$70*'Projections-BEST'!AM$17,IF(AM$9=2,Inputs!$E$71*'Projections-BEST'!AM$17,Inputs!$E$72*'Projections-BEST'!AM$17))</f>
        <v>630</v>
      </c>
      <c r="AN48" s="67">
        <f>IF(AN$9=1,Inputs!$E$70*'Projections-BEST'!AN$17,IF(AN$9=2,Inputs!$E$71*'Projections-BEST'!AN$17,Inputs!$E$72*'Projections-BEST'!AN$17))</f>
        <v>630</v>
      </c>
    </row>
    <row r="49" spans="1:40" s="16" customFormat="1">
      <c r="A49" s="1"/>
      <c r="B49" s="1"/>
      <c r="C49" s="32"/>
      <c r="D49" s="15"/>
    </row>
    <row r="50" spans="1:40" s="49" customFormat="1">
      <c r="A50" s="2"/>
      <c r="B50" s="2" t="s">
        <v>220</v>
      </c>
      <c r="C50" s="48"/>
      <c r="D50" s="52"/>
      <c r="E50" s="68">
        <f>SUM(E51:E70)</f>
        <v>18440</v>
      </c>
      <c r="F50" s="68">
        <f t="shared" ref="F50:AN50" si="9">SUM(F51:F70)</f>
        <v>18440</v>
      </c>
      <c r="G50" s="68">
        <f t="shared" si="9"/>
        <v>18440</v>
      </c>
      <c r="H50" s="68">
        <f t="shared" si="9"/>
        <v>18440</v>
      </c>
      <c r="I50" s="68">
        <f t="shared" si="9"/>
        <v>18440</v>
      </c>
      <c r="J50" s="68">
        <f t="shared" si="9"/>
        <v>18440</v>
      </c>
      <c r="K50" s="68">
        <f t="shared" si="9"/>
        <v>18440</v>
      </c>
      <c r="L50" s="68">
        <f t="shared" si="9"/>
        <v>18440</v>
      </c>
      <c r="M50" s="68">
        <f t="shared" si="9"/>
        <v>18440</v>
      </c>
      <c r="N50" s="68">
        <f t="shared" si="9"/>
        <v>18440</v>
      </c>
      <c r="O50" s="68">
        <f t="shared" si="9"/>
        <v>18990.2</v>
      </c>
      <c r="P50" s="68">
        <f t="shared" si="9"/>
        <v>18990.2</v>
      </c>
      <c r="Q50" s="68">
        <f t="shared" si="9"/>
        <v>18990.2</v>
      </c>
      <c r="R50" s="68">
        <f t="shared" si="9"/>
        <v>18990.2</v>
      </c>
      <c r="S50" s="68">
        <f t="shared" si="9"/>
        <v>18990.2</v>
      </c>
      <c r="T50" s="68">
        <f t="shared" si="9"/>
        <v>18990.2</v>
      </c>
      <c r="U50" s="68">
        <f t="shared" si="9"/>
        <v>18990.2</v>
      </c>
      <c r="V50" s="68">
        <f t="shared" si="9"/>
        <v>18990.2</v>
      </c>
      <c r="W50" s="68">
        <f t="shared" si="9"/>
        <v>18990.2</v>
      </c>
      <c r="X50" s="68">
        <f t="shared" si="9"/>
        <v>18990.2</v>
      </c>
      <c r="Y50" s="68">
        <f t="shared" si="9"/>
        <v>18990.2</v>
      </c>
      <c r="Z50" s="68">
        <f t="shared" si="9"/>
        <v>18990.2</v>
      </c>
      <c r="AA50" s="68">
        <f t="shared" si="9"/>
        <v>20622.5</v>
      </c>
      <c r="AB50" s="68">
        <f t="shared" si="9"/>
        <v>20622.5</v>
      </c>
      <c r="AC50" s="68">
        <f t="shared" si="9"/>
        <v>20622.5</v>
      </c>
      <c r="AD50" s="68">
        <f t="shared" si="9"/>
        <v>20622.5</v>
      </c>
      <c r="AE50" s="68">
        <f t="shared" si="9"/>
        <v>20622.5</v>
      </c>
      <c r="AF50" s="68">
        <f t="shared" si="9"/>
        <v>20622.5</v>
      </c>
      <c r="AG50" s="68">
        <f t="shared" si="9"/>
        <v>20622.5</v>
      </c>
      <c r="AH50" s="68">
        <f t="shared" si="9"/>
        <v>20622.5</v>
      </c>
      <c r="AI50" s="68">
        <f t="shared" si="9"/>
        <v>20622.5</v>
      </c>
      <c r="AJ50" s="68">
        <f t="shared" si="9"/>
        <v>20622.5</v>
      </c>
      <c r="AK50" s="68">
        <f t="shared" si="9"/>
        <v>20622.5</v>
      </c>
      <c r="AL50" s="68">
        <f t="shared" si="9"/>
        <v>20622.5</v>
      </c>
      <c r="AM50" s="68">
        <f t="shared" si="9"/>
        <v>21057.865400000002</v>
      </c>
      <c r="AN50" s="68">
        <f t="shared" si="9"/>
        <v>21057.865400000002</v>
      </c>
    </row>
    <row r="51" spans="1:40" s="16" customFormat="1">
      <c r="A51" s="1"/>
      <c r="B51" s="1"/>
      <c r="C51" s="34" t="str">
        <f>Inputs!C95</f>
        <v>Executive Director</v>
      </c>
      <c r="D51" s="15"/>
      <c r="E51" s="67">
        <f>Inputs!$E95*(1+('Projections-BEST'!E$9-1)*Inputs!$E$94)</f>
        <v>6000</v>
      </c>
      <c r="F51" s="67">
        <f>Inputs!$E95*(1+('Projections-BEST'!F$9-1)*Inputs!$E$94)</f>
        <v>6000</v>
      </c>
      <c r="G51" s="67">
        <f>Inputs!$E95*(1+('Projections-BEST'!G$9-1)*Inputs!$E$94)</f>
        <v>6000</v>
      </c>
      <c r="H51" s="67">
        <f>Inputs!$E95*(1+('Projections-BEST'!H$9-1)*Inputs!$E$94)</f>
        <v>6000</v>
      </c>
      <c r="I51" s="67">
        <f>Inputs!$E95*(1+('Projections-BEST'!I$9-1)*Inputs!$E$94)</f>
        <v>6000</v>
      </c>
      <c r="J51" s="67">
        <f>Inputs!$E95*(1+('Projections-BEST'!J$9-1)*Inputs!$E$94)</f>
        <v>6000</v>
      </c>
      <c r="K51" s="67">
        <f>Inputs!$E95*(1+('Projections-BEST'!K$9-1)*Inputs!$E$94)</f>
        <v>6000</v>
      </c>
      <c r="L51" s="67">
        <f>Inputs!$E95*(1+('Projections-BEST'!L$9-1)*Inputs!$E$94)</f>
        <v>6000</v>
      </c>
      <c r="M51" s="67">
        <f>Inputs!$E95*(1+('Projections-BEST'!M$9-1)*Inputs!$E$94)</f>
        <v>6000</v>
      </c>
      <c r="N51" s="67">
        <f>Inputs!$E95*(1+('Projections-BEST'!N$9-1)*Inputs!$E$94)</f>
        <v>6000</v>
      </c>
      <c r="O51" s="67">
        <f>Inputs!$E95*(1+('Projections-BEST'!O$9-1)*Inputs!$E$94)</f>
        <v>6180</v>
      </c>
      <c r="P51" s="67">
        <f>Inputs!$E95*(1+('Projections-BEST'!P$9-1)*Inputs!$E$94)</f>
        <v>6180</v>
      </c>
      <c r="Q51" s="67">
        <f>Inputs!$E95*(1+('Projections-BEST'!Q$9-1)*Inputs!$E$94)</f>
        <v>6180</v>
      </c>
      <c r="R51" s="67">
        <f>Inputs!$E95*(1+('Projections-BEST'!R$9-1)*Inputs!$E$94)</f>
        <v>6180</v>
      </c>
      <c r="S51" s="67">
        <f>Inputs!$E95*(1+('Projections-BEST'!S$9-1)*Inputs!$E$94)</f>
        <v>6180</v>
      </c>
      <c r="T51" s="67">
        <f>Inputs!$E95*(1+('Projections-BEST'!T$9-1)*Inputs!$E$94)</f>
        <v>6180</v>
      </c>
      <c r="U51" s="67">
        <f>Inputs!$E95*(1+('Projections-BEST'!U$9-1)*Inputs!$E$94)</f>
        <v>6180</v>
      </c>
      <c r="V51" s="67">
        <f>Inputs!$E95*(1+('Projections-BEST'!V$9-1)*Inputs!$E$94)</f>
        <v>6180</v>
      </c>
      <c r="W51" s="67">
        <f>Inputs!$E95*(1+('Projections-BEST'!W$9-1)*Inputs!$E$94)</f>
        <v>6180</v>
      </c>
      <c r="X51" s="67">
        <f>Inputs!$E95*(1+('Projections-BEST'!X$9-1)*Inputs!$E$94)</f>
        <v>6180</v>
      </c>
      <c r="Y51" s="67">
        <f>Inputs!$E95*(1+('Projections-BEST'!Y$9-1)*Inputs!$E$94)</f>
        <v>6180</v>
      </c>
      <c r="Z51" s="67">
        <f>Inputs!$E95*(1+('Projections-BEST'!Z$9-1)*Inputs!$E$94)</f>
        <v>6180</v>
      </c>
      <c r="AA51" s="67">
        <f>Inputs!$E95*(1+('Projections-BEST'!AA$9-1)*Inputs!$E$94)</f>
        <v>6360</v>
      </c>
      <c r="AB51" s="67">
        <f>Inputs!$E95*(1+('Projections-BEST'!AB$9-1)*Inputs!$E$94)</f>
        <v>6360</v>
      </c>
      <c r="AC51" s="67">
        <f>Inputs!$E95*(1+('Projections-BEST'!AC$9-1)*Inputs!$E$94)</f>
        <v>6360</v>
      </c>
      <c r="AD51" s="67">
        <f>Inputs!$E95*(1+('Projections-BEST'!AD$9-1)*Inputs!$E$94)</f>
        <v>6360</v>
      </c>
      <c r="AE51" s="67">
        <f>Inputs!$E95*(1+('Projections-BEST'!AE$9-1)*Inputs!$E$94)</f>
        <v>6360</v>
      </c>
      <c r="AF51" s="67">
        <f>Inputs!$E95*(1+('Projections-BEST'!AF$9-1)*Inputs!$E$94)</f>
        <v>6360</v>
      </c>
      <c r="AG51" s="67">
        <f>Inputs!$E95*(1+('Projections-BEST'!AG$9-1)*Inputs!$E$94)</f>
        <v>6360</v>
      </c>
      <c r="AH51" s="67">
        <f>Inputs!$E95*(1+('Projections-BEST'!AH$9-1)*Inputs!$E$94)</f>
        <v>6360</v>
      </c>
      <c r="AI51" s="67">
        <f>Inputs!$E95*(1+('Projections-BEST'!AI$9-1)*Inputs!$E$94)</f>
        <v>6360</v>
      </c>
      <c r="AJ51" s="67">
        <f>Inputs!$E95*(1+('Projections-BEST'!AJ$9-1)*Inputs!$E$94)</f>
        <v>6360</v>
      </c>
      <c r="AK51" s="67">
        <f>Inputs!$E95*(1+('Projections-BEST'!AK$9-1)*Inputs!$E$94)</f>
        <v>6360</v>
      </c>
      <c r="AL51" s="67">
        <f>Inputs!$E95*(1+('Projections-BEST'!AL$9-1)*Inputs!$E$94)</f>
        <v>6360</v>
      </c>
      <c r="AM51" s="67">
        <f>Inputs!$E95*(1+('Projections-BEST'!AM$9-1)*Inputs!$E$94)</f>
        <v>6540.0000000000009</v>
      </c>
      <c r="AN51" s="67">
        <f>Inputs!$E95*(1+('Projections-BEST'!AN$9-1)*Inputs!$E$94)</f>
        <v>6540.0000000000009</v>
      </c>
    </row>
    <row r="52" spans="1:40" s="16" customFormat="1">
      <c r="A52" s="1"/>
      <c r="B52" s="1"/>
      <c r="C52" s="34" t="str">
        <f>Inputs!C96</f>
        <v>Deputy Director</v>
      </c>
      <c r="D52" s="15"/>
      <c r="E52" s="67">
        <f>Inputs!$E96*(1+('Projections-BEST'!E$9-1)*Inputs!$E$94)</f>
        <v>5000</v>
      </c>
      <c r="F52" s="67">
        <f>Inputs!$E96*(1+('Projections-BEST'!F$9-1)*Inputs!$E$94)</f>
        <v>5000</v>
      </c>
      <c r="G52" s="67">
        <f>Inputs!$E96*(1+('Projections-BEST'!G$9-1)*Inputs!$E$94)</f>
        <v>5000</v>
      </c>
      <c r="H52" s="67">
        <f>Inputs!$E96*(1+('Projections-BEST'!H$9-1)*Inputs!$E$94)</f>
        <v>5000</v>
      </c>
      <c r="I52" s="67">
        <f>Inputs!$E96*(1+('Projections-BEST'!I$9-1)*Inputs!$E$94)</f>
        <v>5000</v>
      </c>
      <c r="J52" s="67">
        <f>Inputs!$E96*(1+('Projections-BEST'!J$9-1)*Inputs!$E$94)</f>
        <v>5000</v>
      </c>
      <c r="K52" s="67">
        <f>Inputs!$E96*(1+('Projections-BEST'!K$9-1)*Inputs!$E$94)</f>
        <v>5000</v>
      </c>
      <c r="L52" s="67">
        <f>Inputs!$E96*(1+('Projections-BEST'!L$9-1)*Inputs!$E$94)</f>
        <v>5000</v>
      </c>
      <c r="M52" s="67">
        <f>Inputs!$E96*(1+('Projections-BEST'!M$9-1)*Inputs!$E$94)</f>
        <v>5000</v>
      </c>
      <c r="N52" s="67">
        <f>Inputs!$E96*(1+('Projections-BEST'!N$9-1)*Inputs!$E$94)</f>
        <v>5000</v>
      </c>
      <c r="O52" s="67">
        <f>Inputs!$E96*(1+('Projections-BEST'!O$9-1)*Inputs!$E$94)</f>
        <v>5150</v>
      </c>
      <c r="P52" s="67">
        <f>Inputs!$E96*(1+('Projections-BEST'!P$9-1)*Inputs!$E$94)</f>
        <v>5150</v>
      </c>
      <c r="Q52" s="67">
        <f>Inputs!$E96*(1+('Projections-BEST'!Q$9-1)*Inputs!$E$94)</f>
        <v>5150</v>
      </c>
      <c r="R52" s="67">
        <f>Inputs!$E96*(1+('Projections-BEST'!R$9-1)*Inputs!$E$94)</f>
        <v>5150</v>
      </c>
      <c r="S52" s="67">
        <f>Inputs!$E96*(1+('Projections-BEST'!S$9-1)*Inputs!$E$94)</f>
        <v>5150</v>
      </c>
      <c r="T52" s="67">
        <f>Inputs!$E96*(1+('Projections-BEST'!T$9-1)*Inputs!$E$94)</f>
        <v>5150</v>
      </c>
      <c r="U52" s="67">
        <f>Inputs!$E96*(1+('Projections-BEST'!U$9-1)*Inputs!$E$94)</f>
        <v>5150</v>
      </c>
      <c r="V52" s="67">
        <f>Inputs!$E96*(1+('Projections-BEST'!V$9-1)*Inputs!$E$94)</f>
        <v>5150</v>
      </c>
      <c r="W52" s="67">
        <f>Inputs!$E96*(1+('Projections-BEST'!W$9-1)*Inputs!$E$94)</f>
        <v>5150</v>
      </c>
      <c r="X52" s="67">
        <f>Inputs!$E96*(1+('Projections-BEST'!X$9-1)*Inputs!$E$94)</f>
        <v>5150</v>
      </c>
      <c r="Y52" s="67">
        <f>Inputs!$E96*(1+('Projections-BEST'!Y$9-1)*Inputs!$E$94)</f>
        <v>5150</v>
      </c>
      <c r="Z52" s="67">
        <f>Inputs!$E96*(1+('Projections-BEST'!Z$9-1)*Inputs!$E$94)</f>
        <v>5150</v>
      </c>
      <c r="AA52" s="67">
        <f>Inputs!$E96*(1+('Projections-BEST'!AA$9-1)*Inputs!$E$94)</f>
        <v>5300</v>
      </c>
      <c r="AB52" s="67">
        <f>Inputs!$E96*(1+('Projections-BEST'!AB$9-1)*Inputs!$E$94)</f>
        <v>5300</v>
      </c>
      <c r="AC52" s="67">
        <f>Inputs!$E96*(1+('Projections-BEST'!AC$9-1)*Inputs!$E$94)</f>
        <v>5300</v>
      </c>
      <c r="AD52" s="67">
        <f>Inputs!$E96*(1+('Projections-BEST'!AD$9-1)*Inputs!$E$94)</f>
        <v>5300</v>
      </c>
      <c r="AE52" s="67">
        <f>Inputs!$E96*(1+('Projections-BEST'!AE$9-1)*Inputs!$E$94)</f>
        <v>5300</v>
      </c>
      <c r="AF52" s="67">
        <f>Inputs!$E96*(1+('Projections-BEST'!AF$9-1)*Inputs!$E$94)</f>
        <v>5300</v>
      </c>
      <c r="AG52" s="67">
        <f>Inputs!$E96*(1+('Projections-BEST'!AG$9-1)*Inputs!$E$94)</f>
        <v>5300</v>
      </c>
      <c r="AH52" s="67">
        <f>Inputs!$E96*(1+('Projections-BEST'!AH$9-1)*Inputs!$E$94)</f>
        <v>5300</v>
      </c>
      <c r="AI52" s="67">
        <f>Inputs!$E96*(1+('Projections-BEST'!AI$9-1)*Inputs!$E$94)</f>
        <v>5300</v>
      </c>
      <c r="AJ52" s="67">
        <f>Inputs!$E96*(1+('Projections-BEST'!AJ$9-1)*Inputs!$E$94)</f>
        <v>5300</v>
      </c>
      <c r="AK52" s="67">
        <f>Inputs!$E96*(1+('Projections-BEST'!AK$9-1)*Inputs!$E$94)</f>
        <v>5300</v>
      </c>
      <c r="AL52" s="67">
        <f>Inputs!$E96*(1+('Projections-BEST'!AL$9-1)*Inputs!$E$94)</f>
        <v>5300</v>
      </c>
      <c r="AM52" s="67">
        <f>Inputs!$E96*(1+('Projections-BEST'!AM$9-1)*Inputs!$E$94)</f>
        <v>5450</v>
      </c>
      <c r="AN52" s="67">
        <f>Inputs!$E96*(1+('Projections-BEST'!AN$9-1)*Inputs!$E$94)</f>
        <v>5450</v>
      </c>
    </row>
    <row r="53" spans="1:40" s="16" customFormat="1">
      <c r="A53" s="1"/>
      <c r="B53" s="1"/>
      <c r="C53" s="34" t="str">
        <f>Inputs!C97</f>
        <v>&lt;Indirect Labor Individual #3 Monthly Salary, CY 1&gt;</v>
      </c>
      <c r="D53" s="15"/>
      <c r="E53" s="67">
        <f>Inputs!$E97*(1+('Projections-BEST'!E$9-1)*Inputs!$E$94)</f>
        <v>0</v>
      </c>
      <c r="F53" s="67">
        <f>Inputs!$E97*(1+('Projections-BEST'!F$9-1)*Inputs!$E$94)</f>
        <v>0</v>
      </c>
      <c r="G53" s="67">
        <f>Inputs!$E97*(1+('Projections-BEST'!G$9-1)*Inputs!$E$94)</f>
        <v>0</v>
      </c>
      <c r="H53" s="67">
        <f>Inputs!$E97*(1+('Projections-BEST'!H$9-1)*Inputs!$E$94)</f>
        <v>0</v>
      </c>
      <c r="I53" s="67">
        <f>Inputs!$E97*(1+('Projections-BEST'!I$9-1)*Inputs!$E$94)</f>
        <v>0</v>
      </c>
      <c r="J53" s="67">
        <f>Inputs!$E97*(1+('Projections-BEST'!J$9-1)*Inputs!$E$94)</f>
        <v>0</v>
      </c>
      <c r="K53" s="67">
        <f>Inputs!$E97*(1+('Projections-BEST'!K$9-1)*Inputs!$E$94)</f>
        <v>0</v>
      </c>
      <c r="L53" s="67">
        <f>Inputs!$E97*(1+('Projections-BEST'!L$9-1)*Inputs!$E$94)</f>
        <v>0</v>
      </c>
      <c r="M53" s="67">
        <f>Inputs!$E97*(1+('Projections-BEST'!M$9-1)*Inputs!$E$94)</f>
        <v>0</v>
      </c>
      <c r="N53" s="67">
        <f>Inputs!$E97*(1+('Projections-BEST'!N$9-1)*Inputs!$E$94)</f>
        <v>0</v>
      </c>
      <c r="O53" s="67">
        <f>Inputs!$E97*(1+('Projections-BEST'!O$9-1)*Inputs!$E$94)</f>
        <v>0</v>
      </c>
      <c r="P53" s="67">
        <f>Inputs!$E97*(1+('Projections-BEST'!P$9-1)*Inputs!$E$94)</f>
        <v>0</v>
      </c>
      <c r="Q53" s="67">
        <f>Inputs!$E97*(1+('Projections-BEST'!Q$9-1)*Inputs!$E$94)</f>
        <v>0</v>
      </c>
      <c r="R53" s="67">
        <f>Inputs!$E97*(1+('Projections-BEST'!R$9-1)*Inputs!$E$94)</f>
        <v>0</v>
      </c>
      <c r="S53" s="67">
        <f>Inputs!$E97*(1+('Projections-BEST'!S$9-1)*Inputs!$E$94)</f>
        <v>0</v>
      </c>
      <c r="T53" s="67">
        <f>Inputs!$E97*(1+('Projections-BEST'!T$9-1)*Inputs!$E$94)</f>
        <v>0</v>
      </c>
      <c r="U53" s="67">
        <f>Inputs!$E97*(1+('Projections-BEST'!U$9-1)*Inputs!$E$94)</f>
        <v>0</v>
      </c>
      <c r="V53" s="67">
        <f>Inputs!$E97*(1+('Projections-BEST'!V$9-1)*Inputs!$E$94)</f>
        <v>0</v>
      </c>
      <c r="W53" s="67">
        <f>Inputs!$E97*(1+('Projections-BEST'!W$9-1)*Inputs!$E$94)</f>
        <v>0</v>
      </c>
      <c r="X53" s="67">
        <f>Inputs!$E97*(1+('Projections-BEST'!X$9-1)*Inputs!$E$94)</f>
        <v>0</v>
      </c>
      <c r="Y53" s="67">
        <f>Inputs!$E97*(1+('Projections-BEST'!Y$9-1)*Inputs!$E$94)</f>
        <v>0</v>
      </c>
      <c r="Z53" s="67">
        <f>Inputs!$E97*(1+('Projections-BEST'!Z$9-1)*Inputs!$E$94)</f>
        <v>0</v>
      </c>
      <c r="AA53" s="67">
        <f>Inputs!$E97*(1+('Projections-BEST'!AA$9-1)*Inputs!$E$94)</f>
        <v>0</v>
      </c>
      <c r="AB53" s="67">
        <f>Inputs!$E97*(1+('Projections-BEST'!AB$9-1)*Inputs!$E$94)</f>
        <v>0</v>
      </c>
      <c r="AC53" s="67">
        <f>Inputs!$E97*(1+('Projections-BEST'!AC$9-1)*Inputs!$E$94)</f>
        <v>0</v>
      </c>
      <c r="AD53" s="67">
        <f>Inputs!$E97*(1+('Projections-BEST'!AD$9-1)*Inputs!$E$94)</f>
        <v>0</v>
      </c>
      <c r="AE53" s="67">
        <f>Inputs!$E97*(1+('Projections-BEST'!AE$9-1)*Inputs!$E$94)</f>
        <v>0</v>
      </c>
      <c r="AF53" s="67">
        <f>Inputs!$E97*(1+('Projections-BEST'!AF$9-1)*Inputs!$E$94)</f>
        <v>0</v>
      </c>
      <c r="AG53" s="67">
        <f>Inputs!$E97*(1+('Projections-BEST'!AG$9-1)*Inputs!$E$94)</f>
        <v>0</v>
      </c>
      <c r="AH53" s="67">
        <f>Inputs!$E97*(1+('Projections-BEST'!AH$9-1)*Inputs!$E$94)</f>
        <v>0</v>
      </c>
      <c r="AI53" s="67">
        <f>Inputs!$E97*(1+('Projections-BEST'!AI$9-1)*Inputs!$E$94)</f>
        <v>0</v>
      </c>
      <c r="AJ53" s="67">
        <f>Inputs!$E97*(1+('Projections-BEST'!AJ$9-1)*Inputs!$E$94)</f>
        <v>0</v>
      </c>
      <c r="AK53" s="67">
        <f>Inputs!$E97*(1+('Projections-BEST'!AK$9-1)*Inputs!$E$94)</f>
        <v>0</v>
      </c>
      <c r="AL53" s="67">
        <f>Inputs!$E97*(1+('Projections-BEST'!AL$9-1)*Inputs!$E$94)</f>
        <v>0</v>
      </c>
      <c r="AM53" s="67">
        <f>Inputs!$E97*(1+('Projections-BEST'!AM$9-1)*Inputs!$E$94)</f>
        <v>0</v>
      </c>
      <c r="AN53" s="67">
        <f>Inputs!$E97*(1+('Projections-BEST'!AN$9-1)*Inputs!$E$94)</f>
        <v>0</v>
      </c>
    </row>
    <row r="54" spans="1:40" s="16" customFormat="1">
      <c r="A54" s="1"/>
      <c r="B54" s="1"/>
      <c r="C54" s="34" t="str">
        <f>Inputs!C98</f>
        <v>&lt;Indirect Labor Individual #4 Monthly Salary, CY 1&gt;</v>
      </c>
      <c r="D54" s="15"/>
      <c r="E54" s="67">
        <f>Inputs!$E98*(1+('Projections-BEST'!E$9-1)*Inputs!$E$94)</f>
        <v>0</v>
      </c>
      <c r="F54" s="67">
        <f>Inputs!$E98*(1+('Projections-BEST'!F$9-1)*Inputs!$E$94)</f>
        <v>0</v>
      </c>
      <c r="G54" s="67">
        <f>Inputs!$E98*(1+('Projections-BEST'!G$9-1)*Inputs!$E$94)</f>
        <v>0</v>
      </c>
      <c r="H54" s="67">
        <f>Inputs!$E98*(1+('Projections-BEST'!H$9-1)*Inputs!$E$94)</f>
        <v>0</v>
      </c>
      <c r="I54" s="67">
        <f>Inputs!$E98*(1+('Projections-BEST'!I$9-1)*Inputs!$E$94)</f>
        <v>0</v>
      </c>
      <c r="J54" s="67">
        <f>Inputs!$E98*(1+('Projections-BEST'!J$9-1)*Inputs!$E$94)</f>
        <v>0</v>
      </c>
      <c r="K54" s="67">
        <f>Inputs!$E98*(1+('Projections-BEST'!K$9-1)*Inputs!$E$94)</f>
        <v>0</v>
      </c>
      <c r="L54" s="67">
        <f>Inputs!$E98*(1+('Projections-BEST'!L$9-1)*Inputs!$E$94)</f>
        <v>0</v>
      </c>
      <c r="M54" s="67">
        <f>Inputs!$E98*(1+('Projections-BEST'!M$9-1)*Inputs!$E$94)</f>
        <v>0</v>
      </c>
      <c r="N54" s="67">
        <f>Inputs!$E98*(1+('Projections-BEST'!N$9-1)*Inputs!$E$94)</f>
        <v>0</v>
      </c>
      <c r="O54" s="67">
        <f>Inputs!$E98*(1+('Projections-BEST'!O$9-1)*Inputs!$E$94)</f>
        <v>0</v>
      </c>
      <c r="P54" s="67">
        <f>Inputs!$E98*(1+('Projections-BEST'!P$9-1)*Inputs!$E$94)</f>
        <v>0</v>
      </c>
      <c r="Q54" s="67">
        <f>Inputs!$E98*(1+('Projections-BEST'!Q$9-1)*Inputs!$E$94)</f>
        <v>0</v>
      </c>
      <c r="R54" s="67">
        <f>Inputs!$E98*(1+('Projections-BEST'!R$9-1)*Inputs!$E$94)</f>
        <v>0</v>
      </c>
      <c r="S54" s="67">
        <f>Inputs!$E98*(1+('Projections-BEST'!S$9-1)*Inputs!$E$94)</f>
        <v>0</v>
      </c>
      <c r="T54" s="67">
        <f>Inputs!$E98*(1+('Projections-BEST'!T$9-1)*Inputs!$E$94)</f>
        <v>0</v>
      </c>
      <c r="U54" s="67">
        <f>Inputs!$E98*(1+('Projections-BEST'!U$9-1)*Inputs!$E$94)</f>
        <v>0</v>
      </c>
      <c r="V54" s="67">
        <f>Inputs!$E98*(1+('Projections-BEST'!V$9-1)*Inputs!$E$94)</f>
        <v>0</v>
      </c>
      <c r="W54" s="67">
        <f>Inputs!$E98*(1+('Projections-BEST'!W$9-1)*Inputs!$E$94)</f>
        <v>0</v>
      </c>
      <c r="X54" s="67">
        <f>Inputs!$E98*(1+('Projections-BEST'!X$9-1)*Inputs!$E$94)</f>
        <v>0</v>
      </c>
      <c r="Y54" s="67">
        <f>Inputs!$E98*(1+('Projections-BEST'!Y$9-1)*Inputs!$E$94)</f>
        <v>0</v>
      </c>
      <c r="Z54" s="67">
        <f>Inputs!$E98*(1+('Projections-BEST'!Z$9-1)*Inputs!$E$94)</f>
        <v>0</v>
      </c>
      <c r="AA54" s="67">
        <f>Inputs!$E98*(1+('Projections-BEST'!AA$9-1)*Inputs!$E$94)</f>
        <v>0</v>
      </c>
      <c r="AB54" s="67">
        <f>Inputs!$E98*(1+('Projections-BEST'!AB$9-1)*Inputs!$E$94)</f>
        <v>0</v>
      </c>
      <c r="AC54" s="67">
        <f>Inputs!$E98*(1+('Projections-BEST'!AC$9-1)*Inputs!$E$94)</f>
        <v>0</v>
      </c>
      <c r="AD54" s="67">
        <f>Inputs!$E98*(1+('Projections-BEST'!AD$9-1)*Inputs!$E$94)</f>
        <v>0</v>
      </c>
      <c r="AE54" s="67">
        <f>Inputs!$E98*(1+('Projections-BEST'!AE$9-1)*Inputs!$E$94)</f>
        <v>0</v>
      </c>
      <c r="AF54" s="67">
        <f>Inputs!$E98*(1+('Projections-BEST'!AF$9-1)*Inputs!$E$94)</f>
        <v>0</v>
      </c>
      <c r="AG54" s="67">
        <f>Inputs!$E98*(1+('Projections-BEST'!AG$9-1)*Inputs!$E$94)</f>
        <v>0</v>
      </c>
      <c r="AH54" s="67">
        <f>Inputs!$E98*(1+('Projections-BEST'!AH$9-1)*Inputs!$E$94)</f>
        <v>0</v>
      </c>
      <c r="AI54" s="67">
        <f>Inputs!$E98*(1+('Projections-BEST'!AI$9-1)*Inputs!$E$94)</f>
        <v>0</v>
      </c>
      <c r="AJ54" s="67">
        <f>Inputs!$E98*(1+('Projections-BEST'!AJ$9-1)*Inputs!$E$94)</f>
        <v>0</v>
      </c>
      <c r="AK54" s="67">
        <f>Inputs!$E98*(1+('Projections-BEST'!AK$9-1)*Inputs!$E$94)</f>
        <v>0</v>
      </c>
      <c r="AL54" s="67">
        <f>Inputs!$E98*(1+('Projections-BEST'!AL$9-1)*Inputs!$E$94)</f>
        <v>0</v>
      </c>
      <c r="AM54" s="67">
        <f>Inputs!$E98*(1+('Projections-BEST'!AM$9-1)*Inputs!$E$94)</f>
        <v>0</v>
      </c>
      <c r="AN54" s="67">
        <f>Inputs!$E98*(1+('Projections-BEST'!AN$9-1)*Inputs!$E$94)</f>
        <v>0</v>
      </c>
    </row>
    <row r="55" spans="1:40" s="16" customFormat="1">
      <c r="A55" s="1"/>
      <c r="B55" s="1"/>
      <c r="C55" s="34" t="str">
        <f>Inputs!C99</f>
        <v>&lt;Indirect Labor Individual #5 Monthly Salary, CY 1&gt;</v>
      </c>
      <c r="D55" s="15"/>
      <c r="E55" s="67">
        <f>Inputs!$E99*(1+('Projections-BEST'!E$9-1)*Inputs!$E$94)</f>
        <v>0</v>
      </c>
      <c r="F55" s="67">
        <f>Inputs!$E99*(1+('Projections-BEST'!F$9-1)*Inputs!$E$94)</f>
        <v>0</v>
      </c>
      <c r="G55" s="67">
        <f>Inputs!$E99*(1+('Projections-BEST'!G$9-1)*Inputs!$E$94)</f>
        <v>0</v>
      </c>
      <c r="H55" s="67">
        <f>Inputs!$E99*(1+('Projections-BEST'!H$9-1)*Inputs!$E$94)</f>
        <v>0</v>
      </c>
      <c r="I55" s="67">
        <f>Inputs!$E99*(1+('Projections-BEST'!I$9-1)*Inputs!$E$94)</f>
        <v>0</v>
      </c>
      <c r="J55" s="67">
        <f>Inputs!$E99*(1+('Projections-BEST'!J$9-1)*Inputs!$E$94)</f>
        <v>0</v>
      </c>
      <c r="K55" s="67">
        <f>Inputs!$E99*(1+('Projections-BEST'!K$9-1)*Inputs!$E$94)</f>
        <v>0</v>
      </c>
      <c r="L55" s="67">
        <f>Inputs!$E99*(1+('Projections-BEST'!L$9-1)*Inputs!$E$94)</f>
        <v>0</v>
      </c>
      <c r="M55" s="67">
        <f>Inputs!$E99*(1+('Projections-BEST'!M$9-1)*Inputs!$E$94)</f>
        <v>0</v>
      </c>
      <c r="N55" s="67">
        <f>Inputs!$E99*(1+('Projections-BEST'!N$9-1)*Inputs!$E$94)</f>
        <v>0</v>
      </c>
      <c r="O55" s="67">
        <f>Inputs!$E99*(1+('Projections-BEST'!O$9-1)*Inputs!$E$94)</f>
        <v>0</v>
      </c>
      <c r="P55" s="67">
        <f>Inputs!$E99*(1+('Projections-BEST'!P$9-1)*Inputs!$E$94)</f>
        <v>0</v>
      </c>
      <c r="Q55" s="67">
        <f>Inputs!$E99*(1+('Projections-BEST'!Q$9-1)*Inputs!$E$94)</f>
        <v>0</v>
      </c>
      <c r="R55" s="67">
        <f>Inputs!$E99*(1+('Projections-BEST'!R$9-1)*Inputs!$E$94)</f>
        <v>0</v>
      </c>
      <c r="S55" s="67">
        <f>Inputs!$E99*(1+('Projections-BEST'!S$9-1)*Inputs!$E$94)</f>
        <v>0</v>
      </c>
      <c r="T55" s="67">
        <f>Inputs!$E99*(1+('Projections-BEST'!T$9-1)*Inputs!$E$94)</f>
        <v>0</v>
      </c>
      <c r="U55" s="67">
        <f>Inputs!$E99*(1+('Projections-BEST'!U$9-1)*Inputs!$E$94)</f>
        <v>0</v>
      </c>
      <c r="V55" s="67">
        <f>Inputs!$E99*(1+('Projections-BEST'!V$9-1)*Inputs!$E$94)</f>
        <v>0</v>
      </c>
      <c r="W55" s="67">
        <f>Inputs!$E99*(1+('Projections-BEST'!W$9-1)*Inputs!$E$94)</f>
        <v>0</v>
      </c>
      <c r="X55" s="67">
        <f>Inputs!$E99*(1+('Projections-BEST'!X$9-1)*Inputs!$E$94)</f>
        <v>0</v>
      </c>
      <c r="Y55" s="67">
        <f>Inputs!$E99*(1+('Projections-BEST'!Y$9-1)*Inputs!$E$94)</f>
        <v>0</v>
      </c>
      <c r="Z55" s="67">
        <f>Inputs!$E99*(1+('Projections-BEST'!Z$9-1)*Inputs!$E$94)</f>
        <v>0</v>
      </c>
      <c r="AA55" s="67">
        <f>Inputs!$E99*(1+('Projections-BEST'!AA$9-1)*Inputs!$E$94)</f>
        <v>0</v>
      </c>
      <c r="AB55" s="67">
        <f>Inputs!$E99*(1+('Projections-BEST'!AB$9-1)*Inputs!$E$94)</f>
        <v>0</v>
      </c>
      <c r="AC55" s="67">
        <f>Inputs!$E99*(1+('Projections-BEST'!AC$9-1)*Inputs!$E$94)</f>
        <v>0</v>
      </c>
      <c r="AD55" s="67">
        <f>Inputs!$E99*(1+('Projections-BEST'!AD$9-1)*Inputs!$E$94)</f>
        <v>0</v>
      </c>
      <c r="AE55" s="67">
        <f>Inputs!$E99*(1+('Projections-BEST'!AE$9-1)*Inputs!$E$94)</f>
        <v>0</v>
      </c>
      <c r="AF55" s="67">
        <f>Inputs!$E99*(1+('Projections-BEST'!AF$9-1)*Inputs!$E$94)</f>
        <v>0</v>
      </c>
      <c r="AG55" s="67">
        <f>Inputs!$E99*(1+('Projections-BEST'!AG$9-1)*Inputs!$E$94)</f>
        <v>0</v>
      </c>
      <c r="AH55" s="67">
        <f>Inputs!$E99*(1+('Projections-BEST'!AH$9-1)*Inputs!$E$94)</f>
        <v>0</v>
      </c>
      <c r="AI55" s="67">
        <f>Inputs!$E99*(1+('Projections-BEST'!AI$9-1)*Inputs!$E$94)</f>
        <v>0</v>
      </c>
      <c r="AJ55" s="67">
        <f>Inputs!$E99*(1+('Projections-BEST'!AJ$9-1)*Inputs!$E$94)</f>
        <v>0</v>
      </c>
      <c r="AK55" s="67">
        <f>Inputs!$E99*(1+('Projections-BEST'!AK$9-1)*Inputs!$E$94)</f>
        <v>0</v>
      </c>
      <c r="AL55" s="67">
        <f>Inputs!$E99*(1+('Projections-BEST'!AL$9-1)*Inputs!$E$94)</f>
        <v>0</v>
      </c>
      <c r="AM55" s="67">
        <f>Inputs!$E99*(1+('Projections-BEST'!AM$9-1)*Inputs!$E$94)</f>
        <v>0</v>
      </c>
      <c r="AN55" s="67">
        <f>Inputs!$E99*(1+('Projections-BEST'!AN$9-1)*Inputs!$E$94)</f>
        <v>0</v>
      </c>
    </row>
    <row r="56" spans="1:40" s="16" customFormat="1">
      <c r="A56" s="1"/>
      <c r="B56" s="1"/>
      <c r="C56" s="34" t="str">
        <f>Inputs!C100</f>
        <v>&lt;Indirect Labor Individual #6 Monthly Salary, CY 1&gt;</v>
      </c>
      <c r="D56" s="15"/>
      <c r="E56" s="67">
        <f>Inputs!$E100*(1+('Projections-BEST'!E$9-1)*Inputs!$E$94)</f>
        <v>0</v>
      </c>
      <c r="F56" s="67">
        <f>Inputs!$E100*(1+('Projections-BEST'!F$9-1)*Inputs!$E$94)</f>
        <v>0</v>
      </c>
      <c r="G56" s="67">
        <f>Inputs!$E100*(1+('Projections-BEST'!G$9-1)*Inputs!$E$94)</f>
        <v>0</v>
      </c>
      <c r="H56" s="67">
        <f>Inputs!$E100*(1+('Projections-BEST'!H$9-1)*Inputs!$E$94)</f>
        <v>0</v>
      </c>
      <c r="I56" s="67">
        <f>Inputs!$E100*(1+('Projections-BEST'!I$9-1)*Inputs!$E$94)</f>
        <v>0</v>
      </c>
      <c r="J56" s="67">
        <f>Inputs!$E100*(1+('Projections-BEST'!J$9-1)*Inputs!$E$94)</f>
        <v>0</v>
      </c>
      <c r="K56" s="67">
        <f>Inputs!$E100*(1+('Projections-BEST'!K$9-1)*Inputs!$E$94)</f>
        <v>0</v>
      </c>
      <c r="L56" s="67">
        <f>Inputs!$E100*(1+('Projections-BEST'!L$9-1)*Inputs!$E$94)</f>
        <v>0</v>
      </c>
      <c r="M56" s="67">
        <f>Inputs!$E100*(1+('Projections-BEST'!M$9-1)*Inputs!$E$94)</f>
        <v>0</v>
      </c>
      <c r="N56" s="67">
        <f>Inputs!$E100*(1+('Projections-BEST'!N$9-1)*Inputs!$E$94)</f>
        <v>0</v>
      </c>
      <c r="O56" s="67">
        <f>Inputs!$E100*(1+('Projections-BEST'!O$9-1)*Inputs!$E$94)</f>
        <v>0</v>
      </c>
      <c r="P56" s="67">
        <f>Inputs!$E100*(1+('Projections-BEST'!P$9-1)*Inputs!$E$94)</f>
        <v>0</v>
      </c>
      <c r="Q56" s="67">
        <f>Inputs!$E100*(1+('Projections-BEST'!Q$9-1)*Inputs!$E$94)</f>
        <v>0</v>
      </c>
      <c r="R56" s="67">
        <f>Inputs!$E100*(1+('Projections-BEST'!R$9-1)*Inputs!$E$94)</f>
        <v>0</v>
      </c>
      <c r="S56" s="67">
        <f>Inputs!$E100*(1+('Projections-BEST'!S$9-1)*Inputs!$E$94)</f>
        <v>0</v>
      </c>
      <c r="T56" s="67">
        <f>Inputs!$E100*(1+('Projections-BEST'!T$9-1)*Inputs!$E$94)</f>
        <v>0</v>
      </c>
      <c r="U56" s="67">
        <f>Inputs!$E100*(1+('Projections-BEST'!U$9-1)*Inputs!$E$94)</f>
        <v>0</v>
      </c>
      <c r="V56" s="67">
        <f>Inputs!$E100*(1+('Projections-BEST'!V$9-1)*Inputs!$E$94)</f>
        <v>0</v>
      </c>
      <c r="W56" s="67">
        <f>Inputs!$E100*(1+('Projections-BEST'!W$9-1)*Inputs!$E$94)</f>
        <v>0</v>
      </c>
      <c r="X56" s="67">
        <f>Inputs!$E100*(1+('Projections-BEST'!X$9-1)*Inputs!$E$94)</f>
        <v>0</v>
      </c>
      <c r="Y56" s="67">
        <f>Inputs!$E100*(1+('Projections-BEST'!Y$9-1)*Inputs!$E$94)</f>
        <v>0</v>
      </c>
      <c r="Z56" s="67">
        <f>Inputs!$E100*(1+('Projections-BEST'!Z$9-1)*Inputs!$E$94)</f>
        <v>0</v>
      </c>
      <c r="AA56" s="67">
        <f>Inputs!$E100*(1+('Projections-BEST'!AA$9-1)*Inputs!$E$94)</f>
        <v>0</v>
      </c>
      <c r="AB56" s="67">
        <f>Inputs!$E100*(1+('Projections-BEST'!AB$9-1)*Inputs!$E$94)</f>
        <v>0</v>
      </c>
      <c r="AC56" s="67">
        <f>Inputs!$E100*(1+('Projections-BEST'!AC$9-1)*Inputs!$E$94)</f>
        <v>0</v>
      </c>
      <c r="AD56" s="67">
        <f>Inputs!$E100*(1+('Projections-BEST'!AD$9-1)*Inputs!$E$94)</f>
        <v>0</v>
      </c>
      <c r="AE56" s="67">
        <f>Inputs!$E100*(1+('Projections-BEST'!AE$9-1)*Inputs!$E$94)</f>
        <v>0</v>
      </c>
      <c r="AF56" s="67">
        <f>Inputs!$E100*(1+('Projections-BEST'!AF$9-1)*Inputs!$E$94)</f>
        <v>0</v>
      </c>
      <c r="AG56" s="67">
        <f>Inputs!$E100*(1+('Projections-BEST'!AG$9-1)*Inputs!$E$94)</f>
        <v>0</v>
      </c>
      <c r="AH56" s="67">
        <f>Inputs!$E100*(1+('Projections-BEST'!AH$9-1)*Inputs!$E$94)</f>
        <v>0</v>
      </c>
      <c r="AI56" s="67">
        <f>Inputs!$E100*(1+('Projections-BEST'!AI$9-1)*Inputs!$E$94)</f>
        <v>0</v>
      </c>
      <c r="AJ56" s="67">
        <f>Inputs!$E100*(1+('Projections-BEST'!AJ$9-1)*Inputs!$E$94)</f>
        <v>0</v>
      </c>
      <c r="AK56" s="67">
        <f>Inputs!$E100*(1+('Projections-BEST'!AK$9-1)*Inputs!$E$94)</f>
        <v>0</v>
      </c>
      <c r="AL56" s="67">
        <f>Inputs!$E100*(1+('Projections-BEST'!AL$9-1)*Inputs!$E$94)</f>
        <v>0</v>
      </c>
      <c r="AM56" s="67">
        <f>Inputs!$E100*(1+('Projections-BEST'!AM$9-1)*Inputs!$E$94)</f>
        <v>0</v>
      </c>
      <c r="AN56" s="67">
        <f>Inputs!$E100*(1+('Projections-BEST'!AN$9-1)*Inputs!$E$94)</f>
        <v>0</v>
      </c>
    </row>
    <row r="57" spans="1:40" s="16" customFormat="1">
      <c r="A57" s="1"/>
      <c r="B57" s="1"/>
      <c r="C57" s="34" t="str">
        <f>Inputs!C101</f>
        <v>&lt;Indirect Labor Individual #7 Monthly Salary, CY 1&gt;</v>
      </c>
      <c r="D57" s="15"/>
      <c r="E57" s="67">
        <f>Inputs!$E101*(1+('Projections-BEST'!E$9-1)*Inputs!$E$94)</f>
        <v>0</v>
      </c>
      <c r="F57" s="67">
        <f>Inputs!$E101*(1+('Projections-BEST'!F$9-1)*Inputs!$E$94)</f>
        <v>0</v>
      </c>
      <c r="G57" s="67">
        <f>Inputs!$E101*(1+('Projections-BEST'!G$9-1)*Inputs!$E$94)</f>
        <v>0</v>
      </c>
      <c r="H57" s="67">
        <f>Inputs!$E101*(1+('Projections-BEST'!H$9-1)*Inputs!$E$94)</f>
        <v>0</v>
      </c>
      <c r="I57" s="67">
        <f>Inputs!$E101*(1+('Projections-BEST'!I$9-1)*Inputs!$E$94)</f>
        <v>0</v>
      </c>
      <c r="J57" s="67">
        <f>Inputs!$E101*(1+('Projections-BEST'!J$9-1)*Inputs!$E$94)</f>
        <v>0</v>
      </c>
      <c r="K57" s="67">
        <f>Inputs!$E101*(1+('Projections-BEST'!K$9-1)*Inputs!$E$94)</f>
        <v>0</v>
      </c>
      <c r="L57" s="67">
        <f>Inputs!$E101*(1+('Projections-BEST'!L$9-1)*Inputs!$E$94)</f>
        <v>0</v>
      </c>
      <c r="M57" s="67">
        <f>Inputs!$E101*(1+('Projections-BEST'!M$9-1)*Inputs!$E$94)</f>
        <v>0</v>
      </c>
      <c r="N57" s="67">
        <f>Inputs!$E101*(1+('Projections-BEST'!N$9-1)*Inputs!$E$94)</f>
        <v>0</v>
      </c>
      <c r="O57" s="67">
        <f>Inputs!$E101*(1+('Projections-BEST'!O$9-1)*Inputs!$E$94)</f>
        <v>0</v>
      </c>
      <c r="P57" s="67">
        <f>Inputs!$E101*(1+('Projections-BEST'!P$9-1)*Inputs!$E$94)</f>
        <v>0</v>
      </c>
      <c r="Q57" s="67">
        <f>Inputs!$E101*(1+('Projections-BEST'!Q$9-1)*Inputs!$E$94)</f>
        <v>0</v>
      </c>
      <c r="R57" s="67">
        <f>Inputs!$E101*(1+('Projections-BEST'!R$9-1)*Inputs!$E$94)</f>
        <v>0</v>
      </c>
      <c r="S57" s="67">
        <f>Inputs!$E101*(1+('Projections-BEST'!S$9-1)*Inputs!$E$94)</f>
        <v>0</v>
      </c>
      <c r="T57" s="67">
        <f>Inputs!$E101*(1+('Projections-BEST'!T$9-1)*Inputs!$E$94)</f>
        <v>0</v>
      </c>
      <c r="U57" s="67">
        <f>Inputs!$E101*(1+('Projections-BEST'!U$9-1)*Inputs!$E$94)</f>
        <v>0</v>
      </c>
      <c r="V57" s="67">
        <f>Inputs!$E101*(1+('Projections-BEST'!V$9-1)*Inputs!$E$94)</f>
        <v>0</v>
      </c>
      <c r="W57" s="67">
        <f>Inputs!$E101*(1+('Projections-BEST'!W$9-1)*Inputs!$E$94)</f>
        <v>0</v>
      </c>
      <c r="X57" s="67">
        <f>Inputs!$E101*(1+('Projections-BEST'!X$9-1)*Inputs!$E$94)</f>
        <v>0</v>
      </c>
      <c r="Y57" s="67">
        <f>Inputs!$E101*(1+('Projections-BEST'!Y$9-1)*Inputs!$E$94)</f>
        <v>0</v>
      </c>
      <c r="Z57" s="67">
        <f>Inputs!$E101*(1+('Projections-BEST'!Z$9-1)*Inputs!$E$94)</f>
        <v>0</v>
      </c>
      <c r="AA57" s="67">
        <f>Inputs!$E101*(1+('Projections-BEST'!AA$9-1)*Inputs!$E$94)</f>
        <v>0</v>
      </c>
      <c r="AB57" s="67">
        <f>Inputs!$E101*(1+('Projections-BEST'!AB$9-1)*Inputs!$E$94)</f>
        <v>0</v>
      </c>
      <c r="AC57" s="67">
        <f>Inputs!$E101*(1+('Projections-BEST'!AC$9-1)*Inputs!$E$94)</f>
        <v>0</v>
      </c>
      <c r="AD57" s="67">
        <f>Inputs!$E101*(1+('Projections-BEST'!AD$9-1)*Inputs!$E$94)</f>
        <v>0</v>
      </c>
      <c r="AE57" s="67">
        <f>Inputs!$E101*(1+('Projections-BEST'!AE$9-1)*Inputs!$E$94)</f>
        <v>0</v>
      </c>
      <c r="AF57" s="67">
        <f>Inputs!$E101*(1+('Projections-BEST'!AF$9-1)*Inputs!$E$94)</f>
        <v>0</v>
      </c>
      <c r="AG57" s="67">
        <f>Inputs!$E101*(1+('Projections-BEST'!AG$9-1)*Inputs!$E$94)</f>
        <v>0</v>
      </c>
      <c r="AH57" s="67">
        <f>Inputs!$E101*(1+('Projections-BEST'!AH$9-1)*Inputs!$E$94)</f>
        <v>0</v>
      </c>
      <c r="AI57" s="67">
        <f>Inputs!$E101*(1+('Projections-BEST'!AI$9-1)*Inputs!$E$94)</f>
        <v>0</v>
      </c>
      <c r="AJ57" s="67">
        <f>Inputs!$E101*(1+('Projections-BEST'!AJ$9-1)*Inputs!$E$94)</f>
        <v>0</v>
      </c>
      <c r="AK57" s="67">
        <f>Inputs!$E101*(1+('Projections-BEST'!AK$9-1)*Inputs!$E$94)</f>
        <v>0</v>
      </c>
      <c r="AL57" s="67">
        <f>Inputs!$E101*(1+('Projections-BEST'!AL$9-1)*Inputs!$E$94)</f>
        <v>0</v>
      </c>
      <c r="AM57" s="67">
        <f>Inputs!$E101*(1+('Projections-BEST'!AM$9-1)*Inputs!$E$94)</f>
        <v>0</v>
      </c>
      <c r="AN57" s="67">
        <f>Inputs!$E101*(1+('Projections-BEST'!AN$9-1)*Inputs!$E$94)</f>
        <v>0</v>
      </c>
    </row>
    <row r="58" spans="1:40" s="16" customFormat="1">
      <c r="A58" s="1"/>
      <c r="B58" s="1"/>
      <c r="C58" s="34" t="str">
        <f>Inputs!C102</f>
        <v>&lt;Indirect Labor Individual #8 Monthly Salary, CY 1&gt;</v>
      </c>
      <c r="D58" s="15"/>
      <c r="E58" s="67">
        <f>Inputs!$E102*(1+('Projections-BEST'!E$9-1)*Inputs!$E$94)</f>
        <v>0</v>
      </c>
      <c r="F58" s="67">
        <f>Inputs!$E102*(1+('Projections-BEST'!F$9-1)*Inputs!$E$94)</f>
        <v>0</v>
      </c>
      <c r="G58" s="67">
        <f>Inputs!$E102*(1+('Projections-BEST'!G$9-1)*Inputs!$E$94)</f>
        <v>0</v>
      </c>
      <c r="H58" s="67">
        <f>Inputs!$E102*(1+('Projections-BEST'!H$9-1)*Inputs!$E$94)</f>
        <v>0</v>
      </c>
      <c r="I58" s="67">
        <f>Inputs!$E102*(1+('Projections-BEST'!I$9-1)*Inputs!$E$94)</f>
        <v>0</v>
      </c>
      <c r="J58" s="67">
        <f>Inputs!$E102*(1+('Projections-BEST'!J$9-1)*Inputs!$E$94)</f>
        <v>0</v>
      </c>
      <c r="K58" s="67">
        <f>Inputs!$E102*(1+('Projections-BEST'!K$9-1)*Inputs!$E$94)</f>
        <v>0</v>
      </c>
      <c r="L58" s="67">
        <f>Inputs!$E102*(1+('Projections-BEST'!L$9-1)*Inputs!$E$94)</f>
        <v>0</v>
      </c>
      <c r="M58" s="67">
        <f>Inputs!$E102*(1+('Projections-BEST'!M$9-1)*Inputs!$E$94)</f>
        <v>0</v>
      </c>
      <c r="N58" s="67">
        <f>Inputs!$E102*(1+('Projections-BEST'!N$9-1)*Inputs!$E$94)</f>
        <v>0</v>
      </c>
      <c r="O58" s="67">
        <f>Inputs!$E102*(1+('Projections-BEST'!O$9-1)*Inputs!$E$94)</f>
        <v>0</v>
      </c>
      <c r="P58" s="67">
        <f>Inputs!$E102*(1+('Projections-BEST'!P$9-1)*Inputs!$E$94)</f>
        <v>0</v>
      </c>
      <c r="Q58" s="67">
        <f>Inputs!$E102*(1+('Projections-BEST'!Q$9-1)*Inputs!$E$94)</f>
        <v>0</v>
      </c>
      <c r="R58" s="67">
        <f>Inputs!$E102*(1+('Projections-BEST'!R$9-1)*Inputs!$E$94)</f>
        <v>0</v>
      </c>
      <c r="S58" s="67">
        <f>Inputs!$E102*(1+('Projections-BEST'!S$9-1)*Inputs!$E$94)</f>
        <v>0</v>
      </c>
      <c r="T58" s="67">
        <f>Inputs!$E102*(1+('Projections-BEST'!T$9-1)*Inputs!$E$94)</f>
        <v>0</v>
      </c>
      <c r="U58" s="67">
        <f>Inputs!$E102*(1+('Projections-BEST'!U$9-1)*Inputs!$E$94)</f>
        <v>0</v>
      </c>
      <c r="V58" s="67">
        <f>Inputs!$E102*(1+('Projections-BEST'!V$9-1)*Inputs!$E$94)</f>
        <v>0</v>
      </c>
      <c r="W58" s="67">
        <f>Inputs!$E102*(1+('Projections-BEST'!W$9-1)*Inputs!$E$94)</f>
        <v>0</v>
      </c>
      <c r="X58" s="67">
        <f>Inputs!$E102*(1+('Projections-BEST'!X$9-1)*Inputs!$E$94)</f>
        <v>0</v>
      </c>
      <c r="Y58" s="67">
        <f>Inputs!$E102*(1+('Projections-BEST'!Y$9-1)*Inputs!$E$94)</f>
        <v>0</v>
      </c>
      <c r="Z58" s="67">
        <f>Inputs!$E102*(1+('Projections-BEST'!Z$9-1)*Inputs!$E$94)</f>
        <v>0</v>
      </c>
      <c r="AA58" s="67">
        <f>Inputs!$E102*(1+('Projections-BEST'!AA$9-1)*Inputs!$E$94)</f>
        <v>0</v>
      </c>
      <c r="AB58" s="67">
        <f>Inputs!$E102*(1+('Projections-BEST'!AB$9-1)*Inputs!$E$94)</f>
        <v>0</v>
      </c>
      <c r="AC58" s="67">
        <f>Inputs!$E102*(1+('Projections-BEST'!AC$9-1)*Inputs!$E$94)</f>
        <v>0</v>
      </c>
      <c r="AD58" s="67">
        <f>Inputs!$E102*(1+('Projections-BEST'!AD$9-1)*Inputs!$E$94)</f>
        <v>0</v>
      </c>
      <c r="AE58" s="67">
        <f>Inputs!$E102*(1+('Projections-BEST'!AE$9-1)*Inputs!$E$94)</f>
        <v>0</v>
      </c>
      <c r="AF58" s="67">
        <f>Inputs!$E102*(1+('Projections-BEST'!AF$9-1)*Inputs!$E$94)</f>
        <v>0</v>
      </c>
      <c r="AG58" s="67">
        <f>Inputs!$E102*(1+('Projections-BEST'!AG$9-1)*Inputs!$E$94)</f>
        <v>0</v>
      </c>
      <c r="AH58" s="67">
        <f>Inputs!$E102*(1+('Projections-BEST'!AH$9-1)*Inputs!$E$94)</f>
        <v>0</v>
      </c>
      <c r="AI58" s="67">
        <f>Inputs!$E102*(1+('Projections-BEST'!AI$9-1)*Inputs!$E$94)</f>
        <v>0</v>
      </c>
      <c r="AJ58" s="67">
        <f>Inputs!$E102*(1+('Projections-BEST'!AJ$9-1)*Inputs!$E$94)</f>
        <v>0</v>
      </c>
      <c r="AK58" s="67">
        <f>Inputs!$E102*(1+('Projections-BEST'!AK$9-1)*Inputs!$E$94)</f>
        <v>0</v>
      </c>
      <c r="AL58" s="67">
        <f>Inputs!$E102*(1+('Projections-BEST'!AL$9-1)*Inputs!$E$94)</f>
        <v>0</v>
      </c>
      <c r="AM58" s="67">
        <f>Inputs!$E102*(1+('Projections-BEST'!AM$9-1)*Inputs!$E$94)</f>
        <v>0</v>
      </c>
      <c r="AN58" s="67">
        <f>Inputs!$E102*(1+('Projections-BEST'!AN$9-1)*Inputs!$E$94)</f>
        <v>0</v>
      </c>
    </row>
    <row r="59" spans="1:40" s="16" customFormat="1">
      <c r="A59" s="1"/>
      <c r="B59" s="1"/>
      <c r="C59" s="34" t="str">
        <f>Inputs!C103</f>
        <v>&lt;Indirect Labor Individual #9 Monthly Salary, CY 1&gt;</v>
      </c>
      <c r="D59" s="15"/>
      <c r="E59" s="67">
        <f>Inputs!$E103*(1+('Projections-BEST'!E$9-1)*Inputs!$E$94)</f>
        <v>0</v>
      </c>
      <c r="F59" s="67">
        <f>Inputs!$E103*(1+('Projections-BEST'!F$9-1)*Inputs!$E$94)</f>
        <v>0</v>
      </c>
      <c r="G59" s="67">
        <f>Inputs!$E103*(1+('Projections-BEST'!G$9-1)*Inputs!$E$94)</f>
        <v>0</v>
      </c>
      <c r="H59" s="67">
        <f>Inputs!$E103*(1+('Projections-BEST'!H$9-1)*Inputs!$E$94)</f>
        <v>0</v>
      </c>
      <c r="I59" s="67">
        <f>Inputs!$E103*(1+('Projections-BEST'!I$9-1)*Inputs!$E$94)</f>
        <v>0</v>
      </c>
      <c r="J59" s="67">
        <f>Inputs!$E103*(1+('Projections-BEST'!J$9-1)*Inputs!$E$94)</f>
        <v>0</v>
      </c>
      <c r="K59" s="67">
        <f>Inputs!$E103*(1+('Projections-BEST'!K$9-1)*Inputs!$E$94)</f>
        <v>0</v>
      </c>
      <c r="L59" s="67">
        <f>Inputs!$E103*(1+('Projections-BEST'!L$9-1)*Inputs!$E$94)</f>
        <v>0</v>
      </c>
      <c r="M59" s="67">
        <f>Inputs!$E103*(1+('Projections-BEST'!M$9-1)*Inputs!$E$94)</f>
        <v>0</v>
      </c>
      <c r="N59" s="67">
        <f>Inputs!$E103*(1+('Projections-BEST'!N$9-1)*Inputs!$E$94)</f>
        <v>0</v>
      </c>
      <c r="O59" s="67">
        <f>Inputs!$E103*(1+('Projections-BEST'!O$9-1)*Inputs!$E$94)</f>
        <v>0</v>
      </c>
      <c r="P59" s="67">
        <f>Inputs!$E103*(1+('Projections-BEST'!P$9-1)*Inputs!$E$94)</f>
        <v>0</v>
      </c>
      <c r="Q59" s="67">
        <f>Inputs!$E103*(1+('Projections-BEST'!Q$9-1)*Inputs!$E$94)</f>
        <v>0</v>
      </c>
      <c r="R59" s="67">
        <f>Inputs!$E103*(1+('Projections-BEST'!R$9-1)*Inputs!$E$94)</f>
        <v>0</v>
      </c>
      <c r="S59" s="67">
        <f>Inputs!$E103*(1+('Projections-BEST'!S$9-1)*Inputs!$E$94)</f>
        <v>0</v>
      </c>
      <c r="T59" s="67">
        <f>Inputs!$E103*(1+('Projections-BEST'!T$9-1)*Inputs!$E$94)</f>
        <v>0</v>
      </c>
      <c r="U59" s="67">
        <f>Inputs!$E103*(1+('Projections-BEST'!U$9-1)*Inputs!$E$94)</f>
        <v>0</v>
      </c>
      <c r="V59" s="67">
        <f>Inputs!$E103*(1+('Projections-BEST'!V$9-1)*Inputs!$E$94)</f>
        <v>0</v>
      </c>
      <c r="W59" s="67">
        <f>Inputs!$E103*(1+('Projections-BEST'!W$9-1)*Inputs!$E$94)</f>
        <v>0</v>
      </c>
      <c r="X59" s="67">
        <f>Inputs!$E103*(1+('Projections-BEST'!X$9-1)*Inputs!$E$94)</f>
        <v>0</v>
      </c>
      <c r="Y59" s="67">
        <f>Inputs!$E103*(1+('Projections-BEST'!Y$9-1)*Inputs!$E$94)</f>
        <v>0</v>
      </c>
      <c r="Z59" s="67">
        <f>Inputs!$E103*(1+('Projections-BEST'!Z$9-1)*Inputs!$E$94)</f>
        <v>0</v>
      </c>
      <c r="AA59" s="67">
        <f>Inputs!$E103*(1+('Projections-BEST'!AA$9-1)*Inputs!$E$94)</f>
        <v>0</v>
      </c>
      <c r="AB59" s="67">
        <f>Inputs!$E103*(1+('Projections-BEST'!AB$9-1)*Inputs!$E$94)</f>
        <v>0</v>
      </c>
      <c r="AC59" s="67">
        <f>Inputs!$E103*(1+('Projections-BEST'!AC$9-1)*Inputs!$E$94)</f>
        <v>0</v>
      </c>
      <c r="AD59" s="67">
        <f>Inputs!$E103*(1+('Projections-BEST'!AD$9-1)*Inputs!$E$94)</f>
        <v>0</v>
      </c>
      <c r="AE59" s="67">
        <f>Inputs!$E103*(1+('Projections-BEST'!AE$9-1)*Inputs!$E$94)</f>
        <v>0</v>
      </c>
      <c r="AF59" s="67">
        <f>Inputs!$E103*(1+('Projections-BEST'!AF$9-1)*Inputs!$E$94)</f>
        <v>0</v>
      </c>
      <c r="AG59" s="67">
        <f>Inputs!$E103*(1+('Projections-BEST'!AG$9-1)*Inputs!$E$94)</f>
        <v>0</v>
      </c>
      <c r="AH59" s="67">
        <f>Inputs!$E103*(1+('Projections-BEST'!AH$9-1)*Inputs!$E$94)</f>
        <v>0</v>
      </c>
      <c r="AI59" s="67">
        <f>Inputs!$E103*(1+('Projections-BEST'!AI$9-1)*Inputs!$E$94)</f>
        <v>0</v>
      </c>
      <c r="AJ59" s="67">
        <f>Inputs!$E103*(1+('Projections-BEST'!AJ$9-1)*Inputs!$E$94)</f>
        <v>0</v>
      </c>
      <c r="AK59" s="67">
        <f>Inputs!$E103*(1+('Projections-BEST'!AK$9-1)*Inputs!$E$94)</f>
        <v>0</v>
      </c>
      <c r="AL59" s="67">
        <f>Inputs!$E103*(1+('Projections-BEST'!AL$9-1)*Inputs!$E$94)</f>
        <v>0</v>
      </c>
      <c r="AM59" s="67">
        <f>Inputs!$E103*(1+('Projections-BEST'!AM$9-1)*Inputs!$E$94)</f>
        <v>0</v>
      </c>
      <c r="AN59" s="67">
        <f>Inputs!$E103*(1+('Projections-BEST'!AN$9-1)*Inputs!$E$94)</f>
        <v>0</v>
      </c>
    </row>
    <row r="60" spans="1:40" s="16" customFormat="1">
      <c r="A60" s="1"/>
      <c r="B60" s="1"/>
      <c r="C60" s="34" t="s">
        <v>227</v>
      </c>
      <c r="D60" s="15"/>
      <c r="E60" s="67">
        <f>SUM(E51:E59)*Inputs!$E$93</f>
        <v>3300</v>
      </c>
      <c r="F60" s="67">
        <f>SUM(F51:F59)*Inputs!$E$93</f>
        <v>3300</v>
      </c>
      <c r="G60" s="67">
        <f>SUM(G51:G59)*Inputs!$E$93</f>
        <v>3300</v>
      </c>
      <c r="H60" s="67">
        <f>SUM(H51:H59)*Inputs!$E$93</f>
        <v>3300</v>
      </c>
      <c r="I60" s="67">
        <f>SUM(I51:I59)*Inputs!$E$93</f>
        <v>3300</v>
      </c>
      <c r="J60" s="67">
        <f>SUM(J51:J59)*Inputs!$E$93</f>
        <v>3300</v>
      </c>
      <c r="K60" s="67">
        <f>SUM(K51:K59)*Inputs!$E$93</f>
        <v>3300</v>
      </c>
      <c r="L60" s="67">
        <f>SUM(L51:L59)*Inputs!$E$93</f>
        <v>3300</v>
      </c>
      <c r="M60" s="67">
        <f>SUM(M51:M59)*Inputs!$E$93</f>
        <v>3300</v>
      </c>
      <c r="N60" s="67">
        <f>SUM(N51:N59)*Inputs!$E$93</f>
        <v>3300</v>
      </c>
      <c r="O60" s="67">
        <f>SUM(O51:O59)*Inputs!$E$93</f>
        <v>3399</v>
      </c>
      <c r="P60" s="67">
        <f>SUM(P51:P59)*Inputs!$E$93</f>
        <v>3399</v>
      </c>
      <c r="Q60" s="67">
        <f>SUM(Q51:Q59)*Inputs!$E$93</f>
        <v>3399</v>
      </c>
      <c r="R60" s="67">
        <f>SUM(R51:R59)*Inputs!$E$93</f>
        <v>3399</v>
      </c>
      <c r="S60" s="67">
        <f>SUM(S51:S59)*Inputs!$E$93</f>
        <v>3399</v>
      </c>
      <c r="T60" s="67">
        <f>SUM(T51:T59)*Inputs!$E$93</f>
        <v>3399</v>
      </c>
      <c r="U60" s="67">
        <f>SUM(U51:U59)*Inputs!$E$93</f>
        <v>3399</v>
      </c>
      <c r="V60" s="67">
        <f>SUM(V51:V59)*Inputs!$E$93</f>
        <v>3399</v>
      </c>
      <c r="W60" s="67">
        <f>SUM(W51:W59)*Inputs!$E$93</f>
        <v>3399</v>
      </c>
      <c r="X60" s="67">
        <f>SUM(X51:X59)*Inputs!$E$93</f>
        <v>3399</v>
      </c>
      <c r="Y60" s="67">
        <f>SUM(Y51:Y59)*Inputs!$E$93</f>
        <v>3399</v>
      </c>
      <c r="Z60" s="67">
        <f>SUM(Z51:Z59)*Inputs!$E$93</f>
        <v>3399</v>
      </c>
      <c r="AA60" s="67">
        <f>SUM(AA51:AA59)*Inputs!$E$93</f>
        <v>3498</v>
      </c>
      <c r="AB60" s="67">
        <f>SUM(AB51:AB59)*Inputs!$E$93</f>
        <v>3498</v>
      </c>
      <c r="AC60" s="67">
        <f>SUM(AC51:AC59)*Inputs!$E$93</f>
        <v>3498</v>
      </c>
      <c r="AD60" s="67">
        <f>SUM(AD51:AD59)*Inputs!$E$93</f>
        <v>3498</v>
      </c>
      <c r="AE60" s="67">
        <f>SUM(AE51:AE59)*Inputs!$E$93</f>
        <v>3498</v>
      </c>
      <c r="AF60" s="67">
        <f>SUM(AF51:AF59)*Inputs!$E$93</f>
        <v>3498</v>
      </c>
      <c r="AG60" s="67">
        <f>SUM(AG51:AG59)*Inputs!$E$93</f>
        <v>3498</v>
      </c>
      <c r="AH60" s="67">
        <f>SUM(AH51:AH59)*Inputs!$E$93</f>
        <v>3498</v>
      </c>
      <c r="AI60" s="67">
        <f>SUM(AI51:AI59)*Inputs!$E$93</f>
        <v>3498</v>
      </c>
      <c r="AJ60" s="67">
        <f>SUM(AJ51:AJ59)*Inputs!$E$93</f>
        <v>3498</v>
      </c>
      <c r="AK60" s="67">
        <f>SUM(AK51:AK59)*Inputs!$E$93</f>
        <v>3498</v>
      </c>
      <c r="AL60" s="67">
        <f>SUM(AL51:AL59)*Inputs!$E$93</f>
        <v>3498</v>
      </c>
      <c r="AM60" s="67">
        <f>SUM(AM51:AM59)*Inputs!$E$93</f>
        <v>3597</v>
      </c>
      <c r="AN60" s="67">
        <f>SUM(AN51:AN59)*Inputs!$E$93</f>
        <v>3597</v>
      </c>
    </row>
    <row r="61" spans="1:40" s="16" customFormat="1">
      <c r="A61" s="1"/>
      <c r="B61" s="1"/>
      <c r="C61" s="34" t="s">
        <v>23</v>
      </c>
      <c r="D61" s="15"/>
      <c r="E61" s="67">
        <f>IF(E$9=1,Inputs!$E$106,IF('Projections-BEST'!E$9=2,Inputs!$E$108,Inputs!$E$110))</f>
        <v>3840</v>
      </c>
      <c r="F61" s="67">
        <f>IF(F$9=1,Inputs!$E$106,IF('Projections-BEST'!F$9=2,Inputs!$E$108,Inputs!$E$110))</f>
        <v>3840</v>
      </c>
      <c r="G61" s="67">
        <f>IF(G$9=1,Inputs!$E$106,IF('Projections-BEST'!G$9=2,Inputs!$E$108,Inputs!$E$110))</f>
        <v>3840</v>
      </c>
      <c r="H61" s="67">
        <f>IF(H$9=1,Inputs!$E$106,IF('Projections-BEST'!H$9=2,Inputs!$E$108,Inputs!$E$110))</f>
        <v>3840</v>
      </c>
      <c r="I61" s="67">
        <f>IF(I$9=1,Inputs!$E$106,IF('Projections-BEST'!I$9=2,Inputs!$E$108,Inputs!$E$110))</f>
        <v>3840</v>
      </c>
      <c r="J61" s="67">
        <f>IF(J$9=1,Inputs!$E$106,IF('Projections-BEST'!J$9=2,Inputs!$E$108,Inputs!$E$110))</f>
        <v>3840</v>
      </c>
      <c r="K61" s="67">
        <f>IF(K$9=1,Inputs!$E$106,IF('Projections-BEST'!K$9=2,Inputs!$E$108,Inputs!$E$110))</f>
        <v>3840</v>
      </c>
      <c r="L61" s="67">
        <f>IF(L$9=1,Inputs!$E$106,IF('Projections-BEST'!L$9=2,Inputs!$E$108,Inputs!$E$110))</f>
        <v>3840</v>
      </c>
      <c r="M61" s="67">
        <f>IF(M$9=1,Inputs!$E$106,IF('Projections-BEST'!M$9=2,Inputs!$E$108,Inputs!$E$110))</f>
        <v>3840</v>
      </c>
      <c r="N61" s="67">
        <f>IF(N$9=1,Inputs!$E$106,IF('Projections-BEST'!N$9=2,Inputs!$E$108,Inputs!$E$110))</f>
        <v>3840</v>
      </c>
      <c r="O61" s="67">
        <f>IF(O$9=1,Inputs!$E$106,IF('Projections-BEST'!O$9=2,Inputs!$E$108,Inputs!$E$110))</f>
        <v>3955.2000000000003</v>
      </c>
      <c r="P61" s="67">
        <f>IF(P$9=1,Inputs!$E$106,IF('Projections-BEST'!P$9=2,Inputs!$E$108,Inputs!$E$110))</f>
        <v>3955.2000000000003</v>
      </c>
      <c r="Q61" s="67">
        <f>IF(Q$9=1,Inputs!$E$106,IF('Projections-BEST'!Q$9=2,Inputs!$E$108,Inputs!$E$110))</f>
        <v>3955.2000000000003</v>
      </c>
      <c r="R61" s="67">
        <f>IF(R$9=1,Inputs!$E$106,IF('Projections-BEST'!R$9=2,Inputs!$E$108,Inputs!$E$110))</f>
        <v>3955.2000000000003</v>
      </c>
      <c r="S61" s="67">
        <f>IF(S$9=1,Inputs!$E$106,IF('Projections-BEST'!S$9=2,Inputs!$E$108,Inputs!$E$110))</f>
        <v>3955.2000000000003</v>
      </c>
      <c r="T61" s="67">
        <f>IF(T$9=1,Inputs!$E$106,IF('Projections-BEST'!T$9=2,Inputs!$E$108,Inputs!$E$110))</f>
        <v>3955.2000000000003</v>
      </c>
      <c r="U61" s="67">
        <f>IF(U$9=1,Inputs!$E$106,IF('Projections-BEST'!U$9=2,Inputs!$E$108,Inputs!$E$110))</f>
        <v>3955.2000000000003</v>
      </c>
      <c r="V61" s="67">
        <f>IF(V$9=1,Inputs!$E$106,IF('Projections-BEST'!V$9=2,Inputs!$E$108,Inputs!$E$110))</f>
        <v>3955.2000000000003</v>
      </c>
      <c r="W61" s="67">
        <f>IF(W$9=1,Inputs!$E$106,IF('Projections-BEST'!W$9=2,Inputs!$E$108,Inputs!$E$110))</f>
        <v>3955.2000000000003</v>
      </c>
      <c r="X61" s="67">
        <f>IF(X$9=1,Inputs!$E$106,IF('Projections-BEST'!X$9=2,Inputs!$E$108,Inputs!$E$110))</f>
        <v>3955.2000000000003</v>
      </c>
      <c r="Y61" s="67">
        <f>IF(Y$9=1,Inputs!$E$106,IF('Projections-BEST'!Y$9=2,Inputs!$E$108,Inputs!$E$110))</f>
        <v>3955.2000000000003</v>
      </c>
      <c r="Z61" s="67">
        <f>IF(Z$9=1,Inputs!$E$106,IF('Projections-BEST'!Z$9=2,Inputs!$E$108,Inputs!$E$110))</f>
        <v>3955.2000000000003</v>
      </c>
      <c r="AA61" s="67">
        <f>IF(AA$9=1,Inputs!$E$106,IF('Projections-BEST'!AA$9=2,Inputs!$E$108,Inputs!$E$110))</f>
        <v>5092.32</v>
      </c>
      <c r="AB61" s="67">
        <f>IF(AB$9=1,Inputs!$E$106,IF('Projections-BEST'!AB$9=2,Inputs!$E$108,Inputs!$E$110))</f>
        <v>5092.32</v>
      </c>
      <c r="AC61" s="67">
        <f>IF(AC$9=1,Inputs!$E$106,IF('Projections-BEST'!AC$9=2,Inputs!$E$108,Inputs!$E$110))</f>
        <v>5092.32</v>
      </c>
      <c r="AD61" s="67">
        <f>IF(AD$9=1,Inputs!$E$106,IF('Projections-BEST'!AD$9=2,Inputs!$E$108,Inputs!$E$110))</f>
        <v>5092.32</v>
      </c>
      <c r="AE61" s="67">
        <f>IF(AE$9=1,Inputs!$E$106,IF('Projections-BEST'!AE$9=2,Inputs!$E$108,Inputs!$E$110))</f>
        <v>5092.32</v>
      </c>
      <c r="AF61" s="67">
        <f>IF(AF$9=1,Inputs!$E$106,IF('Projections-BEST'!AF$9=2,Inputs!$E$108,Inputs!$E$110))</f>
        <v>5092.32</v>
      </c>
      <c r="AG61" s="67">
        <f>IF(AG$9=1,Inputs!$E$106,IF('Projections-BEST'!AG$9=2,Inputs!$E$108,Inputs!$E$110))</f>
        <v>5092.32</v>
      </c>
      <c r="AH61" s="67">
        <f>IF(AH$9=1,Inputs!$E$106,IF('Projections-BEST'!AH$9=2,Inputs!$E$108,Inputs!$E$110))</f>
        <v>5092.32</v>
      </c>
      <c r="AI61" s="67">
        <f>IF(AI$9=1,Inputs!$E$106,IF('Projections-BEST'!AI$9=2,Inputs!$E$108,Inputs!$E$110))</f>
        <v>5092.32</v>
      </c>
      <c r="AJ61" s="67">
        <f>IF(AJ$9=1,Inputs!$E$106,IF('Projections-BEST'!AJ$9=2,Inputs!$E$108,Inputs!$E$110))</f>
        <v>5092.32</v>
      </c>
      <c r="AK61" s="67">
        <f>IF(AK$9=1,Inputs!$E$106,IF('Projections-BEST'!AK$9=2,Inputs!$E$108,Inputs!$E$110))</f>
        <v>5092.32</v>
      </c>
      <c r="AL61" s="67">
        <f>IF(AL$9=1,Inputs!$E$106,IF('Projections-BEST'!AL$9=2,Inputs!$E$108,Inputs!$E$110))</f>
        <v>5092.32</v>
      </c>
      <c r="AM61" s="67">
        <f>IF(AM$9=1,Inputs!$E$106,IF('Projections-BEST'!AM$9=2,Inputs!$E$108,Inputs!$E$110))</f>
        <v>5092.32</v>
      </c>
      <c r="AN61" s="67">
        <f>IF(AN$9=1,Inputs!$E$106,IF('Projections-BEST'!AN$9=2,Inputs!$E$108,Inputs!$E$110))</f>
        <v>5092.32</v>
      </c>
    </row>
    <row r="62" spans="1:40" s="16" customFormat="1">
      <c r="A62" s="1"/>
      <c r="B62" s="1"/>
      <c r="C62" s="34" t="s">
        <v>40</v>
      </c>
      <c r="D62" s="15"/>
      <c r="E62" s="67">
        <f>IF(E$9=1,Inputs!$E$113,IF('Projections-BEST'!E$9=2,Inputs!$E$114,Inputs!$E$115))</f>
        <v>100</v>
      </c>
      <c r="F62" s="67">
        <f>IF(F$9=1,Inputs!$E$113,IF('Projections-BEST'!F$9=2,Inputs!$E$114,Inputs!$E$115))</f>
        <v>100</v>
      </c>
      <c r="G62" s="67">
        <f>IF(G$9=1,Inputs!$E$113,IF('Projections-BEST'!G$9=2,Inputs!$E$114,Inputs!$E$115))</f>
        <v>100</v>
      </c>
      <c r="H62" s="67">
        <f>IF(H$9=1,Inputs!$E$113,IF('Projections-BEST'!H$9=2,Inputs!$E$114,Inputs!$E$115))</f>
        <v>100</v>
      </c>
      <c r="I62" s="67">
        <f>IF(I$9=1,Inputs!$E$113,IF('Projections-BEST'!I$9=2,Inputs!$E$114,Inputs!$E$115))</f>
        <v>100</v>
      </c>
      <c r="J62" s="67">
        <f>IF(J$9=1,Inputs!$E$113,IF('Projections-BEST'!J$9=2,Inputs!$E$114,Inputs!$E$115))</f>
        <v>100</v>
      </c>
      <c r="K62" s="67">
        <f>IF(K$9=1,Inputs!$E$113,IF('Projections-BEST'!K$9=2,Inputs!$E$114,Inputs!$E$115))</f>
        <v>100</v>
      </c>
      <c r="L62" s="67">
        <f>IF(L$9=1,Inputs!$E$113,IF('Projections-BEST'!L$9=2,Inputs!$E$114,Inputs!$E$115))</f>
        <v>100</v>
      </c>
      <c r="M62" s="67">
        <f>IF(M$9=1,Inputs!$E$113,IF('Projections-BEST'!M$9=2,Inputs!$E$114,Inputs!$E$115))</f>
        <v>100</v>
      </c>
      <c r="N62" s="67">
        <f>IF(N$9=1,Inputs!$E$113,IF('Projections-BEST'!N$9=2,Inputs!$E$114,Inputs!$E$115))</f>
        <v>100</v>
      </c>
      <c r="O62" s="67">
        <f>IF(O$9=1,Inputs!$E$113,IF('Projections-BEST'!O$9=2,Inputs!$E$114,Inputs!$E$115))</f>
        <v>100</v>
      </c>
      <c r="P62" s="67">
        <f>IF(P$9=1,Inputs!$E$113,IF('Projections-BEST'!P$9=2,Inputs!$E$114,Inputs!$E$115))</f>
        <v>100</v>
      </c>
      <c r="Q62" s="67">
        <f>IF(Q$9=1,Inputs!$E$113,IF('Projections-BEST'!Q$9=2,Inputs!$E$114,Inputs!$E$115))</f>
        <v>100</v>
      </c>
      <c r="R62" s="67">
        <f>IF(R$9=1,Inputs!$E$113,IF('Projections-BEST'!R$9=2,Inputs!$E$114,Inputs!$E$115))</f>
        <v>100</v>
      </c>
      <c r="S62" s="67">
        <f>IF(S$9=1,Inputs!$E$113,IF('Projections-BEST'!S$9=2,Inputs!$E$114,Inputs!$E$115))</f>
        <v>100</v>
      </c>
      <c r="T62" s="67">
        <f>IF(T$9=1,Inputs!$E$113,IF('Projections-BEST'!T$9=2,Inputs!$E$114,Inputs!$E$115))</f>
        <v>100</v>
      </c>
      <c r="U62" s="67">
        <f>IF(U$9=1,Inputs!$E$113,IF('Projections-BEST'!U$9=2,Inputs!$E$114,Inputs!$E$115))</f>
        <v>100</v>
      </c>
      <c r="V62" s="67">
        <f>IF(V$9=1,Inputs!$E$113,IF('Projections-BEST'!V$9=2,Inputs!$E$114,Inputs!$E$115))</f>
        <v>100</v>
      </c>
      <c r="W62" s="67">
        <f>IF(W$9=1,Inputs!$E$113,IF('Projections-BEST'!W$9=2,Inputs!$E$114,Inputs!$E$115))</f>
        <v>100</v>
      </c>
      <c r="X62" s="67">
        <f>IF(X$9=1,Inputs!$E$113,IF('Projections-BEST'!X$9=2,Inputs!$E$114,Inputs!$E$115))</f>
        <v>100</v>
      </c>
      <c r="Y62" s="67">
        <f>IF(Y$9=1,Inputs!$E$113,IF('Projections-BEST'!Y$9=2,Inputs!$E$114,Inputs!$E$115))</f>
        <v>100</v>
      </c>
      <c r="Z62" s="67">
        <f>IF(Z$9=1,Inputs!$E$113,IF('Projections-BEST'!Z$9=2,Inputs!$E$114,Inputs!$E$115))</f>
        <v>100</v>
      </c>
      <c r="AA62" s="67">
        <f>IF(AA$9=1,Inputs!$E$113,IF('Projections-BEST'!AA$9=2,Inputs!$E$114,Inputs!$E$115))</f>
        <v>160</v>
      </c>
      <c r="AB62" s="67">
        <f>IF(AB$9=1,Inputs!$E$113,IF('Projections-BEST'!AB$9=2,Inputs!$E$114,Inputs!$E$115))</f>
        <v>160</v>
      </c>
      <c r="AC62" s="67">
        <f>IF(AC$9=1,Inputs!$E$113,IF('Projections-BEST'!AC$9=2,Inputs!$E$114,Inputs!$E$115))</f>
        <v>160</v>
      </c>
      <c r="AD62" s="67">
        <f>IF(AD$9=1,Inputs!$E$113,IF('Projections-BEST'!AD$9=2,Inputs!$E$114,Inputs!$E$115))</f>
        <v>160</v>
      </c>
      <c r="AE62" s="67">
        <f>IF(AE$9=1,Inputs!$E$113,IF('Projections-BEST'!AE$9=2,Inputs!$E$114,Inputs!$E$115))</f>
        <v>160</v>
      </c>
      <c r="AF62" s="67">
        <f>IF(AF$9=1,Inputs!$E$113,IF('Projections-BEST'!AF$9=2,Inputs!$E$114,Inputs!$E$115))</f>
        <v>160</v>
      </c>
      <c r="AG62" s="67">
        <f>IF(AG$9=1,Inputs!$E$113,IF('Projections-BEST'!AG$9=2,Inputs!$E$114,Inputs!$E$115))</f>
        <v>160</v>
      </c>
      <c r="AH62" s="67">
        <f>IF(AH$9=1,Inputs!$E$113,IF('Projections-BEST'!AH$9=2,Inputs!$E$114,Inputs!$E$115))</f>
        <v>160</v>
      </c>
      <c r="AI62" s="67">
        <f>IF(AI$9=1,Inputs!$E$113,IF('Projections-BEST'!AI$9=2,Inputs!$E$114,Inputs!$E$115))</f>
        <v>160</v>
      </c>
      <c r="AJ62" s="67">
        <f>IF(AJ$9=1,Inputs!$E$113,IF('Projections-BEST'!AJ$9=2,Inputs!$E$114,Inputs!$E$115))</f>
        <v>160</v>
      </c>
      <c r="AK62" s="67">
        <f>IF(AK$9=1,Inputs!$E$113,IF('Projections-BEST'!AK$9=2,Inputs!$E$114,Inputs!$E$115))</f>
        <v>160</v>
      </c>
      <c r="AL62" s="67">
        <f>IF(AL$9=1,Inputs!$E$113,IF('Projections-BEST'!AL$9=2,Inputs!$E$114,Inputs!$E$115))</f>
        <v>160</v>
      </c>
      <c r="AM62" s="67">
        <f>IF(AM$9=1,Inputs!$E$113,IF('Projections-BEST'!AM$9=2,Inputs!$E$114,Inputs!$E$115))</f>
        <v>160</v>
      </c>
      <c r="AN62" s="67">
        <f>IF(AN$9=1,Inputs!$E$113,IF('Projections-BEST'!AN$9=2,Inputs!$E$114,Inputs!$E$115))</f>
        <v>160</v>
      </c>
    </row>
    <row r="63" spans="1:40" s="16" customFormat="1">
      <c r="A63" s="1"/>
      <c r="B63" s="1"/>
      <c r="C63" s="34" t="s">
        <v>225</v>
      </c>
      <c r="D63" s="15"/>
      <c r="E63" s="67">
        <f>Inputs!$E117*((1+Inputs!$E$12)^(E$9-1))</f>
        <v>100</v>
      </c>
      <c r="F63" s="67">
        <f>Inputs!$E117*((1+Inputs!$E$12)^(F$9-1))</f>
        <v>100</v>
      </c>
      <c r="G63" s="67">
        <f>Inputs!$E117*((1+Inputs!$E$12)^(G$9-1))</f>
        <v>100</v>
      </c>
      <c r="H63" s="67">
        <f>Inputs!$E117*((1+Inputs!$E$12)^(H$9-1))</f>
        <v>100</v>
      </c>
      <c r="I63" s="67">
        <f>Inputs!$E117*((1+Inputs!$E$12)^(I$9-1))</f>
        <v>100</v>
      </c>
      <c r="J63" s="67">
        <f>Inputs!$E117*((1+Inputs!$E$12)^(J$9-1))</f>
        <v>100</v>
      </c>
      <c r="K63" s="67">
        <f>Inputs!$E117*((1+Inputs!$E$12)^(K$9-1))</f>
        <v>100</v>
      </c>
      <c r="L63" s="67">
        <f>Inputs!$E117*((1+Inputs!$E$12)^(L$9-1))</f>
        <v>100</v>
      </c>
      <c r="M63" s="67">
        <f>Inputs!$E117*((1+Inputs!$E$12)^(M$9-1))</f>
        <v>100</v>
      </c>
      <c r="N63" s="67">
        <f>Inputs!$E117*((1+Inputs!$E$12)^(N$9-1))</f>
        <v>100</v>
      </c>
      <c r="O63" s="67">
        <f>Inputs!$E117*((1+Inputs!$E$12)^(O$9-1))</f>
        <v>103</v>
      </c>
      <c r="P63" s="67">
        <f>Inputs!$E117*((1+Inputs!$E$12)^(P$9-1))</f>
        <v>103</v>
      </c>
      <c r="Q63" s="67">
        <f>Inputs!$E117*((1+Inputs!$E$12)^(Q$9-1))</f>
        <v>103</v>
      </c>
      <c r="R63" s="67">
        <f>Inputs!$E117*((1+Inputs!$E$12)^(R$9-1))</f>
        <v>103</v>
      </c>
      <c r="S63" s="67">
        <f>Inputs!$E117*((1+Inputs!$E$12)^(S$9-1))</f>
        <v>103</v>
      </c>
      <c r="T63" s="67">
        <f>Inputs!$E117*((1+Inputs!$E$12)^(T$9-1))</f>
        <v>103</v>
      </c>
      <c r="U63" s="67">
        <f>Inputs!$E117*((1+Inputs!$E$12)^(U$9-1))</f>
        <v>103</v>
      </c>
      <c r="V63" s="67">
        <f>Inputs!$E117*((1+Inputs!$E$12)^(V$9-1))</f>
        <v>103</v>
      </c>
      <c r="W63" s="67">
        <f>Inputs!$E117*((1+Inputs!$E$12)^(W$9-1))</f>
        <v>103</v>
      </c>
      <c r="X63" s="67">
        <f>Inputs!$E117*((1+Inputs!$E$12)^(X$9-1))</f>
        <v>103</v>
      </c>
      <c r="Y63" s="67">
        <f>Inputs!$E117*((1+Inputs!$E$12)^(Y$9-1))</f>
        <v>103</v>
      </c>
      <c r="Z63" s="67">
        <f>Inputs!$E117*((1+Inputs!$E$12)^(Z$9-1))</f>
        <v>103</v>
      </c>
      <c r="AA63" s="67">
        <f>Inputs!$E117*((1+Inputs!$E$12)^(AA$9-1))</f>
        <v>106.08999999999999</v>
      </c>
      <c r="AB63" s="67">
        <f>Inputs!$E117*((1+Inputs!$E$12)^(AB$9-1))</f>
        <v>106.08999999999999</v>
      </c>
      <c r="AC63" s="67">
        <f>Inputs!$E117*((1+Inputs!$E$12)^(AC$9-1))</f>
        <v>106.08999999999999</v>
      </c>
      <c r="AD63" s="67">
        <f>Inputs!$E117*((1+Inputs!$E$12)^(AD$9-1))</f>
        <v>106.08999999999999</v>
      </c>
      <c r="AE63" s="67">
        <f>Inputs!$E117*((1+Inputs!$E$12)^(AE$9-1))</f>
        <v>106.08999999999999</v>
      </c>
      <c r="AF63" s="67">
        <f>Inputs!$E117*((1+Inputs!$E$12)^(AF$9-1))</f>
        <v>106.08999999999999</v>
      </c>
      <c r="AG63" s="67">
        <f>Inputs!$E117*((1+Inputs!$E$12)^(AG$9-1))</f>
        <v>106.08999999999999</v>
      </c>
      <c r="AH63" s="67">
        <f>Inputs!$E117*((1+Inputs!$E$12)^(AH$9-1))</f>
        <v>106.08999999999999</v>
      </c>
      <c r="AI63" s="67">
        <f>Inputs!$E117*((1+Inputs!$E$12)^(AI$9-1))</f>
        <v>106.08999999999999</v>
      </c>
      <c r="AJ63" s="67">
        <f>Inputs!$E117*((1+Inputs!$E$12)^(AJ$9-1))</f>
        <v>106.08999999999999</v>
      </c>
      <c r="AK63" s="67">
        <f>Inputs!$E117*((1+Inputs!$E$12)^(AK$9-1))</f>
        <v>106.08999999999999</v>
      </c>
      <c r="AL63" s="67">
        <f>Inputs!$E117*((1+Inputs!$E$12)^(AL$9-1))</f>
        <v>106.08999999999999</v>
      </c>
      <c r="AM63" s="67">
        <f>Inputs!$E117*((1+Inputs!$E$12)^(AM$9-1))</f>
        <v>109.2727</v>
      </c>
      <c r="AN63" s="67">
        <f>Inputs!$E117*((1+Inputs!$E$12)^(AN$9-1))</f>
        <v>109.2727</v>
      </c>
    </row>
    <row r="64" spans="1:40" s="16" customFormat="1">
      <c r="A64" s="1"/>
      <c r="B64" s="1"/>
      <c r="C64" s="34" t="s">
        <v>19</v>
      </c>
      <c r="D64" s="15"/>
      <c r="E64" s="67">
        <f>Inputs!$E118*((1+Inputs!$E$12)^(E$9-1))</f>
        <v>100</v>
      </c>
      <c r="F64" s="67">
        <f>Inputs!$E118*((1+Inputs!$E$12)^(F$9-1))</f>
        <v>100</v>
      </c>
      <c r="G64" s="67">
        <f>Inputs!$E118*((1+Inputs!$E$12)^(G$9-1))</f>
        <v>100</v>
      </c>
      <c r="H64" s="67">
        <f>Inputs!$E118*((1+Inputs!$E$12)^(H$9-1))</f>
        <v>100</v>
      </c>
      <c r="I64" s="67">
        <f>Inputs!$E118*((1+Inputs!$E$12)^(I$9-1))</f>
        <v>100</v>
      </c>
      <c r="J64" s="67">
        <f>Inputs!$E118*((1+Inputs!$E$12)^(J$9-1))</f>
        <v>100</v>
      </c>
      <c r="K64" s="67">
        <f>Inputs!$E118*((1+Inputs!$E$12)^(K$9-1))</f>
        <v>100</v>
      </c>
      <c r="L64" s="67">
        <f>Inputs!$E118*((1+Inputs!$E$12)^(L$9-1))</f>
        <v>100</v>
      </c>
      <c r="M64" s="67">
        <f>Inputs!$E118*((1+Inputs!$E$12)^(M$9-1))</f>
        <v>100</v>
      </c>
      <c r="N64" s="67">
        <f>Inputs!$E118*((1+Inputs!$E$12)^(N$9-1))</f>
        <v>100</v>
      </c>
      <c r="O64" s="67">
        <f>Inputs!$E118*((1+Inputs!$E$12)^(O$9-1))</f>
        <v>103</v>
      </c>
      <c r="P64" s="67">
        <f>Inputs!$E118*((1+Inputs!$E$12)^(P$9-1))</f>
        <v>103</v>
      </c>
      <c r="Q64" s="67">
        <f>Inputs!$E118*((1+Inputs!$E$12)^(Q$9-1))</f>
        <v>103</v>
      </c>
      <c r="R64" s="67">
        <f>Inputs!$E118*((1+Inputs!$E$12)^(R$9-1))</f>
        <v>103</v>
      </c>
      <c r="S64" s="67">
        <f>Inputs!$E118*((1+Inputs!$E$12)^(S$9-1))</f>
        <v>103</v>
      </c>
      <c r="T64" s="67">
        <f>Inputs!$E118*((1+Inputs!$E$12)^(T$9-1))</f>
        <v>103</v>
      </c>
      <c r="U64" s="67">
        <f>Inputs!$E118*((1+Inputs!$E$12)^(U$9-1))</f>
        <v>103</v>
      </c>
      <c r="V64" s="67">
        <f>Inputs!$E118*((1+Inputs!$E$12)^(V$9-1))</f>
        <v>103</v>
      </c>
      <c r="W64" s="67">
        <f>Inputs!$E118*((1+Inputs!$E$12)^(W$9-1))</f>
        <v>103</v>
      </c>
      <c r="X64" s="67">
        <f>Inputs!$E118*((1+Inputs!$E$12)^(X$9-1))</f>
        <v>103</v>
      </c>
      <c r="Y64" s="67">
        <f>Inputs!$E118*((1+Inputs!$E$12)^(Y$9-1))</f>
        <v>103</v>
      </c>
      <c r="Z64" s="67">
        <f>Inputs!$E118*((1+Inputs!$E$12)^(Z$9-1))</f>
        <v>103</v>
      </c>
      <c r="AA64" s="67">
        <f>Inputs!$E118*((1+Inputs!$E$12)^(AA$9-1))</f>
        <v>106.08999999999999</v>
      </c>
      <c r="AB64" s="67">
        <f>Inputs!$E118*((1+Inputs!$E$12)^(AB$9-1))</f>
        <v>106.08999999999999</v>
      </c>
      <c r="AC64" s="67">
        <f>Inputs!$E118*((1+Inputs!$E$12)^(AC$9-1))</f>
        <v>106.08999999999999</v>
      </c>
      <c r="AD64" s="67">
        <f>Inputs!$E118*((1+Inputs!$E$12)^(AD$9-1))</f>
        <v>106.08999999999999</v>
      </c>
      <c r="AE64" s="67">
        <f>Inputs!$E118*((1+Inputs!$E$12)^(AE$9-1))</f>
        <v>106.08999999999999</v>
      </c>
      <c r="AF64" s="67">
        <f>Inputs!$E118*((1+Inputs!$E$12)^(AF$9-1))</f>
        <v>106.08999999999999</v>
      </c>
      <c r="AG64" s="67">
        <f>Inputs!$E118*((1+Inputs!$E$12)^(AG$9-1))</f>
        <v>106.08999999999999</v>
      </c>
      <c r="AH64" s="67">
        <f>Inputs!$E118*((1+Inputs!$E$12)^(AH$9-1))</f>
        <v>106.08999999999999</v>
      </c>
      <c r="AI64" s="67">
        <f>Inputs!$E118*((1+Inputs!$E$12)^(AI$9-1))</f>
        <v>106.08999999999999</v>
      </c>
      <c r="AJ64" s="67">
        <f>Inputs!$E118*((1+Inputs!$E$12)^(AJ$9-1))</f>
        <v>106.08999999999999</v>
      </c>
      <c r="AK64" s="67">
        <f>Inputs!$E118*((1+Inputs!$E$12)^(AK$9-1))</f>
        <v>106.08999999999999</v>
      </c>
      <c r="AL64" s="67">
        <f>Inputs!$E118*((1+Inputs!$E$12)^(AL$9-1))</f>
        <v>106.08999999999999</v>
      </c>
      <c r="AM64" s="67">
        <f>Inputs!$E118*((1+Inputs!$E$12)^(AM$9-1))</f>
        <v>109.2727</v>
      </c>
      <c r="AN64" s="67">
        <f>Inputs!$E118*((1+Inputs!$E$12)^(AN$9-1))</f>
        <v>109.2727</v>
      </c>
    </row>
    <row r="65" spans="1:40" s="16" customFormat="1">
      <c r="A65" s="1"/>
      <c r="B65" s="1"/>
      <c r="C65" s="34" t="s">
        <v>1</v>
      </c>
      <c r="D65" s="15"/>
      <c r="E65" s="67">
        <f>Inputs!$E119*((1+Inputs!$E$12)^(E$9-1))</f>
        <v>0</v>
      </c>
      <c r="F65" s="67">
        <f>Inputs!$E119*((1+Inputs!$E$12)^(F$9-1))</f>
        <v>0</v>
      </c>
      <c r="G65" s="67">
        <f>Inputs!$E119*((1+Inputs!$E$12)^(G$9-1))</f>
        <v>0</v>
      </c>
      <c r="H65" s="67">
        <f>Inputs!$E119*((1+Inputs!$E$12)^(H$9-1))</f>
        <v>0</v>
      </c>
      <c r="I65" s="67">
        <f>Inputs!$E119*((1+Inputs!$E$12)^(I$9-1))</f>
        <v>0</v>
      </c>
      <c r="J65" s="67">
        <f>Inputs!$E119*((1+Inputs!$E$12)^(J$9-1))</f>
        <v>0</v>
      </c>
      <c r="K65" s="67">
        <f>Inputs!$E119*((1+Inputs!$E$12)^(K$9-1))</f>
        <v>0</v>
      </c>
      <c r="L65" s="67">
        <f>Inputs!$E119*((1+Inputs!$E$12)^(L$9-1))</f>
        <v>0</v>
      </c>
      <c r="M65" s="67">
        <f>Inputs!$E119*((1+Inputs!$E$12)^(M$9-1))</f>
        <v>0</v>
      </c>
      <c r="N65" s="67">
        <f>Inputs!$E119*((1+Inputs!$E$12)^(N$9-1))</f>
        <v>0</v>
      </c>
      <c r="O65" s="67">
        <f>Inputs!$E119*((1+Inputs!$E$12)^(O$9-1))</f>
        <v>0</v>
      </c>
      <c r="P65" s="67">
        <f>Inputs!$E119*((1+Inputs!$E$12)^(P$9-1))</f>
        <v>0</v>
      </c>
      <c r="Q65" s="67">
        <f>Inputs!$E119*((1+Inputs!$E$12)^(Q$9-1))</f>
        <v>0</v>
      </c>
      <c r="R65" s="67">
        <f>Inputs!$E119*((1+Inputs!$E$12)^(R$9-1))</f>
        <v>0</v>
      </c>
      <c r="S65" s="67">
        <f>Inputs!$E119*((1+Inputs!$E$12)^(S$9-1))</f>
        <v>0</v>
      </c>
      <c r="T65" s="67">
        <f>Inputs!$E119*((1+Inputs!$E$12)^(T$9-1))</f>
        <v>0</v>
      </c>
      <c r="U65" s="67">
        <f>Inputs!$E119*((1+Inputs!$E$12)^(U$9-1))</f>
        <v>0</v>
      </c>
      <c r="V65" s="67">
        <f>Inputs!$E119*((1+Inputs!$E$12)^(V$9-1))</f>
        <v>0</v>
      </c>
      <c r="W65" s="67">
        <f>Inputs!$E119*((1+Inputs!$E$12)^(W$9-1))</f>
        <v>0</v>
      </c>
      <c r="X65" s="67">
        <f>Inputs!$E119*((1+Inputs!$E$12)^(X$9-1))</f>
        <v>0</v>
      </c>
      <c r="Y65" s="67">
        <f>Inputs!$E119*((1+Inputs!$E$12)^(Y$9-1))</f>
        <v>0</v>
      </c>
      <c r="Z65" s="67">
        <f>Inputs!$E119*((1+Inputs!$E$12)^(Z$9-1))</f>
        <v>0</v>
      </c>
      <c r="AA65" s="67">
        <f>Inputs!$E119*((1+Inputs!$E$12)^(AA$9-1))</f>
        <v>0</v>
      </c>
      <c r="AB65" s="67">
        <f>Inputs!$E119*((1+Inputs!$E$12)^(AB$9-1))</f>
        <v>0</v>
      </c>
      <c r="AC65" s="67">
        <f>Inputs!$E119*((1+Inputs!$E$12)^(AC$9-1))</f>
        <v>0</v>
      </c>
      <c r="AD65" s="67">
        <f>Inputs!$E119*((1+Inputs!$E$12)^(AD$9-1))</f>
        <v>0</v>
      </c>
      <c r="AE65" s="67">
        <f>Inputs!$E119*((1+Inputs!$E$12)^(AE$9-1))</f>
        <v>0</v>
      </c>
      <c r="AF65" s="67">
        <f>Inputs!$E119*((1+Inputs!$E$12)^(AF$9-1))</f>
        <v>0</v>
      </c>
      <c r="AG65" s="67">
        <f>Inputs!$E119*((1+Inputs!$E$12)^(AG$9-1))</f>
        <v>0</v>
      </c>
      <c r="AH65" s="67">
        <f>Inputs!$E119*((1+Inputs!$E$12)^(AH$9-1))</f>
        <v>0</v>
      </c>
      <c r="AI65" s="67">
        <f>Inputs!$E119*((1+Inputs!$E$12)^(AI$9-1))</f>
        <v>0</v>
      </c>
      <c r="AJ65" s="67">
        <f>Inputs!$E119*((1+Inputs!$E$12)^(AJ$9-1))</f>
        <v>0</v>
      </c>
      <c r="AK65" s="67">
        <f>Inputs!$E119*((1+Inputs!$E$12)^(AK$9-1))</f>
        <v>0</v>
      </c>
      <c r="AL65" s="67">
        <f>Inputs!$E119*((1+Inputs!$E$12)^(AL$9-1))</f>
        <v>0</v>
      </c>
      <c r="AM65" s="67">
        <f>Inputs!$E119*((1+Inputs!$E$12)^(AM$9-1))</f>
        <v>0</v>
      </c>
      <c r="AN65" s="67">
        <f>Inputs!$E119*((1+Inputs!$E$12)^(AN$9-1))</f>
        <v>0</v>
      </c>
    </row>
    <row r="66" spans="1:40" s="16" customFormat="1">
      <c r="A66" s="1"/>
      <c r="B66" s="1"/>
      <c r="C66" s="34" t="str">
        <f>Inputs!C121</f>
        <v>&lt;Other Monthly Operating Expense #1, CY 1&gt;</v>
      </c>
      <c r="D66" s="15"/>
      <c r="E66" s="67">
        <f>Inputs!$E121*((1+Inputs!$E$12)^(E$9-1))</f>
        <v>0</v>
      </c>
      <c r="F66" s="67">
        <f>Inputs!$E121*((1+Inputs!$E$12)^(F$9-1))</f>
        <v>0</v>
      </c>
      <c r="G66" s="67">
        <f>Inputs!$E121*((1+Inputs!$E$12)^(G$9-1))</f>
        <v>0</v>
      </c>
      <c r="H66" s="67">
        <f>Inputs!$E121*((1+Inputs!$E$12)^(H$9-1))</f>
        <v>0</v>
      </c>
      <c r="I66" s="67">
        <f>Inputs!$E121*((1+Inputs!$E$12)^(I$9-1))</f>
        <v>0</v>
      </c>
      <c r="J66" s="67">
        <f>Inputs!$E121*((1+Inputs!$E$12)^(J$9-1))</f>
        <v>0</v>
      </c>
      <c r="K66" s="67">
        <f>Inputs!$E121*((1+Inputs!$E$12)^(K$9-1))</f>
        <v>0</v>
      </c>
      <c r="L66" s="67">
        <f>Inputs!$E121*((1+Inputs!$E$12)^(L$9-1))</f>
        <v>0</v>
      </c>
      <c r="M66" s="67">
        <f>Inputs!$E121*((1+Inputs!$E$12)^(M$9-1))</f>
        <v>0</v>
      </c>
      <c r="N66" s="67">
        <f>Inputs!$E121*((1+Inputs!$E$12)^(N$9-1))</f>
        <v>0</v>
      </c>
      <c r="O66" s="67">
        <f>Inputs!$E121*((1+Inputs!$E$12)^(O$9-1))</f>
        <v>0</v>
      </c>
      <c r="P66" s="67">
        <f>Inputs!$E121*((1+Inputs!$E$12)^(P$9-1))</f>
        <v>0</v>
      </c>
      <c r="Q66" s="67">
        <f>Inputs!$E121*((1+Inputs!$E$12)^(Q$9-1))</f>
        <v>0</v>
      </c>
      <c r="R66" s="67">
        <f>Inputs!$E121*((1+Inputs!$E$12)^(R$9-1))</f>
        <v>0</v>
      </c>
      <c r="S66" s="67">
        <f>Inputs!$E121*((1+Inputs!$E$12)^(S$9-1))</f>
        <v>0</v>
      </c>
      <c r="T66" s="67">
        <f>Inputs!$E121*((1+Inputs!$E$12)^(T$9-1))</f>
        <v>0</v>
      </c>
      <c r="U66" s="67">
        <f>Inputs!$E121*((1+Inputs!$E$12)^(U$9-1))</f>
        <v>0</v>
      </c>
      <c r="V66" s="67">
        <f>Inputs!$E121*((1+Inputs!$E$12)^(V$9-1))</f>
        <v>0</v>
      </c>
      <c r="W66" s="67">
        <f>Inputs!$E121*((1+Inputs!$E$12)^(W$9-1))</f>
        <v>0</v>
      </c>
      <c r="X66" s="67">
        <f>Inputs!$E121*((1+Inputs!$E$12)^(X$9-1))</f>
        <v>0</v>
      </c>
      <c r="Y66" s="67">
        <f>Inputs!$E121*((1+Inputs!$E$12)^(Y$9-1))</f>
        <v>0</v>
      </c>
      <c r="Z66" s="67">
        <f>Inputs!$E121*((1+Inputs!$E$12)^(Z$9-1))</f>
        <v>0</v>
      </c>
      <c r="AA66" s="67">
        <f>Inputs!$E121*((1+Inputs!$E$12)^(AA$9-1))</f>
        <v>0</v>
      </c>
      <c r="AB66" s="67">
        <f>Inputs!$E121*((1+Inputs!$E$12)^(AB$9-1))</f>
        <v>0</v>
      </c>
      <c r="AC66" s="67">
        <f>Inputs!$E121*((1+Inputs!$E$12)^(AC$9-1))</f>
        <v>0</v>
      </c>
      <c r="AD66" s="67">
        <f>Inputs!$E121*((1+Inputs!$E$12)^(AD$9-1))</f>
        <v>0</v>
      </c>
      <c r="AE66" s="67">
        <f>Inputs!$E121*((1+Inputs!$E$12)^(AE$9-1))</f>
        <v>0</v>
      </c>
      <c r="AF66" s="67">
        <f>Inputs!$E121*((1+Inputs!$E$12)^(AF$9-1))</f>
        <v>0</v>
      </c>
      <c r="AG66" s="67">
        <f>Inputs!$E121*((1+Inputs!$E$12)^(AG$9-1))</f>
        <v>0</v>
      </c>
      <c r="AH66" s="67">
        <f>Inputs!$E121*((1+Inputs!$E$12)^(AH$9-1))</f>
        <v>0</v>
      </c>
      <c r="AI66" s="67">
        <f>Inputs!$E121*((1+Inputs!$E$12)^(AI$9-1))</f>
        <v>0</v>
      </c>
      <c r="AJ66" s="67">
        <f>Inputs!$E121*((1+Inputs!$E$12)^(AJ$9-1))</f>
        <v>0</v>
      </c>
      <c r="AK66" s="67">
        <f>Inputs!$E121*((1+Inputs!$E$12)^(AK$9-1))</f>
        <v>0</v>
      </c>
      <c r="AL66" s="67">
        <f>Inputs!$E121*((1+Inputs!$E$12)^(AL$9-1))</f>
        <v>0</v>
      </c>
      <c r="AM66" s="67">
        <f>Inputs!$E121*((1+Inputs!$E$12)^(AM$9-1))</f>
        <v>0</v>
      </c>
      <c r="AN66" s="67">
        <f>Inputs!$E121*((1+Inputs!$E$12)^(AN$9-1))</f>
        <v>0</v>
      </c>
    </row>
    <row r="67" spans="1:40" s="16" customFormat="1">
      <c r="A67" s="1"/>
      <c r="B67" s="1"/>
      <c r="C67" s="34" t="str">
        <f>Inputs!C122</f>
        <v>&lt;Other Monthly Operating Expense #2, CY 1&gt;</v>
      </c>
      <c r="D67" s="15"/>
      <c r="E67" s="67">
        <f>Inputs!$E122*((1+Inputs!$E$12)^(E$9-1))</f>
        <v>0</v>
      </c>
      <c r="F67" s="67">
        <f>Inputs!$E122*((1+Inputs!$E$12)^(F$9-1))</f>
        <v>0</v>
      </c>
      <c r="G67" s="67">
        <f>Inputs!$E122*((1+Inputs!$E$12)^(G$9-1))</f>
        <v>0</v>
      </c>
      <c r="H67" s="67">
        <f>Inputs!$E122*((1+Inputs!$E$12)^(H$9-1))</f>
        <v>0</v>
      </c>
      <c r="I67" s="67">
        <f>Inputs!$E122*((1+Inputs!$E$12)^(I$9-1))</f>
        <v>0</v>
      </c>
      <c r="J67" s="67">
        <f>Inputs!$E122*((1+Inputs!$E$12)^(J$9-1))</f>
        <v>0</v>
      </c>
      <c r="K67" s="67">
        <f>Inputs!$E122*((1+Inputs!$E$12)^(K$9-1))</f>
        <v>0</v>
      </c>
      <c r="L67" s="67">
        <f>Inputs!$E122*((1+Inputs!$E$12)^(L$9-1))</f>
        <v>0</v>
      </c>
      <c r="M67" s="67">
        <f>Inputs!$E122*((1+Inputs!$E$12)^(M$9-1))</f>
        <v>0</v>
      </c>
      <c r="N67" s="67">
        <f>Inputs!$E122*((1+Inputs!$E$12)^(N$9-1))</f>
        <v>0</v>
      </c>
      <c r="O67" s="67">
        <f>Inputs!$E122*((1+Inputs!$E$12)^(O$9-1))</f>
        <v>0</v>
      </c>
      <c r="P67" s="67">
        <f>Inputs!$E122*((1+Inputs!$E$12)^(P$9-1))</f>
        <v>0</v>
      </c>
      <c r="Q67" s="67">
        <f>Inputs!$E122*((1+Inputs!$E$12)^(Q$9-1))</f>
        <v>0</v>
      </c>
      <c r="R67" s="67">
        <f>Inputs!$E122*((1+Inputs!$E$12)^(R$9-1))</f>
        <v>0</v>
      </c>
      <c r="S67" s="67">
        <f>Inputs!$E122*((1+Inputs!$E$12)^(S$9-1))</f>
        <v>0</v>
      </c>
      <c r="T67" s="67">
        <f>Inputs!$E122*((1+Inputs!$E$12)^(T$9-1))</f>
        <v>0</v>
      </c>
      <c r="U67" s="67">
        <f>Inputs!$E122*((1+Inputs!$E$12)^(U$9-1))</f>
        <v>0</v>
      </c>
      <c r="V67" s="67">
        <f>Inputs!$E122*((1+Inputs!$E$12)^(V$9-1))</f>
        <v>0</v>
      </c>
      <c r="W67" s="67">
        <f>Inputs!$E122*((1+Inputs!$E$12)^(W$9-1))</f>
        <v>0</v>
      </c>
      <c r="X67" s="67">
        <f>Inputs!$E122*((1+Inputs!$E$12)^(X$9-1))</f>
        <v>0</v>
      </c>
      <c r="Y67" s="67">
        <f>Inputs!$E122*((1+Inputs!$E$12)^(Y$9-1))</f>
        <v>0</v>
      </c>
      <c r="Z67" s="67">
        <f>Inputs!$E122*((1+Inputs!$E$12)^(Z$9-1))</f>
        <v>0</v>
      </c>
      <c r="AA67" s="67">
        <f>Inputs!$E122*((1+Inputs!$E$12)^(AA$9-1))</f>
        <v>0</v>
      </c>
      <c r="AB67" s="67">
        <f>Inputs!$E122*((1+Inputs!$E$12)^(AB$9-1))</f>
        <v>0</v>
      </c>
      <c r="AC67" s="67">
        <f>Inputs!$E122*((1+Inputs!$E$12)^(AC$9-1))</f>
        <v>0</v>
      </c>
      <c r="AD67" s="67">
        <f>Inputs!$E122*((1+Inputs!$E$12)^(AD$9-1))</f>
        <v>0</v>
      </c>
      <c r="AE67" s="67">
        <f>Inputs!$E122*((1+Inputs!$E$12)^(AE$9-1))</f>
        <v>0</v>
      </c>
      <c r="AF67" s="67">
        <f>Inputs!$E122*((1+Inputs!$E$12)^(AF$9-1))</f>
        <v>0</v>
      </c>
      <c r="AG67" s="67">
        <f>Inputs!$E122*((1+Inputs!$E$12)^(AG$9-1))</f>
        <v>0</v>
      </c>
      <c r="AH67" s="67">
        <f>Inputs!$E122*((1+Inputs!$E$12)^(AH$9-1))</f>
        <v>0</v>
      </c>
      <c r="AI67" s="67">
        <f>Inputs!$E122*((1+Inputs!$E$12)^(AI$9-1))</f>
        <v>0</v>
      </c>
      <c r="AJ67" s="67">
        <f>Inputs!$E122*((1+Inputs!$E$12)^(AJ$9-1))</f>
        <v>0</v>
      </c>
      <c r="AK67" s="67">
        <f>Inputs!$E122*((1+Inputs!$E$12)^(AK$9-1))</f>
        <v>0</v>
      </c>
      <c r="AL67" s="67">
        <f>Inputs!$E122*((1+Inputs!$E$12)^(AL$9-1))</f>
        <v>0</v>
      </c>
      <c r="AM67" s="67">
        <f>Inputs!$E122*((1+Inputs!$E$12)^(AM$9-1))</f>
        <v>0</v>
      </c>
      <c r="AN67" s="67">
        <f>Inputs!$E122*((1+Inputs!$E$12)^(AN$9-1))</f>
        <v>0</v>
      </c>
    </row>
    <row r="68" spans="1:40" s="16" customFormat="1">
      <c r="A68" s="1"/>
      <c r="B68" s="1"/>
      <c r="C68" s="34" t="str">
        <f>Inputs!C123</f>
        <v>&lt;Other Monthly Operating Expense #3, CY 1&gt;</v>
      </c>
      <c r="D68" s="15"/>
      <c r="E68" s="67">
        <f>Inputs!$E123*((1+Inputs!$E$12)^(E$9-1))</f>
        <v>0</v>
      </c>
      <c r="F68" s="67">
        <f>Inputs!$E123*((1+Inputs!$E$12)^(F$9-1))</f>
        <v>0</v>
      </c>
      <c r="G68" s="67">
        <f>Inputs!$E123*((1+Inputs!$E$12)^(G$9-1))</f>
        <v>0</v>
      </c>
      <c r="H68" s="67">
        <f>Inputs!$E123*((1+Inputs!$E$12)^(H$9-1))</f>
        <v>0</v>
      </c>
      <c r="I68" s="67">
        <f>Inputs!$E123*((1+Inputs!$E$12)^(I$9-1))</f>
        <v>0</v>
      </c>
      <c r="J68" s="67">
        <f>Inputs!$E123*((1+Inputs!$E$12)^(J$9-1))</f>
        <v>0</v>
      </c>
      <c r="K68" s="67">
        <f>Inputs!$E123*((1+Inputs!$E$12)^(K$9-1))</f>
        <v>0</v>
      </c>
      <c r="L68" s="67">
        <f>Inputs!$E123*((1+Inputs!$E$12)^(L$9-1))</f>
        <v>0</v>
      </c>
      <c r="M68" s="67">
        <f>Inputs!$E123*((1+Inputs!$E$12)^(M$9-1))</f>
        <v>0</v>
      </c>
      <c r="N68" s="67">
        <f>Inputs!$E123*((1+Inputs!$E$12)^(N$9-1))</f>
        <v>0</v>
      </c>
      <c r="O68" s="67">
        <f>Inputs!$E123*((1+Inputs!$E$12)^(O$9-1))</f>
        <v>0</v>
      </c>
      <c r="P68" s="67">
        <f>Inputs!$E123*((1+Inputs!$E$12)^(P$9-1))</f>
        <v>0</v>
      </c>
      <c r="Q68" s="67">
        <f>Inputs!$E123*((1+Inputs!$E$12)^(Q$9-1))</f>
        <v>0</v>
      </c>
      <c r="R68" s="67">
        <f>Inputs!$E123*((1+Inputs!$E$12)^(R$9-1))</f>
        <v>0</v>
      </c>
      <c r="S68" s="67">
        <f>Inputs!$E123*((1+Inputs!$E$12)^(S$9-1))</f>
        <v>0</v>
      </c>
      <c r="T68" s="67">
        <f>Inputs!$E123*((1+Inputs!$E$12)^(T$9-1))</f>
        <v>0</v>
      </c>
      <c r="U68" s="67">
        <f>Inputs!$E123*((1+Inputs!$E$12)^(U$9-1))</f>
        <v>0</v>
      </c>
      <c r="V68" s="67">
        <f>Inputs!$E123*((1+Inputs!$E$12)^(V$9-1))</f>
        <v>0</v>
      </c>
      <c r="W68" s="67">
        <f>Inputs!$E123*((1+Inputs!$E$12)^(W$9-1))</f>
        <v>0</v>
      </c>
      <c r="X68" s="67">
        <f>Inputs!$E123*((1+Inputs!$E$12)^(X$9-1))</f>
        <v>0</v>
      </c>
      <c r="Y68" s="67">
        <f>Inputs!$E123*((1+Inputs!$E$12)^(Y$9-1))</f>
        <v>0</v>
      </c>
      <c r="Z68" s="67">
        <f>Inputs!$E123*((1+Inputs!$E$12)^(Z$9-1))</f>
        <v>0</v>
      </c>
      <c r="AA68" s="67">
        <f>Inputs!$E123*((1+Inputs!$E$12)^(AA$9-1))</f>
        <v>0</v>
      </c>
      <c r="AB68" s="67">
        <f>Inputs!$E123*((1+Inputs!$E$12)^(AB$9-1))</f>
        <v>0</v>
      </c>
      <c r="AC68" s="67">
        <f>Inputs!$E123*((1+Inputs!$E$12)^(AC$9-1))</f>
        <v>0</v>
      </c>
      <c r="AD68" s="67">
        <f>Inputs!$E123*((1+Inputs!$E$12)^(AD$9-1))</f>
        <v>0</v>
      </c>
      <c r="AE68" s="67">
        <f>Inputs!$E123*((1+Inputs!$E$12)^(AE$9-1))</f>
        <v>0</v>
      </c>
      <c r="AF68" s="67">
        <f>Inputs!$E123*((1+Inputs!$E$12)^(AF$9-1))</f>
        <v>0</v>
      </c>
      <c r="AG68" s="67">
        <f>Inputs!$E123*((1+Inputs!$E$12)^(AG$9-1))</f>
        <v>0</v>
      </c>
      <c r="AH68" s="67">
        <f>Inputs!$E123*((1+Inputs!$E$12)^(AH$9-1))</f>
        <v>0</v>
      </c>
      <c r="AI68" s="67">
        <f>Inputs!$E123*((1+Inputs!$E$12)^(AI$9-1))</f>
        <v>0</v>
      </c>
      <c r="AJ68" s="67">
        <f>Inputs!$E123*((1+Inputs!$E$12)^(AJ$9-1))</f>
        <v>0</v>
      </c>
      <c r="AK68" s="67">
        <f>Inputs!$E123*((1+Inputs!$E$12)^(AK$9-1))</f>
        <v>0</v>
      </c>
      <c r="AL68" s="67">
        <f>Inputs!$E123*((1+Inputs!$E$12)^(AL$9-1))</f>
        <v>0</v>
      </c>
      <c r="AM68" s="67">
        <f>Inputs!$E123*((1+Inputs!$E$12)^(AM$9-1))</f>
        <v>0</v>
      </c>
      <c r="AN68" s="67">
        <f>Inputs!$E123*((1+Inputs!$E$12)^(AN$9-1))</f>
        <v>0</v>
      </c>
    </row>
    <row r="69" spans="1:40" s="16" customFormat="1">
      <c r="A69" s="1"/>
      <c r="B69" s="1"/>
      <c r="C69" s="34" t="str">
        <f>Inputs!C124</f>
        <v>&lt;Other Monthly Operating Expense #4, CY 1&gt;</v>
      </c>
      <c r="D69" s="15"/>
      <c r="E69" s="67">
        <f>Inputs!$E124*((1+Inputs!$E$12)^(E$9-1))</f>
        <v>0</v>
      </c>
      <c r="F69" s="67">
        <f>Inputs!$E124*((1+Inputs!$E$12)^(F$9-1))</f>
        <v>0</v>
      </c>
      <c r="G69" s="67">
        <f>Inputs!$E124*((1+Inputs!$E$12)^(G$9-1))</f>
        <v>0</v>
      </c>
      <c r="H69" s="67">
        <f>Inputs!$E124*((1+Inputs!$E$12)^(H$9-1))</f>
        <v>0</v>
      </c>
      <c r="I69" s="67">
        <f>Inputs!$E124*((1+Inputs!$E$12)^(I$9-1))</f>
        <v>0</v>
      </c>
      <c r="J69" s="67">
        <f>Inputs!$E124*((1+Inputs!$E$12)^(J$9-1))</f>
        <v>0</v>
      </c>
      <c r="K69" s="67">
        <f>Inputs!$E124*((1+Inputs!$E$12)^(K$9-1))</f>
        <v>0</v>
      </c>
      <c r="L69" s="67">
        <f>Inputs!$E124*((1+Inputs!$E$12)^(L$9-1))</f>
        <v>0</v>
      </c>
      <c r="M69" s="67">
        <f>Inputs!$E124*((1+Inputs!$E$12)^(M$9-1))</f>
        <v>0</v>
      </c>
      <c r="N69" s="67">
        <f>Inputs!$E124*((1+Inputs!$E$12)^(N$9-1))</f>
        <v>0</v>
      </c>
      <c r="O69" s="67">
        <f>Inputs!$E124*((1+Inputs!$E$12)^(O$9-1))</f>
        <v>0</v>
      </c>
      <c r="P69" s="67">
        <f>Inputs!$E124*((1+Inputs!$E$12)^(P$9-1))</f>
        <v>0</v>
      </c>
      <c r="Q69" s="67">
        <f>Inputs!$E124*((1+Inputs!$E$12)^(Q$9-1))</f>
        <v>0</v>
      </c>
      <c r="R69" s="67">
        <f>Inputs!$E124*((1+Inputs!$E$12)^(R$9-1))</f>
        <v>0</v>
      </c>
      <c r="S69" s="67">
        <f>Inputs!$E124*((1+Inputs!$E$12)^(S$9-1))</f>
        <v>0</v>
      </c>
      <c r="T69" s="67">
        <f>Inputs!$E124*((1+Inputs!$E$12)^(T$9-1))</f>
        <v>0</v>
      </c>
      <c r="U69" s="67">
        <f>Inputs!$E124*((1+Inputs!$E$12)^(U$9-1))</f>
        <v>0</v>
      </c>
      <c r="V69" s="67">
        <f>Inputs!$E124*((1+Inputs!$E$12)^(V$9-1))</f>
        <v>0</v>
      </c>
      <c r="W69" s="67">
        <f>Inputs!$E124*((1+Inputs!$E$12)^(W$9-1))</f>
        <v>0</v>
      </c>
      <c r="X69" s="67">
        <f>Inputs!$E124*((1+Inputs!$E$12)^(X$9-1))</f>
        <v>0</v>
      </c>
      <c r="Y69" s="67">
        <f>Inputs!$E124*((1+Inputs!$E$12)^(Y$9-1))</f>
        <v>0</v>
      </c>
      <c r="Z69" s="67">
        <f>Inputs!$E124*((1+Inputs!$E$12)^(Z$9-1))</f>
        <v>0</v>
      </c>
      <c r="AA69" s="67">
        <f>Inputs!$E124*((1+Inputs!$E$12)^(AA$9-1))</f>
        <v>0</v>
      </c>
      <c r="AB69" s="67">
        <f>Inputs!$E124*((1+Inputs!$E$12)^(AB$9-1))</f>
        <v>0</v>
      </c>
      <c r="AC69" s="67">
        <f>Inputs!$E124*((1+Inputs!$E$12)^(AC$9-1))</f>
        <v>0</v>
      </c>
      <c r="AD69" s="67">
        <f>Inputs!$E124*((1+Inputs!$E$12)^(AD$9-1))</f>
        <v>0</v>
      </c>
      <c r="AE69" s="67">
        <f>Inputs!$E124*((1+Inputs!$E$12)^(AE$9-1))</f>
        <v>0</v>
      </c>
      <c r="AF69" s="67">
        <f>Inputs!$E124*((1+Inputs!$E$12)^(AF$9-1))</f>
        <v>0</v>
      </c>
      <c r="AG69" s="67">
        <f>Inputs!$E124*((1+Inputs!$E$12)^(AG$9-1))</f>
        <v>0</v>
      </c>
      <c r="AH69" s="67">
        <f>Inputs!$E124*((1+Inputs!$E$12)^(AH$9-1))</f>
        <v>0</v>
      </c>
      <c r="AI69" s="67">
        <f>Inputs!$E124*((1+Inputs!$E$12)^(AI$9-1))</f>
        <v>0</v>
      </c>
      <c r="AJ69" s="67">
        <f>Inputs!$E124*((1+Inputs!$E$12)^(AJ$9-1))</f>
        <v>0</v>
      </c>
      <c r="AK69" s="67">
        <f>Inputs!$E124*((1+Inputs!$E$12)^(AK$9-1))</f>
        <v>0</v>
      </c>
      <c r="AL69" s="67">
        <f>Inputs!$E124*((1+Inputs!$E$12)^(AL$9-1))</f>
        <v>0</v>
      </c>
      <c r="AM69" s="67">
        <f>Inputs!$E124*((1+Inputs!$E$12)^(AM$9-1))</f>
        <v>0</v>
      </c>
      <c r="AN69" s="67">
        <f>Inputs!$E124*((1+Inputs!$E$12)^(AN$9-1))</f>
        <v>0</v>
      </c>
    </row>
    <row r="70" spans="1:40" s="16" customFormat="1">
      <c r="A70" s="1"/>
      <c r="B70" s="1"/>
      <c r="C70" s="34" t="str">
        <f>Inputs!C125</f>
        <v>&lt;Other Monthly Operating Expense #5, CY 1&gt;</v>
      </c>
      <c r="D70" s="15"/>
      <c r="E70" s="67">
        <f>Inputs!$E125*((1+Inputs!$E$12)^(E$9-1))</f>
        <v>0</v>
      </c>
      <c r="F70" s="67">
        <f>Inputs!$E125*((1+Inputs!$E$12)^(F$9-1))</f>
        <v>0</v>
      </c>
      <c r="G70" s="67">
        <f>Inputs!$E125*((1+Inputs!$E$12)^(G$9-1))</f>
        <v>0</v>
      </c>
      <c r="H70" s="67">
        <f>Inputs!$E125*((1+Inputs!$E$12)^(H$9-1))</f>
        <v>0</v>
      </c>
      <c r="I70" s="67">
        <f>Inputs!$E125*((1+Inputs!$E$12)^(I$9-1))</f>
        <v>0</v>
      </c>
      <c r="J70" s="67">
        <f>Inputs!$E125*((1+Inputs!$E$12)^(J$9-1))</f>
        <v>0</v>
      </c>
      <c r="K70" s="67">
        <f>Inputs!$E125*((1+Inputs!$E$12)^(K$9-1))</f>
        <v>0</v>
      </c>
      <c r="L70" s="67">
        <f>Inputs!$E125*((1+Inputs!$E$12)^(L$9-1))</f>
        <v>0</v>
      </c>
      <c r="M70" s="67">
        <f>Inputs!$E125*((1+Inputs!$E$12)^(M$9-1))</f>
        <v>0</v>
      </c>
      <c r="N70" s="67">
        <f>Inputs!$E125*((1+Inputs!$E$12)^(N$9-1))</f>
        <v>0</v>
      </c>
      <c r="O70" s="67">
        <f>Inputs!$E125*((1+Inputs!$E$12)^(O$9-1))</f>
        <v>0</v>
      </c>
      <c r="P70" s="67">
        <f>Inputs!$E125*((1+Inputs!$E$12)^(P$9-1))</f>
        <v>0</v>
      </c>
      <c r="Q70" s="67">
        <f>Inputs!$E125*((1+Inputs!$E$12)^(Q$9-1))</f>
        <v>0</v>
      </c>
      <c r="R70" s="67">
        <f>Inputs!$E125*((1+Inputs!$E$12)^(R$9-1))</f>
        <v>0</v>
      </c>
      <c r="S70" s="67">
        <f>Inputs!$E125*((1+Inputs!$E$12)^(S$9-1))</f>
        <v>0</v>
      </c>
      <c r="T70" s="67">
        <f>Inputs!$E125*((1+Inputs!$E$12)^(T$9-1))</f>
        <v>0</v>
      </c>
      <c r="U70" s="67">
        <f>Inputs!$E125*((1+Inputs!$E$12)^(U$9-1))</f>
        <v>0</v>
      </c>
      <c r="V70" s="67">
        <f>Inputs!$E125*((1+Inputs!$E$12)^(V$9-1))</f>
        <v>0</v>
      </c>
      <c r="W70" s="67">
        <f>Inputs!$E125*((1+Inputs!$E$12)^(W$9-1))</f>
        <v>0</v>
      </c>
      <c r="X70" s="67">
        <f>Inputs!$E125*((1+Inputs!$E$12)^(X$9-1))</f>
        <v>0</v>
      </c>
      <c r="Y70" s="67">
        <f>Inputs!$E125*((1+Inputs!$E$12)^(Y$9-1))</f>
        <v>0</v>
      </c>
      <c r="Z70" s="67">
        <f>Inputs!$E125*((1+Inputs!$E$12)^(Z$9-1))</f>
        <v>0</v>
      </c>
      <c r="AA70" s="67">
        <f>Inputs!$E125*((1+Inputs!$E$12)^(AA$9-1))</f>
        <v>0</v>
      </c>
      <c r="AB70" s="67">
        <f>Inputs!$E125*((1+Inputs!$E$12)^(AB$9-1))</f>
        <v>0</v>
      </c>
      <c r="AC70" s="67">
        <f>Inputs!$E125*((1+Inputs!$E$12)^(AC$9-1))</f>
        <v>0</v>
      </c>
      <c r="AD70" s="67">
        <f>Inputs!$E125*((1+Inputs!$E$12)^(AD$9-1))</f>
        <v>0</v>
      </c>
      <c r="AE70" s="67">
        <f>Inputs!$E125*((1+Inputs!$E$12)^(AE$9-1))</f>
        <v>0</v>
      </c>
      <c r="AF70" s="67">
        <f>Inputs!$E125*((1+Inputs!$E$12)^(AF$9-1))</f>
        <v>0</v>
      </c>
      <c r="AG70" s="67">
        <f>Inputs!$E125*((1+Inputs!$E$12)^(AG$9-1))</f>
        <v>0</v>
      </c>
      <c r="AH70" s="67">
        <f>Inputs!$E125*((1+Inputs!$E$12)^(AH$9-1))</f>
        <v>0</v>
      </c>
      <c r="AI70" s="67">
        <f>Inputs!$E125*((1+Inputs!$E$12)^(AI$9-1))</f>
        <v>0</v>
      </c>
      <c r="AJ70" s="67">
        <f>Inputs!$E125*((1+Inputs!$E$12)^(AJ$9-1))</f>
        <v>0</v>
      </c>
      <c r="AK70" s="67">
        <f>Inputs!$E125*((1+Inputs!$E$12)^(AK$9-1))</f>
        <v>0</v>
      </c>
      <c r="AL70" s="67">
        <f>Inputs!$E125*((1+Inputs!$E$12)^(AL$9-1))</f>
        <v>0</v>
      </c>
      <c r="AM70" s="67">
        <f>Inputs!$E125*((1+Inputs!$E$12)^(AM$9-1))</f>
        <v>0</v>
      </c>
      <c r="AN70" s="67">
        <f>Inputs!$E125*((1+Inputs!$E$12)^(AN$9-1))</f>
        <v>0</v>
      </c>
    </row>
    <row r="71" spans="1:40" s="16" customFormat="1">
      <c r="A71" s="1"/>
      <c r="B71" s="1"/>
      <c r="C71" s="34"/>
      <c r="D71" s="15"/>
    </row>
    <row r="72" spans="1:40" s="49" customFormat="1">
      <c r="A72" s="2"/>
      <c r="B72" s="48" t="s">
        <v>229</v>
      </c>
      <c r="D72" s="52">
        <f>IF(E5="New Business",-SUMIF(CreditAmort1BEST[Month],"&lt;1",CreditAmort1BEST[Principal]),"")</f>
        <v>0</v>
      </c>
      <c r="E72" s="68">
        <f>IFERROR(-VLOOKUP(E$8,CreditAmort1BEST[],4),0)-IFERROR(VLOOKUP(E$8,CreditAmort2BEST[],4),0)-IFERROR(VLOOKUP(E$8,CreditAmort3BEST[],4),0)-IFERROR(VLOOKUP(E$8,CreditAmort4BEST[],4),0)</f>
        <v>0</v>
      </c>
      <c r="F72" s="68">
        <f>IFERROR(-VLOOKUP(F$8,CreditAmort1BEST[],4),0)-IFERROR(VLOOKUP(F$8,CreditAmort2BEST[],4),0)-IFERROR(VLOOKUP(F$8,CreditAmort3BEST[],4),0)-IFERROR(VLOOKUP(F$8,CreditAmort4BEST[],4),0)</f>
        <v>0</v>
      </c>
      <c r="G72" s="68">
        <f>IFERROR(-VLOOKUP(G$8,CreditAmort1BEST[],4),0)-IFERROR(VLOOKUP(G$8,CreditAmort2BEST[],4),0)-IFERROR(VLOOKUP(G$8,CreditAmort3BEST[],4),0)-IFERROR(VLOOKUP(G$8,CreditAmort4BEST[],4),0)</f>
        <v>0</v>
      </c>
      <c r="H72" s="68">
        <f>IFERROR(-VLOOKUP(H$8,CreditAmort1BEST[],4),0)-IFERROR(VLOOKUP(H$8,CreditAmort2BEST[],4),0)-IFERROR(VLOOKUP(H$8,CreditAmort3BEST[],4),0)-IFERROR(VLOOKUP(H$8,CreditAmort4BEST[],4),0)</f>
        <v>0</v>
      </c>
      <c r="I72" s="68">
        <f>IFERROR(-VLOOKUP(I$8,CreditAmort1BEST[],4),0)-IFERROR(VLOOKUP(I$8,CreditAmort2BEST[],4),0)-IFERROR(VLOOKUP(I$8,CreditAmort3BEST[],4),0)-IFERROR(VLOOKUP(I$8,CreditAmort4BEST[],4),0)</f>
        <v>0</v>
      </c>
      <c r="J72" s="68">
        <f>IFERROR(-VLOOKUP(J$8,CreditAmort1BEST[],4),0)-IFERROR(VLOOKUP(J$8,CreditAmort2BEST[],4),0)-IFERROR(VLOOKUP(J$8,CreditAmort3BEST[],4),0)-IFERROR(VLOOKUP(J$8,CreditAmort4BEST[],4),0)</f>
        <v>0</v>
      </c>
      <c r="K72" s="68">
        <f>IFERROR(-VLOOKUP(K$8,CreditAmort1BEST[],4),0)-IFERROR(VLOOKUP(K$8,CreditAmort2BEST[],4),0)-IFERROR(VLOOKUP(K$8,CreditAmort3BEST[],4),0)-IFERROR(VLOOKUP(K$8,CreditAmort4BEST[],4),0)</f>
        <v>0</v>
      </c>
      <c r="L72" s="68">
        <f>IFERROR(-VLOOKUP(L$8,CreditAmort1BEST[],4),0)-IFERROR(VLOOKUP(L$8,CreditAmort2BEST[],4),0)-IFERROR(VLOOKUP(L$8,CreditAmort3BEST[],4),0)-IFERROR(VLOOKUP(L$8,CreditAmort4BEST[],4),0)</f>
        <v>0</v>
      </c>
      <c r="M72" s="68">
        <f>IFERROR(-VLOOKUP(M$8,CreditAmort1BEST[],4),0)-IFERROR(VLOOKUP(M$8,CreditAmort2BEST[],4),0)-IFERROR(VLOOKUP(M$8,CreditAmort3BEST[],4),0)-IFERROR(VLOOKUP(M$8,CreditAmort4BEST[],4),0)</f>
        <v>0</v>
      </c>
      <c r="N72" s="68">
        <f>IFERROR(-VLOOKUP(N$8,CreditAmort1BEST[],4),0)-IFERROR(VLOOKUP(N$8,CreditAmort2BEST[],4),0)-IFERROR(VLOOKUP(N$8,CreditAmort3BEST[],4),0)-IFERROR(VLOOKUP(N$8,CreditAmort4BEST[],4),0)</f>
        <v>0</v>
      </c>
      <c r="O72" s="68">
        <f>IFERROR(-VLOOKUP(O$8,CreditAmort1BEST[],4),0)-IFERROR(VLOOKUP(O$8,CreditAmort2BEST[],4),0)-IFERROR(VLOOKUP(O$8,CreditAmort3BEST[],4),0)-IFERROR(VLOOKUP(O$8,CreditAmort4BEST[],4),0)</f>
        <v>0</v>
      </c>
      <c r="P72" s="68">
        <f>IFERROR(-VLOOKUP(P$8,CreditAmort1BEST[],4),0)-IFERROR(VLOOKUP(P$8,CreditAmort2BEST[],4),0)-IFERROR(VLOOKUP(P$8,CreditAmort3BEST[],4),0)-IFERROR(VLOOKUP(P$8,CreditAmort4BEST[],4),0)</f>
        <v>0</v>
      </c>
      <c r="Q72" s="68">
        <f>IFERROR(-VLOOKUP(Q$8,CreditAmort1BEST[],4),0)-IFERROR(VLOOKUP(Q$8,CreditAmort2BEST[],4),0)-IFERROR(VLOOKUP(Q$8,CreditAmort3BEST[],4),0)-IFERROR(VLOOKUP(Q$8,CreditAmort4BEST[],4),0)</f>
        <v>0</v>
      </c>
      <c r="R72" s="68">
        <f>IFERROR(-VLOOKUP(R$8,CreditAmort1BEST[],4),0)-IFERROR(VLOOKUP(R$8,CreditAmort2BEST[],4),0)-IFERROR(VLOOKUP(R$8,CreditAmort3BEST[],4),0)-IFERROR(VLOOKUP(R$8,CreditAmort4BEST[],4),0)</f>
        <v>0</v>
      </c>
      <c r="S72" s="68">
        <f>IFERROR(-VLOOKUP(S$8,CreditAmort1BEST[],4),0)-IFERROR(VLOOKUP(S$8,CreditAmort2BEST[],4),0)-IFERROR(VLOOKUP(S$8,CreditAmort3BEST[],4),0)-IFERROR(VLOOKUP(S$8,CreditAmort4BEST[],4),0)</f>
        <v>0</v>
      </c>
      <c r="T72" s="68">
        <f>IFERROR(-VLOOKUP(T$8,CreditAmort1BEST[],4),0)-IFERROR(VLOOKUP(T$8,CreditAmort2BEST[],4),0)-IFERROR(VLOOKUP(T$8,CreditAmort3BEST[],4),0)-IFERROR(VLOOKUP(T$8,CreditAmort4BEST[],4),0)</f>
        <v>0</v>
      </c>
      <c r="U72" s="68">
        <f>IFERROR(-VLOOKUP(U$8,CreditAmort1BEST[],4),0)-IFERROR(VLOOKUP(U$8,CreditAmort2BEST[],4),0)-IFERROR(VLOOKUP(U$8,CreditAmort3BEST[],4),0)-IFERROR(VLOOKUP(U$8,CreditAmort4BEST[],4),0)</f>
        <v>0</v>
      </c>
      <c r="V72" s="68">
        <f>IFERROR(-VLOOKUP(V$8,CreditAmort1BEST[],4),0)-IFERROR(VLOOKUP(V$8,CreditAmort2BEST[],4),0)-IFERROR(VLOOKUP(V$8,CreditAmort3BEST[],4),0)-IFERROR(VLOOKUP(V$8,CreditAmort4BEST[],4),0)</f>
        <v>0</v>
      </c>
      <c r="W72" s="68">
        <f>IFERROR(-VLOOKUP(W$8,CreditAmort1BEST[],4),0)-IFERROR(VLOOKUP(W$8,CreditAmort2BEST[],4),0)-IFERROR(VLOOKUP(W$8,CreditAmort3BEST[],4),0)-IFERROR(VLOOKUP(W$8,CreditAmort4BEST[],4),0)</f>
        <v>0</v>
      </c>
      <c r="X72" s="68">
        <f>IFERROR(-VLOOKUP(X$8,CreditAmort1BEST[],4),0)-IFERROR(VLOOKUP(X$8,CreditAmort2BEST[],4),0)-IFERROR(VLOOKUP(X$8,CreditAmort3BEST[],4),0)-IFERROR(VLOOKUP(X$8,CreditAmort4BEST[],4),0)</f>
        <v>0</v>
      </c>
      <c r="Y72" s="68">
        <f>IFERROR(-VLOOKUP(Y$8,CreditAmort1BEST[],4),0)-IFERROR(VLOOKUP(Y$8,CreditAmort2BEST[],4),0)-IFERROR(VLOOKUP(Y$8,CreditAmort3BEST[],4),0)-IFERROR(VLOOKUP(Y$8,CreditAmort4BEST[],4),0)</f>
        <v>0</v>
      </c>
      <c r="Z72" s="68">
        <f>IFERROR(-VLOOKUP(Z$8,CreditAmort1BEST[],4),0)-IFERROR(VLOOKUP(Z$8,CreditAmort2BEST[],4),0)-IFERROR(VLOOKUP(Z$8,CreditAmort3BEST[],4),0)-IFERROR(VLOOKUP(Z$8,CreditAmort4BEST[],4),0)</f>
        <v>0</v>
      </c>
      <c r="AA72" s="68">
        <f>IFERROR(-VLOOKUP(AA$8,CreditAmort1BEST[],4),0)-IFERROR(VLOOKUP(AA$8,CreditAmort2BEST[],4),0)-IFERROR(VLOOKUP(AA$8,CreditAmort3BEST[],4),0)-IFERROR(VLOOKUP(AA$8,CreditAmort4BEST[],4),0)</f>
        <v>0</v>
      </c>
      <c r="AB72" s="68">
        <f>IFERROR(-VLOOKUP(AB$8,CreditAmort1BEST[],4),0)-IFERROR(VLOOKUP(AB$8,CreditAmort2BEST[],4),0)-IFERROR(VLOOKUP(AB$8,CreditAmort3BEST[],4),0)-IFERROR(VLOOKUP(AB$8,CreditAmort4BEST[],4),0)</f>
        <v>0</v>
      </c>
      <c r="AC72" s="68">
        <f>IFERROR(-VLOOKUP(AC$8,CreditAmort1BEST[],4),0)-IFERROR(VLOOKUP(AC$8,CreditAmort2BEST[],4),0)-IFERROR(VLOOKUP(AC$8,CreditAmort3BEST[],4),0)-IFERROR(VLOOKUP(AC$8,CreditAmort4BEST[],4),0)</f>
        <v>0</v>
      </c>
      <c r="AD72" s="68">
        <f>IFERROR(-VLOOKUP(AD$8,CreditAmort1BEST[],4),0)-IFERROR(VLOOKUP(AD$8,CreditAmort2BEST[],4),0)-IFERROR(VLOOKUP(AD$8,CreditAmort3BEST[],4),0)-IFERROR(VLOOKUP(AD$8,CreditAmort4BEST[],4),0)</f>
        <v>0</v>
      </c>
      <c r="AE72" s="68">
        <f>IFERROR(-VLOOKUP(AE$8,CreditAmort1BEST[],4),0)-IFERROR(VLOOKUP(AE$8,CreditAmort2BEST[],4),0)-IFERROR(VLOOKUP(AE$8,CreditAmort3BEST[],4),0)-IFERROR(VLOOKUP(AE$8,CreditAmort4BEST[],4),0)</f>
        <v>0</v>
      </c>
      <c r="AF72" s="68">
        <f>IFERROR(-VLOOKUP(AF$8,CreditAmort1BEST[],4),0)-IFERROR(VLOOKUP(AF$8,CreditAmort2BEST[],4),0)-IFERROR(VLOOKUP(AF$8,CreditAmort3BEST[],4),0)-IFERROR(VLOOKUP(AF$8,CreditAmort4BEST[],4),0)</f>
        <v>0</v>
      </c>
      <c r="AG72" s="68">
        <f>IFERROR(-VLOOKUP(AG$8,CreditAmort1BEST[],4),0)-IFERROR(VLOOKUP(AG$8,CreditAmort2BEST[],4),0)-IFERROR(VLOOKUP(AG$8,CreditAmort3BEST[],4),0)-IFERROR(VLOOKUP(AG$8,CreditAmort4BEST[],4),0)</f>
        <v>0</v>
      </c>
      <c r="AH72" s="68">
        <f>IFERROR(-VLOOKUP(AH$8,CreditAmort1BEST[],4),0)-IFERROR(VLOOKUP(AH$8,CreditAmort2BEST[],4),0)-IFERROR(VLOOKUP(AH$8,CreditAmort3BEST[],4),0)-IFERROR(VLOOKUP(AH$8,CreditAmort4BEST[],4),0)</f>
        <v>0</v>
      </c>
      <c r="AI72" s="68">
        <f>IFERROR(-VLOOKUP(AI$8,CreditAmort1BEST[],4),0)-IFERROR(VLOOKUP(AI$8,CreditAmort2BEST[],4),0)-IFERROR(VLOOKUP(AI$8,CreditAmort3BEST[],4),0)-IFERROR(VLOOKUP(AI$8,CreditAmort4BEST[],4),0)</f>
        <v>0</v>
      </c>
      <c r="AJ72" s="68">
        <f>IFERROR(-VLOOKUP(AJ$8,CreditAmort1BEST[],4),0)-IFERROR(VLOOKUP(AJ$8,CreditAmort2BEST[],4),0)-IFERROR(VLOOKUP(AJ$8,CreditAmort3BEST[],4),0)-IFERROR(VLOOKUP(AJ$8,CreditAmort4BEST[],4),0)</f>
        <v>0</v>
      </c>
      <c r="AK72" s="68">
        <f>IFERROR(-VLOOKUP(AK$8,CreditAmort1BEST[],4),0)-IFERROR(VLOOKUP(AK$8,CreditAmort2BEST[],4),0)-IFERROR(VLOOKUP(AK$8,CreditAmort3BEST[],4),0)-IFERROR(VLOOKUP(AK$8,CreditAmort4BEST[],4),0)</f>
        <v>0</v>
      </c>
      <c r="AL72" s="68">
        <f>IFERROR(-VLOOKUP(AL$8,CreditAmort1BEST[],4),0)-IFERROR(VLOOKUP(AL$8,CreditAmort2BEST[],4),0)-IFERROR(VLOOKUP(AL$8,CreditAmort3BEST[],4),0)-IFERROR(VLOOKUP(AL$8,CreditAmort4BEST[],4),0)</f>
        <v>0</v>
      </c>
      <c r="AM72" s="68">
        <f>IFERROR(-VLOOKUP(AM$8,CreditAmort1BEST[],4),0)-IFERROR(VLOOKUP(AM$8,CreditAmort2BEST[],4),0)-IFERROR(VLOOKUP(AM$8,CreditAmort3BEST[],4),0)-IFERROR(VLOOKUP(AM$8,CreditAmort4BEST[],4),0)</f>
        <v>0</v>
      </c>
      <c r="AN72" s="68">
        <f>IFERROR(-VLOOKUP(AN$8,CreditAmort1BEST[],4),0)-IFERROR(VLOOKUP(AN$8,CreditAmort2BEST[],4),0)-IFERROR(VLOOKUP(AN$8,CreditAmort3BEST[],4),0)-IFERROR(VLOOKUP(AN$8,CreditAmort4BEST[],4),0)</f>
        <v>0</v>
      </c>
    </row>
    <row r="73" spans="1:40" s="49" customFormat="1">
      <c r="A73" s="2"/>
      <c r="B73" s="48" t="s">
        <v>230</v>
      </c>
      <c r="D73" s="52"/>
      <c r="E73" s="68">
        <f>IFERROR(-VLOOKUP(E$8,CreditAmort1BEST[],3),0)-IFERROR(VLOOKUP(E$8,CreditAmort2BEST[],3),0)-IFERROR(VLOOKUP(E$8,CreditAmort3BEST[],3),0)-IFERROR(VLOOKUP(E$8,CreditAmort4BEST[],3),0)</f>
        <v>0</v>
      </c>
      <c r="F73" s="68">
        <f>IFERROR(-VLOOKUP(F$8,CreditAmort1BEST[],3),0)-IFERROR(VLOOKUP(F$8,CreditAmort2BEST[],3),0)-IFERROR(VLOOKUP(F$8,CreditAmort3BEST[],3),0)-IFERROR(VLOOKUP(F$8,CreditAmort4BEST[],3),0)</f>
        <v>0</v>
      </c>
      <c r="G73" s="68">
        <f>IFERROR(-VLOOKUP(G$8,CreditAmort1BEST[],3),0)-IFERROR(VLOOKUP(G$8,CreditAmort2BEST[],3),0)-IFERROR(VLOOKUP(G$8,CreditAmort3BEST[],3),0)-IFERROR(VLOOKUP(G$8,CreditAmort4BEST[],3),0)</f>
        <v>0</v>
      </c>
      <c r="H73" s="68">
        <f>IFERROR(-VLOOKUP(H$8,CreditAmort1BEST[],3),0)-IFERROR(VLOOKUP(H$8,CreditAmort2BEST[],3),0)-IFERROR(VLOOKUP(H$8,CreditAmort3BEST[],3),0)-IFERROR(VLOOKUP(H$8,CreditAmort4BEST[],3),0)</f>
        <v>0</v>
      </c>
      <c r="I73" s="68">
        <f>IFERROR(-VLOOKUP(I$8,CreditAmort1BEST[],3),0)-IFERROR(VLOOKUP(I$8,CreditAmort2BEST[],3),0)-IFERROR(VLOOKUP(I$8,CreditAmort3BEST[],3),0)-IFERROR(VLOOKUP(I$8,CreditAmort4BEST[],3),0)</f>
        <v>0</v>
      </c>
      <c r="J73" s="68">
        <f>IFERROR(-VLOOKUP(J$8,CreditAmort1BEST[],3),0)-IFERROR(VLOOKUP(J$8,CreditAmort2BEST[],3),0)-IFERROR(VLOOKUP(J$8,CreditAmort3BEST[],3),0)-IFERROR(VLOOKUP(J$8,CreditAmort4BEST[],3),0)</f>
        <v>0</v>
      </c>
      <c r="K73" s="68">
        <f>IFERROR(-VLOOKUP(K$8,CreditAmort1BEST[],3),0)-IFERROR(VLOOKUP(K$8,CreditAmort2BEST[],3),0)-IFERROR(VLOOKUP(K$8,CreditAmort3BEST[],3),0)-IFERROR(VLOOKUP(K$8,CreditAmort4BEST[],3),0)</f>
        <v>0</v>
      </c>
      <c r="L73" s="68">
        <f>IFERROR(-VLOOKUP(L$8,CreditAmort1BEST[],3),0)-IFERROR(VLOOKUP(L$8,CreditAmort2BEST[],3),0)-IFERROR(VLOOKUP(L$8,CreditAmort3BEST[],3),0)-IFERROR(VLOOKUP(L$8,CreditAmort4BEST[],3),0)</f>
        <v>0</v>
      </c>
      <c r="M73" s="68">
        <f>IFERROR(-VLOOKUP(M$8,CreditAmort1BEST[],3),0)-IFERROR(VLOOKUP(M$8,CreditAmort2BEST[],3),0)-IFERROR(VLOOKUP(M$8,CreditAmort3BEST[],3),0)-IFERROR(VLOOKUP(M$8,CreditAmort4BEST[],3),0)</f>
        <v>0</v>
      </c>
      <c r="N73" s="68">
        <f>IFERROR(-VLOOKUP(N$8,CreditAmort1BEST[],3),0)-IFERROR(VLOOKUP(N$8,CreditAmort2BEST[],3),0)-IFERROR(VLOOKUP(N$8,CreditAmort3BEST[],3),0)-IFERROR(VLOOKUP(N$8,CreditAmort4BEST[],3),0)</f>
        <v>0</v>
      </c>
      <c r="O73" s="68">
        <f>IFERROR(-VLOOKUP(O$8,CreditAmort1BEST[],3),0)-IFERROR(VLOOKUP(O$8,CreditAmort2BEST[],3),0)-IFERROR(VLOOKUP(O$8,CreditAmort3BEST[],3),0)-IFERROR(VLOOKUP(O$8,CreditAmort4BEST[],3),0)</f>
        <v>0</v>
      </c>
      <c r="P73" s="68">
        <f>IFERROR(-VLOOKUP(P$8,CreditAmort1BEST[],3),0)-IFERROR(VLOOKUP(P$8,CreditAmort2BEST[],3),0)-IFERROR(VLOOKUP(P$8,CreditAmort3BEST[],3),0)-IFERROR(VLOOKUP(P$8,CreditAmort4BEST[],3),0)</f>
        <v>0</v>
      </c>
      <c r="Q73" s="68">
        <f>IFERROR(-VLOOKUP(Q$8,CreditAmort1BEST[],3),0)-IFERROR(VLOOKUP(Q$8,CreditAmort2BEST[],3),0)-IFERROR(VLOOKUP(Q$8,CreditAmort3BEST[],3),0)-IFERROR(VLOOKUP(Q$8,CreditAmort4BEST[],3),0)</f>
        <v>0</v>
      </c>
      <c r="R73" s="68">
        <f>IFERROR(-VLOOKUP(R$8,CreditAmort1BEST[],3),0)-IFERROR(VLOOKUP(R$8,CreditAmort2BEST[],3),0)-IFERROR(VLOOKUP(R$8,CreditAmort3BEST[],3),0)-IFERROR(VLOOKUP(R$8,CreditAmort4BEST[],3),0)</f>
        <v>0</v>
      </c>
      <c r="S73" s="68">
        <f>IFERROR(-VLOOKUP(S$8,CreditAmort1BEST[],3),0)-IFERROR(VLOOKUP(S$8,CreditAmort2BEST[],3),0)-IFERROR(VLOOKUP(S$8,CreditAmort3BEST[],3),0)-IFERROR(VLOOKUP(S$8,CreditAmort4BEST[],3),0)</f>
        <v>0</v>
      </c>
      <c r="T73" s="68">
        <f>IFERROR(-VLOOKUP(T$8,CreditAmort1BEST[],3),0)-IFERROR(VLOOKUP(T$8,CreditAmort2BEST[],3),0)-IFERROR(VLOOKUP(T$8,CreditAmort3BEST[],3),0)-IFERROR(VLOOKUP(T$8,CreditAmort4BEST[],3),0)</f>
        <v>0</v>
      </c>
      <c r="U73" s="68">
        <f>IFERROR(-VLOOKUP(U$8,CreditAmort1BEST[],3),0)-IFERROR(VLOOKUP(U$8,CreditAmort2BEST[],3),0)-IFERROR(VLOOKUP(U$8,CreditAmort3BEST[],3),0)-IFERROR(VLOOKUP(U$8,CreditAmort4BEST[],3),0)</f>
        <v>0</v>
      </c>
      <c r="V73" s="68">
        <f>IFERROR(-VLOOKUP(V$8,CreditAmort1BEST[],3),0)-IFERROR(VLOOKUP(V$8,CreditAmort2BEST[],3),0)-IFERROR(VLOOKUP(V$8,CreditAmort3BEST[],3),0)-IFERROR(VLOOKUP(V$8,CreditAmort4BEST[],3),0)</f>
        <v>0</v>
      </c>
      <c r="W73" s="68">
        <f>IFERROR(-VLOOKUP(W$8,CreditAmort1BEST[],3),0)-IFERROR(VLOOKUP(W$8,CreditAmort2BEST[],3),0)-IFERROR(VLOOKUP(W$8,CreditAmort3BEST[],3),0)-IFERROR(VLOOKUP(W$8,CreditAmort4BEST[],3),0)</f>
        <v>0</v>
      </c>
      <c r="X73" s="68">
        <f>IFERROR(-VLOOKUP(X$8,CreditAmort1BEST[],3),0)-IFERROR(VLOOKUP(X$8,CreditAmort2BEST[],3),0)-IFERROR(VLOOKUP(X$8,CreditAmort3BEST[],3),0)-IFERROR(VLOOKUP(X$8,CreditAmort4BEST[],3),0)</f>
        <v>0</v>
      </c>
      <c r="Y73" s="68">
        <f>IFERROR(-VLOOKUP(Y$8,CreditAmort1BEST[],3),0)-IFERROR(VLOOKUP(Y$8,CreditAmort2BEST[],3),0)-IFERROR(VLOOKUP(Y$8,CreditAmort3BEST[],3),0)-IFERROR(VLOOKUP(Y$8,CreditAmort4BEST[],3),0)</f>
        <v>0</v>
      </c>
      <c r="Z73" s="68">
        <f>IFERROR(-VLOOKUP(Z$8,CreditAmort1BEST[],3),0)-IFERROR(VLOOKUP(Z$8,CreditAmort2BEST[],3),0)-IFERROR(VLOOKUP(Z$8,CreditAmort3BEST[],3),0)-IFERROR(VLOOKUP(Z$8,CreditAmort4BEST[],3),0)</f>
        <v>0</v>
      </c>
      <c r="AA73" s="68">
        <f>IFERROR(-VLOOKUP(AA$8,CreditAmort1BEST[],3),0)-IFERROR(VLOOKUP(AA$8,CreditAmort2BEST[],3),0)-IFERROR(VLOOKUP(AA$8,CreditAmort3BEST[],3),0)-IFERROR(VLOOKUP(AA$8,CreditAmort4BEST[],3),0)</f>
        <v>0</v>
      </c>
      <c r="AB73" s="68">
        <f>IFERROR(-VLOOKUP(AB$8,CreditAmort1BEST[],3),0)-IFERROR(VLOOKUP(AB$8,CreditAmort2BEST[],3),0)-IFERROR(VLOOKUP(AB$8,CreditAmort3BEST[],3),0)-IFERROR(VLOOKUP(AB$8,CreditAmort4BEST[],3),0)</f>
        <v>0</v>
      </c>
      <c r="AC73" s="68">
        <f>IFERROR(-VLOOKUP(AC$8,CreditAmort1BEST[],3),0)-IFERROR(VLOOKUP(AC$8,CreditAmort2BEST[],3),0)-IFERROR(VLOOKUP(AC$8,CreditAmort3BEST[],3),0)-IFERROR(VLOOKUP(AC$8,CreditAmort4BEST[],3),0)</f>
        <v>0</v>
      </c>
      <c r="AD73" s="68">
        <f>IFERROR(-VLOOKUP(AD$8,CreditAmort1BEST[],3),0)-IFERROR(VLOOKUP(AD$8,CreditAmort2BEST[],3),0)-IFERROR(VLOOKUP(AD$8,CreditAmort3BEST[],3),0)-IFERROR(VLOOKUP(AD$8,CreditAmort4BEST[],3),0)</f>
        <v>0</v>
      </c>
      <c r="AE73" s="68">
        <f>IFERROR(-VLOOKUP(AE$8,CreditAmort1BEST[],3),0)-IFERROR(VLOOKUP(AE$8,CreditAmort2BEST[],3),0)-IFERROR(VLOOKUP(AE$8,CreditAmort3BEST[],3),0)-IFERROR(VLOOKUP(AE$8,CreditAmort4BEST[],3),0)</f>
        <v>0</v>
      </c>
      <c r="AF73" s="68">
        <f>IFERROR(-VLOOKUP(AF$8,CreditAmort1BEST[],3),0)-IFERROR(VLOOKUP(AF$8,CreditAmort2BEST[],3),0)-IFERROR(VLOOKUP(AF$8,CreditAmort3BEST[],3),0)-IFERROR(VLOOKUP(AF$8,CreditAmort4BEST[],3),0)</f>
        <v>0</v>
      </c>
      <c r="AG73" s="68">
        <f>IFERROR(-VLOOKUP(AG$8,CreditAmort1BEST[],3),0)-IFERROR(VLOOKUP(AG$8,CreditAmort2BEST[],3),0)-IFERROR(VLOOKUP(AG$8,CreditAmort3BEST[],3),0)-IFERROR(VLOOKUP(AG$8,CreditAmort4BEST[],3),0)</f>
        <v>0</v>
      </c>
      <c r="AH73" s="68">
        <f>IFERROR(-VLOOKUP(AH$8,CreditAmort1BEST[],3),0)-IFERROR(VLOOKUP(AH$8,CreditAmort2BEST[],3),0)-IFERROR(VLOOKUP(AH$8,CreditAmort3BEST[],3),0)-IFERROR(VLOOKUP(AH$8,CreditAmort4BEST[],3),0)</f>
        <v>0</v>
      </c>
      <c r="AI73" s="68">
        <f>IFERROR(-VLOOKUP(AI$8,CreditAmort1BEST[],3),0)-IFERROR(VLOOKUP(AI$8,CreditAmort2BEST[],3),0)-IFERROR(VLOOKUP(AI$8,CreditAmort3BEST[],3),0)-IFERROR(VLOOKUP(AI$8,CreditAmort4BEST[],3),0)</f>
        <v>0</v>
      </c>
      <c r="AJ73" s="68">
        <f>IFERROR(-VLOOKUP(AJ$8,CreditAmort1BEST[],3),0)-IFERROR(VLOOKUP(AJ$8,CreditAmort2BEST[],3),0)-IFERROR(VLOOKUP(AJ$8,CreditAmort3BEST[],3),0)-IFERROR(VLOOKUP(AJ$8,CreditAmort4BEST[],3),0)</f>
        <v>0</v>
      </c>
      <c r="AK73" s="68">
        <f>IFERROR(-VLOOKUP(AK$8,CreditAmort1BEST[],3),0)-IFERROR(VLOOKUP(AK$8,CreditAmort2BEST[],3),0)-IFERROR(VLOOKUP(AK$8,CreditAmort3BEST[],3),0)-IFERROR(VLOOKUP(AK$8,CreditAmort4BEST[],3),0)</f>
        <v>0</v>
      </c>
      <c r="AL73" s="68">
        <f>IFERROR(-VLOOKUP(AL$8,CreditAmort1BEST[],3),0)-IFERROR(VLOOKUP(AL$8,CreditAmort2BEST[],3),0)-IFERROR(VLOOKUP(AL$8,CreditAmort3BEST[],3),0)-IFERROR(VLOOKUP(AL$8,CreditAmort4BEST[],3),0)</f>
        <v>0</v>
      </c>
      <c r="AM73" s="68">
        <f>IFERROR(-VLOOKUP(AM$8,CreditAmort1BEST[],3),0)-IFERROR(VLOOKUP(AM$8,CreditAmort2BEST[],3),0)-IFERROR(VLOOKUP(AM$8,CreditAmort3BEST[],3),0)-IFERROR(VLOOKUP(AM$8,CreditAmort4BEST[],3),0)</f>
        <v>0</v>
      </c>
      <c r="AN73" s="68">
        <f>IFERROR(-VLOOKUP(AN$8,CreditAmort1BEST[],3),0)-IFERROR(VLOOKUP(AN$8,CreditAmort2BEST[],3),0)-IFERROR(VLOOKUP(AN$8,CreditAmort3BEST[],3),0)-IFERROR(VLOOKUP(AN$8,CreditAmort4BEST[],3),0)</f>
        <v>0</v>
      </c>
    </row>
    <row r="74" spans="1:40" s="49" customFormat="1">
      <c r="A74" s="2"/>
      <c r="B74" s="2"/>
      <c r="C74" s="32"/>
      <c r="D74" s="52"/>
      <c r="E74" s="67"/>
      <c r="F74" s="67"/>
      <c r="G74" s="67"/>
      <c r="H74" s="67"/>
      <c r="I74" s="67"/>
      <c r="J74" s="67"/>
      <c r="K74" s="67"/>
      <c r="L74" s="67"/>
      <c r="M74" s="67"/>
      <c r="N74" s="67"/>
      <c r="O74" s="67"/>
      <c r="P74" s="67"/>
      <c r="Q74" s="67"/>
      <c r="R74" s="67"/>
      <c r="S74" s="67"/>
      <c r="T74" s="67"/>
      <c r="U74" s="67"/>
      <c r="V74" s="67"/>
      <c r="W74" s="67"/>
      <c r="X74" s="67"/>
      <c r="Y74" s="67"/>
      <c r="Z74" s="67"/>
      <c r="AA74" s="67"/>
      <c r="AB74" s="67"/>
      <c r="AC74" s="67"/>
      <c r="AD74" s="67"/>
      <c r="AE74" s="67"/>
      <c r="AF74" s="67"/>
      <c r="AG74" s="67"/>
      <c r="AH74" s="67"/>
      <c r="AI74" s="67"/>
      <c r="AJ74" s="67"/>
      <c r="AK74" s="67"/>
      <c r="AL74" s="67"/>
      <c r="AM74" s="67"/>
      <c r="AN74" s="67"/>
    </row>
    <row r="75" spans="1:40" s="49" customFormat="1">
      <c r="A75" s="2"/>
      <c r="B75" s="2" t="s">
        <v>226</v>
      </c>
      <c r="C75" s="32"/>
      <c r="D75" s="52"/>
      <c r="E75" s="68">
        <f>SUM(E76:E88)</f>
        <v>0</v>
      </c>
      <c r="F75" s="68">
        <f t="shared" ref="F75:AN75" si="10">SUM(F76:F88)</f>
        <v>0</v>
      </c>
      <c r="G75" s="68">
        <f t="shared" si="10"/>
        <v>0</v>
      </c>
      <c r="H75" s="68">
        <f t="shared" si="10"/>
        <v>0</v>
      </c>
      <c r="I75" s="68">
        <f t="shared" si="10"/>
        <v>0</v>
      </c>
      <c r="J75" s="68">
        <f t="shared" si="10"/>
        <v>0</v>
      </c>
      <c r="K75" s="68">
        <f t="shared" si="10"/>
        <v>0</v>
      </c>
      <c r="L75" s="68">
        <f t="shared" si="10"/>
        <v>0</v>
      </c>
      <c r="M75" s="68">
        <f t="shared" si="10"/>
        <v>0</v>
      </c>
      <c r="N75" s="68">
        <f t="shared" si="10"/>
        <v>0</v>
      </c>
      <c r="O75" s="68">
        <f t="shared" si="10"/>
        <v>0</v>
      </c>
      <c r="P75" s="68">
        <f t="shared" si="10"/>
        <v>0</v>
      </c>
      <c r="Q75" s="68">
        <f t="shared" si="10"/>
        <v>0</v>
      </c>
      <c r="R75" s="68">
        <f t="shared" si="10"/>
        <v>0</v>
      </c>
      <c r="S75" s="68">
        <f t="shared" si="10"/>
        <v>0</v>
      </c>
      <c r="T75" s="68">
        <f t="shared" si="10"/>
        <v>0</v>
      </c>
      <c r="U75" s="68">
        <f t="shared" si="10"/>
        <v>0</v>
      </c>
      <c r="V75" s="68">
        <f t="shared" si="10"/>
        <v>0</v>
      </c>
      <c r="W75" s="68">
        <f t="shared" si="10"/>
        <v>0</v>
      </c>
      <c r="X75" s="68">
        <f t="shared" si="10"/>
        <v>0</v>
      </c>
      <c r="Y75" s="68">
        <f t="shared" si="10"/>
        <v>0</v>
      </c>
      <c r="Z75" s="68">
        <f t="shared" si="10"/>
        <v>0</v>
      </c>
      <c r="AA75" s="68">
        <f t="shared" si="10"/>
        <v>0</v>
      </c>
      <c r="AB75" s="68">
        <f t="shared" si="10"/>
        <v>0</v>
      </c>
      <c r="AC75" s="68">
        <f t="shared" si="10"/>
        <v>0</v>
      </c>
      <c r="AD75" s="68">
        <f t="shared" si="10"/>
        <v>0</v>
      </c>
      <c r="AE75" s="68">
        <f t="shared" si="10"/>
        <v>0</v>
      </c>
      <c r="AF75" s="68">
        <f t="shared" si="10"/>
        <v>0</v>
      </c>
      <c r="AG75" s="68">
        <f t="shared" si="10"/>
        <v>0</v>
      </c>
      <c r="AH75" s="68">
        <f t="shared" si="10"/>
        <v>0</v>
      </c>
      <c r="AI75" s="68">
        <f t="shared" si="10"/>
        <v>0</v>
      </c>
      <c r="AJ75" s="68">
        <f t="shared" si="10"/>
        <v>0</v>
      </c>
      <c r="AK75" s="68">
        <f t="shared" si="10"/>
        <v>0</v>
      </c>
      <c r="AL75" s="68">
        <f t="shared" si="10"/>
        <v>0</v>
      </c>
      <c r="AM75" s="68">
        <f t="shared" si="10"/>
        <v>0</v>
      </c>
      <c r="AN75" s="68">
        <f t="shared" si="10"/>
        <v>0</v>
      </c>
    </row>
    <row r="76" spans="1:40" s="16" customFormat="1">
      <c r="A76" s="1"/>
      <c r="B76" s="1"/>
      <c r="C76" s="34" t="str">
        <f>Inputs!C130</f>
        <v>&lt;One-time purchase #1&gt;</v>
      </c>
      <c r="D76" s="15"/>
      <c r="E76" s="67">
        <f>IF(Inputs!$E$131=E$8,Inputs!$E$130,0)</f>
        <v>0</v>
      </c>
      <c r="F76" s="67">
        <f>IF(Inputs!$E$131=F$8,Inputs!$E$130,0)</f>
        <v>0</v>
      </c>
      <c r="G76" s="67">
        <f>IF(Inputs!$E$131=G$8,Inputs!$E$130,0)</f>
        <v>0</v>
      </c>
      <c r="H76" s="67">
        <f>IF(Inputs!$E$131=H$8,Inputs!$E$130,0)</f>
        <v>0</v>
      </c>
      <c r="I76" s="67">
        <f>IF(Inputs!$E$131=I$8,Inputs!$E$130,0)</f>
        <v>0</v>
      </c>
      <c r="J76" s="67">
        <f>IF(Inputs!$E$131=J$8,Inputs!$E$130,0)</f>
        <v>0</v>
      </c>
      <c r="K76" s="67">
        <f>IF(Inputs!$E$131=K$8,Inputs!$E$130,0)</f>
        <v>0</v>
      </c>
      <c r="L76" s="67">
        <f>IF(Inputs!$E$131=L$8,Inputs!$E$130,0)</f>
        <v>0</v>
      </c>
      <c r="M76" s="67">
        <f>IF(Inputs!$E$131=M$8,Inputs!$E$130,0)</f>
        <v>0</v>
      </c>
      <c r="N76" s="67">
        <f>IF(Inputs!$E$131=N$8,Inputs!$E$130,0)</f>
        <v>0</v>
      </c>
      <c r="O76" s="67">
        <f>IF(Inputs!$E$131=O$8,Inputs!$E$130,0)</f>
        <v>0</v>
      </c>
      <c r="P76" s="67">
        <f>IF(Inputs!$E$131=P$8,Inputs!$E$130,0)</f>
        <v>0</v>
      </c>
      <c r="Q76" s="67">
        <f>IF(Inputs!$E$131=Q$8,Inputs!$E$130,0)</f>
        <v>0</v>
      </c>
      <c r="R76" s="67">
        <f>IF(Inputs!$E$131=R$8,Inputs!$E$130,0)</f>
        <v>0</v>
      </c>
      <c r="S76" s="67">
        <f>IF(Inputs!$E$131=S$8,Inputs!$E$130,0)</f>
        <v>0</v>
      </c>
      <c r="T76" s="67">
        <f>IF(Inputs!$E$131=T$8,Inputs!$E$130,0)</f>
        <v>0</v>
      </c>
      <c r="U76" s="67">
        <f>IF(Inputs!$E$131=U$8,Inputs!$E$130,0)</f>
        <v>0</v>
      </c>
      <c r="V76" s="67">
        <f>IF(Inputs!$E$131=V$8,Inputs!$E$130,0)</f>
        <v>0</v>
      </c>
      <c r="W76" s="67">
        <f>IF(Inputs!$E$131=W$8,Inputs!$E$130,0)</f>
        <v>0</v>
      </c>
      <c r="X76" s="67">
        <f>IF(Inputs!$E$131=X$8,Inputs!$E$130,0)</f>
        <v>0</v>
      </c>
      <c r="Y76" s="67">
        <f>IF(Inputs!$E$131=Y$8,Inputs!$E$130,0)</f>
        <v>0</v>
      </c>
      <c r="Z76" s="67">
        <f>IF(Inputs!$E$131=Z$8,Inputs!$E$130,0)</f>
        <v>0</v>
      </c>
      <c r="AA76" s="67">
        <f>IF(Inputs!$E$131=AA$8,Inputs!$E$130,0)</f>
        <v>0</v>
      </c>
      <c r="AB76" s="67">
        <f>IF(Inputs!$E$131=AB$8,Inputs!$E$130,0)</f>
        <v>0</v>
      </c>
      <c r="AC76" s="67">
        <f>IF(Inputs!$E$131=AC$8,Inputs!$E$130,0)</f>
        <v>0</v>
      </c>
      <c r="AD76" s="67">
        <f>IF(Inputs!$E$131=AD$8,Inputs!$E$130,0)</f>
        <v>0</v>
      </c>
      <c r="AE76" s="67">
        <f>IF(Inputs!$E$131=AE$8,Inputs!$E$130,0)</f>
        <v>0</v>
      </c>
      <c r="AF76" s="67">
        <f>IF(Inputs!$E$131=AF$8,Inputs!$E$130,0)</f>
        <v>0</v>
      </c>
      <c r="AG76" s="67">
        <f>IF(Inputs!$E$131=AG$8,Inputs!$E$130,0)</f>
        <v>0</v>
      </c>
      <c r="AH76" s="67">
        <f>IF(Inputs!$E$131=AH$8,Inputs!$E$130,0)</f>
        <v>0</v>
      </c>
      <c r="AI76" s="67">
        <f>IF(Inputs!$E$131=AI$8,Inputs!$E$130,0)</f>
        <v>0</v>
      </c>
      <c r="AJ76" s="67">
        <f>IF(Inputs!$E$131=AJ$8,Inputs!$E$130,0)</f>
        <v>0</v>
      </c>
      <c r="AK76" s="67">
        <f>IF(Inputs!$E$131=AK$8,Inputs!$E$130,0)</f>
        <v>0</v>
      </c>
      <c r="AL76" s="67">
        <f>IF(Inputs!$E$131=AL$8,Inputs!$E$130,0)</f>
        <v>0</v>
      </c>
      <c r="AM76" s="67">
        <f>IF(Inputs!$E$131=AM$8,Inputs!$E$130,0)</f>
        <v>0</v>
      </c>
      <c r="AN76" s="67">
        <f>IF(Inputs!$E$131=AN$8,Inputs!$E$130,0)</f>
        <v>0</v>
      </c>
    </row>
    <row r="77" spans="1:40" s="16" customFormat="1">
      <c r="A77" s="1"/>
      <c r="B77" s="1"/>
      <c r="C77" s="34" t="str">
        <f>Inputs!C132</f>
        <v>&lt;One-time purchase #2&gt;</v>
      </c>
      <c r="D77" s="15"/>
      <c r="E77" s="67">
        <f>IF(Inputs!$E$133=E$8,Inputs!$E$130,0)</f>
        <v>0</v>
      </c>
      <c r="F77" s="67">
        <f>IF(Inputs!$E$133=F$8,Inputs!$E$130,0)</f>
        <v>0</v>
      </c>
      <c r="G77" s="67">
        <f>IF(Inputs!$E$133=G$8,Inputs!$E$130,0)</f>
        <v>0</v>
      </c>
      <c r="H77" s="67">
        <f>IF(Inputs!$E$133=H$8,Inputs!$E$130,0)</f>
        <v>0</v>
      </c>
      <c r="I77" s="67">
        <f>IF(Inputs!$E$133=I$8,Inputs!$E$130,0)</f>
        <v>0</v>
      </c>
      <c r="J77" s="67">
        <f>IF(Inputs!$E$133=J$8,Inputs!$E$130,0)</f>
        <v>0</v>
      </c>
      <c r="K77" s="67">
        <f>IF(Inputs!$E$133=K$8,Inputs!$E$130,0)</f>
        <v>0</v>
      </c>
      <c r="L77" s="67">
        <f>IF(Inputs!$E$133=L$8,Inputs!$E$130,0)</f>
        <v>0</v>
      </c>
      <c r="M77" s="67">
        <f>IF(Inputs!$E$133=M$8,Inputs!$E$130,0)</f>
        <v>0</v>
      </c>
      <c r="N77" s="67">
        <f>IF(Inputs!$E$133=N$8,Inputs!$E$130,0)</f>
        <v>0</v>
      </c>
      <c r="O77" s="67">
        <f>IF(Inputs!$E$133=O$8,Inputs!$E$130,0)</f>
        <v>0</v>
      </c>
      <c r="P77" s="67">
        <f>IF(Inputs!$E$133=P$8,Inputs!$E$130,0)</f>
        <v>0</v>
      </c>
      <c r="Q77" s="67">
        <f>IF(Inputs!$E$133=Q$8,Inputs!$E$130,0)</f>
        <v>0</v>
      </c>
      <c r="R77" s="67">
        <f>IF(Inputs!$E$133=R$8,Inputs!$E$130,0)</f>
        <v>0</v>
      </c>
      <c r="S77" s="67">
        <f>IF(Inputs!$E$133=S$8,Inputs!$E$130,0)</f>
        <v>0</v>
      </c>
      <c r="T77" s="67">
        <f>IF(Inputs!$E$133=T$8,Inputs!$E$130,0)</f>
        <v>0</v>
      </c>
      <c r="U77" s="67">
        <f>IF(Inputs!$E$133=U$8,Inputs!$E$130,0)</f>
        <v>0</v>
      </c>
      <c r="V77" s="67">
        <f>IF(Inputs!$E$133=V$8,Inputs!$E$130,0)</f>
        <v>0</v>
      </c>
      <c r="W77" s="67">
        <f>IF(Inputs!$E$133=W$8,Inputs!$E$130,0)</f>
        <v>0</v>
      </c>
      <c r="X77" s="67">
        <f>IF(Inputs!$E$133=X$8,Inputs!$E$130,0)</f>
        <v>0</v>
      </c>
      <c r="Y77" s="67">
        <f>IF(Inputs!$E$133=Y$8,Inputs!$E$130,0)</f>
        <v>0</v>
      </c>
      <c r="Z77" s="67">
        <f>IF(Inputs!$E$133=Z$8,Inputs!$E$130,0)</f>
        <v>0</v>
      </c>
      <c r="AA77" s="67">
        <f>IF(Inputs!$E$133=AA$8,Inputs!$E$130,0)</f>
        <v>0</v>
      </c>
      <c r="AB77" s="67">
        <f>IF(Inputs!$E$133=AB$8,Inputs!$E$130,0)</f>
        <v>0</v>
      </c>
      <c r="AC77" s="67">
        <f>IF(Inputs!$E$133=AC$8,Inputs!$E$130,0)</f>
        <v>0</v>
      </c>
      <c r="AD77" s="67">
        <f>IF(Inputs!$E$133=AD$8,Inputs!$E$130,0)</f>
        <v>0</v>
      </c>
      <c r="AE77" s="67">
        <f>IF(Inputs!$E$133=AE$8,Inputs!$E$130,0)</f>
        <v>0</v>
      </c>
      <c r="AF77" s="67">
        <f>IF(Inputs!$E$133=AF$8,Inputs!$E$130,0)</f>
        <v>0</v>
      </c>
      <c r="AG77" s="67">
        <f>IF(Inputs!$E$133=AG$8,Inputs!$E$130,0)</f>
        <v>0</v>
      </c>
      <c r="AH77" s="67">
        <f>IF(Inputs!$E$133=AH$8,Inputs!$E$130,0)</f>
        <v>0</v>
      </c>
      <c r="AI77" s="67">
        <f>IF(Inputs!$E$133=AI$8,Inputs!$E$130,0)</f>
        <v>0</v>
      </c>
      <c r="AJ77" s="67">
        <f>IF(Inputs!$E$133=AJ$8,Inputs!$E$130,0)</f>
        <v>0</v>
      </c>
      <c r="AK77" s="67">
        <f>IF(Inputs!$E$133=AK$8,Inputs!$E$130,0)</f>
        <v>0</v>
      </c>
      <c r="AL77" s="67">
        <f>IF(Inputs!$E$133=AL$8,Inputs!$E$130,0)</f>
        <v>0</v>
      </c>
      <c r="AM77" s="67">
        <f>IF(Inputs!$E$133=AM$8,Inputs!$E$130,0)</f>
        <v>0</v>
      </c>
      <c r="AN77" s="67">
        <f>IF(Inputs!$E$133=AN$8,Inputs!$E$130,0)</f>
        <v>0</v>
      </c>
    </row>
    <row r="78" spans="1:40" s="16" customFormat="1">
      <c r="A78" s="1"/>
      <c r="B78" s="1"/>
      <c r="C78" s="34" t="str">
        <f>Inputs!C134</f>
        <v>&lt;One-time purchase #3&gt;</v>
      </c>
      <c r="D78" s="15"/>
      <c r="E78" s="67">
        <f>IF(Inputs!$E$135=E$8,Inputs!$E$130,0)</f>
        <v>0</v>
      </c>
      <c r="F78" s="67">
        <f>IF(Inputs!$E$135=F$8,Inputs!$E$130,0)</f>
        <v>0</v>
      </c>
      <c r="G78" s="67">
        <f>IF(Inputs!$E$135=G$8,Inputs!$E$130,0)</f>
        <v>0</v>
      </c>
      <c r="H78" s="67">
        <f>IF(Inputs!$E$135=H$8,Inputs!$E$130,0)</f>
        <v>0</v>
      </c>
      <c r="I78" s="67">
        <f>IF(Inputs!$E$135=I$8,Inputs!$E$130,0)</f>
        <v>0</v>
      </c>
      <c r="J78" s="67">
        <f>IF(Inputs!$E$135=J$8,Inputs!$E$130,0)</f>
        <v>0</v>
      </c>
      <c r="K78" s="67">
        <f>IF(Inputs!$E$135=K$8,Inputs!$E$130,0)</f>
        <v>0</v>
      </c>
      <c r="L78" s="67">
        <f>IF(Inputs!$E$135=L$8,Inputs!$E$130,0)</f>
        <v>0</v>
      </c>
      <c r="M78" s="67">
        <f>IF(Inputs!$E$135=M$8,Inputs!$E$130,0)</f>
        <v>0</v>
      </c>
      <c r="N78" s="67">
        <f>IF(Inputs!$E$135=N$8,Inputs!$E$130,0)</f>
        <v>0</v>
      </c>
      <c r="O78" s="67">
        <f>IF(Inputs!$E$135=O$8,Inputs!$E$130,0)</f>
        <v>0</v>
      </c>
      <c r="P78" s="67">
        <f>IF(Inputs!$E$135=P$8,Inputs!$E$130,0)</f>
        <v>0</v>
      </c>
      <c r="Q78" s="67">
        <f>IF(Inputs!$E$135=Q$8,Inputs!$E$130,0)</f>
        <v>0</v>
      </c>
      <c r="R78" s="67">
        <f>IF(Inputs!$E$135=R$8,Inputs!$E$130,0)</f>
        <v>0</v>
      </c>
      <c r="S78" s="67">
        <f>IF(Inputs!$E$135=S$8,Inputs!$E$130,0)</f>
        <v>0</v>
      </c>
      <c r="T78" s="67">
        <f>IF(Inputs!$E$135=T$8,Inputs!$E$130,0)</f>
        <v>0</v>
      </c>
      <c r="U78" s="67">
        <f>IF(Inputs!$E$135=U$8,Inputs!$E$130,0)</f>
        <v>0</v>
      </c>
      <c r="V78" s="67">
        <f>IF(Inputs!$E$135=V$8,Inputs!$E$130,0)</f>
        <v>0</v>
      </c>
      <c r="W78" s="67">
        <f>IF(Inputs!$E$135=W$8,Inputs!$E$130,0)</f>
        <v>0</v>
      </c>
      <c r="X78" s="67">
        <f>IF(Inputs!$E$135=X$8,Inputs!$E$130,0)</f>
        <v>0</v>
      </c>
      <c r="Y78" s="67">
        <f>IF(Inputs!$E$135=Y$8,Inputs!$E$130,0)</f>
        <v>0</v>
      </c>
      <c r="Z78" s="67">
        <f>IF(Inputs!$E$135=Z$8,Inputs!$E$130,0)</f>
        <v>0</v>
      </c>
      <c r="AA78" s="67">
        <f>IF(Inputs!$E$135=AA$8,Inputs!$E$130,0)</f>
        <v>0</v>
      </c>
      <c r="AB78" s="67">
        <f>IF(Inputs!$E$135=AB$8,Inputs!$E$130,0)</f>
        <v>0</v>
      </c>
      <c r="AC78" s="67">
        <f>IF(Inputs!$E$135=AC$8,Inputs!$E$130,0)</f>
        <v>0</v>
      </c>
      <c r="AD78" s="67">
        <f>IF(Inputs!$E$135=AD$8,Inputs!$E$130,0)</f>
        <v>0</v>
      </c>
      <c r="AE78" s="67">
        <f>IF(Inputs!$E$135=AE$8,Inputs!$E$130,0)</f>
        <v>0</v>
      </c>
      <c r="AF78" s="67">
        <f>IF(Inputs!$E$135=AF$8,Inputs!$E$130,0)</f>
        <v>0</v>
      </c>
      <c r="AG78" s="67">
        <f>IF(Inputs!$E$135=AG$8,Inputs!$E$130,0)</f>
        <v>0</v>
      </c>
      <c r="AH78" s="67">
        <f>IF(Inputs!$E$135=AH$8,Inputs!$E$130,0)</f>
        <v>0</v>
      </c>
      <c r="AI78" s="67">
        <f>IF(Inputs!$E$135=AI$8,Inputs!$E$130,0)</f>
        <v>0</v>
      </c>
      <c r="AJ78" s="67">
        <f>IF(Inputs!$E$135=AJ$8,Inputs!$E$130,0)</f>
        <v>0</v>
      </c>
      <c r="AK78" s="67">
        <f>IF(Inputs!$E$135=AK$8,Inputs!$E$130,0)</f>
        <v>0</v>
      </c>
      <c r="AL78" s="67">
        <f>IF(Inputs!$E$135=AL$8,Inputs!$E$130,0)</f>
        <v>0</v>
      </c>
      <c r="AM78" s="67">
        <f>IF(Inputs!$E$135=AM$8,Inputs!$E$130,0)</f>
        <v>0</v>
      </c>
      <c r="AN78" s="67">
        <f>IF(Inputs!$E$135=AN$8,Inputs!$E$130,0)</f>
        <v>0</v>
      </c>
    </row>
    <row r="79" spans="1:40" s="16" customFormat="1">
      <c r="A79" s="1"/>
      <c r="B79" s="1"/>
      <c r="C79" s="34" t="str">
        <f>Inputs!C136</f>
        <v>&lt;One-time purchase #4&gt;</v>
      </c>
      <c r="D79" s="15"/>
      <c r="E79" s="67">
        <f>IF(Inputs!$E$137=E$8,Inputs!$E$130,0)</f>
        <v>0</v>
      </c>
      <c r="F79" s="67">
        <f>IF(Inputs!$E$137=F$8,Inputs!$E$130,0)</f>
        <v>0</v>
      </c>
      <c r="G79" s="67">
        <f>IF(Inputs!$E$137=G$8,Inputs!$E$130,0)</f>
        <v>0</v>
      </c>
      <c r="H79" s="67">
        <f>IF(Inputs!$E$137=H$8,Inputs!$E$130,0)</f>
        <v>0</v>
      </c>
      <c r="I79" s="67">
        <f>IF(Inputs!$E$137=I$8,Inputs!$E$130,0)</f>
        <v>0</v>
      </c>
      <c r="J79" s="67">
        <f>IF(Inputs!$E$137=J$8,Inputs!$E$130,0)</f>
        <v>0</v>
      </c>
      <c r="K79" s="67">
        <f>IF(Inputs!$E$137=K$8,Inputs!$E$130,0)</f>
        <v>0</v>
      </c>
      <c r="L79" s="67">
        <f>IF(Inputs!$E$137=L$8,Inputs!$E$130,0)</f>
        <v>0</v>
      </c>
      <c r="M79" s="67">
        <f>IF(Inputs!$E$137=M$8,Inputs!$E$130,0)</f>
        <v>0</v>
      </c>
      <c r="N79" s="67">
        <f>IF(Inputs!$E$137=N$8,Inputs!$E$130,0)</f>
        <v>0</v>
      </c>
      <c r="O79" s="67">
        <f>IF(Inputs!$E$137=O$8,Inputs!$E$130,0)</f>
        <v>0</v>
      </c>
      <c r="P79" s="67">
        <f>IF(Inputs!$E$137=P$8,Inputs!$E$130,0)</f>
        <v>0</v>
      </c>
      <c r="Q79" s="67">
        <f>IF(Inputs!$E$137=Q$8,Inputs!$E$130,0)</f>
        <v>0</v>
      </c>
      <c r="R79" s="67">
        <f>IF(Inputs!$E$137=R$8,Inputs!$E$130,0)</f>
        <v>0</v>
      </c>
      <c r="S79" s="67">
        <f>IF(Inputs!$E$137=S$8,Inputs!$E$130,0)</f>
        <v>0</v>
      </c>
      <c r="T79" s="67">
        <f>IF(Inputs!$E$137=T$8,Inputs!$E$130,0)</f>
        <v>0</v>
      </c>
      <c r="U79" s="67">
        <f>IF(Inputs!$E$137=U$8,Inputs!$E$130,0)</f>
        <v>0</v>
      </c>
      <c r="V79" s="67">
        <f>IF(Inputs!$E$137=V$8,Inputs!$E$130,0)</f>
        <v>0</v>
      </c>
      <c r="W79" s="67">
        <f>IF(Inputs!$E$137=W$8,Inputs!$E$130,0)</f>
        <v>0</v>
      </c>
      <c r="X79" s="67">
        <f>IF(Inputs!$E$137=X$8,Inputs!$E$130,0)</f>
        <v>0</v>
      </c>
      <c r="Y79" s="67">
        <f>IF(Inputs!$E$137=Y$8,Inputs!$E$130,0)</f>
        <v>0</v>
      </c>
      <c r="Z79" s="67">
        <f>IF(Inputs!$E$137=Z$8,Inputs!$E$130,0)</f>
        <v>0</v>
      </c>
      <c r="AA79" s="67">
        <f>IF(Inputs!$E$137=AA$8,Inputs!$E$130,0)</f>
        <v>0</v>
      </c>
      <c r="AB79" s="67">
        <f>IF(Inputs!$E$137=AB$8,Inputs!$E$130,0)</f>
        <v>0</v>
      </c>
      <c r="AC79" s="67">
        <f>IF(Inputs!$E$137=AC$8,Inputs!$E$130,0)</f>
        <v>0</v>
      </c>
      <c r="AD79" s="67">
        <f>IF(Inputs!$E$137=AD$8,Inputs!$E$130,0)</f>
        <v>0</v>
      </c>
      <c r="AE79" s="67">
        <f>IF(Inputs!$E$137=AE$8,Inputs!$E$130,0)</f>
        <v>0</v>
      </c>
      <c r="AF79" s="67">
        <f>IF(Inputs!$E$137=AF$8,Inputs!$E$130,0)</f>
        <v>0</v>
      </c>
      <c r="AG79" s="67">
        <f>IF(Inputs!$E$137=AG$8,Inputs!$E$130,0)</f>
        <v>0</v>
      </c>
      <c r="AH79" s="67">
        <f>IF(Inputs!$E$137=AH$8,Inputs!$E$130,0)</f>
        <v>0</v>
      </c>
      <c r="AI79" s="67">
        <f>IF(Inputs!$E$137=AI$8,Inputs!$E$130,0)</f>
        <v>0</v>
      </c>
      <c r="AJ79" s="67">
        <f>IF(Inputs!$E$137=AJ$8,Inputs!$E$130,0)</f>
        <v>0</v>
      </c>
      <c r="AK79" s="67">
        <f>IF(Inputs!$E$137=AK$8,Inputs!$E$130,0)</f>
        <v>0</v>
      </c>
      <c r="AL79" s="67">
        <f>IF(Inputs!$E$137=AL$8,Inputs!$E$130,0)</f>
        <v>0</v>
      </c>
      <c r="AM79" s="67">
        <f>IF(Inputs!$E$137=AM$8,Inputs!$E$130,0)</f>
        <v>0</v>
      </c>
      <c r="AN79" s="67">
        <f>IF(Inputs!$E$137=AN$8,Inputs!$E$130,0)</f>
        <v>0</v>
      </c>
    </row>
    <row r="80" spans="1:40" s="16" customFormat="1">
      <c r="A80" s="1"/>
      <c r="B80" s="1"/>
      <c r="C80" s="34" t="str">
        <f>Inputs!C138</f>
        <v>&lt;One-time purchase #5&gt;</v>
      </c>
      <c r="D80" s="15"/>
      <c r="E80" s="67">
        <f>IF(Inputs!$E$139=E$8,Inputs!$E$130,0)</f>
        <v>0</v>
      </c>
      <c r="F80" s="67">
        <f>IF(Inputs!$E$139=F$8,Inputs!$E$130,0)</f>
        <v>0</v>
      </c>
      <c r="G80" s="67">
        <f>IF(Inputs!$E$139=G$8,Inputs!$E$130,0)</f>
        <v>0</v>
      </c>
      <c r="H80" s="67">
        <f>IF(Inputs!$E$139=H$8,Inputs!$E$130,0)</f>
        <v>0</v>
      </c>
      <c r="I80" s="67">
        <f>IF(Inputs!$E$139=I$8,Inputs!$E$130,0)</f>
        <v>0</v>
      </c>
      <c r="J80" s="67">
        <f>IF(Inputs!$E$139=J$8,Inputs!$E$130,0)</f>
        <v>0</v>
      </c>
      <c r="K80" s="67">
        <f>IF(Inputs!$E$139=K$8,Inputs!$E$130,0)</f>
        <v>0</v>
      </c>
      <c r="L80" s="67">
        <f>IF(Inputs!$E$139=L$8,Inputs!$E$130,0)</f>
        <v>0</v>
      </c>
      <c r="M80" s="67">
        <f>IF(Inputs!$E$139=M$8,Inputs!$E$130,0)</f>
        <v>0</v>
      </c>
      <c r="N80" s="67">
        <f>IF(Inputs!$E$139=N$8,Inputs!$E$130,0)</f>
        <v>0</v>
      </c>
      <c r="O80" s="67">
        <f>IF(Inputs!$E$139=O$8,Inputs!$E$130,0)</f>
        <v>0</v>
      </c>
      <c r="P80" s="67">
        <f>IF(Inputs!$E$139=P$8,Inputs!$E$130,0)</f>
        <v>0</v>
      </c>
      <c r="Q80" s="67">
        <f>IF(Inputs!$E$139=Q$8,Inputs!$E$130,0)</f>
        <v>0</v>
      </c>
      <c r="R80" s="67">
        <f>IF(Inputs!$E$139=R$8,Inputs!$E$130,0)</f>
        <v>0</v>
      </c>
      <c r="S80" s="67">
        <f>IF(Inputs!$E$139=S$8,Inputs!$E$130,0)</f>
        <v>0</v>
      </c>
      <c r="T80" s="67">
        <f>IF(Inputs!$E$139=T$8,Inputs!$E$130,0)</f>
        <v>0</v>
      </c>
      <c r="U80" s="67">
        <f>IF(Inputs!$E$139=U$8,Inputs!$E$130,0)</f>
        <v>0</v>
      </c>
      <c r="V80" s="67">
        <f>IF(Inputs!$E$139=V$8,Inputs!$E$130,0)</f>
        <v>0</v>
      </c>
      <c r="W80" s="67">
        <f>IF(Inputs!$E$139=W$8,Inputs!$E$130,0)</f>
        <v>0</v>
      </c>
      <c r="X80" s="67">
        <f>IF(Inputs!$E$139=X$8,Inputs!$E$130,0)</f>
        <v>0</v>
      </c>
      <c r="Y80" s="67">
        <f>IF(Inputs!$E$139=Y$8,Inputs!$E$130,0)</f>
        <v>0</v>
      </c>
      <c r="Z80" s="67">
        <f>IF(Inputs!$E$139=Z$8,Inputs!$E$130,0)</f>
        <v>0</v>
      </c>
      <c r="AA80" s="67">
        <f>IF(Inputs!$E$139=AA$8,Inputs!$E$130,0)</f>
        <v>0</v>
      </c>
      <c r="AB80" s="67">
        <f>IF(Inputs!$E$139=AB$8,Inputs!$E$130,0)</f>
        <v>0</v>
      </c>
      <c r="AC80" s="67">
        <f>IF(Inputs!$E$139=AC$8,Inputs!$E$130,0)</f>
        <v>0</v>
      </c>
      <c r="AD80" s="67">
        <f>IF(Inputs!$E$139=AD$8,Inputs!$E$130,0)</f>
        <v>0</v>
      </c>
      <c r="AE80" s="67">
        <f>IF(Inputs!$E$139=AE$8,Inputs!$E$130,0)</f>
        <v>0</v>
      </c>
      <c r="AF80" s="67">
        <f>IF(Inputs!$E$139=AF$8,Inputs!$E$130,0)</f>
        <v>0</v>
      </c>
      <c r="AG80" s="67">
        <f>IF(Inputs!$E$139=AG$8,Inputs!$E$130,0)</f>
        <v>0</v>
      </c>
      <c r="AH80" s="67">
        <f>IF(Inputs!$E$139=AH$8,Inputs!$E$130,0)</f>
        <v>0</v>
      </c>
      <c r="AI80" s="67">
        <f>IF(Inputs!$E$139=AI$8,Inputs!$E$130,0)</f>
        <v>0</v>
      </c>
      <c r="AJ80" s="67">
        <f>IF(Inputs!$E$139=AJ$8,Inputs!$E$130,0)</f>
        <v>0</v>
      </c>
      <c r="AK80" s="67">
        <f>IF(Inputs!$E$139=AK$8,Inputs!$E$130,0)</f>
        <v>0</v>
      </c>
      <c r="AL80" s="67">
        <f>IF(Inputs!$E$139=AL$8,Inputs!$E$130,0)</f>
        <v>0</v>
      </c>
      <c r="AM80" s="67">
        <f>IF(Inputs!$E$139=AM$8,Inputs!$E$130,0)</f>
        <v>0</v>
      </c>
      <c r="AN80" s="67">
        <f>IF(Inputs!$E$139=AN$8,Inputs!$E$130,0)</f>
        <v>0</v>
      </c>
    </row>
    <row r="81" spans="1:40" s="16" customFormat="1">
      <c r="A81" s="1"/>
      <c r="B81" s="1"/>
      <c r="C81" s="34" t="str">
        <f>Inputs!C141</f>
        <v>Insurance - CY 2</v>
      </c>
      <c r="D81" s="15"/>
      <c r="E81" s="67">
        <f>IF(E$9=Inputs!$E$142,Inputs!$E$141,0)</f>
        <v>0</v>
      </c>
      <c r="F81" s="67">
        <f>IF(F$9=Inputs!$E$142,Inputs!$E$141,0)</f>
        <v>0</v>
      </c>
      <c r="G81" s="67">
        <f>IF(G$9=Inputs!$E$142,Inputs!$E$141,0)</f>
        <v>0</v>
      </c>
      <c r="H81" s="67">
        <f>IF(H$9=Inputs!$E$142,Inputs!$E$141,0)</f>
        <v>0</v>
      </c>
      <c r="I81" s="67">
        <f>IF(I$9=Inputs!$E$142,Inputs!$E$141,0)</f>
        <v>0</v>
      </c>
      <c r="J81" s="67">
        <f>IF(J$9=Inputs!$E$142,Inputs!$E$141,0)</f>
        <v>0</v>
      </c>
      <c r="K81" s="67">
        <f>IF(K$9=Inputs!$E$142,Inputs!$E$141,0)</f>
        <v>0</v>
      </c>
      <c r="L81" s="67">
        <f>IF(L$9=Inputs!$E$142,Inputs!$E$141,0)</f>
        <v>0</v>
      </c>
      <c r="M81" s="67">
        <f>IF(M$9=Inputs!$E$142,Inputs!$E$141,0)</f>
        <v>0</v>
      </c>
      <c r="N81" s="67">
        <f>IF(N$9=Inputs!$E$142,Inputs!$E$141,0)</f>
        <v>0</v>
      </c>
      <c r="O81" s="67">
        <f>IF(O$9=Inputs!$E$142,Inputs!$E$141,0)</f>
        <v>0</v>
      </c>
      <c r="P81" s="67">
        <f>IF(P$9=Inputs!$E$142,Inputs!$E$141,0)</f>
        <v>0</v>
      </c>
      <c r="Q81" s="67">
        <f>IF(Q$9=Inputs!$E$142,Inputs!$E$141,0)</f>
        <v>0</v>
      </c>
      <c r="R81" s="67">
        <f>IF(R$9=Inputs!$E$142,Inputs!$E$141,0)</f>
        <v>0</v>
      </c>
      <c r="S81" s="67">
        <f>IF(S$9=Inputs!$E$142,Inputs!$E$141,0)</f>
        <v>0</v>
      </c>
      <c r="T81" s="67">
        <f>IF(T$9=Inputs!$E$142,Inputs!$E$141,0)</f>
        <v>0</v>
      </c>
      <c r="U81" s="67">
        <f>IF(U$9=Inputs!$E$142,Inputs!$E$141,0)</f>
        <v>0</v>
      </c>
      <c r="V81" s="67">
        <f>IF(V$9=Inputs!$E$142,Inputs!$E$141,0)</f>
        <v>0</v>
      </c>
      <c r="W81" s="67">
        <f>IF(W$9=Inputs!$E$142,Inputs!$E$141,0)</f>
        <v>0</v>
      </c>
      <c r="X81" s="67">
        <f>IF(X$9=Inputs!$E$142,Inputs!$E$141,0)</f>
        <v>0</v>
      </c>
      <c r="Y81" s="67">
        <f>IF(Y$9=Inputs!$E$142,Inputs!$E$141,0)</f>
        <v>0</v>
      </c>
      <c r="Z81" s="67">
        <f>IF(Z$9=Inputs!$E$142,Inputs!$E$141,0)</f>
        <v>0</v>
      </c>
      <c r="AA81" s="67">
        <f>IF(AA$9=Inputs!$E$142,Inputs!$E$141,0)</f>
        <v>0</v>
      </c>
      <c r="AB81" s="67">
        <f>IF(AB$9=Inputs!$E$142,Inputs!$E$141,0)</f>
        <v>0</v>
      </c>
      <c r="AC81" s="67">
        <f>IF(AC$9=Inputs!$E$142,Inputs!$E$141,0)</f>
        <v>0</v>
      </c>
      <c r="AD81" s="67">
        <f>IF(AD$9=Inputs!$E$142,Inputs!$E$141,0)</f>
        <v>0</v>
      </c>
      <c r="AE81" s="67">
        <f>IF(AE$9=Inputs!$E$142,Inputs!$E$141,0)</f>
        <v>0</v>
      </c>
      <c r="AF81" s="67">
        <f>IF(AF$9=Inputs!$E$142,Inputs!$E$141,0)</f>
        <v>0</v>
      </c>
      <c r="AG81" s="67">
        <f>IF(AG$9=Inputs!$E$142,Inputs!$E$141,0)</f>
        <v>0</v>
      </c>
      <c r="AH81" s="67">
        <f>IF(AH$9=Inputs!$E$142,Inputs!$E$141,0)</f>
        <v>0</v>
      </c>
      <c r="AI81" s="67">
        <f>IF(AI$9=Inputs!$E$142,Inputs!$E$141,0)</f>
        <v>0</v>
      </c>
      <c r="AJ81" s="67">
        <f>IF(AJ$9=Inputs!$E$142,Inputs!$E$141,0)</f>
        <v>0</v>
      </c>
      <c r="AK81" s="67">
        <f>IF(AK$9=Inputs!$E$142,Inputs!$E$141,0)</f>
        <v>0</v>
      </c>
      <c r="AL81" s="67">
        <f>IF(AL$9=Inputs!$E$142,Inputs!$E$141,0)</f>
        <v>0</v>
      </c>
      <c r="AM81" s="67">
        <f>IF(AM$9=Inputs!$E$142,Inputs!$E$141,0)</f>
        <v>0</v>
      </c>
      <c r="AN81" s="67">
        <f>IF(AN$9=Inputs!$E$142,Inputs!$E$141,0)</f>
        <v>0</v>
      </c>
    </row>
    <row r="82" spans="1:40" s="16" customFormat="1">
      <c r="A82" s="1"/>
      <c r="B82" s="1"/>
      <c r="C82" s="34" t="str">
        <f>Inputs!C143</f>
        <v>Insurance - CY 3</v>
      </c>
      <c r="D82" s="15"/>
      <c r="E82" s="67">
        <f>IF(E$9=Inputs!$E$144,Inputs!$E$143,0)</f>
        <v>0</v>
      </c>
      <c r="F82" s="67">
        <f>IF(F$9=Inputs!$E$144,Inputs!$E$143,0)</f>
        <v>0</v>
      </c>
      <c r="G82" s="67">
        <f>IF(G$9=Inputs!$E$144,Inputs!$E$143,0)</f>
        <v>0</v>
      </c>
      <c r="H82" s="67">
        <f>IF(H$9=Inputs!$E$144,Inputs!$E$143,0)</f>
        <v>0</v>
      </c>
      <c r="I82" s="67">
        <f>IF(I$9=Inputs!$E$144,Inputs!$E$143,0)</f>
        <v>0</v>
      </c>
      <c r="J82" s="67">
        <f>IF(J$9=Inputs!$E$144,Inputs!$E$143,0)</f>
        <v>0</v>
      </c>
      <c r="K82" s="67">
        <f>IF(K$9=Inputs!$E$144,Inputs!$E$143,0)</f>
        <v>0</v>
      </c>
      <c r="L82" s="67">
        <f>IF(L$9=Inputs!$E$144,Inputs!$E$143,0)</f>
        <v>0</v>
      </c>
      <c r="M82" s="67">
        <f>IF(M$9=Inputs!$E$144,Inputs!$E$143,0)</f>
        <v>0</v>
      </c>
      <c r="N82" s="67">
        <f>IF(N$9=Inputs!$E$144,Inputs!$E$143,0)</f>
        <v>0</v>
      </c>
      <c r="O82" s="67">
        <f>IF(O$9=Inputs!$E$144,Inputs!$E$143,0)</f>
        <v>0</v>
      </c>
      <c r="P82" s="67">
        <f>IF(P$9=Inputs!$E$144,Inputs!$E$143,0)</f>
        <v>0</v>
      </c>
      <c r="Q82" s="67">
        <f>IF(Q$9=Inputs!$E$144,Inputs!$E$143,0)</f>
        <v>0</v>
      </c>
      <c r="R82" s="67">
        <f>IF(R$9=Inputs!$E$144,Inputs!$E$143,0)</f>
        <v>0</v>
      </c>
      <c r="S82" s="67">
        <f>IF(S$9=Inputs!$E$144,Inputs!$E$143,0)</f>
        <v>0</v>
      </c>
      <c r="T82" s="67">
        <f>IF(T$9=Inputs!$E$144,Inputs!$E$143,0)</f>
        <v>0</v>
      </c>
      <c r="U82" s="67">
        <f>IF(U$9=Inputs!$E$144,Inputs!$E$143,0)</f>
        <v>0</v>
      </c>
      <c r="V82" s="67">
        <f>IF(V$9=Inputs!$E$144,Inputs!$E$143,0)</f>
        <v>0</v>
      </c>
      <c r="W82" s="67">
        <f>IF(W$9=Inputs!$E$144,Inputs!$E$143,0)</f>
        <v>0</v>
      </c>
      <c r="X82" s="67">
        <f>IF(X$9=Inputs!$E$144,Inputs!$E$143,0)</f>
        <v>0</v>
      </c>
      <c r="Y82" s="67">
        <f>IF(Y$9=Inputs!$E$144,Inputs!$E$143,0)</f>
        <v>0</v>
      </c>
      <c r="Z82" s="67">
        <f>IF(Z$9=Inputs!$E$144,Inputs!$E$143,0)</f>
        <v>0</v>
      </c>
      <c r="AA82" s="67">
        <f>IF(AA$9=Inputs!$E$144,Inputs!$E$143,0)</f>
        <v>0</v>
      </c>
      <c r="AB82" s="67">
        <f>IF(AB$9=Inputs!$E$144,Inputs!$E$143,0)</f>
        <v>0</v>
      </c>
      <c r="AC82" s="67">
        <f>IF(AC$9=Inputs!$E$144,Inputs!$E$143,0)</f>
        <v>0</v>
      </c>
      <c r="AD82" s="67">
        <f>IF(AD$9=Inputs!$E$144,Inputs!$E$143,0)</f>
        <v>0</v>
      </c>
      <c r="AE82" s="67">
        <f>IF(AE$9=Inputs!$E$144,Inputs!$E$143,0)</f>
        <v>0</v>
      </c>
      <c r="AF82" s="67">
        <f>IF(AF$9=Inputs!$E$144,Inputs!$E$143,0)</f>
        <v>0</v>
      </c>
      <c r="AG82" s="67">
        <f>IF(AG$9=Inputs!$E$144,Inputs!$E$143,0)</f>
        <v>0</v>
      </c>
      <c r="AH82" s="67">
        <f>IF(AH$9=Inputs!$E$144,Inputs!$E$143,0)</f>
        <v>0</v>
      </c>
      <c r="AI82" s="67">
        <f>IF(AI$9=Inputs!$E$144,Inputs!$E$143,0)</f>
        <v>0</v>
      </c>
      <c r="AJ82" s="67">
        <f>IF(AJ$9=Inputs!$E$144,Inputs!$E$143,0)</f>
        <v>0</v>
      </c>
      <c r="AK82" s="67">
        <f>IF(AK$9=Inputs!$E$144,Inputs!$E$143,0)</f>
        <v>0</v>
      </c>
      <c r="AL82" s="67">
        <f>IF(AL$9=Inputs!$E$144,Inputs!$E$143,0)</f>
        <v>0</v>
      </c>
      <c r="AM82" s="67">
        <f>IF(AM$9=Inputs!$E$144,Inputs!$E$143,0)</f>
        <v>0</v>
      </c>
      <c r="AN82" s="67">
        <f>IF(AN$9=Inputs!$E$144,Inputs!$E$143,0)</f>
        <v>0</v>
      </c>
    </row>
    <row r="83" spans="1:40" s="16" customFormat="1">
      <c r="A83" s="1"/>
      <c r="B83" s="1"/>
      <c r="C83" s="34" t="str">
        <f>Inputs!C145</f>
        <v>&lt;Monthly expenses or cash outflow #3&gt;</v>
      </c>
      <c r="D83" s="15"/>
      <c r="E83" s="67">
        <f>IF(E$9=Inputs!$E$146,Inputs!$E$145,0)</f>
        <v>0</v>
      </c>
      <c r="F83" s="67">
        <f>IF(F$9=Inputs!$E$146,Inputs!$E$145,0)</f>
        <v>0</v>
      </c>
      <c r="G83" s="67">
        <f>IF(G$9=Inputs!$E$146,Inputs!$E$145,0)</f>
        <v>0</v>
      </c>
      <c r="H83" s="67">
        <f>IF(H$9=Inputs!$E$146,Inputs!$E$145,0)</f>
        <v>0</v>
      </c>
      <c r="I83" s="67">
        <f>IF(I$9=Inputs!$E$146,Inputs!$E$145,0)</f>
        <v>0</v>
      </c>
      <c r="J83" s="67">
        <f>IF(J$9=Inputs!$E$146,Inputs!$E$145,0)</f>
        <v>0</v>
      </c>
      <c r="K83" s="67">
        <f>IF(K$9=Inputs!$E$146,Inputs!$E$145,0)</f>
        <v>0</v>
      </c>
      <c r="L83" s="67">
        <f>IF(L$9=Inputs!$E$146,Inputs!$E$145,0)</f>
        <v>0</v>
      </c>
      <c r="M83" s="67">
        <f>IF(M$9=Inputs!$E$146,Inputs!$E$145,0)</f>
        <v>0</v>
      </c>
      <c r="N83" s="67">
        <f>IF(N$9=Inputs!$E$146,Inputs!$E$145,0)</f>
        <v>0</v>
      </c>
      <c r="O83" s="67">
        <f>IF(O$9=Inputs!$E$146,Inputs!$E$145,0)</f>
        <v>0</v>
      </c>
      <c r="P83" s="67">
        <f>IF(P$9=Inputs!$E$146,Inputs!$E$145,0)</f>
        <v>0</v>
      </c>
      <c r="Q83" s="67">
        <f>IF(Q$9=Inputs!$E$146,Inputs!$E$145,0)</f>
        <v>0</v>
      </c>
      <c r="R83" s="67">
        <f>IF(R$9=Inputs!$E$146,Inputs!$E$145,0)</f>
        <v>0</v>
      </c>
      <c r="S83" s="67">
        <f>IF(S$9=Inputs!$E$146,Inputs!$E$145,0)</f>
        <v>0</v>
      </c>
      <c r="T83" s="67">
        <f>IF(T$9=Inputs!$E$146,Inputs!$E$145,0)</f>
        <v>0</v>
      </c>
      <c r="U83" s="67">
        <f>IF(U$9=Inputs!$E$146,Inputs!$E$145,0)</f>
        <v>0</v>
      </c>
      <c r="V83" s="67">
        <f>IF(V$9=Inputs!$E$146,Inputs!$E$145,0)</f>
        <v>0</v>
      </c>
      <c r="W83" s="67">
        <f>IF(W$9=Inputs!$E$146,Inputs!$E$145,0)</f>
        <v>0</v>
      </c>
      <c r="X83" s="67">
        <f>IF(X$9=Inputs!$E$146,Inputs!$E$145,0)</f>
        <v>0</v>
      </c>
      <c r="Y83" s="67">
        <f>IF(Y$9=Inputs!$E$146,Inputs!$E$145,0)</f>
        <v>0</v>
      </c>
      <c r="Z83" s="67">
        <f>IF(Z$9=Inputs!$E$146,Inputs!$E$145,0)</f>
        <v>0</v>
      </c>
      <c r="AA83" s="67">
        <f>IF(AA$9=Inputs!$E$146,Inputs!$E$145,0)</f>
        <v>0</v>
      </c>
      <c r="AB83" s="67">
        <f>IF(AB$9=Inputs!$E$146,Inputs!$E$145,0)</f>
        <v>0</v>
      </c>
      <c r="AC83" s="67">
        <f>IF(AC$9=Inputs!$E$146,Inputs!$E$145,0)</f>
        <v>0</v>
      </c>
      <c r="AD83" s="67">
        <f>IF(AD$9=Inputs!$E$146,Inputs!$E$145,0)</f>
        <v>0</v>
      </c>
      <c r="AE83" s="67">
        <f>IF(AE$9=Inputs!$E$146,Inputs!$E$145,0)</f>
        <v>0</v>
      </c>
      <c r="AF83" s="67">
        <f>IF(AF$9=Inputs!$E$146,Inputs!$E$145,0)</f>
        <v>0</v>
      </c>
      <c r="AG83" s="67">
        <f>IF(AG$9=Inputs!$E$146,Inputs!$E$145,0)</f>
        <v>0</v>
      </c>
      <c r="AH83" s="67">
        <f>IF(AH$9=Inputs!$E$146,Inputs!$E$145,0)</f>
        <v>0</v>
      </c>
      <c r="AI83" s="67">
        <f>IF(AI$9=Inputs!$E$146,Inputs!$E$145,0)</f>
        <v>0</v>
      </c>
      <c r="AJ83" s="67">
        <f>IF(AJ$9=Inputs!$E$146,Inputs!$E$145,0)</f>
        <v>0</v>
      </c>
      <c r="AK83" s="67">
        <f>IF(AK$9=Inputs!$E$146,Inputs!$E$145,0)</f>
        <v>0</v>
      </c>
      <c r="AL83" s="67">
        <f>IF(AL$9=Inputs!$E$146,Inputs!$E$145,0)</f>
        <v>0</v>
      </c>
      <c r="AM83" s="67">
        <f>IF(AM$9=Inputs!$E$146,Inputs!$E$145,0)</f>
        <v>0</v>
      </c>
      <c r="AN83" s="67">
        <f>IF(AN$9=Inputs!$E$146,Inputs!$E$145,0)</f>
        <v>0</v>
      </c>
    </row>
    <row r="84" spans="1:40" s="16" customFormat="1">
      <c r="A84" s="1"/>
      <c r="B84" s="1"/>
      <c r="C84" s="34" t="str">
        <f>Inputs!C147</f>
        <v>&lt;Monthly expenses or cash outflow #4&gt;</v>
      </c>
      <c r="D84" s="15"/>
      <c r="E84" s="67">
        <f>IF(E$9=Inputs!$E$148,Inputs!$E$147,0)</f>
        <v>0</v>
      </c>
      <c r="F84" s="67">
        <f>IF(F$9=Inputs!$E$148,Inputs!$E$147,0)</f>
        <v>0</v>
      </c>
      <c r="G84" s="67">
        <f>IF(G$9=Inputs!$E$148,Inputs!$E$147,0)</f>
        <v>0</v>
      </c>
      <c r="H84" s="67">
        <f>IF(H$9=Inputs!$E$148,Inputs!$E$147,0)</f>
        <v>0</v>
      </c>
      <c r="I84" s="67">
        <f>IF(I$9=Inputs!$E$148,Inputs!$E$147,0)</f>
        <v>0</v>
      </c>
      <c r="J84" s="67">
        <f>IF(J$9=Inputs!$E$148,Inputs!$E$147,0)</f>
        <v>0</v>
      </c>
      <c r="K84" s="67">
        <f>IF(K$9=Inputs!$E$148,Inputs!$E$147,0)</f>
        <v>0</v>
      </c>
      <c r="L84" s="67">
        <f>IF(L$9=Inputs!$E$148,Inputs!$E$147,0)</f>
        <v>0</v>
      </c>
      <c r="M84" s="67">
        <f>IF(M$9=Inputs!$E$148,Inputs!$E$147,0)</f>
        <v>0</v>
      </c>
      <c r="N84" s="67">
        <f>IF(N$9=Inputs!$E$148,Inputs!$E$147,0)</f>
        <v>0</v>
      </c>
      <c r="O84" s="67">
        <f>IF(O$9=Inputs!$E$148,Inputs!$E$147,0)</f>
        <v>0</v>
      </c>
      <c r="P84" s="67">
        <f>IF(P$9=Inputs!$E$148,Inputs!$E$147,0)</f>
        <v>0</v>
      </c>
      <c r="Q84" s="67">
        <f>IF(Q$9=Inputs!$E$148,Inputs!$E$147,0)</f>
        <v>0</v>
      </c>
      <c r="R84" s="67">
        <f>IF(R$9=Inputs!$E$148,Inputs!$E$147,0)</f>
        <v>0</v>
      </c>
      <c r="S84" s="67">
        <f>IF(S$9=Inputs!$E$148,Inputs!$E$147,0)</f>
        <v>0</v>
      </c>
      <c r="T84" s="67">
        <f>IF(T$9=Inputs!$E$148,Inputs!$E$147,0)</f>
        <v>0</v>
      </c>
      <c r="U84" s="67">
        <f>IF(U$9=Inputs!$E$148,Inputs!$E$147,0)</f>
        <v>0</v>
      </c>
      <c r="V84" s="67">
        <f>IF(V$9=Inputs!$E$148,Inputs!$E$147,0)</f>
        <v>0</v>
      </c>
      <c r="W84" s="67">
        <f>IF(W$9=Inputs!$E$148,Inputs!$E$147,0)</f>
        <v>0</v>
      </c>
      <c r="X84" s="67">
        <f>IF(X$9=Inputs!$E$148,Inputs!$E$147,0)</f>
        <v>0</v>
      </c>
      <c r="Y84" s="67">
        <f>IF(Y$9=Inputs!$E$148,Inputs!$E$147,0)</f>
        <v>0</v>
      </c>
      <c r="Z84" s="67">
        <f>IF(Z$9=Inputs!$E$148,Inputs!$E$147,0)</f>
        <v>0</v>
      </c>
      <c r="AA84" s="67">
        <f>IF(AA$9=Inputs!$E$148,Inputs!$E$147,0)</f>
        <v>0</v>
      </c>
      <c r="AB84" s="67">
        <f>IF(AB$9=Inputs!$E$148,Inputs!$E$147,0)</f>
        <v>0</v>
      </c>
      <c r="AC84" s="67">
        <f>IF(AC$9=Inputs!$E$148,Inputs!$E$147,0)</f>
        <v>0</v>
      </c>
      <c r="AD84" s="67">
        <f>IF(AD$9=Inputs!$E$148,Inputs!$E$147,0)</f>
        <v>0</v>
      </c>
      <c r="AE84" s="67">
        <f>IF(AE$9=Inputs!$E$148,Inputs!$E$147,0)</f>
        <v>0</v>
      </c>
      <c r="AF84" s="67">
        <f>IF(AF$9=Inputs!$E$148,Inputs!$E$147,0)</f>
        <v>0</v>
      </c>
      <c r="AG84" s="67">
        <f>IF(AG$9=Inputs!$E$148,Inputs!$E$147,0)</f>
        <v>0</v>
      </c>
      <c r="AH84" s="67">
        <f>IF(AH$9=Inputs!$E$148,Inputs!$E$147,0)</f>
        <v>0</v>
      </c>
      <c r="AI84" s="67">
        <f>IF(AI$9=Inputs!$E$148,Inputs!$E$147,0)</f>
        <v>0</v>
      </c>
      <c r="AJ84" s="67">
        <f>IF(AJ$9=Inputs!$E$148,Inputs!$E$147,0)</f>
        <v>0</v>
      </c>
      <c r="AK84" s="67">
        <f>IF(AK$9=Inputs!$E$148,Inputs!$E$147,0)</f>
        <v>0</v>
      </c>
      <c r="AL84" s="67">
        <f>IF(AL$9=Inputs!$E$148,Inputs!$E$147,0)</f>
        <v>0</v>
      </c>
      <c r="AM84" s="67">
        <f>IF(AM$9=Inputs!$E$148,Inputs!$E$147,0)</f>
        <v>0</v>
      </c>
      <c r="AN84" s="67">
        <f>IF(AN$9=Inputs!$E$148,Inputs!$E$147,0)</f>
        <v>0</v>
      </c>
    </row>
    <row r="85" spans="1:40" s="16" customFormat="1">
      <c r="A85" s="1"/>
      <c r="B85" s="1"/>
      <c r="C85" s="34" t="str">
        <f>Inputs!C149</f>
        <v>&lt;Monthly expenses or cash outflow #5&gt;</v>
      </c>
      <c r="D85" s="15"/>
      <c r="E85" s="67">
        <f>IF(E$9=Inputs!$E$150,Inputs!$E$149,0)</f>
        <v>0</v>
      </c>
      <c r="F85" s="67">
        <f>IF(F$9=Inputs!$E$150,Inputs!$E$149,0)</f>
        <v>0</v>
      </c>
      <c r="G85" s="67">
        <f>IF(G$9=Inputs!$E$150,Inputs!$E$149,0)</f>
        <v>0</v>
      </c>
      <c r="H85" s="67">
        <f>IF(H$9=Inputs!$E$150,Inputs!$E$149,0)</f>
        <v>0</v>
      </c>
      <c r="I85" s="67">
        <f>IF(I$9=Inputs!$E$150,Inputs!$E$149,0)</f>
        <v>0</v>
      </c>
      <c r="J85" s="67">
        <f>IF(J$9=Inputs!$E$150,Inputs!$E$149,0)</f>
        <v>0</v>
      </c>
      <c r="K85" s="67">
        <f>IF(K$9=Inputs!$E$150,Inputs!$E$149,0)</f>
        <v>0</v>
      </c>
      <c r="L85" s="67">
        <f>IF(L$9=Inputs!$E$150,Inputs!$E$149,0)</f>
        <v>0</v>
      </c>
      <c r="M85" s="67">
        <f>IF(M$9=Inputs!$E$150,Inputs!$E$149,0)</f>
        <v>0</v>
      </c>
      <c r="N85" s="67">
        <f>IF(N$9=Inputs!$E$150,Inputs!$E$149,0)</f>
        <v>0</v>
      </c>
      <c r="O85" s="67">
        <f>IF(O$9=Inputs!$E$150,Inputs!$E$149,0)</f>
        <v>0</v>
      </c>
      <c r="P85" s="67">
        <f>IF(P$9=Inputs!$E$150,Inputs!$E$149,0)</f>
        <v>0</v>
      </c>
      <c r="Q85" s="67">
        <f>IF(Q$9=Inputs!$E$150,Inputs!$E$149,0)</f>
        <v>0</v>
      </c>
      <c r="R85" s="67">
        <f>IF(R$9=Inputs!$E$150,Inputs!$E$149,0)</f>
        <v>0</v>
      </c>
      <c r="S85" s="67">
        <f>IF(S$9=Inputs!$E$150,Inputs!$E$149,0)</f>
        <v>0</v>
      </c>
      <c r="T85" s="67">
        <f>IF(T$9=Inputs!$E$150,Inputs!$E$149,0)</f>
        <v>0</v>
      </c>
      <c r="U85" s="67">
        <f>IF(U$9=Inputs!$E$150,Inputs!$E$149,0)</f>
        <v>0</v>
      </c>
      <c r="V85" s="67">
        <f>IF(V$9=Inputs!$E$150,Inputs!$E$149,0)</f>
        <v>0</v>
      </c>
      <c r="W85" s="67">
        <f>IF(W$9=Inputs!$E$150,Inputs!$E$149,0)</f>
        <v>0</v>
      </c>
      <c r="X85" s="67">
        <f>IF(X$9=Inputs!$E$150,Inputs!$E$149,0)</f>
        <v>0</v>
      </c>
      <c r="Y85" s="67">
        <f>IF(Y$9=Inputs!$E$150,Inputs!$E$149,0)</f>
        <v>0</v>
      </c>
      <c r="Z85" s="67">
        <f>IF(Z$9=Inputs!$E$150,Inputs!$E$149,0)</f>
        <v>0</v>
      </c>
      <c r="AA85" s="67">
        <f>IF(AA$9=Inputs!$E$150,Inputs!$E$149,0)</f>
        <v>0</v>
      </c>
      <c r="AB85" s="67">
        <f>IF(AB$9=Inputs!$E$150,Inputs!$E$149,0)</f>
        <v>0</v>
      </c>
      <c r="AC85" s="67">
        <f>IF(AC$9=Inputs!$E$150,Inputs!$E$149,0)</f>
        <v>0</v>
      </c>
      <c r="AD85" s="67">
        <f>IF(AD$9=Inputs!$E$150,Inputs!$E$149,0)</f>
        <v>0</v>
      </c>
      <c r="AE85" s="67">
        <f>IF(AE$9=Inputs!$E$150,Inputs!$E$149,0)</f>
        <v>0</v>
      </c>
      <c r="AF85" s="67">
        <f>IF(AF$9=Inputs!$E$150,Inputs!$E$149,0)</f>
        <v>0</v>
      </c>
      <c r="AG85" s="67">
        <f>IF(AG$9=Inputs!$E$150,Inputs!$E$149,0)</f>
        <v>0</v>
      </c>
      <c r="AH85" s="67">
        <f>IF(AH$9=Inputs!$E$150,Inputs!$E$149,0)</f>
        <v>0</v>
      </c>
      <c r="AI85" s="67">
        <f>IF(AI$9=Inputs!$E$150,Inputs!$E$149,0)</f>
        <v>0</v>
      </c>
      <c r="AJ85" s="67">
        <f>IF(AJ$9=Inputs!$E$150,Inputs!$E$149,0)</f>
        <v>0</v>
      </c>
      <c r="AK85" s="67">
        <f>IF(AK$9=Inputs!$E$150,Inputs!$E$149,0)</f>
        <v>0</v>
      </c>
      <c r="AL85" s="67">
        <f>IF(AL$9=Inputs!$E$150,Inputs!$E$149,0)</f>
        <v>0</v>
      </c>
      <c r="AM85" s="67">
        <f>IF(AM$9=Inputs!$E$150,Inputs!$E$149,0)</f>
        <v>0</v>
      </c>
      <c r="AN85" s="67">
        <f>IF(AN$9=Inputs!$E$150,Inputs!$E$149,0)</f>
        <v>0</v>
      </c>
    </row>
    <row r="86" spans="1:40" s="16" customFormat="1">
      <c r="A86" s="1"/>
      <c r="B86" s="1"/>
      <c r="C86" s="34" t="str">
        <f>Inputs!C151</f>
        <v>&lt;Monthly expenses or cash outflow #6&gt;</v>
      </c>
      <c r="D86" s="15"/>
      <c r="E86" s="67">
        <f>IF(E$9=Inputs!$E$152,Inputs!$E$151,0)</f>
        <v>0</v>
      </c>
      <c r="F86" s="67">
        <f>IF(F$9=Inputs!$E$152,Inputs!$E$151,0)</f>
        <v>0</v>
      </c>
      <c r="G86" s="67">
        <f>IF(G$9=Inputs!$E$152,Inputs!$E$151,0)</f>
        <v>0</v>
      </c>
      <c r="H86" s="67">
        <f>IF(H$9=Inputs!$E$152,Inputs!$E$151,0)</f>
        <v>0</v>
      </c>
      <c r="I86" s="67">
        <f>IF(I$9=Inputs!$E$152,Inputs!$E$151,0)</f>
        <v>0</v>
      </c>
      <c r="J86" s="67">
        <f>IF(J$9=Inputs!$E$152,Inputs!$E$151,0)</f>
        <v>0</v>
      </c>
      <c r="K86" s="67">
        <f>IF(K$9=Inputs!$E$152,Inputs!$E$151,0)</f>
        <v>0</v>
      </c>
      <c r="L86" s="67">
        <f>IF(L$9=Inputs!$E$152,Inputs!$E$151,0)</f>
        <v>0</v>
      </c>
      <c r="M86" s="67">
        <f>IF(M$9=Inputs!$E$152,Inputs!$E$151,0)</f>
        <v>0</v>
      </c>
      <c r="N86" s="67">
        <f>IF(N$9=Inputs!$E$152,Inputs!$E$151,0)</f>
        <v>0</v>
      </c>
      <c r="O86" s="67">
        <f>IF(O$9=Inputs!$E$152,Inputs!$E$151,0)</f>
        <v>0</v>
      </c>
      <c r="P86" s="67">
        <f>IF(P$9=Inputs!$E$152,Inputs!$E$151,0)</f>
        <v>0</v>
      </c>
      <c r="Q86" s="67">
        <f>IF(Q$9=Inputs!$E$152,Inputs!$E$151,0)</f>
        <v>0</v>
      </c>
      <c r="R86" s="67">
        <f>IF(R$9=Inputs!$E$152,Inputs!$E$151,0)</f>
        <v>0</v>
      </c>
      <c r="S86" s="67">
        <f>IF(S$9=Inputs!$E$152,Inputs!$E$151,0)</f>
        <v>0</v>
      </c>
      <c r="T86" s="67">
        <f>IF(T$9=Inputs!$E$152,Inputs!$E$151,0)</f>
        <v>0</v>
      </c>
      <c r="U86" s="67">
        <f>IF(U$9=Inputs!$E$152,Inputs!$E$151,0)</f>
        <v>0</v>
      </c>
      <c r="V86" s="67">
        <f>IF(V$9=Inputs!$E$152,Inputs!$E$151,0)</f>
        <v>0</v>
      </c>
      <c r="W86" s="67">
        <f>IF(W$9=Inputs!$E$152,Inputs!$E$151,0)</f>
        <v>0</v>
      </c>
      <c r="X86" s="67">
        <f>IF(X$9=Inputs!$E$152,Inputs!$E$151,0)</f>
        <v>0</v>
      </c>
      <c r="Y86" s="67">
        <f>IF(Y$9=Inputs!$E$152,Inputs!$E$151,0)</f>
        <v>0</v>
      </c>
      <c r="Z86" s="67">
        <f>IF(Z$9=Inputs!$E$152,Inputs!$E$151,0)</f>
        <v>0</v>
      </c>
      <c r="AA86" s="67">
        <f>IF(AA$9=Inputs!$E$152,Inputs!$E$151,0)</f>
        <v>0</v>
      </c>
      <c r="AB86" s="67">
        <f>IF(AB$9=Inputs!$E$152,Inputs!$E$151,0)</f>
        <v>0</v>
      </c>
      <c r="AC86" s="67">
        <f>IF(AC$9=Inputs!$E$152,Inputs!$E$151,0)</f>
        <v>0</v>
      </c>
      <c r="AD86" s="67">
        <f>IF(AD$9=Inputs!$E$152,Inputs!$E$151,0)</f>
        <v>0</v>
      </c>
      <c r="AE86" s="67">
        <f>IF(AE$9=Inputs!$E$152,Inputs!$E$151,0)</f>
        <v>0</v>
      </c>
      <c r="AF86" s="67">
        <f>IF(AF$9=Inputs!$E$152,Inputs!$E$151,0)</f>
        <v>0</v>
      </c>
      <c r="AG86" s="67">
        <f>IF(AG$9=Inputs!$E$152,Inputs!$E$151,0)</f>
        <v>0</v>
      </c>
      <c r="AH86" s="67">
        <f>IF(AH$9=Inputs!$E$152,Inputs!$E$151,0)</f>
        <v>0</v>
      </c>
      <c r="AI86" s="67">
        <f>IF(AI$9=Inputs!$E$152,Inputs!$E$151,0)</f>
        <v>0</v>
      </c>
      <c r="AJ86" s="67">
        <f>IF(AJ$9=Inputs!$E$152,Inputs!$E$151,0)</f>
        <v>0</v>
      </c>
      <c r="AK86" s="67">
        <f>IF(AK$9=Inputs!$E$152,Inputs!$E$151,0)</f>
        <v>0</v>
      </c>
      <c r="AL86" s="67">
        <f>IF(AL$9=Inputs!$E$152,Inputs!$E$151,0)</f>
        <v>0</v>
      </c>
      <c r="AM86" s="67">
        <f>IF(AM$9=Inputs!$E$152,Inputs!$E$151,0)</f>
        <v>0</v>
      </c>
      <c r="AN86" s="67">
        <f>IF(AN$9=Inputs!$E$152,Inputs!$E$151,0)</f>
        <v>0</v>
      </c>
    </row>
    <row r="87" spans="1:40" s="16" customFormat="1">
      <c r="A87" s="1"/>
      <c r="B87" s="1"/>
      <c r="C87" s="34" t="str">
        <f>Inputs!C153</f>
        <v>&lt;Monthly expenses or cash outflow #7&gt;</v>
      </c>
      <c r="D87" s="15"/>
      <c r="E87" s="67">
        <f>IF(E$9=Inputs!$E$154,Inputs!$E$153,0)</f>
        <v>0</v>
      </c>
      <c r="F87" s="67">
        <f>IF(F$9=Inputs!$E$154,Inputs!$E$153,0)</f>
        <v>0</v>
      </c>
      <c r="G87" s="67">
        <f>IF(G$9=Inputs!$E$154,Inputs!$E$153,0)</f>
        <v>0</v>
      </c>
      <c r="H87" s="67">
        <f>IF(H$9=Inputs!$E$154,Inputs!$E$153,0)</f>
        <v>0</v>
      </c>
      <c r="I87" s="67">
        <f>IF(I$9=Inputs!$E$154,Inputs!$E$153,0)</f>
        <v>0</v>
      </c>
      <c r="J87" s="67">
        <f>IF(J$9=Inputs!$E$154,Inputs!$E$153,0)</f>
        <v>0</v>
      </c>
      <c r="K87" s="67">
        <f>IF(K$9=Inputs!$E$154,Inputs!$E$153,0)</f>
        <v>0</v>
      </c>
      <c r="L87" s="67">
        <f>IF(L$9=Inputs!$E$154,Inputs!$E$153,0)</f>
        <v>0</v>
      </c>
      <c r="M87" s="67">
        <f>IF(M$9=Inputs!$E$154,Inputs!$E$153,0)</f>
        <v>0</v>
      </c>
      <c r="N87" s="67">
        <f>IF(N$9=Inputs!$E$154,Inputs!$E$153,0)</f>
        <v>0</v>
      </c>
      <c r="O87" s="67">
        <f>IF(O$9=Inputs!$E$154,Inputs!$E$153,0)</f>
        <v>0</v>
      </c>
      <c r="P87" s="67">
        <f>IF(P$9=Inputs!$E$154,Inputs!$E$153,0)</f>
        <v>0</v>
      </c>
      <c r="Q87" s="67">
        <f>IF(Q$9=Inputs!$E$154,Inputs!$E$153,0)</f>
        <v>0</v>
      </c>
      <c r="R87" s="67">
        <f>IF(R$9=Inputs!$E$154,Inputs!$E$153,0)</f>
        <v>0</v>
      </c>
      <c r="S87" s="67">
        <f>IF(S$9=Inputs!$E$154,Inputs!$E$153,0)</f>
        <v>0</v>
      </c>
      <c r="T87" s="67">
        <f>IF(T$9=Inputs!$E$154,Inputs!$E$153,0)</f>
        <v>0</v>
      </c>
      <c r="U87" s="67">
        <f>IF(U$9=Inputs!$E$154,Inputs!$E$153,0)</f>
        <v>0</v>
      </c>
      <c r="V87" s="67">
        <f>IF(V$9=Inputs!$E$154,Inputs!$E$153,0)</f>
        <v>0</v>
      </c>
      <c r="W87" s="67">
        <f>IF(W$9=Inputs!$E$154,Inputs!$E$153,0)</f>
        <v>0</v>
      </c>
      <c r="X87" s="67">
        <f>IF(X$9=Inputs!$E$154,Inputs!$E$153,0)</f>
        <v>0</v>
      </c>
      <c r="Y87" s="67">
        <f>IF(Y$9=Inputs!$E$154,Inputs!$E$153,0)</f>
        <v>0</v>
      </c>
      <c r="Z87" s="67">
        <f>IF(Z$9=Inputs!$E$154,Inputs!$E$153,0)</f>
        <v>0</v>
      </c>
      <c r="AA87" s="67">
        <f>IF(AA$9=Inputs!$E$154,Inputs!$E$153,0)</f>
        <v>0</v>
      </c>
      <c r="AB87" s="67">
        <f>IF(AB$9=Inputs!$E$154,Inputs!$E$153,0)</f>
        <v>0</v>
      </c>
      <c r="AC87" s="67">
        <f>IF(AC$9=Inputs!$E$154,Inputs!$E$153,0)</f>
        <v>0</v>
      </c>
      <c r="AD87" s="67">
        <f>IF(AD$9=Inputs!$E$154,Inputs!$E$153,0)</f>
        <v>0</v>
      </c>
      <c r="AE87" s="67">
        <f>IF(AE$9=Inputs!$E$154,Inputs!$E$153,0)</f>
        <v>0</v>
      </c>
      <c r="AF87" s="67">
        <f>IF(AF$9=Inputs!$E$154,Inputs!$E$153,0)</f>
        <v>0</v>
      </c>
      <c r="AG87" s="67">
        <f>IF(AG$9=Inputs!$E$154,Inputs!$E$153,0)</f>
        <v>0</v>
      </c>
      <c r="AH87" s="67">
        <f>IF(AH$9=Inputs!$E$154,Inputs!$E$153,0)</f>
        <v>0</v>
      </c>
      <c r="AI87" s="67">
        <f>IF(AI$9=Inputs!$E$154,Inputs!$E$153,0)</f>
        <v>0</v>
      </c>
      <c r="AJ87" s="67">
        <f>IF(AJ$9=Inputs!$E$154,Inputs!$E$153,0)</f>
        <v>0</v>
      </c>
      <c r="AK87" s="67">
        <f>IF(AK$9=Inputs!$E$154,Inputs!$E$153,0)</f>
        <v>0</v>
      </c>
      <c r="AL87" s="67">
        <f>IF(AL$9=Inputs!$E$154,Inputs!$E$153,0)</f>
        <v>0</v>
      </c>
      <c r="AM87" s="67">
        <f>IF(AM$9=Inputs!$E$154,Inputs!$E$153,0)</f>
        <v>0</v>
      </c>
      <c r="AN87" s="67">
        <f>IF(AN$9=Inputs!$E$154,Inputs!$E$153,0)</f>
        <v>0</v>
      </c>
    </row>
    <row r="88" spans="1:40" s="16" customFormat="1">
      <c r="A88" s="1"/>
      <c r="B88" s="1"/>
      <c r="C88" s="34" t="str">
        <f>Inputs!C155</f>
        <v>&lt;Monthly expenses or cash outflow #8&gt;</v>
      </c>
      <c r="D88" s="15"/>
      <c r="E88" s="67">
        <f>IF(E$9=Inputs!$E$156,Inputs!$E$155,0)</f>
        <v>0</v>
      </c>
      <c r="F88" s="67">
        <f>IF(F$9=Inputs!$E$156,Inputs!$E$155,0)</f>
        <v>0</v>
      </c>
      <c r="G88" s="67">
        <f>IF(G$9=Inputs!$E$156,Inputs!$E$155,0)</f>
        <v>0</v>
      </c>
      <c r="H88" s="67">
        <f>IF(H$9=Inputs!$E$156,Inputs!$E$155,0)</f>
        <v>0</v>
      </c>
      <c r="I88" s="67">
        <f>IF(I$9=Inputs!$E$156,Inputs!$E$155,0)</f>
        <v>0</v>
      </c>
      <c r="J88" s="67">
        <f>IF(J$9=Inputs!$E$156,Inputs!$E$155,0)</f>
        <v>0</v>
      </c>
      <c r="K88" s="67">
        <f>IF(K$9=Inputs!$E$156,Inputs!$E$155,0)</f>
        <v>0</v>
      </c>
      <c r="L88" s="67">
        <f>IF(L$9=Inputs!$E$156,Inputs!$E$155,0)</f>
        <v>0</v>
      </c>
      <c r="M88" s="67">
        <f>IF(M$9=Inputs!$E$156,Inputs!$E$155,0)</f>
        <v>0</v>
      </c>
      <c r="N88" s="67">
        <f>IF(N$9=Inputs!$E$156,Inputs!$E$155,0)</f>
        <v>0</v>
      </c>
      <c r="O88" s="67">
        <f>IF(O$9=Inputs!$E$156,Inputs!$E$155,0)</f>
        <v>0</v>
      </c>
      <c r="P88" s="67">
        <f>IF(P$9=Inputs!$E$156,Inputs!$E$155,0)</f>
        <v>0</v>
      </c>
      <c r="Q88" s="67">
        <f>IF(Q$9=Inputs!$E$156,Inputs!$E$155,0)</f>
        <v>0</v>
      </c>
      <c r="R88" s="67">
        <f>IF(R$9=Inputs!$E$156,Inputs!$E$155,0)</f>
        <v>0</v>
      </c>
      <c r="S88" s="67">
        <f>IF(S$9=Inputs!$E$156,Inputs!$E$155,0)</f>
        <v>0</v>
      </c>
      <c r="T88" s="67">
        <f>IF(T$9=Inputs!$E$156,Inputs!$E$155,0)</f>
        <v>0</v>
      </c>
      <c r="U88" s="67">
        <f>IF(U$9=Inputs!$E$156,Inputs!$E$155,0)</f>
        <v>0</v>
      </c>
      <c r="V88" s="67">
        <f>IF(V$9=Inputs!$E$156,Inputs!$E$155,0)</f>
        <v>0</v>
      </c>
      <c r="W88" s="67">
        <f>IF(W$9=Inputs!$E$156,Inputs!$E$155,0)</f>
        <v>0</v>
      </c>
      <c r="X88" s="67">
        <f>IF(X$9=Inputs!$E$156,Inputs!$E$155,0)</f>
        <v>0</v>
      </c>
      <c r="Y88" s="67">
        <f>IF(Y$9=Inputs!$E$156,Inputs!$E$155,0)</f>
        <v>0</v>
      </c>
      <c r="Z88" s="67">
        <f>IF(Z$9=Inputs!$E$156,Inputs!$E$155,0)</f>
        <v>0</v>
      </c>
      <c r="AA88" s="67">
        <f>IF(AA$9=Inputs!$E$156,Inputs!$E$155,0)</f>
        <v>0</v>
      </c>
      <c r="AB88" s="67">
        <f>IF(AB$9=Inputs!$E$156,Inputs!$E$155,0)</f>
        <v>0</v>
      </c>
      <c r="AC88" s="67">
        <f>IF(AC$9=Inputs!$E$156,Inputs!$E$155,0)</f>
        <v>0</v>
      </c>
      <c r="AD88" s="67">
        <f>IF(AD$9=Inputs!$E$156,Inputs!$E$155,0)</f>
        <v>0</v>
      </c>
      <c r="AE88" s="67">
        <f>IF(AE$9=Inputs!$E$156,Inputs!$E$155,0)</f>
        <v>0</v>
      </c>
      <c r="AF88" s="67">
        <f>IF(AF$9=Inputs!$E$156,Inputs!$E$155,0)</f>
        <v>0</v>
      </c>
      <c r="AG88" s="67">
        <f>IF(AG$9=Inputs!$E$156,Inputs!$E$155,0)</f>
        <v>0</v>
      </c>
      <c r="AH88" s="67">
        <f>IF(AH$9=Inputs!$E$156,Inputs!$E$155,0)</f>
        <v>0</v>
      </c>
      <c r="AI88" s="67">
        <f>IF(AI$9=Inputs!$E$156,Inputs!$E$155,0)</f>
        <v>0</v>
      </c>
      <c r="AJ88" s="67">
        <f>IF(AJ$9=Inputs!$E$156,Inputs!$E$155,0)</f>
        <v>0</v>
      </c>
      <c r="AK88" s="67">
        <f>IF(AK$9=Inputs!$E$156,Inputs!$E$155,0)</f>
        <v>0</v>
      </c>
      <c r="AL88" s="67">
        <f>IF(AL$9=Inputs!$E$156,Inputs!$E$155,0)</f>
        <v>0</v>
      </c>
      <c r="AM88" s="67">
        <f>IF(AM$9=Inputs!$E$156,Inputs!$E$155,0)</f>
        <v>0</v>
      </c>
      <c r="AN88" s="67">
        <f>IF(AN$9=Inputs!$E$156,Inputs!$E$155,0)</f>
        <v>0</v>
      </c>
    </row>
    <row r="89" spans="1:40" s="16" customFormat="1">
      <c r="A89" s="1"/>
      <c r="B89" s="1"/>
      <c r="C89" s="34"/>
      <c r="D89" s="15"/>
    </row>
    <row r="90" spans="1:40" s="16" customFormat="1">
      <c r="A90" s="51" t="s">
        <v>53</v>
      </c>
      <c r="B90" s="51"/>
      <c r="C90" s="51"/>
      <c r="D90" s="52">
        <f>D32</f>
        <v>300000</v>
      </c>
      <c r="E90" s="49">
        <f>E35+E34+E36+E40+E50+E72+E73+E75</f>
        <v>33633.87838390276</v>
      </c>
      <c r="F90" s="49">
        <f t="shared" ref="F90:AN90" si="11">F35+F34+F36+F40+F50+F72+F73+F75</f>
        <v>52833.878383902753</v>
      </c>
      <c r="G90" s="49">
        <f t="shared" si="11"/>
        <v>52833.878383902753</v>
      </c>
      <c r="H90" s="49">
        <f t="shared" si="11"/>
        <v>33633.87838390276</v>
      </c>
      <c r="I90" s="49">
        <f t="shared" si="11"/>
        <v>33633.87838390276</v>
      </c>
      <c r="J90" s="49">
        <f t="shared" si="11"/>
        <v>52833.878383902753</v>
      </c>
      <c r="K90" s="49">
        <f t="shared" si="11"/>
        <v>33633.87838390276</v>
      </c>
      <c r="L90" s="49">
        <f t="shared" si="11"/>
        <v>52833.878383902753</v>
      </c>
      <c r="M90" s="49">
        <f t="shared" si="11"/>
        <v>33633.87838390276</v>
      </c>
      <c r="N90" s="49">
        <f t="shared" si="11"/>
        <v>33633.87838390276</v>
      </c>
      <c r="O90" s="49">
        <f t="shared" si="11"/>
        <v>36806.87838390276</v>
      </c>
      <c r="P90" s="49">
        <f t="shared" si="11"/>
        <v>36806.87838390276</v>
      </c>
      <c r="Q90" s="49">
        <f t="shared" si="11"/>
        <v>36806.87838390276</v>
      </c>
      <c r="R90" s="49">
        <f t="shared" si="11"/>
        <v>62454.718383902757</v>
      </c>
      <c r="S90" s="49">
        <f t="shared" si="11"/>
        <v>62454.718383902757</v>
      </c>
      <c r="T90" s="49">
        <f t="shared" si="11"/>
        <v>36806.87838390276</v>
      </c>
      <c r="U90" s="49">
        <f t="shared" si="11"/>
        <v>36806.87838390276</v>
      </c>
      <c r="V90" s="49">
        <f t="shared" si="11"/>
        <v>62454.718383902757</v>
      </c>
      <c r="W90" s="49">
        <f t="shared" si="11"/>
        <v>36806.87838390276</v>
      </c>
      <c r="X90" s="49">
        <f t="shared" si="11"/>
        <v>62454.718383902757</v>
      </c>
      <c r="Y90" s="49">
        <f t="shared" si="11"/>
        <v>36806.87838390276</v>
      </c>
      <c r="Z90" s="49">
        <f t="shared" si="11"/>
        <v>36806.87838390276</v>
      </c>
      <c r="AA90" s="49">
        <f t="shared" si="11"/>
        <v>43481.722383902757</v>
      </c>
      <c r="AB90" s="49">
        <f t="shared" si="11"/>
        <v>43481.722383902757</v>
      </c>
      <c r="AC90" s="49">
        <f t="shared" si="11"/>
        <v>43481.722383902757</v>
      </c>
      <c r="AD90" s="49">
        <f t="shared" si="11"/>
        <v>79002.490383902739</v>
      </c>
      <c r="AE90" s="49">
        <f t="shared" si="11"/>
        <v>79002.490383902739</v>
      </c>
      <c r="AF90" s="49">
        <f t="shared" si="11"/>
        <v>43481.722383902757</v>
      </c>
      <c r="AG90" s="49">
        <f t="shared" si="11"/>
        <v>43481.722383902757</v>
      </c>
      <c r="AH90" s="49">
        <f t="shared" si="11"/>
        <v>79002.490383902739</v>
      </c>
      <c r="AI90" s="49">
        <f t="shared" si="11"/>
        <v>43481.722383902757</v>
      </c>
      <c r="AJ90" s="49">
        <f t="shared" si="11"/>
        <v>79002.490383902739</v>
      </c>
      <c r="AK90" s="49">
        <f t="shared" si="11"/>
        <v>43481.722383902757</v>
      </c>
      <c r="AL90" s="49">
        <f t="shared" si="11"/>
        <v>43481.722383902757</v>
      </c>
      <c r="AM90" s="49">
        <f t="shared" si="11"/>
        <v>43917.087783902753</v>
      </c>
      <c r="AN90" s="49">
        <f t="shared" si="11"/>
        <v>43917.087783902753</v>
      </c>
    </row>
    <row r="91" spans="1:40" s="16" customFormat="1">
      <c r="A91" s="1"/>
      <c r="B91" s="1"/>
      <c r="C91" s="34"/>
    </row>
    <row r="92" spans="1:40" s="16" customFormat="1" ht="12.75" thickBot="1">
      <c r="A92" s="17"/>
      <c r="B92" s="17"/>
      <c r="C92" s="33"/>
      <c r="D92" s="19"/>
      <c r="E92" s="18"/>
      <c r="F92" s="18"/>
      <c r="G92" s="18"/>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row>
    <row r="93" spans="1:40" s="16" customFormat="1">
      <c r="A93" s="2" t="s">
        <v>231</v>
      </c>
      <c r="B93" s="1"/>
      <c r="C93" s="32"/>
      <c r="D93" s="15"/>
    </row>
    <row r="94" spans="1:40" s="16" customFormat="1" hidden="1">
      <c r="A94" s="2"/>
      <c r="B94" s="1"/>
      <c r="C94" s="43" t="s">
        <v>60</v>
      </c>
      <c r="D94" s="219"/>
      <c r="E94" s="220" t="str">
        <f t="shared" ref="E94:AN94" si="12">CONCATENATE(E9,"-",MONTH(E6))</f>
        <v>1-3</v>
      </c>
      <c r="F94" s="220" t="str">
        <f t="shared" si="12"/>
        <v>1-4</v>
      </c>
      <c r="G94" s="220" t="str">
        <f t="shared" si="12"/>
        <v>1-5</v>
      </c>
      <c r="H94" s="220" t="str">
        <f t="shared" si="12"/>
        <v>1-6</v>
      </c>
      <c r="I94" s="220" t="str">
        <f t="shared" si="12"/>
        <v>1-7</v>
      </c>
      <c r="J94" s="220" t="str">
        <f t="shared" si="12"/>
        <v>1-8</v>
      </c>
      <c r="K94" s="220" t="str">
        <f t="shared" si="12"/>
        <v>1-9</v>
      </c>
      <c r="L94" s="220" t="str">
        <f t="shared" si="12"/>
        <v>1-10</v>
      </c>
      <c r="M94" s="220" t="str">
        <f t="shared" si="12"/>
        <v>1-11</v>
      </c>
      <c r="N94" s="220" t="str">
        <f t="shared" si="12"/>
        <v>1-12</v>
      </c>
      <c r="O94" s="220" t="str">
        <f t="shared" si="12"/>
        <v>2-1</v>
      </c>
      <c r="P94" s="220" t="str">
        <f t="shared" si="12"/>
        <v>2-2</v>
      </c>
      <c r="Q94" s="220" t="str">
        <f t="shared" si="12"/>
        <v>2-3</v>
      </c>
      <c r="R94" s="220" t="str">
        <f t="shared" si="12"/>
        <v>2-4</v>
      </c>
      <c r="S94" s="220" t="str">
        <f t="shared" si="12"/>
        <v>2-5</v>
      </c>
      <c r="T94" s="220" t="str">
        <f t="shared" si="12"/>
        <v>2-6</v>
      </c>
      <c r="U94" s="220" t="str">
        <f t="shared" si="12"/>
        <v>2-7</v>
      </c>
      <c r="V94" s="220" t="str">
        <f t="shared" si="12"/>
        <v>2-8</v>
      </c>
      <c r="W94" s="220" t="str">
        <f t="shared" si="12"/>
        <v>2-9</v>
      </c>
      <c r="X94" s="220" t="str">
        <f t="shared" si="12"/>
        <v>2-10</v>
      </c>
      <c r="Y94" s="220" t="str">
        <f t="shared" si="12"/>
        <v>2-11</v>
      </c>
      <c r="Z94" s="220" t="str">
        <f t="shared" si="12"/>
        <v>2-12</v>
      </c>
      <c r="AA94" s="220" t="str">
        <f t="shared" si="12"/>
        <v>3-1</v>
      </c>
      <c r="AB94" s="220" t="str">
        <f t="shared" si="12"/>
        <v>3-2</v>
      </c>
      <c r="AC94" s="220" t="str">
        <f t="shared" si="12"/>
        <v>3-3</v>
      </c>
      <c r="AD94" s="220" t="str">
        <f t="shared" si="12"/>
        <v>3-4</v>
      </c>
      <c r="AE94" s="220" t="str">
        <f t="shared" si="12"/>
        <v>3-5</v>
      </c>
      <c r="AF94" s="220" t="str">
        <f t="shared" si="12"/>
        <v>3-6</v>
      </c>
      <c r="AG94" s="220" t="str">
        <f t="shared" si="12"/>
        <v>3-7</v>
      </c>
      <c r="AH94" s="220" t="str">
        <f t="shared" si="12"/>
        <v>3-8</v>
      </c>
      <c r="AI94" s="220" t="str">
        <f t="shared" si="12"/>
        <v>3-9</v>
      </c>
      <c r="AJ94" s="220" t="str">
        <f t="shared" si="12"/>
        <v>3-10</v>
      </c>
      <c r="AK94" s="220" t="str">
        <f t="shared" si="12"/>
        <v>3-11</v>
      </c>
      <c r="AL94" s="220" t="str">
        <f t="shared" si="12"/>
        <v>3-12</v>
      </c>
      <c r="AM94" s="220" t="str">
        <f t="shared" si="12"/>
        <v>4-1</v>
      </c>
      <c r="AN94" s="220" t="str">
        <f t="shared" si="12"/>
        <v>4-2</v>
      </c>
    </row>
    <row r="95" spans="1:40" s="16" customFormat="1">
      <c r="A95" s="1"/>
      <c r="B95" s="1"/>
      <c r="C95" s="34"/>
    </row>
    <row r="96" spans="1:40" s="16" customFormat="1">
      <c r="A96" s="1"/>
      <c r="B96" s="1"/>
      <c r="C96" s="34" t="s">
        <v>45</v>
      </c>
      <c r="D96" s="67">
        <f>-D90</f>
        <v>-300000</v>
      </c>
    </row>
    <row r="97" spans="1:40" s="16" customFormat="1">
      <c r="A97" s="1"/>
      <c r="B97" s="1"/>
      <c r="C97" s="32" t="s">
        <v>65</v>
      </c>
      <c r="D97" s="26"/>
      <c r="E97" s="67">
        <f>(E28-E19)-(E90+E35+E72)</f>
        <v>-12817.890101138852</v>
      </c>
      <c r="F97" s="67">
        <f t="shared" ref="F97:AN97" si="13">(F28-F19)-(F90+F35+F72)</f>
        <v>-2019.1168459204127</v>
      </c>
      <c r="G97" s="67">
        <f t="shared" si="13"/>
        <v>-2020.3517690005319</v>
      </c>
      <c r="H97" s="67">
        <f t="shared" si="13"/>
        <v>-12821.59492490119</v>
      </c>
      <c r="I97" s="67">
        <f t="shared" si="13"/>
        <v>-12822.846368507846</v>
      </c>
      <c r="J97" s="67">
        <f t="shared" si="13"/>
        <v>-2024.1061550718732</v>
      </c>
      <c r="K97" s="67">
        <f t="shared" si="13"/>
        <v>-12825.374340213013</v>
      </c>
      <c r="L97" s="67">
        <f t="shared" si="13"/>
        <v>-2026.6509799217383</v>
      </c>
      <c r="M97" s="67">
        <f t="shared" si="13"/>
        <v>-12827.936130561873</v>
      </c>
      <c r="N97" s="67">
        <f t="shared" si="13"/>
        <v>-12829.229848872936</v>
      </c>
      <c r="O97" s="67">
        <f t="shared" si="13"/>
        <v>-16003.532191972736</v>
      </c>
      <c r="P97" s="67">
        <f t="shared" si="13"/>
        <v>-16004.843217359863</v>
      </c>
      <c r="Q97" s="67">
        <f t="shared" si="13"/>
        <v>-16006.162982916248</v>
      </c>
      <c r="R97" s="67">
        <f t="shared" si="13"/>
        <v>344.66845309032942</v>
      </c>
      <c r="S97" s="67">
        <f t="shared" si="13"/>
        <v>343.33103200361802</v>
      </c>
      <c r="T97" s="67">
        <f t="shared" si="13"/>
        <v>-16010.175305223675</v>
      </c>
      <c r="U97" s="67">
        <f t="shared" si="13"/>
        <v>-16011.530618032477</v>
      </c>
      <c r="V97" s="67">
        <f t="shared" si="13"/>
        <v>339.26503373999003</v>
      </c>
      <c r="W97" s="67">
        <f t="shared" si="13"/>
        <v>-16014.268410142395</v>
      </c>
      <c r="X97" s="67">
        <f t="shared" si="13"/>
        <v>336.50898968268302</v>
      </c>
      <c r="Y97" s="67">
        <f t="shared" si="13"/>
        <v>-16017.042827826757</v>
      </c>
      <c r="Z97" s="67">
        <f t="shared" si="13"/>
        <v>-16018.44392411958</v>
      </c>
      <c r="AA97" s="67">
        <f t="shared" si="13"/>
        <v>-12194.698361054354</v>
      </c>
      <c r="AB97" s="67">
        <f t="shared" si="13"/>
        <v>-12196.118200902034</v>
      </c>
      <c r="AC97" s="67">
        <f t="shared" si="13"/>
        <v>-12197.547506348696</v>
      </c>
      <c r="AD97" s="67">
        <f t="shared" si="13"/>
        <v>15280.245659501685</v>
      </c>
      <c r="AE97" s="67">
        <f t="shared" si="13"/>
        <v>15278.79723312438</v>
      </c>
      <c r="AF97" s="67">
        <f t="shared" si="13"/>
        <v>-12201.89284942879</v>
      </c>
      <c r="AG97" s="67">
        <f t="shared" si="13"/>
        <v>-12203.360652532298</v>
      </c>
      <c r="AH97" s="67">
        <f t="shared" si="13"/>
        <v>15274.393759010185</v>
      </c>
      <c r="AI97" s="67">
        <f t="shared" si="13"/>
        <v>-12206.32568003708</v>
      </c>
      <c r="AJ97" s="67">
        <f t="shared" si="13"/>
        <v>15271.408964655377</v>
      </c>
      <c r="AK97" s="67">
        <f t="shared" si="13"/>
        <v>-12209.330373020915</v>
      </c>
      <c r="AL97" s="67">
        <f t="shared" si="13"/>
        <v>-12210.847759615041</v>
      </c>
      <c r="AM97" s="67">
        <f t="shared" si="13"/>
        <v>-12647.740662119781</v>
      </c>
      <c r="AN97" s="67">
        <f t="shared" si="13"/>
        <v>-12649.278347974563</v>
      </c>
    </row>
    <row r="98" spans="1:40" s="16" customFormat="1">
      <c r="A98" s="26"/>
      <c r="B98" s="1"/>
      <c r="C98" s="32" t="s">
        <v>66</v>
      </c>
      <c r="D98" s="26"/>
      <c r="E98" s="67">
        <f>E97+D98</f>
        <v>-12817.890101138852</v>
      </c>
      <c r="F98" s="67">
        <f t="shared" ref="F98:AN98" si="14">F97+E98</f>
        <v>-14837.006947059264</v>
      </c>
      <c r="G98" s="67">
        <f t="shared" si="14"/>
        <v>-16857.358716059796</v>
      </c>
      <c r="H98" s="67">
        <f t="shared" si="14"/>
        <v>-29678.953640960986</v>
      </c>
      <c r="I98" s="67">
        <f t="shared" si="14"/>
        <v>-42501.800009468832</v>
      </c>
      <c r="J98" s="67">
        <f t="shared" si="14"/>
        <v>-44525.906164540706</v>
      </c>
      <c r="K98" s="67">
        <f t="shared" si="14"/>
        <v>-57351.280504753719</v>
      </c>
      <c r="L98" s="67">
        <f t="shared" si="14"/>
        <v>-59377.931484675457</v>
      </c>
      <c r="M98" s="67">
        <f t="shared" si="14"/>
        <v>-72205.867615237337</v>
      </c>
      <c r="N98" s="67">
        <f t="shared" si="14"/>
        <v>-85035.097464110266</v>
      </c>
      <c r="O98" s="67">
        <f t="shared" si="14"/>
        <v>-101038.62965608301</v>
      </c>
      <c r="P98" s="67">
        <f t="shared" si="14"/>
        <v>-117043.47287344286</v>
      </c>
      <c r="Q98" s="67">
        <f t="shared" si="14"/>
        <v>-133049.63585635912</v>
      </c>
      <c r="R98" s="67">
        <f t="shared" si="14"/>
        <v>-132704.96740326879</v>
      </c>
      <c r="S98" s="67">
        <f t="shared" si="14"/>
        <v>-132361.63637126517</v>
      </c>
      <c r="T98" s="67">
        <f t="shared" si="14"/>
        <v>-148371.81167648884</v>
      </c>
      <c r="U98" s="67">
        <f t="shared" si="14"/>
        <v>-164383.34229452131</v>
      </c>
      <c r="V98" s="67">
        <f t="shared" si="14"/>
        <v>-164044.07726078131</v>
      </c>
      <c r="W98" s="67">
        <f t="shared" si="14"/>
        <v>-180058.34567092371</v>
      </c>
      <c r="X98" s="67">
        <f t="shared" si="14"/>
        <v>-179721.83668124102</v>
      </c>
      <c r="Y98" s="67">
        <f t="shared" si="14"/>
        <v>-195738.87950906777</v>
      </c>
      <c r="Z98" s="67">
        <f t="shared" si="14"/>
        <v>-211757.32343318735</v>
      </c>
      <c r="AA98" s="67">
        <f t="shared" si="14"/>
        <v>-223952.02179424171</v>
      </c>
      <c r="AB98" s="67">
        <f t="shared" si="14"/>
        <v>-236148.13999514375</v>
      </c>
      <c r="AC98" s="67">
        <f t="shared" si="14"/>
        <v>-248345.68750149244</v>
      </c>
      <c r="AD98" s="67">
        <f t="shared" si="14"/>
        <v>-233065.44184199075</v>
      </c>
      <c r="AE98" s="67">
        <f t="shared" si="14"/>
        <v>-217786.64460886637</v>
      </c>
      <c r="AF98" s="67">
        <f t="shared" si="14"/>
        <v>-229988.53745829515</v>
      </c>
      <c r="AG98" s="67">
        <f t="shared" si="14"/>
        <v>-242191.89811082743</v>
      </c>
      <c r="AH98" s="67">
        <f t="shared" si="14"/>
        <v>-226917.50435181725</v>
      </c>
      <c r="AI98" s="67">
        <f t="shared" si="14"/>
        <v>-239123.83003185433</v>
      </c>
      <c r="AJ98" s="67">
        <f t="shared" si="14"/>
        <v>-223852.42106719897</v>
      </c>
      <c r="AK98" s="67">
        <f t="shared" si="14"/>
        <v>-236061.75144021987</v>
      </c>
      <c r="AL98" s="67">
        <f t="shared" si="14"/>
        <v>-248272.59919983492</v>
      </c>
      <c r="AM98" s="67">
        <f t="shared" si="14"/>
        <v>-260920.33986195471</v>
      </c>
      <c r="AN98" s="67">
        <f t="shared" si="14"/>
        <v>-273569.61820992926</v>
      </c>
    </row>
    <row r="99" spans="1:40" s="16" customFormat="1">
      <c r="A99" s="1"/>
      <c r="B99" s="1"/>
      <c r="C99" s="32"/>
      <c r="D99" s="26"/>
      <c r="E99" s="67"/>
      <c r="F99" s="67"/>
      <c r="G99" s="67"/>
      <c r="H99" s="67"/>
      <c r="I99" s="67"/>
      <c r="J99" s="67"/>
      <c r="K99" s="67"/>
      <c r="L99" s="67"/>
      <c r="M99" s="67"/>
      <c r="N99" s="67"/>
      <c r="O99" s="67"/>
      <c r="P99" s="67"/>
      <c r="Q99" s="67"/>
      <c r="R99" s="67"/>
      <c r="S99" s="67"/>
      <c r="T99" s="67"/>
      <c r="U99" s="67"/>
      <c r="V99" s="67"/>
      <c r="W99" s="67"/>
      <c r="X99" s="67"/>
      <c r="Y99" s="67"/>
      <c r="Z99" s="67"/>
      <c r="AA99" s="67"/>
      <c r="AB99" s="67"/>
      <c r="AC99" s="67"/>
      <c r="AD99" s="67"/>
      <c r="AE99" s="67"/>
      <c r="AF99" s="67"/>
      <c r="AG99" s="67"/>
      <c r="AH99" s="67"/>
      <c r="AI99" s="67"/>
      <c r="AJ99" s="67"/>
      <c r="AK99" s="67"/>
      <c r="AL99" s="67"/>
      <c r="AM99" s="67"/>
      <c r="AN99" s="67"/>
    </row>
    <row r="100" spans="1:40" s="16" customFormat="1">
      <c r="A100" s="1"/>
      <c r="B100" s="1"/>
      <c r="C100" s="32" t="s">
        <v>27</v>
      </c>
      <c r="D100" s="67">
        <f>D19</f>
        <v>175000</v>
      </c>
      <c r="E100" s="67">
        <f>E19</f>
        <v>0</v>
      </c>
      <c r="F100" s="67">
        <f t="shared" ref="F100:AN100" si="15">F19</f>
        <v>0</v>
      </c>
      <c r="G100" s="67">
        <f t="shared" si="15"/>
        <v>0</v>
      </c>
      <c r="H100" s="67">
        <f t="shared" si="15"/>
        <v>0</v>
      </c>
      <c r="I100" s="67">
        <f t="shared" si="15"/>
        <v>0</v>
      </c>
      <c r="J100" s="67">
        <f t="shared" si="15"/>
        <v>0</v>
      </c>
      <c r="K100" s="67">
        <f t="shared" si="15"/>
        <v>0</v>
      </c>
      <c r="L100" s="67">
        <f t="shared" si="15"/>
        <v>0</v>
      </c>
      <c r="M100" s="67">
        <f t="shared" si="15"/>
        <v>0</v>
      </c>
      <c r="N100" s="67">
        <f t="shared" si="15"/>
        <v>0</v>
      </c>
      <c r="O100" s="67">
        <f t="shared" si="15"/>
        <v>0</v>
      </c>
      <c r="P100" s="67">
        <f t="shared" si="15"/>
        <v>0</v>
      </c>
      <c r="Q100" s="67">
        <f t="shared" si="15"/>
        <v>0</v>
      </c>
      <c r="R100" s="67">
        <f t="shared" si="15"/>
        <v>0</v>
      </c>
      <c r="S100" s="67">
        <f t="shared" si="15"/>
        <v>0</v>
      </c>
      <c r="T100" s="67">
        <f t="shared" si="15"/>
        <v>0</v>
      </c>
      <c r="U100" s="67">
        <f t="shared" si="15"/>
        <v>0</v>
      </c>
      <c r="V100" s="67">
        <f t="shared" si="15"/>
        <v>0</v>
      </c>
      <c r="W100" s="67">
        <f t="shared" si="15"/>
        <v>0</v>
      </c>
      <c r="X100" s="67">
        <f t="shared" si="15"/>
        <v>0</v>
      </c>
      <c r="Y100" s="67">
        <f t="shared" si="15"/>
        <v>0</v>
      </c>
      <c r="Z100" s="67">
        <f t="shared" si="15"/>
        <v>0</v>
      </c>
      <c r="AA100" s="67">
        <f t="shared" si="15"/>
        <v>0</v>
      </c>
      <c r="AB100" s="67">
        <f t="shared" si="15"/>
        <v>0</v>
      </c>
      <c r="AC100" s="67">
        <f t="shared" si="15"/>
        <v>0</v>
      </c>
      <c r="AD100" s="67">
        <f t="shared" si="15"/>
        <v>0</v>
      </c>
      <c r="AE100" s="67">
        <f t="shared" si="15"/>
        <v>0</v>
      </c>
      <c r="AF100" s="67">
        <f t="shared" si="15"/>
        <v>0</v>
      </c>
      <c r="AG100" s="67">
        <f t="shared" si="15"/>
        <v>0</v>
      </c>
      <c r="AH100" s="67">
        <f t="shared" si="15"/>
        <v>0</v>
      </c>
      <c r="AI100" s="67">
        <f t="shared" si="15"/>
        <v>0</v>
      </c>
      <c r="AJ100" s="67">
        <f t="shared" si="15"/>
        <v>0</v>
      </c>
      <c r="AK100" s="67">
        <f t="shared" si="15"/>
        <v>0</v>
      </c>
      <c r="AL100" s="67">
        <f t="shared" si="15"/>
        <v>0</v>
      </c>
      <c r="AM100" s="67">
        <f t="shared" si="15"/>
        <v>0</v>
      </c>
      <c r="AN100" s="67">
        <f t="shared" si="15"/>
        <v>0</v>
      </c>
    </row>
    <row r="101" spans="1:40" s="16" customFormat="1">
      <c r="A101" s="1"/>
      <c r="B101" s="1"/>
      <c r="C101" s="32" t="s">
        <v>292</v>
      </c>
      <c r="D101" s="67"/>
      <c r="E101" s="67">
        <f>(E72+E35)</f>
        <v>184.01171723608857</v>
      </c>
      <c r="F101" s="67">
        <f t="shared" ref="F101:AN102" si="16">(F72+F35)</f>
        <v>185.2384620176625</v>
      </c>
      <c r="G101" s="67">
        <f t="shared" si="16"/>
        <v>186.47338509778027</v>
      </c>
      <c r="H101" s="67">
        <f t="shared" si="16"/>
        <v>187.71654099843215</v>
      </c>
      <c r="I101" s="67">
        <f t="shared" si="16"/>
        <v>188.96798460508836</v>
      </c>
      <c r="J101" s="67">
        <f t="shared" si="16"/>
        <v>190.22777116912229</v>
      </c>
      <c r="K101" s="67">
        <f t="shared" si="16"/>
        <v>191.4959563102498</v>
      </c>
      <c r="L101" s="67">
        <f t="shared" si="16"/>
        <v>192.77259601898473</v>
      </c>
      <c r="M101" s="67">
        <f t="shared" si="16"/>
        <v>194.0577466591113</v>
      </c>
      <c r="N101" s="67">
        <f t="shared" si="16"/>
        <v>195.35146497017209</v>
      </c>
      <c r="O101" s="67">
        <f t="shared" si="16"/>
        <v>196.65380806997319</v>
      </c>
      <c r="P101" s="67">
        <f t="shared" si="16"/>
        <v>197.96483345710641</v>
      </c>
      <c r="Q101" s="67">
        <f t="shared" si="16"/>
        <v>199.28459901348708</v>
      </c>
      <c r="R101" s="67">
        <f t="shared" si="16"/>
        <v>200.61316300691033</v>
      </c>
      <c r="S101" s="67">
        <f t="shared" si="16"/>
        <v>201.95058409362306</v>
      </c>
      <c r="T101" s="67">
        <f t="shared" si="16"/>
        <v>203.29692132091387</v>
      </c>
      <c r="U101" s="67">
        <f t="shared" si="16"/>
        <v>204.65223412971997</v>
      </c>
      <c r="V101" s="67">
        <f t="shared" si="16"/>
        <v>206.01658235725145</v>
      </c>
      <c r="W101" s="67">
        <f t="shared" si="16"/>
        <v>207.39002623963313</v>
      </c>
      <c r="X101" s="67">
        <f t="shared" si="16"/>
        <v>208.772626414564</v>
      </c>
      <c r="Y101" s="67">
        <f t="shared" si="16"/>
        <v>210.16444392399441</v>
      </c>
      <c r="Z101" s="67">
        <f t="shared" si="16"/>
        <v>211.56554021682101</v>
      </c>
      <c r="AA101" s="67">
        <f t="shared" si="16"/>
        <v>212.97597715159989</v>
      </c>
      <c r="AB101" s="67">
        <f t="shared" si="16"/>
        <v>214.39581699927723</v>
      </c>
      <c r="AC101" s="67">
        <f t="shared" si="16"/>
        <v>215.82512244593903</v>
      </c>
      <c r="AD101" s="67">
        <f t="shared" si="16"/>
        <v>217.26395659557863</v>
      </c>
      <c r="AE101" s="67">
        <f t="shared" si="16"/>
        <v>218.71238297288249</v>
      </c>
      <c r="AF101" s="67">
        <f t="shared" si="16"/>
        <v>220.17046552603503</v>
      </c>
      <c r="AG101" s="67">
        <f t="shared" si="16"/>
        <v>221.63826862954201</v>
      </c>
      <c r="AH101" s="67">
        <f t="shared" si="16"/>
        <v>223.11585708707224</v>
      </c>
      <c r="AI101" s="67">
        <f t="shared" si="16"/>
        <v>224.60329613431941</v>
      </c>
      <c r="AJ101" s="67">
        <f t="shared" si="16"/>
        <v>226.1006514418815</v>
      </c>
      <c r="AK101" s="67">
        <f t="shared" si="16"/>
        <v>227.60798911816073</v>
      </c>
      <c r="AL101" s="67">
        <f t="shared" si="16"/>
        <v>229.12537571228179</v>
      </c>
      <c r="AM101" s="67">
        <f t="shared" si="16"/>
        <v>230.65287821703035</v>
      </c>
      <c r="AN101" s="67">
        <f t="shared" si="16"/>
        <v>232.19056407181057</v>
      </c>
    </row>
    <row r="102" spans="1:40" s="16" customFormat="1">
      <c r="A102" s="1"/>
      <c r="B102" s="1"/>
      <c r="C102" s="32" t="s">
        <v>293</v>
      </c>
      <c r="D102" s="67"/>
      <c r="E102" s="67">
        <f>(E73+E36)</f>
        <v>1166.6666666666667</v>
      </c>
      <c r="F102" s="67">
        <f t="shared" si="16"/>
        <v>1165.4399218850929</v>
      </c>
      <c r="G102" s="67">
        <f t="shared" si="16"/>
        <v>1164.204998804975</v>
      </c>
      <c r="H102" s="67">
        <f t="shared" si="16"/>
        <v>1162.9618429043232</v>
      </c>
      <c r="I102" s="67">
        <f t="shared" si="16"/>
        <v>1161.710399297667</v>
      </c>
      <c r="J102" s="67">
        <f t="shared" si="16"/>
        <v>1160.4506127336331</v>
      </c>
      <c r="K102" s="67">
        <f t="shared" si="16"/>
        <v>1159.1824275925055</v>
      </c>
      <c r="L102" s="67">
        <f t="shared" si="16"/>
        <v>1157.9057878837707</v>
      </c>
      <c r="M102" s="67">
        <f t="shared" si="16"/>
        <v>1156.6206372436438</v>
      </c>
      <c r="N102" s="67">
        <f t="shared" si="16"/>
        <v>1155.3269189325833</v>
      </c>
      <c r="O102" s="67">
        <f t="shared" si="16"/>
        <v>1154.0245758327821</v>
      </c>
      <c r="P102" s="67">
        <f t="shared" si="16"/>
        <v>1152.7135504456489</v>
      </c>
      <c r="Q102" s="67">
        <f t="shared" si="16"/>
        <v>1151.3937848892683</v>
      </c>
      <c r="R102" s="67">
        <f t="shared" si="16"/>
        <v>1150.065220895845</v>
      </c>
      <c r="S102" s="67">
        <f t="shared" si="16"/>
        <v>1148.7277998091322</v>
      </c>
      <c r="T102" s="67">
        <f t="shared" si="16"/>
        <v>1147.3814625818416</v>
      </c>
      <c r="U102" s="67">
        <f t="shared" si="16"/>
        <v>1146.0261497730355</v>
      </c>
      <c r="V102" s="67">
        <f t="shared" si="16"/>
        <v>1144.6618015455037</v>
      </c>
      <c r="W102" s="67">
        <f t="shared" si="16"/>
        <v>1143.2883576631223</v>
      </c>
      <c r="X102" s="67">
        <f t="shared" si="16"/>
        <v>1141.9057574881913</v>
      </c>
      <c r="Y102" s="67">
        <f t="shared" si="16"/>
        <v>1140.5139399787611</v>
      </c>
      <c r="Z102" s="67">
        <f t="shared" si="16"/>
        <v>1139.1128436859342</v>
      </c>
      <c r="AA102" s="67">
        <f t="shared" si="16"/>
        <v>1137.7024067511554</v>
      </c>
      <c r="AB102" s="67">
        <f t="shared" si="16"/>
        <v>1136.282566903478</v>
      </c>
      <c r="AC102" s="67">
        <f t="shared" si="16"/>
        <v>1134.8532614568164</v>
      </c>
      <c r="AD102" s="67">
        <f t="shared" si="16"/>
        <v>1133.4144273071765</v>
      </c>
      <c r="AE102" s="67">
        <f t="shared" si="16"/>
        <v>1131.966000929873</v>
      </c>
      <c r="AF102" s="67">
        <f t="shared" si="16"/>
        <v>1130.5079183767202</v>
      </c>
      <c r="AG102" s="67">
        <f t="shared" si="16"/>
        <v>1129.0401152732134</v>
      </c>
      <c r="AH102" s="67">
        <f t="shared" si="16"/>
        <v>1127.562526815683</v>
      </c>
      <c r="AI102" s="67">
        <f t="shared" si="16"/>
        <v>1126.0750877684359</v>
      </c>
      <c r="AJ102" s="67">
        <f t="shared" si="16"/>
        <v>1124.5777324608737</v>
      </c>
      <c r="AK102" s="67">
        <f t="shared" si="16"/>
        <v>1123.0703947845946</v>
      </c>
      <c r="AL102" s="67">
        <f t="shared" si="16"/>
        <v>1121.5530081904737</v>
      </c>
      <c r="AM102" s="67">
        <f t="shared" si="16"/>
        <v>1120.025505685725</v>
      </c>
      <c r="AN102" s="67">
        <f t="shared" si="16"/>
        <v>1118.4878198309448</v>
      </c>
    </row>
    <row r="103" spans="1:40" s="16" customFormat="1">
      <c r="A103" s="1"/>
      <c r="B103" s="1"/>
      <c r="C103" s="32" t="s">
        <v>21</v>
      </c>
      <c r="D103" s="67">
        <f>D100-D101</f>
        <v>175000</v>
      </c>
      <c r="E103" s="67">
        <f>D103+E100-E101</f>
        <v>174815.98828276392</v>
      </c>
      <c r="F103" s="67">
        <f t="shared" ref="F103:AN103" si="17">E103+F100-F101</f>
        <v>174630.74982074625</v>
      </c>
      <c r="G103" s="67">
        <f t="shared" si="17"/>
        <v>174444.27643564847</v>
      </c>
      <c r="H103" s="67">
        <f t="shared" si="17"/>
        <v>174256.55989465004</v>
      </c>
      <c r="I103" s="67">
        <f t="shared" si="17"/>
        <v>174067.59191004495</v>
      </c>
      <c r="J103" s="67">
        <f t="shared" si="17"/>
        <v>173877.36413887583</v>
      </c>
      <c r="K103" s="67">
        <f t="shared" si="17"/>
        <v>173685.86818256558</v>
      </c>
      <c r="L103" s="67">
        <f t="shared" si="17"/>
        <v>173493.09558654661</v>
      </c>
      <c r="M103" s="67">
        <f t="shared" si="17"/>
        <v>173299.03783988749</v>
      </c>
      <c r="N103" s="67">
        <f t="shared" si="17"/>
        <v>173103.68637491731</v>
      </c>
      <c r="O103" s="67">
        <f t="shared" si="17"/>
        <v>172907.03256684734</v>
      </c>
      <c r="P103" s="67">
        <f t="shared" si="17"/>
        <v>172709.06773339023</v>
      </c>
      <c r="Q103" s="67">
        <f t="shared" si="17"/>
        <v>172509.78313437675</v>
      </c>
      <c r="R103" s="67">
        <f t="shared" si="17"/>
        <v>172309.16997136985</v>
      </c>
      <c r="S103" s="67">
        <f t="shared" si="17"/>
        <v>172107.21938727621</v>
      </c>
      <c r="T103" s="67">
        <f t="shared" si="17"/>
        <v>171903.92246595531</v>
      </c>
      <c r="U103" s="67">
        <f t="shared" si="17"/>
        <v>171699.27023182559</v>
      </c>
      <c r="V103" s="67">
        <f t="shared" si="17"/>
        <v>171493.25364946833</v>
      </c>
      <c r="W103" s="67">
        <f t="shared" si="17"/>
        <v>171285.86362322871</v>
      </c>
      <c r="X103" s="67">
        <f t="shared" si="17"/>
        <v>171077.09099681413</v>
      </c>
      <c r="Y103" s="67">
        <f t="shared" si="17"/>
        <v>170866.92655289013</v>
      </c>
      <c r="Z103" s="67">
        <f t="shared" si="17"/>
        <v>170655.3610126733</v>
      </c>
      <c r="AA103" s="67">
        <f t="shared" si="17"/>
        <v>170442.3850355217</v>
      </c>
      <c r="AB103" s="67">
        <f t="shared" si="17"/>
        <v>170227.98921852242</v>
      </c>
      <c r="AC103" s="67">
        <f t="shared" si="17"/>
        <v>170012.16409607648</v>
      </c>
      <c r="AD103" s="67">
        <f t="shared" si="17"/>
        <v>169794.90013948089</v>
      </c>
      <c r="AE103" s="67">
        <f t="shared" si="17"/>
        <v>169576.18775650801</v>
      </c>
      <c r="AF103" s="67">
        <f t="shared" si="17"/>
        <v>169356.01729098198</v>
      </c>
      <c r="AG103" s="67">
        <f t="shared" si="17"/>
        <v>169134.37902235243</v>
      </c>
      <c r="AH103" s="67">
        <f t="shared" si="17"/>
        <v>168911.26316526535</v>
      </c>
      <c r="AI103" s="67">
        <f t="shared" si="17"/>
        <v>168686.65986913102</v>
      </c>
      <c r="AJ103" s="67">
        <f t="shared" si="17"/>
        <v>168460.55921768915</v>
      </c>
      <c r="AK103" s="67">
        <f t="shared" si="17"/>
        <v>168232.95122857098</v>
      </c>
      <c r="AL103" s="67">
        <f t="shared" si="17"/>
        <v>168003.82585285869</v>
      </c>
      <c r="AM103" s="67">
        <f t="shared" si="17"/>
        <v>167773.17297464167</v>
      </c>
      <c r="AN103" s="67">
        <f t="shared" si="17"/>
        <v>167540.98241056985</v>
      </c>
    </row>
    <row r="104" spans="1:40" s="16" customFormat="1">
      <c r="A104" s="1"/>
      <c r="B104" s="1"/>
      <c r="C104" s="32"/>
      <c r="D104" s="67"/>
      <c r="E104" s="67"/>
      <c r="F104" s="67"/>
      <c r="G104" s="67"/>
      <c r="H104" s="67"/>
      <c r="I104" s="67"/>
      <c r="J104" s="67"/>
      <c r="K104" s="67"/>
      <c r="L104" s="67"/>
      <c r="M104" s="67"/>
      <c r="N104" s="67"/>
      <c r="O104" s="67"/>
      <c r="P104" s="67"/>
      <c r="Q104" s="67"/>
      <c r="R104" s="67"/>
      <c r="S104" s="67"/>
      <c r="T104" s="67"/>
      <c r="U104" s="67"/>
      <c r="V104" s="67"/>
      <c r="W104" s="67"/>
      <c r="X104" s="67"/>
      <c r="Y104" s="67"/>
      <c r="Z104" s="67"/>
      <c r="AA104" s="67"/>
      <c r="AB104" s="67"/>
      <c r="AC104" s="67"/>
      <c r="AD104" s="67"/>
      <c r="AE104" s="67"/>
      <c r="AF104" s="67"/>
      <c r="AG104" s="67"/>
      <c r="AH104" s="67"/>
      <c r="AI104" s="67"/>
      <c r="AJ104" s="67"/>
      <c r="AK104" s="67"/>
      <c r="AL104" s="67"/>
      <c r="AM104" s="67"/>
      <c r="AN104" s="67"/>
    </row>
    <row r="105" spans="1:40" s="179" customFormat="1" ht="24.75">
      <c r="A105" s="138"/>
      <c r="B105" s="138"/>
      <c r="C105" s="177" t="s">
        <v>291</v>
      </c>
      <c r="D105" s="67">
        <f>D26</f>
        <v>0</v>
      </c>
      <c r="E105" s="178"/>
      <c r="F105" s="178"/>
      <c r="G105" s="178"/>
      <c r="H105" s="178"/>
      <c r="I105" s="178"/>
      <c r="J105" s="178"/>
      <c r="K105" s="178"/>
      <c r="L105" s="178"/>
      <c r="M105" s="178"/>
      <c r="N105" s="178"/>
      <c r="O105" s="178"/>
      <c r="P105" s="178"/>
      <c r="Q105" s="178"/>
      <c r="R105" s="178"/>
      <c r="S105" s="178"/>
      <c r="T105" s="178"/>
      <c r="U105" s="178"/>
      <c r="V105" s="178"/>
      <c r="W105" s="178"/>
      <c r="X105" s="178"/>
      <c r="Y105" s="178"/>
      <c r="Z105" s="178"/>
      <c r="AA105" s="178"/>
      <c r="AB105" s="178"/>
      <c r="AC105" s="178"/>
      <c r="AD105" s="178"/>
      <c r="AE105" s="178"/>
      <c r="AF105" s="178"/>
      <c r="AG105" s="178"/>
      <c r="AH105" s="178"/>
      <c r="AI105" s="178"/>
      <c r="AJ105" s="178"/>
      <c r="AK105" s="178"/>
      <c r="AL105" s="178"/>
      <c r="AM105" s="178"/>
      <c r="AN105" s="178"/>
    </row>
    <row r="106" spans="1:40" s="16" customFormat="1">
      <c r="A106" s="1"/>
      <c r="B106" s="1"/>
      <c r="C106" s="32"/>
      <c r="D106" s="67"/>
      <c r="E106" s="67"/>
      <c r="F106" s="67"/>
      <c r="G106" s="67"/>
      <c r="H106" s="67"/>
      <c r="I106" s="67"/>
      <c r="J106" s="67"/>
      <c r="K106" s="67"/>
      <c r="L106" s="67"/>
      <c r="M106" s="67"/>
      <c r="N106" s="67"/>
      <c r="O106" s="67"/>
      <c r="P106" s="67"/>
      <c r="Q106" s="67"/>
      <c r="R106" s="67"/>
      <c r="S106" s="67"/>
      <c r="T106" s="67"/>
      <c r="U106" s="67"/>
      <c r="V106" s="67"/>
      <c r="W106" s="67"/>
      <c r="X106" s="67"/>
      <c r="Y106" s="67"/>
      <c r="Z106" s="67"/>
      <c r="AA106" s="67"/>
      <c r="AB106" s="67"/>
      <c r="AC106" s="67"/>
      <c r="AD106" s="67"/>
      <c r="AE106" s="67"/>
      <c r="AF106" s="67"/>
      <c r="AG106" s="67"/>
      <c r="AH106" s="67"/>
      <c r="AI106" s="67"/>
      <c r="AJ106" s="67"/>
      <c r="AK106" s="67"/>
      <c r="AL106" s="67"/>
      <c r="AM106" s="67"/>
      <c r="AN106" s="67"/>
    </row>
    <row r="107" spans="1:40" s="16" customFormat="1">
      <c r="A107" s="1"/>
      <c r="B107" s="1"/>
      <c r="C107" s="35" t="s">
        <v>22</v>
      </c>
      <c r="D107" s="67">
        <f>D105+D100+D96</f>
        <v>-125000</v>
      </c>
      <c r="E107" s="67">
        <f>E97+E100+E101</f>
        <v>-12633.878383902764</v>
      </c>
      <c r="F107" s="67">
        <f t="shared" ref="F107:AN107" si="18">F97+F100+F101</f>
        <v>-1833.8783839027503</v>
      </c>
      <c r="G107" s="67">
        <f t="shared" si="18"/>
        <v>-1833.8783839027517</v>
      </c>
      <c r="H107" s="67">
        <f t="shared" si="18"/>
        <v>-12633.878383902758</v>
      </c>
      <c r="I107" s="67">
        <f t="shared" si="18"/>
        <v>-12633.878383902758</v>
      </c>
      <c r="J107" s="67">
        <f t="shared" si="18"/>
        <v>-1833.878383902751</v>
      </c>
      <c r="K107" s="67">
        <f t="shared" si="18"/>
        <v>-12633.878383902764</v>
      </c>
      <c r="L107" s="67">
        <f t="shared" si="18"/>
        <v>-1833.8783839027535</v>
      </c>
      <c r="M107" s="67">
        <f t="shared" si="18"/>
        <v>-12633.878383902762</v>
      </c>
      <c r="N107" s="67">
        <f t="shared" si="18"/>
        <v>-12633.878383902764</v>
      </c>
      <c r="O107" s="67">
        <f t="shared" si="18"/>
        <v>-15806.878383902762</v>
      </c>
      <c r="P107" s="67">
        <f t="shared" si="18"/>
        <v>-15806.878383902756</v>
      </c>
      <c r="Q107" s="67">
        <f t="shared" si="18"/>
        <v>-15806.878383902762</v>
      </c>
      <c r="R107" s="67">
        <f t="shared" si="18"/>
        <v>545.28161609723975</v>
      </c>
      <c r="S107" s="67">
        <f t="shared" si="18"/>
        <v>545.28161609724111</v>
      </c>
      <c r="T107" s="67">
        <f t="shared" si="18"/>
        <v>-15806.87838390276</v>
      </c>
      <c r="U107" s="67">
        <f t="shared" si="18"/>
        <v>-15806.878383902756</v>
      </c>
      <c r="V107" s="67">
        <f t="shared" si="18"/>
        <v>545.28161609724145</v>
      </c>
      <c r="W107" s="67">
        <f t="shared" si="18"/>
        <v>-15806.878383902762</v>
      </c>
      <c r="X107" s="67">
        <f t="shared" si="18"/>
        <v>545.28161609724702</v>
      </c>
      <c r="Y107" s="67">
        <f t="shared" si="18"/>
        <v>-15806.878383902764</v>
      </c>
      <c r="Z107" s="67">
        <f t="shared" si="18"/>
        <v>-15806.878383902758</v>
      </c>
      <c r="AA107" s="67">
        <f t="shared" si="18"/>
        <v>-11981.722383902754</v>
      </c>
      <c r="AB107" s="67">
        <f t="shared" si="18"/>
        <v>-11981.722383902757</v>
      </c>
      <c r="AC107" s="67">
        <f t="shared" si="18"/>
        <v>-11981.722383902757</v>
      </c>
      <c r="AD107" s="67">
        <f t="shared" si="18"/>
        <v>15497.509616097263</v>
      </c>
      <c r="AE107" s="67">
        <f t="shared" si="18"/>
        <v>15497.509616097263</v>
      </c>
      <c r="AF107" s="67">
        <f t="shared" si="18"/>
        <v>-11981.722383902756</v>
      </c>
      <c r="AG107" s="67">
        <f t="shared" si="18"/>
        <v>-11981.722383902756</v>
      </c>
      <c r="AH107" s="67">
        <f t="shared" si="18"/>
        <v>15497.509616097257</v>
      </c>
      <c r="AI107" s="67">
        <f t="shared" si="18"/>
        <v>-11981.722383902761</v>
      </c>
      <c r="AJ107" s="67">
        <f t="shared" si="18"/>
        <v>15497.509616097259</v>
      </c>
      <c r="AK107" s="67">
        <f t="shared" si="18"/>
        <v>-11981.722383902754</v>
      </c>
      <c r="AL107" s="67">
        <f t="shared" si="18"/>
        <v>-11981.722383902759</v>
      </c>
      <c r="AM107" s="67">
        <f t="shared" si="18"/>
        <v>-12417.087783902751</v>
      </c>
      <c r="AN107" s="67">
        <f t="shared" si="18"/>
        <v>-12417.087783902753</v>
      </c>
    </row>
    <row r="108" spans="1:40" s="16" customFormat="1">
      <c r="A108" s="26"/>
      <c r="B108" s="1"/>
      <c r="C108" s="35" t="s">
        <v>57</v>
      </c>
      <c r="D108" s="67">
        <f>D107</f>
        <v>-125000</v>
      </c>
      <c r="E108" s="67">
        <f>D108+E107</f>
        <v>-137633.87838390277</v>
      </c>
      <c r="F108" s="67">
        <f t="shared" ref="F108:AN108" si="19">E108+F107</f>
        <v>-139467.75676780552</v>
      </c>
      <c r="G108" s="67">
        <f t="shared" si="19"/>
        <v>-141301.63515170827</v>
      </c>
      <c r="H108" s="67">
        <f t="shared" si="19"/>
        <v>-153935.51353561101</v>
      </c>
      <c r="I108" s="67">
        <f t="shared" si="19"/>
        <v>-166569.39191951376</v>
      </c>
      <c r="J108" s="67">
        <f t="shared" si="19"/>
        <v>-168403.2703034165</v>
      </c>
      <c r="K108" s="67">
        <f t="shared" si="19"/>
        <v>-181037.14868731928</v>
      </c>
      <c r="L108" s="67">
        <f t="shared" si="19"/>
        <v>-182871.02707122202</v>
      </c>
      <c r="M108" s="67">
        <f t="shared" si="19"/>
        <v>-195504.9054551248</v>
      </c>
      <c r="N108" s="67">
        <f t="shared" si="19"/>
        <v>-208138.78383902757</v>
      </c>
      <c r="O108" s="67">
        <f t="shared" si="19"/>
        <v>-223945.66222293035</v>
      </c>
      <c r="P108" s="67">
        <f t="shared" si="19"/>
        <v>-239752.54060683309</v>
      </c>
      <c r="Q108" s="67">
        <f t="shared" si="19"/>
        <v>-255559.41899073587</v>
      </c>
      <c r="R108" s="67">
        <f t="shared" si="19"/>
        <v>-255014.13737463864</v>
      </c>
      <c r="S108" s="67">
        <f t="shared" si="19"/>
        <v>-254468.85575854141</v>
      </c>
      <c r="T108" s="67">
        <f t="shared" si="19"/>
        <v>-270275.73414244415</v>
      </c>
      <c r="U108" s="67">
        <f t="shared" si="19"/>
        <v>-286082.61252634693</v>
      </c>
      <c r="V108" s="67">
        <f t="shared" si="19"/>
        <v>-285537.33091024967</v>
      </c>
      <c r="W108" s="67">
        <f t="shared" si="19"/>
        <v>-301344.20929415245</v>
      </c>
      <c r="X108" s="67">
        <f t="shared" si="19"/>
        <v>-300798.92767805519</v>
      </c>
      <c r="Y108" s="67">
        <f t="shared" si="19"/>
        <v>-316605.80606195796</v>
      </c>
      <c r="Z108" s="67">
        <f t="shared" si="19"/>
        <v>-332412.68444586074</v>
      </c>
      <c r="AA108" s="67">
        <f t="shared" si="19"/>
        <v>-344394.40682976349</v>
      </c>
      <c r="AB108" s="67">
        <f t="shared" si="19"/>
        <v>-356376.12921366625</v>
      </c>
      <c r="AC108" s="67">
        <f t="shared" si="19"/>
        <v>-368357.85159756901</v>
      </c>
      <c r="AD108" s="67">
        <f t="shared" si="19"/>
        <v>-352860.34198147175</v>
      </c>
      <c r="AE108" s="67">
        <f t="shared" si="19"/>
        <v>-337362.83236537449</v>
      </c>
      <c r="AF108" s="67">
        <f t="shared" si="19"/>
        <v>-349344.55474927725</v>
      </c>
      <c r="AG108" s="67">
        <f t="shared" si="19"/>
        <v>-361326.27713318</v>
      </c>
      <c r="AH108" s="67">
        <f t="shared" si="19"/>
        <v>-345828.76751708274</v>
      </c>
      <c r="AI108" s="67">
        <f t="shared" si="19"/>
        <v>-357810.4899009855</v>
      </c>
      <c r="AJ108" s="67">
        <f t="shared" si="19"/>
        <v>-342312.98028488824</v>
      </c>
      <c r="AK108" s="67">
        <f t="shared" si="19"/>
        <v>-354294.702668791</v>
      </c>
      <c r="AL108" s="67">
        <f t="shared" si="19"/>
        <v>-366276.42505269375</v>
      </c>
      <c r="AM108" s="67">
        <f t="shared" si="19"/>
        <v>-378693.51283659652</v>
      </c>
      <c r="AN108" s="67">
        <f t="shared" si="19"/>
        <v>-391110.60062049929</v>
      </c>
    </row>
    <row r="109" spans="1:40" s="16" customFormat="1">
      <c r="A109" s="1"/>
      <c r="B109" s="1"/>
      <c r="C109" s="32"/>
      <c r="D109" s="67"/>
      <c r="E109" s="67"/>
      <c r="F109" s="67"/>
      <c r="G109" s="67"/>
      <c r="H109" s="67"/>
      <c r="I109" s="67"/>
      <c r="J109" s="67"/>
      <c r="K109" s="67"/>
      <c r="L109" s="67"/>
      <c r="M109" s="67"/>
      <c r="N109" s="67"/>
      <c r="O109" s="67"/>
      <c r="P109" s="67"/>
      <c r="Q109" s="67"/>
      <c r="R109" s="67"/>
      <c r="S109" s="67"/>
      <c r="T109" s="67"/>
      <c r="U109" s="67"/>
      <c r="V109" s="67"/>
      <c r="W109" s="67"/>
      <c r="X109" s="67"/>
      <c r="Y109" s="67"/>
      <c r="Z109" s="67"/>
      <c r="AA109" s="67"/>
      <c r="AB109" s="67"/>
      <c r="AC109" s="67"/>
      <c r="AD109" s="67"/>
      <c r="AE109" s="67"/>
      <c r="AF109" s="67"/>
      <c r="AG109" s="67"/>
      <c r="AH109" s="67"/>
      <c r="AI109" s="67"/>
      <c r="AJ109" s="67"/>
      <c r="AK109" s="67"/>
      <c r="AL109" s="67"/>
      <c r="AM109" s="67"/>
      <c r="AN109" s="67"/>
    </row>
    <row r="110" spans="1:40" s="16" customFormat="1">
      <c r="A110" s="1"/>
      <c r="B110" s="1"/>
      <c r="C110" s="32"/>
    </row>
    <row r="111" spans="1:40" s="16" customFormat="1">
      <c r="A111" s="1"/>
      <c r="B111" s="1"/>
      <c r="C111" s="32"/>
    </row>
    <row r="112" spans="1:40" s="16" customFormat="1">
      <c r="A112" s="1"/>
      <c r="B112" s="1"/>
      <c r="C112" s="32"/>
    </row>
    <row r="113" spans="1:4" s="16" customFormat="1">
      <c r="A113" s="1"/>
      <c r="B113" s="1"/>
      <c r="C113" s="32"/>
    </row>
    <row r="114" spans="1:4" s="16" customFormat="1">
      <c r="A114" s="1"/>
      <c r="B114" s="1"/>
      <c r="C114" s="32"/>
    </row>
    <row r="115" spans="1:4" s="16" customFormat="1">
      <c r="A115" s="1"/>
      <c r="B115" s="1"/>
      <c r="C115" s="32"/>
      <c r="D115" s="15"/>
    </row>
    <row r="116" spans="1:4" s="16" customFormat="1">
      <c r="A116" s="1"/>
      <c r="B116" s="1"/>
      <c r="C116" s="32"/>
      <c r="D116" s="15"/>
    </row>
    <row r="117" spans="1:4" s="16" customFormat="1">
      <c r="A117" s="1"/>
      <c r="B117" s="1"/>
      <c r="C117" s="32"/>
      <c r="D117" s="15"/>
    </row>
    <row r="118" spans="1:4" s="16" customFormat="1">
      <c r="A118" s="1"/>
      <c r="B118" s="1"/>
      <c r="C118" s="32"/>
      <c r="D118" s="15"/>
    </row>
    <row r="119" spans="1:4" s="16" customFormat="1">
      <c r="A119" s="1"/>
      <c r="B119" s="1"/>
      <c r="C119" s="32"/>
      <c r="D119" s="15"/>
    </row>
    <row r="120" spans="1:4" s="16" customFormat="1">
      <c r="A120" s="1"/>
      <c r="B120" s="1"/>
      <c r="C120" s="32"/>
      <c r="D120" s="15"/>
    </row>
    <row r="121" spans="1:4" s="16" customFormat="1">
      <c r="A121" s="1"/>
      <c r="B121" s="1"/>
      <c r="C121" s="32"/>
      <c r="D121" s="15"/>
    </row>
    <row r="122" spans="1:4" s="16" customFormat="1">
      <c r="A122" s="1"/>
      <c r="B122" s="1"/>
      <c r="C122" s="32"/>
      <c r="D122" s="15"/>
    </row>
    <row r="123" spans="1:4" s="16" customFormat="1">
      <c r="A123" s="1"/>
      <c r="B123" s="1"/>
      <c r="C123" s="32"/>
      <c r="D123" s="15"/>
    </row>
    <row r="124" spans="1:4" s="16" customFormat="1">
      <c r="A124" s="1"/>
      <c r="B124" s="1"/>
      <c r="C124" s="32"/>
      <c r="D124" s="15"/>
    </row>
    <row r="125" spans="1:4" s="16" customFormat="1">
      <c r="A125" s="1"/>
      <c r="B125" s="1"/>
      <c r="C125" s="32"/>
      <c r="D125" s="15"/>
    </row>
    <row r="126" spans="1:4" s="16" customFormat="1">
      <c r="A126" s="1"/>
      <c r="B126" s="1"/>
      <c r="C126" s="32"/>
      <c r="D126" s="15"/>
    </row>
    <row r="127" spans="1:4" s="16" customFormat="1">
      <c r="A127" s="1"/>
      <c r="B127" s="1"/>
      <c r="C127" s="32"/>
      <c r="D127" s="15"/>
    </row>
    <row r="128" spans="1:4" s="16" customFormat="1">
      <c r="A128" s="1"/>
      <c r="B128" s="1"/>
      <c r="C128" s="32"/>
      <c r="D128" s="15"/>
    </row>
    <row r="129" spans="1:4" s="16" customFormat="1">
      <c r="A129" s="1"/>
      <c r="B129" s="1"/>
      <c r="C129" s="32"/>
      <c r="D129" s="15"/>
    </row>
    <row r="130" spans="1:4" s="16" customFormat="1">
      <c r="A130" s="1"/>
      <c r="B130" s="1"/>
      <c r="C130" s="32"/>
      <c r="D130" s="15"/>
    </row>
    <row r="131" spans="1:4" s="16" customFormat="1">
      <c r="A131" s="1"/>
      <c r="B131" s="1"/>
      <c r="C131" s="32"/>
      <c r="D131" s="15"/>
    </row>
  </sheetData>
  <sheetProtection algorithmName="SHA-512" hashValue="BBqnwnAOB0ZH8tN25RPBgW5SAWDLjmqx/Ir5A/1T8ZPiAa/LeyxXoMCC3MlS/TRqj2blJa707sonkH/biZrdbg==" saltValue="e5FcwAVg/YbGl4V+qXXwnw==" spinCount="100000" sheet="1" objects="1" scenarios="1"/>
  <mergeCells count="2">
    <mergeCell ref="A3:C3"/>
    <mergeCell ref="B26:C26"/>
  </mergeCells>
  <conditionalFormatting sqref="D10:Y10 D11:D12">
    <cfRule type="notContainsBlanks" dxfId="7" priority="3">
      <formula>LEN(TRIM(D10))&gt;0</formula>
    </cfRule>
  </conditionalFormatting>
  <conditionalFormatting sqref="D7:AN7">
    <cfRule type="expression" dxfId="6" priority="1" stopIfTrue="1">
      <formula>ISEVEN(YEAR(D7))</formula>
    </cfRule>
    <cfRule type="expression" dxfId="5" priority="2">
      <formula>ISODD(YEAR(D7))</formula>
    </cfRule>
  </conditionalFormatting>
  <conditionalFormatting sqref="AU13:AU108">
    <cfRule type="duplicateValues" dxfId="4" priority="4"/>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20D43-9591-4A67-B950-B3F5C71DC37D}">
  <sheetPr>
    <tabColor rgb="FFB07A2A"/>
  </sheetPr>
  <dimension ref="A1:AN131"/>
  <sheetViews>
    <sheetView showGridLines="0" zoomScaleNormal="100" workbookViewId="0">
      <pane xSplit="3" ySplit="9" topLeftCell="D10" activePane="bottomRight" state="frozen"/>
      <selection pane="topRight" activeCell="D1" sqref="D1"/>
      <selection pane="bottomLeft" activeCell="A10" sqref="A10"/>
      <selection pane="bottomRight" activeCell="D13" sqref="D13"/>
    </sheetView>
  </sheetViews>
  <sheetFormatPr defaultColWidth="13.33203125" defaultRowHeight="12.4"/>
  <cols>
    <col min="1" max="2" width="8.06640625" style="1" customWidth="1"/>
    <col min="3" max="3" width="48.53125" style="32" customWidth="1"/>
    <col min="4" max="4" width="19.1328125" style="14" customWidth="1"/>
    <col min="5" max="40" width="18.3984375" style="1" customWidth="1"/>
    <col min="41" max="16384" width="13.33203125" style="1"/>
  </cols>
  <sheetData>
    <row r="1" spans="1:40" s="45" customFormat="1" ht="6.85" customHeight="1">
      <c r="A1" s="235"/>
      <c r="B1" s="235"/>
      <c r="C1" s="236"/>
      <c r="D1" s="237"/>
      <c r="E1" s="235"/>
      <c r="F1" s="235"/>
      <c r="G1" s="235"/>
      <c r="H1" s="235"/>
      <c r="I1" s="235"/>
      <c r="J1" s="235"/>
      <c r="K1" s="235"/>
      <c r="L1" s="235"/>
      <c r="M1" s="235"/>
      <c r="N1" s="235"/>
      <c r="O1" s="235"/>
      <c r="P1" s="235"/>
      <c r="Q1" s="235"/>
      <c r="R1" s="192" t="s">
        <v>32</v>
      </c>
      <c r="S1" s="235"/>
      <c r="T1" s="235"/>
      <c r="U1" s="235"/>
      <c r="V1" s="235"/>
      <c r="W1" s="235"/>
      <c r="X1" s="235"/>
      <c r="Y1" s="235"/>
      <c r="Z1" s="235"/>
      <c r="AA1" s="235"/>
      <c r="AB1" s="235"/>
      <c r="AC1" s="235"/>
      <c r="AD1" s="235"/>
      <c r="AE1" s="235"/>
      <c r="AF1" s="235"/>
      <c r="AG1" s="235"/>
      <c r="AH1" s="235"/>
      <c r="AI1" s="235"/>
      <c r="AJ1" s="235"/>
      <c r="AK1" s="235"/>
      <c r="AL1" s="235"/>
      <c r="AM1" s="235"/>
      <c r="AN1" s="235"/>
    </row>
    <row r="2" spans="1:40" ht="15.75">
      <c r="A2" s="238" t="s">
        <v>71</v>
      </c>
      <c r="B2" s="239"/>
      <c r="C2" s="240"/>
      <c r="D2" s="241"/>
      <c r="E2" s="242"/>
      <c r="F2" s="242"/>
      <c r="G2" s="242"/>
      <c r="H2" s="242"/>
      <c r="I2" s="242"/>
      <c r="J2" s="242"/>
      <c r="K2" s="242"/>
      <c r="L2" s="242"/>
      <c r="M2" s="242"/>
      <c r="N2" s="242"/>
      <c r="O2" s="242"/>
      <c r="P2" s="242"/>
      <c r="Q2" s="242"/>
      <c r="R2" s="242"/>
      <c r="S2" s="242"/>
      <c r="T2" s="242"/>
      <c r="U2" s="242"/>
      <c r="V2" s="242"/>
      <c r="W2" s="242"/>
      <c r="X2" s="242"/>
      <c r="Y2" s="242"/>
      <c r="Z2" s="242"/>
      <c r="AA2" s="242"/>
      <c r="AB2" s="242"/>
      <c r="AC2" s="242"/>
      <c r="AD2" s="242"/>
      <c r="AE2" s="242"/>
      <c r="AF2" s="242"/>
      <c r="AG2" s="242"/>
      <c r="AH2" s="242"/>
      <c r="AI2" s="242"/>
      <c r="AJ2" s="242"/>
      <c r="AK2" s="242"/>
      <c r="AL2" s="242"/>
      <c r="AM2" s="242"/>
      <c r="AN2" s="242"/>
    </row>
    <row r="3" spans="1:40" ht="23.25" customHeight="1" thickBot="1">
      <c r="A3" s="276" t="s">
        <v>297</v>
      </c>
      <c r="B3" s="276"/>
      <c r="C3" s="277"/>
      <c r="D3" s="241"/>
      <c r="E3" s="242"/>
      <c r="F3" s="242"/>
      <c r="G3" s="242"/>
      <c r="H3" s="242"/>
      <c r="I3" s="242"/>
      <c r="J3" s="242"/>
      <c r="K3" s="242"/>
      <c r="L3" s="242"/>
      <c r="M3" s="242"/>
      <c r="N3" s="242"/>
      <c r="O3" s="242"/>
      <c r="P3" s="242"/>
      <c r="Q3" s="242"/>
      <c r="R3" s="242"/>
      <c r="S3" s="242"/>
      <c r="T3" s="242"/>
      <c r="U3" s="242"/>
      <c r="V3" s="242"/>
      <c r="W3" s="242"/>
      <c r="X3" s="242"/>
      <c r="Y3" s="242"/>
      <c r="Z3" s="242"/>
      <c r="AA3" s="242"/>
      <c r="AB3" s="242"/>
      <c r="AC3" s="242"/>
      <c r="AD3" s="242"/>
      <c r="AE3" s="242"/>
      <c r="AF3" s="242"/>
      <c r="AG3" s="242"/>
      <c r="AH3" s="242"/>
      <c r="AI3" s="242"/>
      <c r="AJ3" s="242"/>
      <c r="AK3" s="242"/>
      <c r="AL3" s="242"/>
      <c r="AM3" s="242"/>
      <c r="AN3" s="242"/>
    </row>
    <row r="4" spans="1:40" s="16" customFormat="1" hidden="1">
      <c r="A4" s="1"/>
      <c r="B4" s="1"/>
      <c r="C4" s="43" t="s">
        <v>58</v>
      </c>
      <c r="D4" s="29"/>
      <c r="E4" s="59"/>
      <c r="F4" s="59"/>
      <c r="G4" s="59"/>
      <c r="H4" s="59"/>
      <c r="I4" s="59"/>
      <c r="J4" s="59" t="str">
        <f>IF(I4&lt;&gt;"",0,IF(AVERAGE(E97:J97)&gt;=0,"Operating Breakeven Achieved On:",""))</f>
        <v/>
      </c>
      <c r="K4" s="59" t="str">
        <f t="shared" ref="K4:AN4" si="0">IF(J4&lt;&gt;"",0,IF(AVERAGE(F97:K97)&gt;=0,"Operating Breakeven Achieved On:",""))</f>
        <v/>
      </c>
      <c r="L4" s="59" t="str">
        <f t="shared" si="0"/>
        <v/>
      </c>
      <c r="M4" s="59" t="str">
        <f t="shared" si="0"/>
        <v/>
      </c>
      <c r="N4" s="59" t="str">
        <f t="shared" si="0"/>
        <v/>
      </c>
      <c r="O4" s="59" t="str">
        <f t="shared" si="0"/>
        <v/>
      </c>
      <c r="P4" s="59" t="str">
        <f t="shared" si="0"/>
        <v/>
      </c>
      <c r="Q4" s="59" t="str">
        <f t="shared" si="0"/>
        <v/>
      </c>
      <c r="R4" s="59" t="str">
        <f t="shared" si="0"/>
        <v/>
      </c>
      <c r="S4" s="59" t="str">
        <f t="shared" si="0"/>
        <v/>
      </c>
      <c r="T4" s="59" t="str">
        <f t="shared" si="0"/>
        <v/>
      </c>
      <c r="U4" s="59" t="str">
        <f t="shared" si="0"/>
        <v/>
      </c>
      <c r="V4" s="59" t="str">
        <f t="shared" si="0"/>
        <v/>
      </c>
      <c r="W4" s="59" t="str">
        <f t="shared" si="0"/>
        <v/>
      </c>
      <c r="X4" s="59" t="str">
        <f t="shared" si="0"/>
        <v/>
      </c>
      <c r="Y4" s="59" t="str">
        <f t="shared" si="0"/>
        <v/>
      </c>
      <c r="Z4" s="59" t="str">
        <f t="shared" si="0"/>
        <v/>
      </c>
      <c r="AA4" s="59" t="str">
        <f t="shared" si="0"/>
        <v/>
      </c>
      <c r="AB4" s="59" t="str">
        <f t="shared" si="0"/>
        <v/>
      </c>
      <c r="AC4" s="59" t="str">
        <f t="shared" si="0"/>
        <v/>
      </c>
      <c r="AD4" s="59" t="str">
        <f t="shared" si="0"/>
        <v/>
      </c>
      <c r="AE4" s="59" t="str">
        <f t="shared" si="0"/>
        <v/>
      </c>
      <c r="AF4" s="59" t="str">
        <f t="shared" si="0"/>
        <v/>
      </c>
      <c r="AG4" s="59" t="str">
        <f t="shared" si="0"/>
        <v/>
      </c>
      <c r="AH4" s="59" t="str">
        <f t="shared" si="0"/>
        <v/>
      </c>
      <c r="AI4" s="59" t="str">
        <f t="shared" si="0"/>
        <v/>
      </c>
      <c r="AJ4" s="59" t="str">
        <f t="shared" si="0"/>
        <v/>
      </c>
      <c r="AK4" s="59" t="str">
        <f t="shared" si="0"/>
        <v/>
      </c>
      <c r="AL4" s="59" t="str">
        <f t="shared" si="0"/>
        <v/>
      </c>
      <c r="AM4" s="59" t="str">
        <f t="shared" si="0"/>
        <v/>
      </c>
      <c r="AN4" s="59" t="str">
        <f t="shared" si="0"/>
        <v/>
      </c>
    </row>
    <row r="5" spans="1:40" s="16" customFormat="1" ht="12.75" hidden="1" thickBot="1">
      <c r="A5" s="1"/>
      <c r="B5" s="1"/>
      <c r="C5" s="43" t="s">
        <v>193</v>
      </c>
      <c r="D5" s="29"/>
      <c r="E5" s="59" t="str">
        <f>Inputs!F13</f>
        <v>New Business</v>
      </c>
      <c r="F5" s="60">
        <f>Inputs!$F$15</f>
        <v>46447</v>
      </c>
      <c r="G5" s="60"/>
      <c r="H5" s="59"/>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row>
    <row r="6" spans="1:40" ht="17.649999999999999" customHeight="1">
      <c r="A6" s="244"/>
      <c r="B6" s="244"/>
      <c r="C6" s="245" t="s">
        <v>2</v>
      </c>
      <c r="D6" s="247"/>
      <c r="E6" s="246">
        <f>EDATE(F5,0)</f>
        <v>46447</v>
      </c>
      <c r="F6" s="246">
        <f>EDATE(E6,1)</f>
        <v>46478</v>
      </c>
      <c r="G6" s="246">
        <f t="shared" ref="G6:AN6" si="1">EDATE(F6,1)</f>
        <v>46508</v>
      </c>
      <c r="H6" s="246">
        <f t="shared" si="1"/>
        <v>46539</v>
      </c>
      <c r="I6" s="246">
        <f t="shared" si="1"/>
        <v>46569</v>
      </c>
      <c r="J6" s="246">
        <f t="shared" si="1"/>
        <v>46600</v>
      </c>
      <c r="K6" s="246">
        <f t="shared" si="1"/>
        <v>46631</v>
      </c>
      <c r="L6" s="246">
        <f t="shared" si="1"/>
        <v>46661</v>
      </c>
      <c r="M6" s="246">
        <f t="shared" si="1"/>
        <v>46692</v>
      </c>
      <c r="N6" s="246">
        <f t="shared" si="1"/>
        <v>46722</v>
      </c>
      <c r="O6" s="246">
        <f t="shared" si="1"/>
        <v>46753</v>
      </c>
      <c r="P6" s="246">
        <f t="shared" si="1"/>
        <v>46784</v>
      </c>
      <c r="Q6" s="246">
        <f t="shared" si="1"/>
        <v>46813</v>
      </c>
      <c r="R6" s="246">
        <f t="shared" si="1"/>
        <v>46844</v>
      </c>
      <c r="S6" s="246">
        <f t="shared" si="1"/>
        <v>46874</v>
      </c>
      <c r="T6" s="246">
        <f t="shared" si="1"/>
        <v>46905</v>
      </c>
      <c r="U6" s="246">
        <f t="shared" si="1"/>
        <v>46935</v>
      </c>
      <c r="V6" s="246">
        <f t="shared" si="1"/>
        <v>46966</v>
      </c>
      <c r="W6" s="246">
        <f t="shared" si="1"/>
        <v>46997</v>
      </c>
      <c r="X6" s="246">
        <f t="shared" si="1"/>
        <v>47027</v>
      </c>
      <c r="Y6" s="246">
        <f t="shared" si="1"/>
        <v>47058</v>
      </c>
      <c r="Z6" s="246">
        <f t="shared" si="1"/>
        <v>47088</v>
      </c>
      <c r="AA6" s="246">
        <f t="shared" si="1"/>
        <v>47119</v>
      </c>
      <c r="AB6" s="246">
        <f t="shared" si="1"/>
        <v>47150</v>
      </c>
      <c r="AC6" s="246">
        <f t="shared" si="1"/>
        <v>47178</v>
      </c>
      <c r="AD6" s="246">
        <f t="shared" si="1"/>
        <v>47209</v>
      </c>
      <c r="AE6" s="246">
        <f t="shared" si="1"/>
        <v>47239</v>
      </c>
      <c r="AF6" s="246">
        <f t="shared" si="1"/>
        <v>47270</v>
      </c>
      <c r="AG6" s="246">
        <f t="shared" si="1"/>
        <v>47300</v>
      </c>
      <c r="AH6" s="246">
        <f t="shared" si="1"/>
        <v>47331</v>
      </c>
      <c r="AI6" s="246">
        <f t="shared" si="1"/>
        <v>47362</v>
      </c>
      <c r="AJ6" s="246">
        <f t="shared" si="1"/>
        <v>47392</v>
      </c>
      <c r="AK6" s="246">
        <f t="shared" si="1"/>
        <v>47423</v>
      </c>
      <c r="AL6" s="246">
        <f t="shared" si="1"/>
        <v>47453</v>
      </c>
      <c r="AM6" s="246">
        <f t="shared" si="1"/>
        <v>47484</v>
      </c>
      <c r="AN6" s="246">
        <f t="shared" si="1"/>
        <v>47515</v>
      </c>
    </row>
    <row r="7" spans="1:40" ht="14.65">
      <c r="A7" s="244"/>
      <c r="B7" s="244"/>
      <c r="C7" s="245" t="s">
        <v>20</v>
      </c>
      <c r="D7" s="80" t="str">
        <f>IF(E5="New Business","Pre-Launch","Cash On Hand")</f>
        <v>Pre-Launch</v>
      </c>
      <c r="E7" s="31">
        <f>E6</f>
        <v>46447</v>
      </c>
      <c r="F7" s="31">
        <f>F6</f>
        <v>46478</v>
      </c>
      <c r="G7" s="31">
        <f t="shared" ref="G7:AN7" si="2">G6</f>
        <v>46508</v>
      </c>
      <c r="H7" s="31">
        <f t="shared" si="2"/>
        <v>46539</v>
      </c>
      <c r="I7" s="31">
        <f t="shared" si="2"/>
        <v>46569</v>
      </c>
      <c r="J7" s="31">
        <f t="shared" si="2"/>
        <v>46600</v>
      </c>
      <c r="K7" s="31">
        <f t="shared" si="2"/>
        <v>46631</v>
      </c>
      <c r="L7" s="31">
        <f t="shared" si="2"/>
        <v>46661</v>
      </c>
      <c r="M7" s="31">
        <f t="shared" si="2"/>
        <v>46692</v>
      </c>
      <c r="N7" s="31">
        <f t="shared" si="2"/>
        <v>46722</v>
      </c>
      <c r="O7" s="31">
        <f t="shared" si="2"/>
        <v>46753</v>
      </c>
      <c r="P7" s="31">
        <f t="shared" si="2"/>
        <v>46784</v>
      </c>
      <c r="Q7" s="31">
        <f t="shared" si="2"/>
        <v>46813</v>
      </c>
      <c r="R7" s="31">
        <f t="shared" si="2"/>
        <v>46844</v>
      </c>
      <c r="S7" s="31">
        <f t="shared" si="2"/>
        <v>46874</v>
      </c>
      <c r="T7" s="31">
        <f t="shared" si="2"/>
        <v>46905</v>
      </c>
      <c r="U7" s="31">
        <f t="shared" si="2"/>
        <v>46935</v>
      </c>
      <c r="V7" s="31">
        <f t="shared" si="2"/>
        <v>46966</v>
      </c>
      <c r="W7" s="31">
        <f t="shared" si="2"/>
        <v>46997</v>
      </c>
      <c r="X7" s="31">
        <f t="shared" si="2"/>
        <v>47027</v>
      </c>
      <c r="Y7" s="31">
        <f t="shared" si="2"/>
        <v>47058</v>
      </c>
      <c r="Z7" s="31">
        <f t="shared" si="2"/>
        <v>47088</v>
      </c>
      <c r="AA7" s="31">
        <f t="shared" si="2"/>
        <v>47119</v>
      </c>
      <c r="AB7" s="31">
        <f t="shared" si="2"/>
        <v>47150</v>
      </c>
      <c r="AC7" s="31">
        <f t="shared" si="2"/>
        <v>47178</v>
      </c>
      <c r="AD7" s="31">
        <f t="shared" si="2"/>
        <v>47209</v>
      </c>
      <c r="AE7" s="31">
        <f t="shared" si="2"/>
        <v>47239</v>
      </c>
      <c r="AF7" s="31">
        <f t="shared" si="2"/>
        <v>47270</v>
      </c>
      <c r="AG7" s="31">
        <f t="shared" si="2"/>
        <v>47300</v>
      </c>
      <c r="AH7" s="31">
        <f t="shared" si="2"/>
        <v>47331</v>
      </c>
      <c r="AI7" s="31">
        <f t="shared" si="2"/>
        <v>47362</v>
      </c>
      <c r="AJ7" s="31">
        <f t="shared" si="2"/>
        <v>47392</v>
      </c>
      <c r="AK7" s="31">
        <f t="shared" si="2"/>
        <v>47423</v>
      </c>
      <c r="AL7" s="31">
        <f t="shared" si="2"/>
        <v>47453</v>
      </c>
      <c r="AM7" s="31">
        <f t="shared" si="2"/>
        <v>47484</v>
      </c>
      <c r="AN7" s="31">
        <f t="shared" si="2"/>
        <v>47515</v>
      </c>
    </row>
    <row r="8" spans="1:40" s="46" customFormat="1" ht="17.649999999999999" hidden="1" customHeight="1">
      <c r="A8" s="47"/>
      <c r="B8" s="47"/>
      <c r="C8" s="43" t="s">
        <v>46</v>
      </c>
      <c r="D8" s="217"/>
      <c r="E8" s="218">
        <v>1</v>
      </c>
      <c r="F8" s="218">
        <f>E8+1</f>
        <v>2</v>
      </c>
      <c r="G8" s="218">
        <f t="shared" ref="G8:AN8" si="3">F8+1</f>
        <v>3</v>
      </c>
      <c r="H8" s="218">
        <f t="shared" si="3"/>
        <v>4</v>
      </c>
      <c r="I8" s="218">
        <f t="shared" si="3"/>
        <v>5</v>
      </c>
      <c r="J8" s="218">
        <f t="shared" si="3"/>
        <v>6</v>
      </c>
      <c r="K8" s="218">
        <f t="shared" si="3"/>
        <v>7</v>
      </c>
      <c r="L8" s="218">
        <f t="shared" si="3"/>
        <v>8</v>
      </c>
      <c r="M8" s="218">
        <f t="shared" si="3"/>
        <v>9</v>
      </c>
      <c r="N8" s="218">
        <f t="shared" si="3"/>
        <v>10</v>
      </c>
      <c r="O8" s="218">
        <f t="shared" si="3"/>
        <v>11</v>
      </c>
      <c r="P8" s="218">
        <f t="shared" si="3"/>
        <v>12</v>
      </c>
      <c r="Q8" s="218">
        <f t="shared" si="3"/>
        <v>13</v>
      </c>
      <c r="R8" s="218">
        <f t="shared" si="3"/>
        <v>14</v>
      </c>
      <c r="S8" s="218">
        <f t="shared" si="3"/>
        <v>15</v>
      </c>
      <c r="T8" s="218">
        <f t="shared" si="3"/>
        <v>16</v>
      </c>
      <c r="U8" s="218">
        <f t="shared" si="3"/>
        <v>17</v>
      </c>
      <c r="V8" s="218">
        <f t="shared" si="3"/>
        <v>18</v>
      </c>
      <c r="W8" s="218">
        <f t="shared" si="3"/>
        <v>19</v>
      </c>
      <c r="X8" s="218">
        <f t="shared" si="3"/>
        <v>20</v>
      </c>
      <c r="Y8" s="218">
        <f t="shared" si="3"/>
        <v>21</v>
      </c>
      <c r="Z8" s="218">
        <f t="shared" si="3"/>
        <v>22</v>
      </c>
      <c r="AA8" s="218">
        <f t="shared" si="3"/>
        <v>23</v>
      </c>
      <c r="AB8" s="218">
        <f t="shared" si="3"/>
        <v>24</v>
      </c>
      <c r="AC8" s="218">
        <f t="shared" si="3"/>
        <v>25</v>
      </c>
      <c r="AD8" s="218">
        <f t="shared" si="3"/>
        <v>26</v>
      </c>
      <c r="AE8" s="218">
        <f t="shared" si="3"/>
        <v>27</v>
      </c>
      <c r="AF8" s="218">
        <f t="shared" si="3"/>
        <v>28</v>
      </c>
      <c r="AG8" s="218">
        <f t="shared" si="3"/>
        <v>29</v>
      </c>
      <c r="AH8" s="218">
        <f t="shared" si="3"/>
        <v>30</v>
      </c>
      <c r="AI8" s="218">
        <f t="shared" si="3"/>
        <v>31</v>
      </c>
      <c r="AJ8" s="218">
        <f t="shared" si="3"/>
        <v>32</v>
      </c>
      <c r="AK8" s="218">
        <f t="shared" si="3"/>
        <v>33</v>
      </c>
      <c r="AL8" s="218">
        <f t="shared" si="3"/>
        <v>34</v>
      </c>
      <c r="AM8" s="218">
        <f t="shared" si="3"/>
        <v>35</v>
      </c>
      <c r="AN8" s="218">
        <f t="shared" si="3"/>
        <v>36</v>
      </c>
    </row>
    <row r="9" spans="1:40" s="46" customFormat="1" ht="17.649999999999999" hidden="1" customHeight="1">
      <c r="A9" s="30"/>
      <c r="B9" s="30"/>
      <c r="C9" s="43" t="s">
        <v>194</v>
      </c>
      <c r="D9" s="217"/>
      <c r="E9" s="218">
        <f>YEAR(E7)+1-YEAR($F$5)</f>
        <v>1</v>
      </c>
      <c r="F9" s="218">
        <f t="shared" ref="F9:AN9" si="4">YEAR(F7)+1-YEAR($F$5)</f>
        <v>1</v>
      </c>
      <c r="G9" s="218">
        <f t="shared" si="4"/>
        <v>1</v>
      </c>
      <c r="H9" s="218">
        <f t="shared" si="4"/>
        <v>1</v>
      </c>
      <c r="I9" s="218">
        <f t="shared" si="4"/>
        <v>1</v>
      </c>
      <c r="J9" s="218">
        <f t="shared" si="4"/>
        <v>1</v>
      </c>
      <c r="K9" s="218">
        <f t="shared" si="4"/>
        <v>1</v>
      </c>
      <c r="L9" s="218">
        <f t="shared" si="4"/>
        <v>1</v>
      </c>
      <c r="M9" s="218">
        <f t="shared" si="4"/>
        <v>1</v>
      </c>
      <c r="N9" s="218">
        <f t="shared" si="4"/>
        <v>1</v>
      </c>
      <c r="O9" s="218">
        <f t="shared" si="4"/>
        <v>2</v>
      </c>
      <c r="P9" s="218">
        <f t="shared" si="4"/>
        <v>2</v>
      </c>
      <c r="Q9" s="218">
        <f t="shared" si="4"/>
        <v>2</v>
      </c>
      <c r="R9" s="218">
        <f t="shared" si="4"/>
        <v>2</v>
      </c>
      <c r="S9" s="218">
        <f t="shared" si="4"/>
        <v>2</v>
      </c>
      <c r="T9" s="218">
        <f t="shared" si="4"/>
        <v>2</v>
      </c>
      <c r="U9" s="218">
        <f t="shared" si="4"/>
        <v>2</v>
      </c>
      <c r="V9" s="218">
        <f t="shared" si="4"/>
        <v>2</v>
      </c>
      <c r="W9" s="218">
        <f t="shared" si="4"/>
        <v>2</v>
      </c>
      <c r="X9" s="218">
        <f t="shared" si="4"/>
        <v>2</v>
      </c>
      <c r="Y9" s="218">
        <f t="shared" si="4"/>
        <v>2</v>
      </c>
      <c r="Z9" s="218">
        <f t="shared" si="4"/>
        <v>2</v>
      </c>
      <c r="AA9" s="218">
        <f t="shared" si="4"/>
        <v>3</v>
      </c>
      <c r="AB9" s="218">
        <f t="shared" si="4"/>
        <v>3</v>
      </c>
      <c r="AC9" s="218">
        <f t="shared" si="4"/>
        <v>3</v>
      </c>
      <c r="AD9" s="218">
        <f t="shared" si="4"/>
        <v>3</v>
      </c>
      <c r="AE9" s="218">
        <f t="shared" si="4"/>
        <v>3</v>
      </c>
      <c r="AF9" s="218">
        <f t="shared" si="4"/>
        <v>3</v>
      </c>
      <c r="AG9" s="218">
        <f t="shared" si="4"/>
        <v>3</v>
      </c>
      <c r="AH9" s="218">
        <f t="shared" si="4"/>
        <v>3</v>
      </c>
      <c r="AI9" s="218">
        <f t="shared" si="4"/>
        <v>3</v>
      </c>
      <c r="AJ9" s="218">
        <f t="shared" si="4"/>
        <v>3</v>
      </c>
      <c r="AK9" s="218">
        <f t="shared" si="4"/>
        <v>3</v>
      </c>
      <c r="AL9" s="218">
        <f t="shared" si="4"/>
        <v>3</v>
      </c>
      <c r="AM9" s="218">
        <f t="shared" si="4"/>
        <v>4</v>
      </c>
      <c r="AN9" s="218">
        <f t="shared" si="4"/>
        <v>4</v>
      </c>
    </row>
    <row r="10" spans="1:40">
      <c r="A10" s="2" t="s">
        <v>24</v>
      </c>
      <c r="D10" s="1"/>
    </row>
    <row r="11" spans="1:40" hidden="1">
      <c r="A11" s="2"/>
      <c r="C11" s="44" t="s">
        <v>199</v>
      </c>
      <c r="D11" s="69"/>
      <c r="E11" s="70">
        <f>HLOOKUP(MONTH(E6),'Seasonality Adjustment'!$C$8:$N$10,2,FALSE)</f>
        <v>0.05</v>
      </c>
      <c r="F11" s="70">
        <f>HLOOKUP(MONTH(F6),'Seasonality Adjustment'!$C$8:$N$10,2,FALSE)</f>
        <v>0.15</v>
      </c>
      <c r="G11" s="70">
        <f>HLOOKUP(MONTH(G6),'Seasonality Adjustment'!$C$8:$N$10,2,FALSE)</f>
        <v>0.15</v>
      </c>
      <c r="H11" s="70">
        <f>HLOOKUP(MONTH(H6),'Seasonality Adjustment'!$C$8:$N$10,2,FALSE)</f>
        <v>0.05</v>
      </c>
      <c r="I11" s="70">
        <f>HLOOKUP(MONTH(I6),'Seasonality Adjustment'!$C$8:$N$10,2,FALSE)</f>
        <v>0.05</v>
      </c>
      <c r="J11" s="70">
        <f>HLOOKUP(MONTH(J6),'Seasonality Adjustment'!$C$8:$N$10,2,FALSE)</f>
        <v>0.15</v>
      </c>
      <c r="K11" s="70">
        <f>HLOOKUP(MONTH(K6),'Seasonality Adjustment'!$C$8:$N$10,2,FALSE)</f>
        <v>0.05</v>
      </c>
      <c r="L11" s="70">
        <f>HLOOKUP(MONTH(L6),'Seasonality Adjustment'!$C$8:$N$10,2,FALSE)</f>
        <v>0.15</v>
      </c>
      <c r="M11" s="70">
        <f>HLOOKUP(MONTH(M6),'Seasonality Adjustment'!$C$8:$N$10,2,FALSE)</f>
        <v>0.05</v>
      </c>
      <c r="N11" s="70">
        <f>HLOOKUP(MONTH(N6),'Seasonality Adjustment'!$C$8:$N$10,2,FALSE)</f>
        <v>0.05</v>
      </c>
      <c r="O11" s="70">
        <f>HLOOKUP(MONTH(O6),'Seasonality Adjustment'!$C$8:$N$10,2,FALSE)</f>
        <v>0.05</v>
      </c>
      <c r="P11" s="70">
        <f>HLOOKUP(MONTH(P6),'Seasonality Adjustment'!$C$8:$N$10,2,FALSE)</f>
        <v>0.05</v>
      </c>
      <c r="Q11" s="70">
        <f>HLOOKUP(MONTH(Q6),'Seasonality Adjustment'!$C$8:$N$10,2,FALSE)</f>
        <v>0.05</v>
      </c>
      <c r="R11" s="70">
        <f>HLOOKUP(MONTH(R6),'Seasonality Adjustment'!$C$8:$N$10,2,FALSE)</f>
        <v>0.15</v>
      </c>
      <c r="S11" s="70">
        <f>HLOOKUP(MONTH(S6),'Seasonality Adjustment'!$C$8:$N$10,2,FALSE)</f>
        <v>0.15</v>
      </c>
      <c r="T11" s="70">
        <f>HLOOKUP(MONTH(T6),'Seasonality Adjustment'!$C$8:$N$10,2,FALSE)</f>
        <v>0.05</v>
      </c>
      <c r="U11" s="70">
        <f>HLOOKUP(MONTH(U6),'Seasonality Adjustment'!$C$8:$N$10,2,FALSE)</f>
        <v>0.05</v>
      </c>
      <c r="V11" s="70">
        <f>HLOOKUP(MONTH(V6),'Seasonality Adjustment'!$C$8:$N$10,2,FALSE)</f>
        <v>0.15</v>
      </c>
      <c r="W11" s="70">
        <f>HLOOKUP(MONTH(W6),'Seasonality Adjustment'!$C$8:$N$10,2,FALSE)</f>
        <v>0.05</v>
      </c>
      <c r="X11" s="70">
        <f>HLOOKUP(MONTH(X6),'Seasonality Adjustment'!$C$8:$N$10,2,FALSE)</f>
        <v>0.15</v>
      </c>
      <c r="Y11" s="70">
        <f>HLOOKUP(MONTH(Y6),'Seasonality Adjustment'!$C$8:$N$10,2,FALSE)</f>
        <v>0.05</v>
      </c>
      <c r="Z11" s="70">
        <f>HLOOKUP(MONTH(Z6),'Seasonality Adjustment'!$C$8:$N$10,2,FALSE)</f>
        <v>0.05</v>
      </c>
      <c r="AA11" s="70">
        <f>HLOOKUP(MONTH(AA6),'Seasonality Adjustment'!$C$8:$N$10,2,FALSE)</f>
        <v>0.05</v>
      </c>
      <c r="AB11" s="70">
        <f>HLOOKUP(MONTH(AB6),'Seasonality Adjustment'!$C$8:$N$10,2,FALSE)</f>
        <v>0.05</v>
      </c>
      <c r="AC11" s="70">
        <f>HLOOKUP(MONTH(AC6),'Seasonality Adjustment'!$C$8:$N$10,2,FALSE)</f>
        <v>0.05</v>
      </c>
      <c r="AD11" s="70">
        <f>HLOOKUP(MONTH(AD6),'Seasonality Adjustment'!$C$8:$N$10,2,FALSE)</f>
        <v>0.15</v>
      </c>
      <c r="AE11" s="70">
        <f>HLOOKUP(MONTH(AE6),'Seasonality Adjustment'!$C$8:$N$10,2,FALSE)</f>
        <v>0.15</v>
      </c>
      <c r="AF11" s="70">
        <f>HLOOKUP(MONTH(AF6),'Seasonality Adjustment'!$C$8:$N$10,2,FALSE)</f>
        <v>0.05</v>
      </c>
      <c r="AG11" s="70">
        <f>HLOOKUP(MONTH(AG6),'Seasonality Adjustment'!$C$8:$N$10,2,FALSE)</f>
        <v>0.05</v>
      </c>
      <c r="AH11" s="70">
        <f>HLOOKUP(MONTH(AH6),'Seasonality Adjustment'!$C$8:$N$10,2,FALSE)</f>
        <v>0.15</v>
      </c>
      <c r="AI11" s="70">
        <f>HLOOKUP(MONTH(AI6),'Seasonality Adjustment'!$C$8:$N$10,2,FALSE)</f>
        <v>0.05</v>
      </c>
      <c r="AJ11" s="70">
        <f>HLOOKUP(MONTH(AJ6),'Seasonality Adjustment'!$C$8:$N$10,2,FALSE)</f>
        <v>0.15</v>
      </c>
      <c r="AK11" s="70">
        <f>HLOOKUP(MONTH(AK6),'Seasonality Adjustment'!$C$8:$N$10,2,FALSE)</f>
        <v>0.05</v>
      </c>
      <c r="AL11" s="70">
        <f>HLOOKUP(MONTH(AL6),'Seasonality Adjustment'!$C$8:$N$10,2,FALSE)</f>
        <v>0.05</v>
      </c>
      <c r="AM11" s="70">
        <f>HLOOKUP(MONTH(AM6),'Seasonality Adjustment'!$C$8:$N$10,2,FALSE)</f>
        <v>0.05</v>
      </c>
      <c r="AN11" s="70">
        <f>HLOOKUP(MONTH(AN6),'Seasonality Adjustment'!$C$8:$N$10,2,FALSE)</f>
        <v>0.05</v>
      </c>
    </row>
    <row r="12" spans="1:40" s="2" customFormat="1">
      <c r="B12" s="2" t="s">
        <v>200</v>
      </c>
      <c r="C12" s="48"/>
      <c r="D12" s="54"/>
      <c r="E12" s="68">
        <f>SUM(E13:E15)</f>
        <v>15000</v>
      </c>
      <c r="F12" s="68">
        <f t="shared" ref="F12:AN12" si="5">SUM(F13:F15)</f>
        <v>15000</v>
      </c>
      <c r="G12" s="68">
        <f t="shared" si="5"/>
        <v>15000</v>
      </c>
      <c r="H12" s="68">
        <f t="shared" si="5"/>
        <v>15000</v>
      </c>
      <c r="I12" s="68">
        <f t="shared" si="5"/>
        <v>15000</v>
      </c>
      <c r="J12" s="68">
        <f t="shared" si="5"/>
        <v>15000</v>
      </c>
      <c r="K12" s="68">
        <f t="shared" si="5"/>
        <v>15000</v>
      </c>
      <c r="L12" s="68">
        <f t="shared" si="5"/>
        <v>15000</v>
      </c>
      <c r="M12" s="68">
        <f t="shared" si="5"/>
        <v>15000</v>
      </c>
      <c r="N12" s="68">
        <f t="shared" si="5"/>
        <v>15000</v>
      </c>
      <c r="O12" s="68">
        <f t="shared" si="5"/>
        <v>0</v>
      </c>
      <c r="P12" s="68">
        <f t="shared" si="5"/>
        <v>0</v>
      </c>
      <c r="Q12" s="68">
        <f t="shared" si="5"/>
        <v>0</v>
      </c>
      <c r="R12" s="68">
        <f t="shared" si="5"/>
        <v>0</v>
      </c>
      <c r="S12" s="68">
        <f t="shared" si="5"/>
        <v>0</v>
      </c>
      <c r="T12" s="68">
        <f t="shared" si="5"/>
        <v>0</v>
      </c>
      <c r="U12" s="68">
        <f t="shared" si="5"/>
        <v>0</v>
      </c>
      <c r="V12" s="68">
        <f t="shared" si="5"/>
        <v>0</v>
      </c>
      <c r="W12" s="68">
        <f t="shared" si="5"/>
        <v>0</v>
      </c>
      <c r="X12" s="68">
        <f t="shared" si="5"/>
        <v>0</v>
      </c>
      <c r="Y12" s="68">
        <f t="shared" si="5"/>
        <v>0</v>
      </c>
      <c r="Z12" s="68">
        <f t="shared" si="5"/>
        <v>0</v>
      </c>
      <c r="AA12" s="68">
        <f t="shared" si="5"/>
        <v>0</v>
      </c>
      <c r="AB12" s="68">
        <f t="shared" si="5"/>
        <v>0</v>
      </c>
      <c r="AC12" s="68">
        <f t="shared" si="5"/>
        <v>0</v>
      </c>
      <c r="AD12" s="68">
        <f t="shared" si="5"/>
        <v>0</v>
      </c>
      <c r="AE12" s="68">
        <f t="shared" si="5"/>
        <v>0</v>
      </c>
      <c r="AF12" s="68">
        <f t="shared" si="5"/>
        <v>0</v>
      </c>
      <c r="AG12" s="68">
        <f t="shared" si="5"/>
        <v>0</v>
      </c>
      <c r="AH12" s="68">
        <f t="shared" si="5"/>
        <v>0</v>
      </c>
      <c r="AI12" s="68">
        <f t="shared" si="5"/>
        <v>0</v>
      </c>
      <c r="AJ12" s="68">
        <f t="shared" si="5"/>
        <v>0</v>
      </c>
      <c r="AK12" s="68">
        <f t="shared" si="5"/>
        <v>0</v>
      </c>
      <c r="AL12" s="68">
        <f t="shared" si="5"/>
        <v>0</v>
      </c>
      <c r="AM12" s="68">
        <f t="shared" si="5"/>
        <v>0</v>
      </c>
      <c r="AN12" s="68">
        <f t="shared" si="5"/>
        <v>0</v>
      </c>
    </row>
    <row r="13" spans="1:40" s="16" customFormat="1">
      <c r="A13" s="1"/>
      <c r="B13" s="2"/>
      <c r="C13" s="32" t="s">
        <v>18</v>
      </c>
      <c r="D13" s="64"/>
      <c r="E13" s="67">
        <f>IF(E9=1,Inputs!$F$33/Inputs!$F$32,IF(E9=2,Inputs!$F$34/12,Inputs!$F$35/12))</f>
        <v>5000</v>
      </c>
      <c r="F13" s="67">
        <f>IF(F9=1,Inputs!$F$33/Inputs!$F$32,IF(F9=2,Inputs!$F$34/12,Inputs!$F$35/12))</f>
        <v>5000</v>
      </c>
      <c r="G13" s="67">
        <f>IF(G9=1,Inputs!$F$33/Inputs!$F$32,IF(G9=2,Inputs!$F$34/12,Inputs!$F$35/12))</f>
        <v>5000</v>
      </c>
      <c r="H13" s="67">
        <f>IF(H9=1,Inputs!$F$33/Inputs!$F$32,IF(H9=2,Inputs!$F$34/12,Inputs!$F$35/12))</f>
        <v>5000</v>
      </c>
      <c r="I13" s="67">
        <f>IF(I9=1,Inputs!$F$33/Inputs!$F$32,IF(I9=2,Inputs!$F$34/12,Inputs!$F$35/12))</f>
        <v>5000</v>
      </c>
      <c r="J13" s="67">
        <f>IF(J9=1,Inputs!$F$33/Inputs!$F$32,IF(J9=2,Inputs!$F$34/12,Inputs!$F$35/12))</f>
        <v>5000</v>
      </c>
      <c r="K13" s="67">
        <f>IF(K9=1,Inputs!$F$33/Inputs!$F$32,IF(K9=2,Inputs!$F$34/12,Inputs!$F$35/12))</f>
        <v>5000</v>
      </c>
      <c r="L13" s="67">
        <f>IF(L9=1,Inputs!$F$33/Inputs!$F$32,IF(L9=2,Inputs!$F$34/12,Inputs!$F$35/12))</f>
        <v>5000</v>
      </c>
      <c r="M13" s="67">
        <f>IF(M9=1,Inputs!$F$33/Inputs!$F$32,IF(M9=2,Inputs!$F$34/12,Inputs!$F$35/12))</f>
        <v>5000</v>
      </c>
      <c r="N13" s="67">
        <f>IF(N9=1,Inputs!$F$33/Inputs!$F$32,IF(N9=2,Inputs!$F$34/12,Inputs!$F$35/12))</f>
        <v>5000</v>
      </c>
      <c r="O13" s="67">
        <f>IF(O9=1,Inputs!$F$33/Inputs!$F$32,IF(O9=2,Inputs!$F$34/12,Inputs!$F$35/12))</f>
        <v>0</v>
      </c>
      <c r="P13" s="67">
        <f>IF(P9=1,Inputs!$F$33/Inputs!$F$32,IF(P9=2,Inputs!$F$34/12,Inputs!$F$35/12))</f>
        <v>0</v>
      </c>
      <c r="Q13" s="67">
        <f>IF(Q9=1,Inputs!$F$33/Inputs!$F$32,IF(Q9=2,Inputs!$F$34/12,Inputs!$F$35/12))</f>
        <v>0</v>
      </c>
      <c r="R13" s="67">
        <f>IF(R9=1,Inputs!$F$33/Inputs!$F$32,IF(R9=2,Inputs!$F$34/12,Inputs!$F$35/12))</f>
        <v>0</v>
      </c>
      <c r="S13" s="67">
        <f>IF(S9=1,Inputs!$F$33/Inputs!$F$32,IF(S9=2,Inputs!$F$34/12,Inputs!$F$35/12))</f>
        <v>0</v>
      </c>
      <c r="T13" s="67">
        <f>IF(T9=1,Inputs!$F$33/Inputs!$F$32,IF(T9=2,Inputs!$F$34/12,Inputs!$F$35/12))</f>
        <v>0</v>
      </c>
      <c r="U13" s="67">
        <f>IF(U9=1,Inputs!$F$33/Inputs!$F$32,IF(U9=2,Inputs!$F$34/12,Inputs!$F$35/12))</f>
        <v>0</v>
      </c>
      <c r="V13" s="67">
        <f>IF(V9=1,Inputs!$F$33/Inputs!$F$32,IF(V9=2,Inputs!$F$34/12,Inputs!$F$35/12))</f>
        <v>0</v>
      </c>
      <c r="W13" s="67">
        <f>IF(W9=1,Inputs!$F$33/Inputs!$F$32,IF(W9=2,Inputs!$F$34/12,Inputs!$F$35/12))</f>
        <v>0</v>
      </c>
      <c r="X13" s="67">
        <f>IF(X9=1,Inputs!$F$33/Inputs!$F$32,IF(X9=2,Inputs!$F$34/12,Inputs!$F$35/12))</f>
        <v>0</v>
      </c>
      <c r="Y13" s="67">
        <f>IF(Y9=1,Inputs!$F$33/Inputs!$F$32,IF(Y9=2,Inputs!$F$34/12,Inputs!$F$35/12))</f>
        <v>0</v>
      </c>
      <c r="Z13" s="67">
        <f>IF(Z9=1,Inputs!$F$33/Inputs!$F$32,IF(Z9=2,Inputs!$F$34/12,Inputs!$F$35/12))</f>
        <v>0</v>
      </c>
      <c r="AA13" s="67">
        <f>IF(AA9=1,Inputs!$F$33/Inputs!$F$32,IF(AA9=2,Inputs!$F$34/12,Inputs!$F$35/12))</f>
        <v>0</v>
      </c>
      <c r="AB13" s="67">
        <f>IF(AB9=1,Inputs!$F$33/Inputs!$F$32,IF(AB9=2,Inputs!$F$34/12,Inputs!$F$35/12))</f>
        <v>0</v>
      </c>
      <c r="AC13" s="67">
        <f>IF(AC9=1,Inputs!$F$33/Inputs!$F$32,IF(AC9=2,Inputs!$F$34/12,Inputs!$F$35/12))</f>
        <v>0</v>
      </c>
      <c r="AD13" s="67">
        <f>IF(AD9=1,Inputs!$F$33/Inputs!$F$32,IF(AD9=2,Inputs!$F$34/12,Inputs!$F$35/12))</f>
        <v>0</v>
      </c>
      <c r="AE13" s="67">
        <f>IF(AE9=1,Inputs!$F$33/Inputs!$F$32,IF(AE9=2,Inputs!$F$34/12,Inputs!$F$35/12))</f>
        <v>0</v>
      </c>
      <c r="AF13" s="67">
        <f>IF(AF9=1,Inputs!$F$33/Inputs!$F$32,IF(AF9=2,Inputs!$F$34/12,Inputs!$F$35/12))</f>
        <v>0</v>
      </c>
      <c r="AG13" s="67">
        <f>IF(AG9=1,Inputs!$F$33/Inputs!$F$32,IF(AG9=2,Inputs!$F$34/12,Inputs!$F$35/12))</f>
        <v>0</v>
      </c>
      <c r="AH13" s="67">
        <f>IF(AH9=1,Inputs!$F$33/Inputs!$F$32,IF(AH9=2,Inputs!$F$34/12,Inputs!$F$35/12))</f>
        <v>0</v>
      </c>
      <c r="AI13" s="67">
        <f>IF(AI9=1,Inputs!$F$33/Inputs!$F$32,IF(AI9=2,Inputs!$F$34/12,Inputs!$F$35/12))</f>
        <v>0</v>
      </c>
      <c r="AJ13" s="67">
        <f>IF(AJ9=1,Inputs!$F$33/Inputs!$F$32,IF(AJ9=2,Inputs!$F$34/12,Inputs!$F$35/12))</f>
        <v>0</v>
      </c>
      <c r="AK13" s="67">
        <f>IF(AK9=1,Inputs!$F$33/Inputs!$F$32,IF(AK9=2,Inputs!$F$34/12,Inputs!$F$35/12))</f>
        <v>0</v>
      </c>
      <c r="AL13" s="67">
        <f>IF(AL9=1,Inputs!$F$33/Inputs!$F$32,IF(AL9=2,Inputs!$F$34/12,Inputs!$F$35/12))</f>
        <v>0</v>
      </c>
      <c r="AM13" s="67">
        <f>IF(AM9=1,Inputs!$F$33/Inputs!$F$32,IF(AM9=2,Inputs!$F$34/12,Inputs!$F$35/12))</f>
        <v>0</v>
      </c>
      <c r="AN13" s="67">
        <f>IF(AN9=1,Inputs!$F$33/Inputs!$F$32,IF(AN9=2,Inputs!$F$34/12,Inputs!$F$35/12))</f>
        <v>0</v>
      </c>
    </row>
    <row r="14" spans="1:40" s="16" customFormat="1">
      <c r="A14" s="1"/>
      <c r="B14" s="1"/>
      <c r="C14" s="32" t="s">
        <v>12</v>
      </c>
      <c r="D14" s="65"/>
      <c r="E14" s="67">
        <f>IF(E9=1,Inputs!$F$36/Inputs!$F$32,IF(E9=2,Inputs!$F$37/12,Inputs!$F$38/12))</f>
        <v>5000</v>
      </c>
      <c r="F14" s="67">
        <f>IF(F9=1,Inputs!$F$36/Inputs!$F$32,IF(F9=2,Inputs!$F$37/12,Inputs!$F$38/12))</f>
        <v>5000</v>
      </c>
      <c r="G14" s="67">
        <f>IF(G9=1,Inputs!$F$36/Inputs!$F$32,IF(G9=2,Inputs!$F$37/12,Inputs!$F$38/12))</f>
        <v>5000</v>
      </c>
      <c r="H14" s="67">
        <f>IF(H9=1,Inputs!$F$36/Inputs!$F$32,IF(H9=2,Inputs!$F$37/12,Inputs!$F$38/12))</f>
        <v>5000</v>
      </c>
      <c r="I14" s="67">
        <f>IF(I9=1,Inputs!$F$36/Inputs!$F$32,IF(I9=2,Inputs!$F$37/12,Inputs!$F$38/12))</f>
        <v>5000</v>
      </c>
      <c r="J14" s="67">
        <f>IF(J9=1,Inputs!$F$36/Inputs!$F$32,IF(J9=2,Inputs!$F$37/12,Inputs!$F$38/12))</f>
        <v>5000</v>
      </c>
      <c r="K14" s="67">
        <f>IF(K9=1,Inputs!$F$36/Inputs!$F$32,IF(K9=2,Inputs!$F$37/12,Inputs!$F$38/12))</f>
        <v>5000</v>
      </c>
      <c r="L14" s="67">
        <f>IF(L9=1,Inputs!$F$36/Inputs!$F$32,IF(L9=2,Inputs!$F$37/12,Inputs!$F$38/12))</f>
        <v>5000</v>
      </c>
      <c r="M14" s="67">
        <f>IF(M9=1,Inputs!$F$36/Inputs!$F$32,IF(M9=2,Inputs!$F$37/12,Inputs!$F$38/12))</f>
        <v>5000</v>
      </c>
      <c r="N14" s="67">
        <f>IF(N9=1,Inputs!$F$36/Inputs!$F$32,IF(N9=2,Inputs!$F$37/12,Inputs!$F$38/12))</f>
        <v>5000</v>
      </c>
      <c r="O14" s="67">
        <f>IF(O9=1,Inputs!$F$36/Inputs!$F$32,IF(O9=2,Inputs!$F$37/12,Inputs!$F$38/12))</f>
        <v>0</v>
      </c>
      <c r="P14" s="67">
        <f>IF(P9=1,Inputs!$F$36/Inputs!$F$32,IF(P9=2,Inputs!$F$37/12,Inputs!$F$38/12))</f>
        <v>0</v>
      </c>
      <c r="Q14" s="67">
        <f>IF(Q9=1,Inputs!$F$36/Inputs!$F$32,IF(Q9=2,Inputs!$F$37/12,Inputs!$F$38/12))</f>
        <v>0</v>
      </c>
      <c r="R14" s="67">
        <f>IF(R9=1,Inputs!$F$36/Inputs!$F$32,IF(R9=2,Inputs!$F$37/12,Inputs!$F$38/12))</f>
        <v>0</v>
      </c>
      <c r="S14" s="67">
        <f>IF(S9=1,Inputs!$F$36/Inputs!$F$32,IF(S9=2,Inputs!$F$37/12,Inputs!$F$38/12))</f>
        <v>0</v>
      </c>
      <c r="T14" s="67">
        <f>IF(T9=1,Inputs!$F$36/Inputs!$F$32,IF(T9=2,Inputs!$F$37/12,Inputs!$F$38/12))</f>
        <v>0</v>
      </c>
      <c r="U14" s="67">
        <f>IF(U9=1,Inputs!$F$36/Inputs!$F$32,IF(U9=2,Inputs!$F$37/12,Inputs!$F$38/12))</f>
        <v>0</v>
      </c>
      <c r="V14" s="67">
        <f>IF(V9=1,Inputs!$F$36/Inputs!$F$32,IF(V9=2,Inputs!$F$37/12,Inputs!$F$38/12))</f>
        <v>0</v>
      </c>
      <c r="W14" s="67">
        <f>IF(W9=1,Inputs!$F$36/Inputs!$F$32,IF(W9=2,Inputs!$F$37/12,Inputs!$F$38/12))</f>
        <v>0</v>
      </c>
      <c r="X14" s="67">
        <f>IF(X9=1,Inputs!$F$36/Inputs!$F$32,IF(X9=2,Inputs!$F$37/12,Inputs!$F$38/12))</f>
        <v>0</v>
      </c>
      <c r="Y14" s="67">
        <f>IF(Y9=1,Inputs!$F$36/Inputs!$F$32,IF(Y9=2,Inputs!$F$37/12,Inputs!$F$38/12))</f>
        <v>0</v>
      </c>
      <c r="Z14" s="67">
        <f>IF(Z9=1,Inputs!$F$36/Inputs!$F$32,IF(Z9=2,Inputs!$F$37/12,Inputs!$F$38/12))</f>
        <v>0</v>
      </c>
      <c r="AA14" s="67">
        <f>IF(AA9=1,Inputs!$F$36/Inputs!$F$32,IF(AA9=2,Inputs!$F$37/12,Inputs!$F$38/12))</f>
        <v>0</v>
      </c>
      <c r="AB14" s="67">
        <f>IF(AB9=1,Inputs!$F$36/Inputs!$F$32,IF(AB9=2,Inputs!$F$37/12,Inputs!$F$38/12))</f>
        <v>0</v>
      </c>
      <c r="AC14" s="67">
        <f>IF(AC9=1,Inputs!$F$36/Inputs!$F$32,IF(AC9=2,Inputs!$F$37/12,Inputs!$F$38/12))</f>
        <v>0</v>
      </c>
      <c r="AD14" s="67">
        <f>IF(AD9=1,Inputs!$F$36/Inputs!$F$32,IF(AD9=2,Inputs!$F$37/12,Inputs!$F$38/12))</f>
        <v>0</v>
      </c>
      <c r="AE14" s="67">
        <f>IF(AE9=1,Inputs!$F$36/Inputs!$F$32,IF(AE9=2,Inputs!$F$37/12,Inputs!$F$38/12))</f>
        <v>0</v>
      </c>
      <c r="AF14" s="67">
        <f>IF(AF9=1,Inputs!$F$36/Inputs!$F$32,IF(AF9=2,Inputs!$F$37/12,Inputs!$F$38/12))</f>
        <v>0</v>
      </c>
      <c r="AG14" s="67">
        <f>IF(AG9=1,Inputs!$F$36/Inputs!$F$32,IF(AG9=2,Inputs!$F$37/12,Inputs!$F$38/12))</f>
        <v>0</v>
      </c>
      <c r="AH14" s="67">
        <f>IF(AH9=1,Inputs!$F$36/Inputs!$F$32,IF(AH9=2,Inputs!$F$37/12,Inputs!$F$38/12))</f>
        <v>0</v>
      </c>
      <c r="AI14" s="67">
        <f>IF(AI9=1,Inputs!$F$36/Inputs!$F$32,IF(AI9=2,Inputs!$F$37/12,Inputs!$F$38/12))</f>
        <v>0</v>
      </c>
      <c r="AJ14" s="67">
        <f>IF(AJ9=1,Inputs!$F$36/Inputs!$F$32,IF(AJ9=2,Inputs!$F$37/12,Inputs!$F$38/12))</f>
        <v>0</v>
      </c>
      <c r="AK14" s="67">
        <f>IF(AK9=1,Inputs!$F$36/Inputs!$F$32,IF(AK9=2,Inputs!$F$37/12,Inputs!$F$38/12))</f>
        <v>0</v>
      </c>
      <c r="AL14" s="67">
        <f>IF(AL9=1,Inputs!$F$36/Inputs!$F$32,IF(AL9=2,Inputs!$F$37/12,Inputs!$F$38/12))</f>
        <v>0</v>
      </c>
      <c r="AM14" s="67">
        <f>IF(AM9=1,Inputs!$F$36/Inputs!$F$32,IF(AM9=2,Inputs!$F$37/12,Inputs!$F$38/12))</f>
        <v>0</v>
      </c>
      <c r="AN14" s="67">
        <f>IF(AN9=1,Inputs!$F$36/Inputs!$F$32,IF(AN9=2,Inputs!$F$37/12,Inputs!$F$38/12))</f>
        <v>0</v>
      </c>
    </row>
    <row r="15" spans="1:40" s="16" customFormat="1">
      <c r="A15" s="1"/>
      <c r="B15" s="1"/>
      <c r="C15" s="32" t="s">
        <v>192</v>
      </c>
      <c r="D15" s="64"/>
      <c r="E15" s="67">
        <f>IF(E9=1,Inputs!$F$39/Inputs!$F$32,IF(E9=2,Inputs!$F$40/12,Inputs!$F$41/12))</f>
        <v>5000</v>
      </c>
      <c r="F15" s="67">
        <f>IF(F9=1,Inputs!$F$39/Inputs!$F$32,IF(F9=2,Inputs!$F$40/12,Inputs!$F$41/12))</f>
        <v>5000</v>
      </c>
      <c r="G15" s="67">
        <f>IF(G9=1,Inputs!$F$39/Inputs!$F$32,IF(G9=2,Inputs!$F$40/12,Inputs!$F$41/12))</f>
        <v>5000</v>
      </c>
      <c r="H15" s="67">
        <f>IF(H9=1,Inputs!$F$39/Inputs!$F$32,IF(H9=2,Inputs!$F$40/12,Inputs!$F$41/12))</f>
        <v>5000</v>
      </c>
      <c r="I15" s="67">
        <f>IF(I9=1,Inputs!$F$39/Inputs!$F$32,IF(I9=2,Inputs!$F$40/12,Inputs!$F$41/12))</f>
        <v>5000</v>
      </c>
      <c r="J15" s="67">
        <f>IF(J9=1,Inputs!$F$39/Inputs!$F$32,IF(J9=2,Inputs!$F$40/12,Inputs!$F$41/12))</f>
        <v>5000</v>
      </c>
      <c r="K15" s="67">
        <f>IF(K9=1,Inputs!$F$39/Inputs!$F$32,IF(K9=2,Inputs!$F$40/12,Inputs!$F$41/12))</f>
        <v>5000</v>
      </c>
      <c r="L15" s="67">
        <f>IF(L9=1,Inputs!$F$39/Inputs!$F$32,IF(L9=2,Inputs!$F$40/12,Inputs!$F$41/12))</f>
        <v>5000</v>
      </c>
      <c r="M15" s="67">
        <f>IF(M9=1,Inputs!$F$39/Inputs!$F$32,IF(M9=2,Inputs!$F$40/12,Inputs!$F$41/12))</f>
        <v>5000</v>
      </c>
      <c r="N15" s="67">
        <f>IF(N9=1,Inputs!$F$39/Inputs!$F$32,IF(N9=2,Inputs!$F$40/12,Inputs!$F$41/12))</f>
        <v>5000</v>
      </c>
      <c r="O15" s="67">
        <f>IF(O9=1,Inputs!$F$39/Inputs!$F$32,IF(O9=2,Inputs!$F$40/12,Inputs!$F$41/12))</f>
        <v>0</v>
      </c>
      <c r="P15" s="67">
        <f>IF(P9=1,Inputs!$F$39/Inputs!$F$32,IF(P9=2,Inputs!$F$40/12,Inputs!$F$41/12))</f>
        <v>0</v>
      </c>
      <c r="Q15" s="67">
        <f>IF(Q9=1,Inputs!$F$39/Inputs!$F$32,IF(Q9=2,Inputs!$F$40/12,Inputs!$F$41/12))</f>
        <v>0</v>
      </c>
      <c r="R15" s="67">
        <f>IF(R9=1,Inputs!$F$39/Inputs!$F$32,IF(R9=2,Inputs!$F$40/12,Inputs!$F$41/12))</f>
        <v>0</v>
      </c>
      <c r="S15" s="67">
        <f>IF(S9=1,Inputs!$F$39/Inputs!$F$32,IF(S9=2,Inputs!$F$40/12,Inputs!$F$41/12))</f>
        <v>0</v>
      </c>
      <c r="T15" s="67">
        <f>IF(T9=1,Inputs!$F$39/Inputs!$F$32,IF(T9=2,Inputs!$F$40/12,Inputs!$F$41/12))</f>
        <v>0</v>
      </c>
      <c r="U15" s="67">
        <f>IF(U9=1,Inputs!$F$39/Inputs!$F$32,IF(U9=2,Inputs!$F$40/12,Inputs!$F$41/12))</f>
        <v>0</v>
      </c>
      <c r="V15" s="67">
        <f>IF(V9=1,Inputs!$F$39/Inputs!$F$32,IF(V9=2,Inputs!$F$40/12,Inputs!$F$41/12))</f>
        <v>0</v>
      </c>
      <c r="W15" s="67">
        <f>IF(W9=1,Inputs!$F$39/Inputs!$F$32,IF(W9=2,Inputs!$F$40/12,Inputs!$F$41/12))</f>
        <v>0</v>
      </c>
      <c r="X15" s="67">
        <f>IF(X9=1,Inputs!$F$39/Inputs!$F$32,IF(X9=2,Inputs!$F$40/12,Inputs!$F$41/12))</f>
        <v>0</v>
      </c>
      <c r="Y15" s="67">
        <f>IF(Y9=1,Inputs!$F$39/Inputs!$F$32,IF(Y9=2,Inputs!$F$40/12,Inputs!$F$41/12))</f>
        <v>0</v>
      </c>
      <c r="Z15" s="67">
        <f>IF(Z9=1,Inputs!$F$39/Inputs!$F$32,IF(Z9=2,Inputs!$F$40/12,Inputs!$F$41/12))</f>
        <v>0</v>
      </c>
      <c r="AA15" s="67">
        <f>IF(AA9=1,Inputs!$F$39/Inputs!$F$32,IF(AA9=2,Inputs!$F$40/12,Inputs!$F$41/12))</f>
        <v>0</v>
      </c>
      <c r="AB15" s="67">
        <f>IF(AB9=1,Inputs!$F$39/Inputs!$F$32,IF(AB9=2,Inputs!$F$40/12,Inputs!$F$41/12))</f>
        <v>0</v>
      </c>
      <c r="AC15" s="67">
        <f>IF(AC9=1,Inputs!$F$39/Inputs!$F$32,IF(AC9=2,Inputs!$F$40/12,Inputs!$F$41/12))</f>
        <v>0</v>
      </c>
      <c r="AD15" s="67">
        <f>IF(AD9=1,Inputs!$F$39/Inputs!$F$32,IF(AD9=2,Inputs!$F$40/12,Inputs!$F$41/12))</f>
        <v>0</v>
      </c>
      <c r="AE15" s="67">
        <f>IF(AE9=1,Inputs!$F$39/Inputs!$F$32,IF(AE9=2,Inputs!$F$40/12,Inputs!$F$41/12))</f>
        <v>0</v>
      </c>
      <c r="AF15" s="67">
        <f>IF(AF9=1,Inputs!$F$39/Inputs!$F$32,IF(AF9=2,Inputs!$F$40/12,Inputs!$F$41/12))</f>
        <v>0</v>
      </c>
      <c r="AG15" s="67">
        <f>IF(AG9=1,Inputs!$F$39/Inputs!$F$32,IF(AG9=2,Inputs!$F$40/12,Inputs!$F$41/12))</f>
        <v>0</v>
      </c>
      <c r="AH15" s="67">
        <f>IF(AH9=1,Inputs!$F$39/Inputs!$F$32,IF(AH9=2,Inputs!$F$40/12,Inputs!$F$41/12))</f>
        <v>0</v>
      </c>
      <c r="AI15" s="67">
        <f>IF(AI9=1,Inputs!$F$39/Inputs!$F$32,IF(AI9=2,Inputs!$F$40/12,Inputs!$F$41/12))</f>
        <v>0</v>
      </c>
      <c r="AJ15" s="67">
        <f>IF(AJ9=1,Inputs!$F$39/Inputs!$F$32,IF(AJ9=2,Inputs!$F$40/12,Inputs!$F$41/12))</f>
        <v>0</v>
      </c>
      <c r="AK15" s="67">
        <f>IF(AK9=1,Inputs!$F$39/Inputs!$F$32,IF(AK9=2,Inputs!$F$40/12,Inputs!$F$41/12))</f>
        <v>0</v>
      </c>
      <c r="AL15" s="67">
        <f>IF(AL9=1,Inputs!$F$39/Inputs!$F$32,IF(AL9=2,Inputs!$F$40/12,Inputs!$F$41/12))</f>
        <v>0</v>
      </c>
      <c r="AM15" s="67">
        <f>IF(AM9=1,Inputs!$F$39/Inputs!$F$32,IF(AM9=2,Inputs!$F$40/12,Inputs!$F$41/12))</f>
        <v>0</v>
      </c>
      <c r="AN15" s="67">
        <f>IF(AN9=1,Inputs!$F$39/Inputs!$F$32,IF(AN9=2,Inputs!$F$40/12,Inputs!$F$41/12))</f>
        <v>0</v>
      </c>
    </row>
    <row r="16" spans="1:40" s="16" customFormat="1">
      <c r="A16" s="1"/>
      <c r="B16" s="1"/>
      <c r="C16" s="32"/>
      <c r="D16" s="65"/>
      <c r="E16" s="67"/>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row>
    <row r="17" spans="1:40" s="49" customFormat="1">
      <c r="A17" s="2"/>
      <c r="B17" s="2" t="s">
        <v>201</v>
      </c>
      <c r="C17" s="48"/>
      <c r="D17" s="66"/>
      <c r="E17" s="68">
        <f>IF(E$9=1,Inputs!$F$46*12*'Projections-WORST'!E$11,IF(E$9=2,Inputs!$F$50*'Projections-WORST'!E$11,Inputs!$F$54*'Projections-WORST'!E$11))</f>
        <v>4500</v>
      </c>
      <c r="F17" s="68">
        <f>IF(F$9=1,Inputs!$F$46*12*'Projections-WORST'!F$11,IF(F$9=2,Inputs!$F$50*'Projections-WORST'!F$11,Inputs!$F$54*'Projections-WORST'!F$11))</f>
        <v>13500</v>
      </c>
      <c r="G17" s="68">
        <f>IF(G$9=1,Inputs!$F$46*12*'Projections-WORST'!G$11,IF(G$9=2,Inputs!$F$50*'Projections-WORST'!G$11,Inputs!$F$54*'Projections-WORST'!G$11))</f>
        <v>13500</v>
      </c>
      <c r="H17" s="68">
        <f>IF(H$9=1,Inputs!$F$46*12*'Projections-WORST'!H$11,IF(H$9=2,Inputs!$F$50*'Projections-WORST'!H$11,Inputs!$F$54*'Projections-WORST'!H$11))</f>
        <v>4500</v>
      </c>
      <c r="I17" s="68">
        <f>IF(I$9=1,Inputs!$F$46*12*'Projections-WORST'!I$11,IF(I$9=2,Inputs!$F$50*'Projections-WORST'!I$11,Inputs!$F$54*'Projections-WORST'!I$11))</f>
        <v>4500</v>
      </c>
      <c r="J17" s="68">
        <f>IF(J$9=1,Inputs!$F$46*12*'Projections-WORST'!J$11,IF(J$9=2,Inputs!$F$50*'Projections-WORST'!J$11,Inputs!$F$54*'Projections-WORST'!J$11))</f>
        <v>13500</v>
      </c>
      <c r="K17" s="68">
        <f>IF(K$9=1,Inputs!$F$46*12*'Projections-WORST'!K$11,IF(K$9=2,Inputs!$F$50*'Projections-WORST'!K$11,Inputs!$F$54*'Projections-WORST'!K$11))</f>
        <v>4500</v>
      </c>
      <c r="L17" s="68">
        <f>IF(L$9=1,Inputs!$F$46*12*'Projections-WORST'!L$11,IF(L$9=2,Inputs!$F$50*'Projections-WORST'!L$11,Inputs!$F$54*'Projections-WORST'!L$11))</f>
        <v>13500</v>
      </c>
      <c r="M17" s="68">
        <f>IF(M$9=1,Inputs!$F$46*12*'Projections-WORST'!M$11,IF(M$9=2,Inputs!$F$50*'Projections-WORST'!M$11,Inputs!$F$54*'Projections-WORST'!M$11))</f>
        <v>4500</v>
      </c>
      <c r="N17" s="68">
        <f>IF(N$9=1,Inputs!$F$46*12*'Projections-WORST'!N$11,IF(N$9=2,Inputs!$F$50*'Projections-WORST'!N$11,Inputs!$F$54*'Projections-WORST'!N$11))</f>
        <v>4500</v>
      </c>
      <c r="O17" s="68">
        <f>IF(O$9=1,Inputs!$F$46*12*'Projections-WORST'!O$11,IF(O$9=2,Inputs!$F$50*'Projections-WORST'!O$11,Inputs!$F$54*'Projections-WORST'!O$11))</f>
        <v>4950.0000000000009</v>
      </c>
      <c r="P17" s="68">
        <f>IF(P$9=1,Inputs!$F$46*12*'Projections-WORST'!P$11,IF(P$9=2,Inputs!$F$50*'Projections-WORST'!P$11,Inputs!$F$54*'Projections-WORST'!P$11))</f>
        <v>4950.0000000000009</v>
      </c>
      <c r="Q17" s="68">
        <f>IF(Q$9=1,Inputs!$F$46*12*'Projections-WORST'!Q$11,IF(Q$9=2,Inputs!$F$50*'Projections-WORST'!Q$11,Inputs!$F$54*'Projections-WORST'!Q$11))</f>
        <v>4950.0000000000009</v>
      </c>
      <c r="R17" s="68">
        <f>IF(R$9=1,Inputs!$F$46*12*'Projections-WORST'!R$11,IF(R$9=2,Inputs!$F$50*'Projections-WORST'!R$11,Inputs!$F$54*'Projections-WORST'!R$11))</f>
        <v>14850.000000000002</v>
      </c>
      <c r="S17" s="68">
        <f>IF(S$9=1,Inputs!$F$46*12*'Projections-WORST'!S$11,IF(S$9=2,Inputs!$F$50*'Projections-WORST'!S$11,Inputs!$F$54*'Projections-WORST'!S$11))</f>
        <v>14850.000000000002</v>
      </c>
      <c r="T17" s="68">
        <f>IF(T$9=1,Inputs!$F$46*12*'Projections-WORST'!T$11,IF(T$9=2,Inputs!$F$50*'Projections-WORST'!T$11,Inputs!$F$54*'Projections-WORST'!T$11))</f>
        <v>4950.0000000000009</v>
      </c>
      <c r="U17" s="68">
        <f>IF(U$9=1,Inputs!$F$46*12*'Projections-WORST'!U$11,IF(U$9=2,Inputs!$F$50*'Projections-WORST'!U$11,Inputs!$F$54*'Projections-WORST'!U$11))</f>
        <v>4950.0000000000009</v>
      </c>
      <c r="V17" s="68">
        <f>IF(V$9=1,Inputs!$F$46*12*'Projections-WORST'!V$11,IF(V$9=2,Inputs!$F$50*'Projections-WORST'!V$11,Inputs!$F$54*'Projections-WORST'!V$11))</f>
        <v>14850.000000000002</v>
      </c>
      <c r="W17" s="68">
        <f>IF(W$9=1,Inputs!$F$46*12*'Projections-WORST'!W$11,IF(W$9=2,Inputs!$F$50*'Projections-WORST'!W$11,Inputs!$F$54*'Projections-WORST'!W$11))</f>
        <v>4950.0000000000009</v>
      </c>
      <c r="X17" s="68">
        <f>IF(X$9=1,Inputs!$F$46*12*'Projections-WORST'!X$11,IF(X$9=2,Inputs!$F$50*'Projections-WORST'!X$11,Inputs!$F$54*'Projections-WORST'!X$11))</f>
        <v>14850.000000000002</v>
      </c>
      <c r="Y17" s="68">
        <f>IF(Y$9=1,Inputs!$F$46*12*'Projections-WORST'!Y$11,IF(Y$9=2,Inputs!$F$50*'Projections-WORST'!Y$11,Inputs!$F$54*'Projections-WORST'!Y$11))</f>
        <v>4950.0000000000009</v>
      </c>
      <c r="Z17" s="68">
        <f>IF(Z$9=1,Inputs!$F$46*12*'Projections-WORST'!Z$11,IF(Z$9=2,Inputs!$F$50*'Projections-WORST'!Z$11,Inputs!$F$54*'Projections-WORST'!Z$11))</f>
        <v>4950.0000000000009</v>
      </c>
      <c r="AA17" s="68">
        <f>IF(AA$9=1,Inputs!$F$46*12*'Projections-WORST'!AA$11,IF(AA$9=2,Inputs!$F$50*'Projections-WORST'!AA$11,Inputs!$F$54*'Projections-WORST'!AA$11))</f>
        <v>5940.0000000000009</v>
      </c>
      <c r="AB17" s="68">
        <f>IF(AB$9=1,Inputs!$F$46*12*'Projections-WORST'!AB$11,IF(AB$9=2,Inputs!$F$50*'Projections-WORST'!AB$11,Inputs!$F$54*'Projections-WORST'!AB$11))</f>
        <v>5940.0000000000009</v>
      </c>
      <c r="AC17" s="68">
        <f>IF(AC$9=1,Inputs!$F$46*12*'Projections-WORST'!AC$11,IF(AC$9=2,Inputs!$F$50*'Projections-WORST'!AC$11,Inputs!$F$54*'Projections-WORST'!AC$11))</f>
        <v>5940.0000000000009</v>
      </c>
      <c r="AD17" s="68">
        <f>IF(AD$9=1,Inputs!$F$46*12*'Projections-WORST'!AD$11,IF(AD$9=2,Inputs!$F$50*'Projections-WORST'!AD$11,Inputs!$F$54*'Projections-WORST'!AD$11))</f>
        <v>17820</v>
      </c>
      <c r="AE17" s="68">
        <f>IF(AE$9=1,Inputs!$F$46*12*'Projections-WORST'!AE$11,IF(AE$9=2,Inputs!$F$50*'Projections-WORST'!AE$11,Inputs!$F$54*'Projections-WORST'!AE$11))</f>
        <v>17820</v>
      </c>
      <c r="AF17" s="68">
        <f>IF(AF$9=1,Inputs!$F$46*12*'Projections-WORST'!AF$11,IF(AF$9=2,Inputs!$F$50*'Projections-WORST'!AF$11,Inputs!$F$54*'Projections-WORST'!AF$11))</f>
        <v>5940.0000000000009</v>
      </c>
      <c r="AG17" s="68">
        <f>IF(AG$9=1,Inputs!$F$46*12*'Projections-WORST'!AG$11,IF(AG$9=2,Inputs!$F$50*'Projections-WORST'!AG$11,Inputs!$F$54*'Projections-WORST'!AG$11))</f>
        <v>5940.0000000000009</v>
      </c>
      <c r="AH17" s="68">
        <f>IF(AH$9=1,Inputs!$F$46*12*'Projections-WORST'!AH$11,IF(AH$9=2,Inputs!$F$50*'Projections-WORST'!AH$11,Inputs!$F$54*'Projections-WORST'!AH$11))</f>
        <v>17820</v>
      </c>
      <c r="AI17" s="68">
        <f>IF(AI$9=1,Inputs!$F$46*12*'Projections-WORST'!AI$11,IF(AI$9=2,Inputs!$F$50*'Projections-WORST'!AI$11,Inputs!$F$54*'Projections-WORST'!AI$11))</f>
        <v>5940.0000000000009</v>
      </c>
      <c r="AJ17" s="68">
        <f>IF(AJ$9=1,Inputs!$F$46*12*'Projections-WORST'!AJ$11,IF(AJ$9=2,Inputs!$F$50*'Projections-WORST'!AJ$11,Inputs!$F$54*'Projections-WORST'!AJ$11))</f>
        <v>17820</v>
      </c>
      <c r="AK17" s="68">
        <f>IF(AK$9=1,Inputs!$F$46*12*'Projections-WORST'!AK$11,IF(AK$9=2,Inputs!$F$50*'Projections-WORST'!AK$11,Inputs!$F$54*'Projections-WORST'!AK$11))</f>
        <v>5940.0000000000009</v>
      </c>
      <c r="AL17" s="68">
        <f>IF(AL$9=1,Inputs!$F$46*12*'Projections-WORST'!AL$11,IF(AL$9=2,Inputs!$F$50*'Projections-WORST'!AL$11,Inputs!$F$54*'Projections-WORST'!AL$11))</f>
        <v>5940.0000000000009</v>
      </c>
      <c r="AM17" s="68">
        <f>IF(AM$9=1,Inputs!$F$46*12*'Projections-WORST'!AM$11,IF(AM$9=2,Inputs!$F$50*'Projections-WORST'!AM$11,Inputs!$F$54*'Projections-WORST'!AM$11))</f>
        <v>5940.0000000000009</v>
      </c>
      <c r="AN17" s="68">
        <f>IF(AN$9=1,Inputs!$F$46*12*'Projections-WORST'!AN$11,IF(AN$9=2,Inputs!$F$50*'Projections-WORST'!AN$11,Inputs!$F$54*'Projections-WORST'!AN$11))</f>
        <v>5940.0000000000009</v>
      </c>
    </row>
    <row r="18" spans="1:40" s="16" customFormat="1">
      <c r="A18" s="1"/>
      <c r="B18" s="1"/>
      <c r="C18" s="32"/>
      <c r="D18" s="65"/>
      <c r="E18" s="65"/>
      <c r="F18" s="65"/>
      <c r="G18" s="65"/>
      <c r="H18" s="65"/>
      <c r="I18" s="65"/>
      <c r="J18" s="65"/>
      <c r="K18" s="65"/>
      <c r="L18" s="65"/>
      <c r="M18" s="65"/>
      <c r="N18" s="65"/>
      <c r="O18" s="65"/>
      <c r="P18" s="65"/>
      <c r="Q18" s="65"/>
      <c r="R18" s="65"/>
      <c r="S18" s="65"/>
      <c r="T18" s="65"/>
      <c r="U18" s="65"/>
      <c r="V18" s="65"/>
      <c r="W18" s="65"/>
      <c r="X18" s="65"/>
      <c r="Y18" s="65"/>
      <c r="Z18" s="65"/>
      <c r="AA18" s="65"/>
      <c r="AB18" s="65"/>
      <c r="AC18" s="65"/>
      <c r="AD18" s="65"/>
      <c r="AE18" s="65"/>
      <c r="AF18" s="65"/>
      <c r="AG18" s="65"/>
      <c r="AH18" s="65"/>
      <c r="AI18" s="65"/>
      <c r="AJ18" s="65"/>
      <c r="AK18" s="65"/>
      <c r="AL18" s="65"/>
      <c r="AM18" s="65"/>
      <c r="AN18" s="65"/>
    </row>
    <row r="19" spans="1:40" s="49" customFormat="1">
      <c r="A19" s="2"/>
      <c r="B19" s="48" t="s">
        <v>204</v>
      </c>
      <c r="C19" s="48"/>
      <c r="D19" s="68">
        <f>SUM(D20:D24)</f>
        <v>262500</v>
      </c>
      <c r="E19" s="68">
        <f>SUM(E20:E24)</f>
        <v>0</v>
      </c>
      <c r="F19" s="68">
        <f t="shared" ref="F19:AN19" si="6">SUM(F20:F24)</f>
        <v>0</v>
      </c>
      <c r="G19" s="68">
        <f t="shared" si="6"/>
        <v>0</v>
      </c>
      <c r="H19" s="68">
        <f t="shared" si="6"/>
        <v>0</v>
      </c>
      <c r="I19" s="68">
        <f t="shared" si="6"/>
        <v>0</v>
      </c>
      <c r="J19" s="68">
        <f t="shared" si="6"/>
        <v>0</v>
      </c>
      <c r="K19" s="68">
        <f t="shared" si="6"/>
        <v>0</v>
      </c>
      <c r="L19" s="68">
        <f t="shared" si="6"/>
        <v>0</v>
      </c>
      <c r="M19" s="68">
        <f t="shared" si="6"/>
        <v>0</v>
      </c>
      <c r="N19" s="68">
        <f t="shared" si="6"/>
        <v>0</v>
      </c>
      <c r="O19" s="68">
        <f t="shared" si="6"/>
        <v>0</v>
      </c>
      <c r="P19" s="68">
        <f t="shared" si="6"/>
        <v>0</v>
      </c>
      <c r="Q19" s="68">
        <f t="shared" si="6"/>
        <v>0</v>
      </c>
      <c r="R19" s="68">
        <f t="shared" si="6"/>
        <v>0</v>
      </c>
      <c r="S19" s="68">
        <f t="shared" si="6"/>
        <v>0</v>
      </c>
      <c r="T19" s="68">
        <f t="shared" si="6"/>
        <v>0</v>
      </c>
      <c r="U19" s="68">
        <f t="shared" si="6"/>
        <v>0</v>
      </c>
      <c r="V19" s="68">
        <f t="shared" si="6"/>
        <v>0</v>
      </c>
      <c r="W19" s="68">
        <f t="shared" si="6"/>
        <v>0</v>
      </c>
      <c r="X19" s="68">
        <f t="shared" si="6"/>
        <v>0</v>
      </c>
      <c r="Y19" s="68">
        <f t="shared" si="6"/>
        <v>0</v>
      </c>
      <c r="Z19" s="68">
        <f t="shared" si="6"/>
        <v>0</v>
      </c>
      <c r="AA19" s="68">
        <f t="shared" si="6"/>
        <v>0</v>
      </c>
      <c r="AB19" s="68">
        <f t="shared" si="6"/>
        <v>0</v>
      </c>
      <c r="AC19" s="68">
        <f t="shared" si="6"/>
        <v>0</v>
      </c>
      <c r="AD19" s="68">
        <f t="shared" si="6"/>
        <v>0</v>
      </c>
      <c r="AE19" s="68">
        <f t="shared" si="6"/>
        <v>0</v>
      </c>
      <c r="AF19" s="68">
        <f t="shared" si="6"/>
        <v>0</v>
      </c>
      <c r="AG19" s="68">
        <f t="shared" si="6"/>
        <v>0</v>
      </c>
      <c r="AH19" s="68">
        <f t="shared" si="6"/>
        <v>0</v>
      </c>
      <c r="AI19" s="68">
        <f t="shared" si="6"/>
        <v>0</v>
      </c>
      <c r="AJ19" s="68">
        <f t="shared" si="6"/>
        <v>0</v>
      </c>
      <c r="AK19" s="68">
        <f t="shared" si="6"/>
        <v>0</v>
      </c>
      <c r="AL19" s="68">
        <f t="shared" si="6"/>
        <v>0</v>
      </c>
      <c r="AM19" s="68">
        <f t="shared" si="6"/>
        <v>0</v>
      </c>
      <c r="AN19" s="68">
        <f t="shared" si="6"/>
        <v>0</v>
      </c>
    </row>
    <row r="20" spans="1:40" s="16" customFormat="1">
      <c r="A20" s="1"/>
      <c r="B20" s="32"/>
      <c r="C20" s="32" t="s">
        <v>203</v>
      </c>
      <c r="D20" s="67">
        <f>IF(AND(E$5="New Business",Inputs!$F$14="Purchase"),IFERROR('Amort. Sched.-WORST'!G11,0),0)</f>
        <v>262500</v>
      </c>
      <c r="E20" s="67"/>
      <c r="F20" s="67"/>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67"/>
      <c r="AK20" s="67"/>
      <c r="AL20" s="67"/>
      <c r="AM20" s="67"/>
      <c r="AN20" s="67"/>
    </row>
    <row r="21" spans="1:40" s="49" customFormat="1">
      <c r="A21" s="2"/>
      <c r="B21" s="48"/>
      <c r="C21" s="32" t="s">
        <v>9</v>
      </c>
      <c r="D21" s="67">
        <f>IF(Inputs!F171&lt;1,IFERROR('Amort. Sched.-WORST'!P11,0),0)</f>
        <v>0</v>
      </c>
      <c r="E21" s="67">
        <f>IF($D$21&lt;&gt;0,0,IFERROR(VLOOKUP(E$8,CreditAmort1WORST[],5),0))</f>
        <v>0</v>
      </c>
      <c r="F21" s="67">
        <f>IF($D$21&lt;&gt;0,0,IFERROR(VLOOKUP(F$8,CreditAmort1WORST[],5),0))</f>
        <v>0</v>
      </c>
      <c r="G21" s="67">
        <f>IF($D$21&lt;&gt;0,0,IFERROR(VLOOKUP(G$8,CreditAmort1WORST[],5),0))</f>
        <v>0</v>
      </c>
      <c r="H21" s="67">
        <f>IF($D$21&lt;&gt;0,0,IFERROR(VLOOKUP(H$8,CreditAmort1WORST[],5),0))</f>
        <v>0</v>
      </c>
      <c r="I21" s="67">
        <f>IF($D$21&lt;&gt;0,0,IFERROR(VLOOKUP(I$8,CreditAmort1WORST[],5),0))</f>
        <v>0</v>
      </c>
      <c r="J21" s="67">
        <f>IF($D$21&lt;&gt;0,0,IFERROR(VLOOKUP(J$8,CreditAmort1WORST[],5),0))</f>
        <v>0</v>
      </c>
      <c r="K21" s="67">
        <f>IF($D$21&lt;&gt;0,0,IFERROR(VLOOKUP(K$8,CreditAmort1WORST[],5),0))</f>
        <v>0</v>
      </c>
      <c r="L21" s="67">
        <f>IF($D$21&lt;&gt;0,0,IFERROR(VLOOKUP(L$8,CreditAmort1WORST[],5),0))</f>
        <v>0</v>
      </c>
      <c r="M21" s="67">
        <f>IF($D$21&lt;&gt;0,0,IFERROR(VLOOKUP(M$8,CreditAmort1WORST[],5),0))</f>
        <v>0</v>
      </c>
      <c r="N21" s="67">
        <f>IF($D$21&lt;&gt;0,0,IFERROR(VLOOKUP(N$8,CreditAmort1WORST[],5),0))</f>
        <v>0</v>
      </c>
      <c r="O21" s="67">
        <f>IF($D$21&lt;&gt;0,0,IFERROR(VLOOKUP(O$8,CreditAmort1WORST[],5),0))</f>
        <v>0</v>
      </c>
      <c r="P21" s="67">
        <f>IF($D$21&lt;&gt;0,0,IFERROR(VLOOKUP(P$8,CreditAmort1WORST[],5),0))</f>
        <v>0</v>
      </c>
      <c r="Q21" s="67">
        <f>IF($D$21&lt;&gt;0,0,IFERROR(VLOOKUP(Q$8,CreditAmort1WORST[],5),0))</f>
        <v>0</v>
      </c>
      <c r="R21" s="67">
        <f>IF($D$21&lt;&gt;0,0,IFERROR(VLOOKUP(R$8,CreditAmort1WORST[],5),0))</f>
        <v>0</v>
      </c>
      <c r="S21" s="67">
        <f>IF($D$21&lt;&gt;0,0,IFERROR(VLOOKUP(S$8,CreditAmort1WORST[],5),0))</f>
        <v>0</v>
      </c>
      <c r="T21" s="67">
        <f>IF($D$21&lt;&gt;0,0,IFERROR(VLOOKUP(T$8,CreditAmort1WORST[],5),0))</f>
        <v>0</v>
      </c>
      <c r="U21" s="67">
        <f>IF($D$21&lt;&gt;0,0,IFERROR(VLOOKUP(U$8,CreditAmort1WORST[],5),0))</f>
        <v>0</v>
      </c>
      <c r="V21" s="67">
        <f>IF($D$21&lt;&gt;0,0,IFERROR(VLOOKUP(V$8,CreditAmort1WORST[],5),0))</f>
        <v>0</v>
      </c>
      <c r="W21" s="67">
        <f>IF($D$21&lt;&gt;0,0,IFERROR(VLOOKUP(W$8,CreditAmort1WORST[],5),0))</f>
        <v>0</v>
      </c>
      <c r="X21" s="67">
        <f>IF($D$21&lt;&gt;0,0,IFERROR(VLOOKUP(X$8,CreditAmort1WORST[],5),0))</f>
        <v>0</v>
      </c>
      <c r="Y21" s="67">
        <f>IF($D$21&lt;&gt;0,0,IFERROR(VLOOKUP(Y$8,CreditAmort1WORST[],5),0))</f>
        <v>0</v>
      </c>
      <c r="Z21" s="67">
        <f>IF($D$21&lt;&gt;0,0,IFERROR(VLOOKUP(Z$8,CreditAmort1WORST[],5),0))</f>
        <v>0</v>
      </c>
      <c r="AA21" s="67">
        <f>IF($D$21&lt;&gt;0,0,IFERROR(VLOOKUP(AA$8,CreditAmort1WORST[],5),0))</f>
        <v>0</v>
      </c>
      <c r="AB21" s="67">
        <f>IF($D$21&lt;&gt;0,0,IFERROR(VLOOKUP(AB$8,CreditAmort1WORST[],5),0))</f>
        <v>0</v>
      </c>
      <c r="AC21" s="67">
        <f>IF($D$21&lt;&gt;0,0,IFERROR(VLOOKUP(AC$8,CreditAmort1WORST[],5),0))</f>
        <v>0</v>
      </c>
      <c r="AD21" s="67">
        <f>IF($D$21&lt;&gt;0,0,IFERROR(VLOOKUP(AD$8,CreditAmort1WORST[],5),0))</f>
        <v>0</v>
      </c>
      <c r="AE21" s="67">
        <f>IF($D$21&lt;&gt;0,0,IFERROR(VLOOKUP(AE$8,CreditAmort1WORST[],5),0))</f>
        <v>0</v>
      </c>
      <c r="AF21" s="67">
        <f>IF($D$21&lt;&gt;0,0,IFERROR(VLOOKUP(AF$8,CreditAmort1WORST[],5),0))</f>
        <v>0</v>
      </c>
      <c r="AG21" s="67">
        <f>IF($D$21&lt;&gt;0,0,IFERROR(VLOOKUP(AG$8,CreditAmort1WORST[],5),0))</f>
        <v>0</v>
      </c>
      <c r="AH21" s="67">
        <f>IF($D$21&lt;&gt;0,0,IFERROR(VLOOKUP(AH$8,CreditAmort1WORST[],5),0))</f>
        <v>0</v>
      </c>
      <c r="AI21" s="67">
        <f>IF($D$21&lt;&gt;0,0,IFERROR(VLOOKUP(AI$8,CreditAmort1WORST[],5),0))</f>
        <v>0</v>
      </c>
      <c r="AJ21" s="67">
        <f>IF($D$21&lt;&gt;0,0,IFERROR(VLOOKUP(AJ$8,CreditAmort1WORST[],5),0))</f>
        <v>0</v>
      </c>
      <c r="AK21" s="67">
        <f>IF($D$21&lt;&gt;0,0,IFERROR(VLOOKUP(AK$8,CreditAmort1WORST[],5),0))</f>
        <v>0</v>
      </c>
      <c r="AL21" s="67">
        <f>IF($D$21&lt;&gt;0,0,IFERROR(VLOOKUP(AL$8,CreditAmort1WORST[],5),0))</f>
        <v>0</v>
      </c>
      <c r="AM21" s="67">
        <f>IF($D$21&lt;&gt;0,0,IFERROR(VLOOKUP(AM$8,CreditAmort1WORST[],5),0))</f>
        <v>0</v>
      </c>
      <c r="AN21" s="67">
        <f>IF($D$21&lt;&gt;0,0,IFERROR(VLOOKUP(AN$8,CreditAmort1WORST[],5),0))</f>
        <v>0</v>
      </c>
    </row>
    <row r="22" spans="1:40" s="49" customFormat="1">
      <c r="A22" s="2"/>
      <c r="B22" s="48"/>
      <c r="C22" s="32" t="s">
        <v>10</v>
      </c>
      <c r="D22" s="67">
        <f>IFERROR(VLOOKUP(0,CreditAmort2WORST[],5),0)</f>
        <v>0</v>
      </c>
      <c r="E22" s="67">
        <f>IFERROR(VLOOKUP(E$8,CreditAmort2WORST[],5),0)</f>
        <v>0</v>
      </c>
      <c r="F22" s="67">
        <f>IFERROR(VLOOKUP(F$8,CreditAmort2WORST[],5),0)</f>
        <v>0</v>
      </c>
      <c r="G22" s="67">
        <f>IFERROR(VLOOKUP(G$8,CreditAmort2WORST[],5),0)</f>
        <v>0</v>
      </c>
      <c r="H22" s="67">
        <f>IFERROR(VLOOKUP(H$8,CreditAmort2WORST[],5),0)</f>
        <v>0</v>
      </c>
      <c r="I22" s="67">
        <f>IFERROR(VLOOKUP(I$8,CreditAmort2WORST[],5),0)</f>
        <v>0</v>
      </c>
      <c r="J22" s="67">
        <f>IFERROR(VLOOKUP(J$8,CreditAmort2WORST[],5),0)</f>
        <v>0</v>
      </c>
      <c r="K22" s="67">
        <f>IFERROR(VLOOKUP(K$8,CreditAmort2WORST[],5),0)</f>
        <v>0</v>
      </c>
      <c r="L22" s="67">
        <f>IFERROR(VLOOKUP(L$8,CreditAmort2WORST[],5),0)</f>
        <v>0</v>
      </c>
      <c r="M22" s="67">
        <f>IFERROR(VLOOKUP(M$8,CreditAmort2WORST[],5),0)</f>
        <v>0</v>
      </c>
      <c r="N22" s="67">
        <f>IFERROR(VLOOKUP(N$8,CreditAmort2WORST[],5),0)</f>
        <v>0</v>
      </c>
      <c r="O22" s="67">
        <f>IFERROR(VLOOKUP(O$8,CreditAmort2WORST[],5),0)</f>
        <v>0</v>
      </c>
      <c r="P22" s="67">
        <f>IFERROR(VLOOKUP(P$8,CreditAmort2WORST[],5),0)</f>
        <v>0</v>
      </c>
      <c r="Q22" s="67">
        <f>IFERROR(VLOOKUP(Q$8,CreditAmort2WORST[],5),0)</f>
        <v>0</v>
      </c>
      <c r="R22" s="67">
        <f>IFERROR(VLOOKUP(R$8,CreditAmort2WORST[],5),0)</f>
        <v>0</v>
      </c>
      <c r="S22" s="67">
        <f>IFERROR(VLOOKUP(S$8,CreditAmort2WORST[],5),0)</f>
        <v>0</v>
      </c>
      <c r="T22" s="67">
        <f>IFERROR(VLOOKUP(T$8,CreditAmort2WORST[],5),0)</f>
        <v>0</v>
      </c>
      <c r="U22" s="67">
        <f>IFERROR(VLOOKUP(U$8,CreditAmort2WORST[],5),0)</f>
        <v>0</v>
      </c>
      <c r="V22" s="67">
        <f>IFERROR(VLOOKUP(V$8,CreditAmort2WORST[],5),0)</f>
        <v>0</v>
      </c>
      <c r="W22" s="67">
        <f>IFERROR(VLOOKUP(W$8,CreditAmort2WORST[],5),0)</f>
        <v>0</v>
      </c>
      <c r="X22" s="67">
        <f>IFERROR(VLOOKUP(X$8,CreditAmort2WORST[],5),0)</f>
        <v>0</v>
      </c>
      <c r="Y22" s="67">
        <f>IFERROR(VLOOKUP(Y$8,CreditAmort2WORST[],5),0)</f>
        <v>0</v>
      </c>
      <c r="Z22" s="67">
        <f>IFERROR(VLOOKUP(Z$8,CreditAmort2WORST[],5),0)</f>
        <v>0</v>
      </c>
      <c r="AA22" s="67">
        <f>IFERROR(VLOOKUP(AA$8,CreditAmort2WORST[],5),0)</f>
        <v>0</v>
      </c>
      <c r="AB22" s="67">
        <f>IFERROR(VLOOKUP(AB$8,CreditAmort2WORST[],5),0)</f>
        <v>0</v>
      </c>
      <c r="AC22" s="67">
        <f>IFERROR(VLOOKUP(AC$8,CreditAmort2WORST[],5),0)</f>
        <v>0</v>
      </c>
      <c r="AD22" s="67">
        <f>IFERROR(VLOOKUP(AD$8,CreditAmort2WORST[],5),0)</f>
        <v>0</v>
      </c>
      <c r="AE22" s="67">
        <f>IFERROR(VLOOKUP(AE$8,CreditAmort2WORST[],5),0)</f>
        <v>0</v>
      </c>
      <c r="AF22" s="67">
        <f>IFERROR(VLOOKUP(AF$8,CreditAmort2WORST[],5),0)</f>
        <v>0</v>
      </c>
      <c r="AG22" s="67">
        <f>IFERROR(VLOOKUP(AG$8,CreditAmort2WORST[],5),0)</f>
        <v>0</v>
      </c>
      <c r="AH22" s="67">
        <f>IFERROR(VLOOKUP(AH$8,CreditAmort2WORST[],5),0)</f>
        <v>0</v>
      </c>
      <c r="AI22" s="67">
        <f>IFERROR(VLOOKUP(AI$8,CreditAmort2WORST[],5),0)</f>
        <v>0</v>
      </c>
      <c r="AJ22" s="67">
        <f>IFERROR(VLOOKUP(AJ$8,CreditAmort2WORST[],5),0)</f>
        <v>0</v>
      </c>
      <c r="AK22" s="67">
        <f>IFERROR(VLOOKUP(AK$8,CreditAmort2WORST[],5),0)</f>
        <v>0</v>
      </c>
      <c r="AL22" s="67">
        <f>IFERROR(VLOOKUP(AL$8,CreditAmort2WORST[],5),0)</f>
        <v>0</v>
      </c>
      <c r="AM22" s="67">
        <f>IFERROR(VLOOKUP(AM$8,CreditAmort2WORST[],5),0)</f>
        <v>0</v>
      </c>
      <c r="AN22" s="67">
        <f>IFERROR(VLOOKUP(AN$8,CreditAmort2WORST[],5),0)</f>
        <v>0</v>
      </c>
    </row>
    <row r="23" spans="1:40" s="49" customFormat="1">
      <c r="A23" s="2"/>
      <c r="B23" s="48"/>
      <c r="C23" s="32" t="s">
        <v>11</v>
      </c>
      <c r="D23" s="67">
        <f>IFERROR(VLOOKUP(0,CreditAmort3WORST[],5),0)</f>
        <v>0</v>
      </c>
      <c r="E23" s="67">
        <f>IFERROR(VLOOKUP(E$8,CreditAmort3WORST[],5),0)</f>
        <v>0</v>
      </c>
      <c r="F23" s="67">
        <f>IFERROR(VLOOKUP(F$8,CreditAmort3WORST[],5),0)</f>
        <v>0</v>
      </c>
      <c r="G23" s="67">
        <f>IFERROR(VLOOKUP(G$8,CreditAmort3WORST[],5),0)</f>
        <v>0</v>
      </c>
      <c r="H23" s="67">
        <f>IFERROR(VLOOKUP(H$8,CreditAmort3WORST[],5),0)</f>
        <v>0</v>
      </c>
      <c r="I23" s="67">
        <f>IFERROR(VLOOKUP(I$8,CreditAmort3WORST[],5),0)</f>
        <v>0</v>
      </c>
      <c r="J23" s="67">
        <f>IFERROR(VLOOKUP(J$8,CreditAmort3WORST[],5),0)</f>
        <v>0</v>
      </c>
      <c r="K23" s="67">
        <f>IFERROR(VLOOKUP(K$8,CreditAmort3WORST[],5),0)</f>
        <v>0</v>
      </c>
      <c r="L23" s="67">
        <f>IFERROR(VLOOKUP(L$8,CreditAmort3WORST[],5),0)</f>
        <v>0</v>
      </c>
      <c r="M23" s="67">
        <f>IFERROR(VLOOKUP(M$8,CreditAmort3WORST[],5),0)</f>
        <v>0</v>
      </c>
      <c r="N23" s="67">
        <f>IFERROR(VLOOKUP(N$8,CreditAmort3WORST[],5),0)</f>
        <v>0</v>
      </c>
      <c r="O23" s="67">
        <f>IFERROR(VLOOKUP(O$8,CreditAmort3WORST[],5),0)</f>
        <v>0</v>
      </c>
      <c r="P23" s="67">
        <f>IFERROR(VLOOKUP(P$8,CreditAmort3WORST[],5),0)</f>
        <v>0</v>
      </c>
      <c r="Q23" s="67">
        <f>IFERROR(VLOOKUP(Q$8,CreditAmort3WORST[],5),0)</f>
        <v>0</v>
      </c>
      <c r="R23" s="67">
        <f>IFERROR(VLOOKUP(R$8,CreditAmort3WORST[],5),0)</f>
        <v>0</v>
      </c>
      <c r="S23" s="67">
        <f>IFERROR(VLOOKUP(S$8,CreditAmort3WORST[],5),0)</f>
        <v>0</v>
      </c>
      <c r="T23" s="67">
        <f>IFERROR(VLOOKUP(T$8,CreditAmort3WORST[],5),0)</f>
        <v>0</v>
      </c>
      <c r="U23" s="67">
        <f>IFERROR(VLOOKUP(U$8,CreditAmort3WORST[],5),0)</f>
        <v>0</v>
      </c>
      <c r="V23" s="67">
        <f>IFERROR(VLOOKUP(V$8,CreditAmort3WORST[],5),0)</f>
        <v>0</v>
      </c>
      <c r="W23" s="67">
        <f>IFERROR(VLOOKUP(W$8,CreditAmort3WORST[],5),0)</f>
        <v>0</v>
      </c>
      <c r="X23" s="67">
        <f>IFERROR(VLOOKUP(X$8,CreditAmort3WORST[],5),0)</f>
        <v>0</v>
      </c>
      <c r="Y23" s="67">
        <f>IFERROR(VLOOKUP(Y$8,CreditAmort3WORST[],5),0)</f>
        <v>0</v>
      </c>
      <c r="Z23" s="67">
        <f>IFERROR(VLOOKUP(Z$8,CreditAmort3WORST[],5),0)</f>
        <v>0</v>
      </c>
      <c r="AA23" s="67">
        <f>IFERROR(VLOOKUP(AA$8,CreditAmort3WORST[],5),0)</f>
        <v>0</v>
      </c>
      <c r="AB23" s="67">
        <f>IFERROR(VLOOKUP(AB$8,CreditAmort3WORST[],5),0)</f>
        <v>0</v>
      </c>
      <c r="AC23" s="67">
        <f>IFERROR(VLOOKUP(AC$8,CreditAmort3WORST[],5),0)</f>
        <v>0</v>
      </c>
      <c r="AD23" s="67">
        <f>IFERROR(VLOOKUP(AD$8,CreditAmort3WORST[],5),0)</f>
        <v>0</v>
      </c>
      <c r="AE23" s="67">
        <f>IFERROR(VLOOKUP(AE$8,CreditAmort3WORST[],5),0)</f>
        <v>0</v>
      </c>
      <c r="AF23" s="67">
        <f>IFERROR(VLOOKUP(AF$8,CreditAmort3WORST[],5),0)</f>
        <v>0</v>
      </c>
      <c r="AG23" s="67">
        <f>IFERROR(VLOOKUP(AG$8,CreditAmort3WORST[],5),0)</f>
        <v>0</v>
      </c>
      <c r="AH23" s="67">
        <f>IFERROR(VLOOKUP(AH$8,CreditAmort3WORST[],5),0)</f>
        <v>0</v>
      </c>
      <c r="AI23" s="67">
        <f>IFERROR(VLOOKUP(AI$8,CreditAmort3WORST[],5),0)</f>
        <v>0</v>
      </c>
      <c r="AJ23" s="67">
        <f>IFERROR(VLOOKUP(AJ$8,CreditAmort3WORST[],5),0)</f>
        <v>0</v>
      </c>
      <c r="AK23" s="67">
        <f>IFERROR(VLOOKUP(AK$8,CreditAmort3WORST[],5),0)</f>
        <v>0</v>
      </c>
      <c r="AL23" s="67">
        <f>IFERROR(VLOOKUP(AL$8,CreditAmort3WORST[],5),0)</f>
        <v>0</v>
      </c>
      <c r="AM23" s="67">
        <f>IFERROR(VLOOKUP(AM$8,CreditAmort3WORST[],5),0)</f>
        <v>0</v>
      </c>
      <c r="AN23" s="67">
        <f>IFERROR(VLOOKUP(AN$8,CreditAmort3WORST[],5),0)</f>
        <v>0</v>
      </c>
    </row>
    <row r="24" spans="1:40" s="49" customFormat="1">
      <c r="A24" s="2"/>
      <c r="B24" s="48"/>
      <c r="C24" s="32" t="s">
        <v>39</v>
      </c>
      <c r="D24" s="67">
        <f>IFERROR(VLOOKUP(0,CreditAmort4WORST[],5),0)</f>
        <v>0</v>
      </c>
      <c r="E24" s="67">
        <f>IFERROR(VLOOKUP(E$8,CreditAmort4WORST[],5),0)</f>
        <v>0</v>
      </c>
      <c r="F24" s="67">
        <f>IFERROR(VLOOKUP(F$8,CreditAmort4WORST[],5),0)</f>
        <v>0</v>
      </c>
      <c r="G24" s="67">
        <f>IFERROR(VLOOKUP(G$8,CreditAmort4WORST[],5),0)</f>
        <v>0</v>
      </c>
      <c r="H24" s="67">
        <f>IFERROR(VLOOKUP(H$8,CreditAmort4WORST[],5),0)</f>
        <v>0</v>
      </c>
      <c r="I24" s="67">
        <f>IFERROR(VLOOKUP(I$8,CreditAmort4WORST[],5),0)</f>
        <v>0</v>
      </c>
      <c r="J24" s="67">
        <f>IFERROR(VLOOKUP(J$8,CreditAmort4WORST[],5),0)</f>
        <v>0</v>
      </c>
      <c r="K24" s="67">
        <f>IFERROR(VLOOKUP(K$8,CreditAmort4WORST[],5),0)</f>
        <v>0</v>
      </c>
      <c r="L24" s="67">
        <f>IFERROR(VLOOKUP(L$8,CreditAmort4WORST[],5),0)</f>
        <v>0</v>
      </c>
      <c r="M24" s="67">
        <f>IFERROR(VLOOKUP(M$8,CreditAmort4WORST[],5),0)</f>
        <v>0</v>
      </c>
      <c r="N24" s="67">
        <f>IFERROR(VLOOKUP(N$8,CreditAmort4WORST[],5),0)</f>
        <v>0</v>
      </c>
      <c r="O24" s="67">
        <f>IFERROR(VLOOKUP(O$8,CreditAmort4WORST[],5),0)</f>
        <v>0</v>
      </c>
      <c r="P24" s="67">
        <f>IFERROR(VLOOKUP(P$8,CreditAmort4WORST[],5),0)</f>
        <v>0</v>
      </c>
      <c r="Q24" s="67">
        <f>IFERROR(VLOOKUP(Q$8,CreditAmort4WORST[],5),0)</f>
        <v>0</v>
      </c>
      <c r="R24" s="67">
        <f>IFERROR(VLOOKUP(R$8,CreditAmort4WORST[],5),0)</f>
        <v>0</v>
      </c>
      <c r="S24" s="67">
        <f>IFERROR(VLOOKUP(S$8,CreditAmort4WORST[],5),0)</f>
        <v>0</v>
      </c>
      <c r="T24" s="67">
        <f>IFERROR(VLOOKUP(T$8,CreditAmort4WORST[],5),0)</f>
        <v>0</v>
      </c>
      <c r="U24" s="67">
        <f>IFERROR(VLOOKUP(U$8,CreditAmort4WORST[],5),0)</f>
        <v>0</v>
      </c>
      <c r="V24" s="67">
        <f>IFERROR(VLOOKUP(V$8,CreditAmort4WORST[],5),0)</f>
        <v>0</v>
      </c>
      <c r="W24" s="67">
        <f>IFERROR(VLOOKUP(W$8,CreditAmort4WORST[],5),0)</f>
        <v>0</v>
      </c>
      <c r="X24" s="67">
        <f>IFERROR(VLOOKUP(X$8,CreditAmort4WORST[],5),0)</f>
        <v>0</v>
      </c>
      <c r="Y24" s="67">
        <f>IFERROR(VLOOKUP(Y$8,CreditAmort4WORST[],5),0)</f>
        <v>0</v>
      </c>
      <c r="Z24" s="67">
        <f>IFERROR(VLOOKUP(Z$8,CreditAmort4WORST[],5),0)</f>
        <v>0</v>
      </c>
      <c r="AA24" s="67">
        <f>IFERROR(VLOOKUP(AA$8,CreditAmort4WORST[],5),0)</f>
        <v>0</v>
      </c>
      <c r="AB24" s="67">
        <f>IFERROR(VLOOKUP(AB$8,CreditAmort4WORST[],5),0)</f>
        <v>0</v>
      </c>
      <c r="AC24" s="67">
        <f>IFERROR(VLOOKUP(AC$8,CreditAmort4WORST[],5),0)</f>
        <v>0</v>
      </c>
      <c r="AD24" s="67">
        <f>IFERROR(VLOOKUP(AD$8,CreditAmort4WORST[],5),0)</f>
        <v>0</v>
      </c>
      <c r="AE24" s="67">
        <f>IFERROR(VLOOKUP(AE$8,CreditAmort4WORST[],5),0)</f>
        <v>0</v>
      </c>
      <c r="AF24" s="67">
        <f>IFERROR(VLOOKUP(AF$8,CreditAmort4WORST[],5),0)</f>
        <v>0</v>
      </c>
      <c r="AG24" s="67">
        <f>IFERROR(VLOOKUP(AG$8,CreditAmort4WORST[],5),0)</f>
        <v>0</v>
      </c>
      <c r="AH24" s="67">
        <f>IFERROR(VLOOKUP(AH$8,CreditAmort4WORST[],5),0)</f>
        <v>0</v>
      </c>
      <c r="AI24" s="67">
        <f>IFERROR(VLOOKUP(AI$8,CreditAmort4WORST[],5),0)</f>
        <v>0</v>
      </c>
      <c r="AJ24" s="67">
        <f>IFERROR(VLOOKUP(AJ$8,CreditAmort4WORST[],5),0)</f>
        <v>0</v>
      </c>
      <c r="AK24" s="67">
        <f>IFERROR(VLOOKUP(AK$8,CreditAmort4WORST[],5),0)</f>
        <v>0</v>
      </c>
      <c r="AL24" s="67">
        <f>IFERROR(VLOOKUP(AL$8,CreditAmort4WORST[],5),0)</f>
        <v>0</v>
      </c>
      <c r="AM24" s="67">
        <f>IFERROR(VLOOKUP(AM$8,CreditAmort4WORST[],5),0)</f>
        <v>0</v>
      </c>
      <c r="AN24" s="67">
        <f>IFERROR(VLOOKUP(AN$8,CreditAmort4WORST[],5),0)</f>
        <v>0</v>
      </c>
    </row>
    <row r="25" spans="1:40" s="16" customFormat="1">
      <c r="A25" s="1"/>
      <c r="B25" s="1"/>
      <c r="C25" s="32"/>
    </row>
    <row r="26" spans="1:40" s="182" customFormat="1" ht="28.15" customHeight="1">
      <c r="A26" s="180"/>
      <c r="B26" s="271" t="s">
        <v>294</v>
      </c>
      <c r="C26" s="269"/>
      <c r="D26" s="181">
        <f>Inputs!F160</f>
        <v>0</v>
      </c>
    </row>
    <row r="27" spans="1:40" s="49" customFormat="1">
      <c r="A27" s="2"/>
      <c r="B27" s="2"/>
      <c r="C27" s="48"/>
      <c r="D27" s="68"/>
    </row>
    <row r="28" spans="1:40" s="16" customFormat="1">
      <c r="A28" s="51" t="s">
        <v>228</v>
      </c>
      <c r="C28" s="51"/>
      <c r="D28" s="49">
        <f>D26+D19</f>
        <v>262500</v>
      </c>
      <c r="E28" s="49">
        <f>E26+E19+E17+E12</f>
        <v>19500</v>
      </c>
      <c r="F28" s="49">
        <f t="shared" ref="F28:AN28" si="7">F26+F19+F17+F12</f>
        <v>28500</v>
      </c>
      <c r="G28" s="49">
        <f t="shared" si="7"/>
        <v>28500</v>
      </c>
      <c r="H28" s="49">
        <f t="shared" si="7"/>
        <v>19500</v>
      </c>
      <c r="I28" s="49">
        <f t="shared" si="7"/>
        <v>19500</v>
      </c>
      <c r="J28" s="49">
        <f t="shared" si="7"/>
        <v>28500</v>
      </c>
      <c r="K28" s="49">
        <f t="shared" si="7"/>
        <v>19500</v>
      </c>
      <c r="L28" s="49">
        <f t="shared" si="7"/>
        <v>28500</v>
      </c>
      <c r="M28" s="49">
        <f t="shared" si="7"/>
        <v>19500</v>
      </c>
      <c r="N28" s="49">
        <f t="shared" si="7"/>
        <v>19500</v>
      </c>
      <c r="O28" s="49">
        <f t="shared" si="7"/>
        <v>4950.0000000000009</v>
      </c>
      <c r="P28" s="49">
        <f t="shared" si="7"/>
        <v>4950.0000000000009</v>
      </c>
      <c r="Q28" s="49">
        <f t="shared" si="7"/>
        <v>4950.0000000000009</v>
      </c>
      <c r="R28" s="49">
        <f t="shared" si="7"/>
        <v>14850.000000000002</v>
      </c>
      <c r="S28" s="49">
        <f t="shared" si="7"/>
        <v>14850.000000000002</v>
      </c>
      <c r="T28" s="49">
        <f t="shared" si="7"/>
        <v>4950.0000000000009</v>
      </c>
      <c r="U28" s="49">
        <f t="shared" si="7"/>
        <v>4950.0000000000009</v>
      </c>
      <c r="V28" s="49">
        <f t="shared" si="7"/>
        <v>14850.000000000002</v>
      </c>
      <c r="W28" s="49">
        <f t="shared" si="7"/>
        <v>4950.0000000000009</v>
      </c>
      <c r="X28" s="49">
        <f t="shared" si="7"/>
        <v>14850.000000000002</v>
      </c>
      <c r="Y28" s="49">
        <f t="shared" si="7"/>
        <v>4950.0000000000009</v>
      </c>
      <c r="Z28" s="49">
        <f t="shared" si="7"/>
        <v>4950.0000000000009</v>
      </c>
      <c r="AA28" s="49">
        <f t="shared" si="7"/>
        <v>5940.0000000000009</v>
      </c>
      <c r="AB28" s="49">
        <f t="shared" si="7"/>
        <v>5940.0000000000009</v>
      </c>
      <c r="AC28" s="49">
        <f t="shared" si="7"/>
        <v>5940.0000000000009</v>
      </c>
      <c r="AD28" s="49">
        <f t="shared" si="7"/>
        <v>17820</v>
      </c>
      <c r="AE28" s="49">
        <f t="shared" si="7"/>
        <v>17820</v>
      </c>
      <c r="AF28" s="49">
        <f t="shared" si="7"/>
        <v>5940.0000000000009</v>
      </c>
      <c r="AG28" s="49">
        <f t="shared" si="7"/>
        <v>5940.0000000000009</v>
      </c>
      <c r="AH28" s="49">
        <f t="shared" si="7"/>
        <v>17820</v>
      </c>
      <c r="AI28" s="49">
        <f t="shared" si="7"/>
        <v>5940.0000000000009</v>
      </c>
      <c r="AJ28" s="49">
        <f t="shared" si="7"/>
        <v>17820</v>
      </c>
      <c r="AK28" s="49">
        <f t="shared" si="7"/>
        <v>5940.0000000000009</v>
      </c>
      <c r="AL28" s="49">
        <f t="shared" si="7"/>
        <v>5940.0000000000009</v>
      </c>
      <c r="AM28" s="49">
        <f t="shared" si="7"/>
        <v>5940.0000000000009</v>
      </c>
      <c r="AN28" s="49">
        <f t="shared" si="7"/>
        <v>5940.0000000000009</v>
      </c>
    </row>
    <row r="29" spans="1:40" s="16" customFormat="1" ht="12.75" thickBot="1">
      <c r="A29" s="17"/>
      <c r="B29" s="17"/>
      <c r="C29" s="33"/>
      <c r="D29" s="19"/>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row>
    <row r="30" spans="1:40" s="16" customFormat="1">
      <c r="A30" s="2" t="s">
        <v>25</v>
      </c>
      <c r="B30" s="1"/>
      <c r="C30" s="32"/>
      <c r="D30" s="15"/>
    </row>
    <row r="31" spans="1:40" s="16" customFormat="1">
      <c r="A31" s="2"/>
      <c r="B31" s="1"/>
      <c r="C31" s="32"/>
      <c r="D31" s="15"/>
    </row>
    <row r="32" spans="1:40" s="49" customFormat="1">
      <c r="A32" s="2"/>
      <c r="B32" s="2" t="s">
        <v>189</v>
      </c>
      <c r="C32" s="55"/>
      <c r="D32" s="66">
        <f>IF(E$5="New Business",Inputs!F26,0)</f>
        <v>400000</v>
      </c>
    </row>
    <row r="33" spans="1:40" s="16" customFormat="1">
      <c r="A33" s="2"/>
      <c r="B33" s="1"/>
      <c r="C33" s="32"/>
      <c r="D33" s="15"/>
    </row>
    <row r="34" spans="1:40" s="49" customFormat="1">
      <c r="A34" s="2"/>
      <c r="B34" s="2" t="s">
        <v>206</v>
      </c>
      <c r="C34" s="48"/>
      <c r="D34" s="52"/>
      <c r="E34" s="68">
        <f>IF(Inputs!$F$14="Lease",Inputs!$F$23,0)</f>
        <v>0</v>
      </c>
      <c r="F34" s="68">
        <f>IF(Inputs!$F$14="Lease",Inputs!$F$23,0)</f>
        <v>0</v>
      </c>
      <c r="G34" s="68">
        <f>IF(Inputs!$F$14="Lease",Inputs!$F$23,0)</f>
        <v>0</v>
      </c>
      <c r="H34" s="68">
        <f>IF(Inputs!$F$14="Lease",Inputs!$F$23,0)</f>
        <v>0</v>
      </c>
      <c r="I34" s="68">
        <f>IF(Inputs!$F$14="Lease",Inputs!$F$23,0)</f>
        <v>0</v>
      </c>
      <c r="J34" s="68">
        <f>IF(Inputs!$F$14="Lease",Inputs!$F$23,0)</f>
        <v>0</v>
      </c>
      <c r="K34" s="68">
        <f>IF(Inputs!$F$14="Lease",Inputs!$F$23,0)</f>
        <v>0</v>
      </c>
      <c r="L34" s="68">
        <f>IF(Inputs!$F$14="Lease",Inputs!$F$23,0)</f>
        <v>0</v>
      </c>
      <c r="M34" s="68">
        <f>IF(Inputs!$F$14="Lease",Inputs!$F$23,0)</f>
        <v>0</v>
      </c>
      <c r="N34" s="68">
        <f>IF(Inputs!$F$14="Lease",Inputs!$F$23,0)</f>
        <v>0</v>
      </c>
      <c r="O34" s="68">
        <f>IF(Inputs!$F$14="Lease",Inputs!$F$23,0)</f>
        <v>0</v>
      </c>
      <c r="P34" s="68">
        <f>IF(Inputs!$F$14="Lease",Inputs!$F$23,0)</f>
        <v>0</v>
      </c>
      <c r="Q34" s="68">
        <f>IF(Inputs!$F$14="Lease",Inputs!$F$23,0)</f>
        <v>0</v>
      </c>
      <c r="R34" s="68">
        <f>IF(Inputs!$F$14="Lease",Inputs!$F$23,0)</f>
        <v>0</v>
      </c>
      <c r="S34" s="68">
        <f>IF(Inputs!$F$14="Lease",Inputs!$F$23,0)</f>
        <v>0</v>
      </c>
      <c r="T34" s="68">
        <f>IF(Inputs!$F$14="Lease",Inputs!$F$23,0)</f>
        <v>0</v>
      </c>
      <c r="U34" s="68">
        <f>IF(Inputs!$F$14="Lease",Inputs!$F$23,0)</f>
        <v>0</v>
      </c>
      <c r="V34" s="68">
        <f>IF(Inputs!$F$14="Lease",Inputs!$F$23,0)</f>
        <v>0</v>
      </c>
      <c r="W34" s="68">
        <f>IF(Inputs!$F$14="Lease",Inputs!$F$23,0)</f>
        <v>0</v>
      </c>
      <c r="X34" s="68">
        <f>IF(Inputs!$F$14="Lease",Inputs!$F$23,0)</f>
        <v>0</v>
      </c>
      <c r="Y34" s="68">
        <f>IF(Inputs!$F$14="Lease",Inputs!$F$23,0)</f>
        <v>0</v>
      </c>
      <c r="Z34" s="68">
        <f>IF(Inputs!$F$14="Lease",Inputs!$F$23,0)</f>
        <v>0</v>
      </c>
      <c r="AA34" s="68">
        <f>IF(Inputs!$F$14="Lease",Inputs!$F$23,0)</f>
        <v>0</v>
      </c>
      <c r="AB34" s="68">
        <f>IF(Inputs!$F$14="Lease",Inputs!$F$23,0)</f>
        <v>0</v>
      </c>
      <c r="AC34" s="68">
        <f>IF(Inputs!$F$14="Lease",Inputs!$F$23,0)</f>
        <v>0</v>
      </c>
      <c r="AD34" s="68">
        <f>IF(Inputs!$F$14="Lease",Inputs!$F$23,0)</f>
        <v>0</v>
      </c>
      <c r="AE34" s="68">
        <f>IF(Inputs!$F$14="Lease",Inputs!$F$23,0)</f>
        <v>0</v>
      </c>
      <c r="AF34" s="68">
        <f>IF(Inputs!$F$14="Lease",Inputs!$F$23,0)</f>
        <v>0</v>
      </c>
      <c r="AG34" s="68">
        <f>IF(Inputs!$F$14="Lease",Inputs!$F$23,0)</f>
        <v>0</v>
      </c>
      <c r="AH34" s="68">
        <f>IF(Inputs!$F$14="Lease",Inputs!$F$23,0)</f>
        <v>0</v>
      </c>
      <c r="AI34" s="68">
        <f>IF(Inputs!$F$14="Lease",Inputs!$F$23,0)</f>
        <v>0</v>
      </c>
      <c r="AJ34" s="68">
        <f>IF(Inputs!$F$14="Lease",Inputs!$F$23,0)</f>
        <v>0</v>
      </c>
      <c r="AK34" s="68">
        <f>IF(Inputs!$F$14="Lease",Inputs!$F$23,0)</f>
        <v>0</v>
      </c>
      <c r="AL34" s="68">
        <f>IF(Inputs!$F$14="Lease",Inputs!$F$23,0)</f>
        <v>0</v>
      </c>
      <c r="AM34" s="68">
        <f>IF(Inputs!$F$14="Lease",Inputs!$F$23,0)</f>
        <v>0</v>
      </c>
      <c r="AN34" s="68">
        <f>IF(Inputs!$F$14="Lease",Inputs!$F$23,0)</f>
        <v>0</v>
      </c>
    </row>
    <row r="35" spans="1:40" s="49" customFormat="1">
      <c r="A35" s="2"/>
      <c r="B35" s="2" t="s">
        <v>207</v>
      </c>
      <c r="C35" s="48"/>
      <c r="D35" s="52"/>
      <c r="E35" s="68">
        <f>IF(Inputs!$F$14="Purchase",-VLOOKUP('Projections-WORST'!E$8,MortgageAmortWORST[],4,FALSE),0)</f>
        <v>276.01757585413287</v>
      </c>
      <c r="F35" s="68">
        <f>IF(Inputs!$F$14="Purchase",-VLOOKUP('Projections-WORST'!F$8,MortgageAmortWORST[],4,FALSE),0)</f>
        <v>277.85769302649379</v>
      </c>
      <c r="G35" s="68">
        <f>IF(Inputs!$F$14="Purchase",-VLOOKUP('Projections-WORST'!G$8,MortgageAmortWORST[],4,FALSE),0)</f>
        <v>279.71007764667036</v>
      </c>
      <c r="H35" s="68">
        <f>IF(Inputs!$F$14="Purchase",-VLOOKUP('Projections-WORST'!H$8,MortgageAmortWORST[],4,FALSE),0)</f>
        <v>281.57481149764823</v>
      </c>
      <c r="I35" s="68">
        <f>IF(Inputs!$F$14="Purchase",-VLOOKUP('Projections-WORST'!I$8,MortgageAmortWORST[],4,FALSE),0)</f>
        <v>283.45197690763257</v>
      </c>
      <c r="J35" s="68">
        <f>IF(Inputs!$F$14="Purchase",-VLOOKUP('Projections-WORST'!J$8,MortgageAmortWORST[],4,FALSE),0)</f>
        <v>285.34165675368342</v>
      </c>
      <c r="K35" s="68">
        <f>IF(Inputs!$F$14="Purchase",-VLOOKUP('Projections-WORST'!K$8,MortgageAmortWORST[],4,FALSE),0)</f>
        <v>287.24393446537465</v>
      </c>
      <c r="L35" s="68">
        <f>IF(Inputs!$F$14="Purchase",-VLOOKUP('Projections-WORST'!L$8,MortgageAmortWORST[],4,FALSE),0)</f>
        <v>289.15889402847711</v>
      </c>
      <c r="M35" s="68">
        <f>IF(Inputs!$F$14="Purchase",-VLOOKUP('Projections-WORST'!M$8,MortgageAmortWORST[],4,FALSE),0)</f>
        <v>291.08661998866694</v>
      </c>
      <c r="N35" s="68">
        <f>IF(Inputs!$F$14="Purchase",-VLOOKUP('Projections-WORST'!N$8,MortgageAmortWORST[],4,FALSE),0)</f>
        <v>293.02719745525809</v>
      </c>
      <c r="O35" s="68">
        <f>IF(Inputs!$F$14="Purchase",-VLOOKUP('Projections-WORST'!O$8,MortgageAmortWORST[],4,FALSE),0)</f>
        <v>294.98071210495982</v>
      </c>
      <c r="P35" s="68">
        <f>IF(Inputs!$F$14="Purchase",-VLOOKUP('Projections-WORST'!P$8,MortgageAmortWORST[],4,FALSE),0)</f>
        <v>296.94725018565958</v>
      </c>
      <c r="Q35" s="68">
        <f>IF(Inputs!$F$14="Purchase",-VLOOKUP('Projections-WORST'!Q$8,MortgageAmortWORST[],4,FALSE),0)</f>
        <v>298.92689852023062</v>
      </c>
      <c r="R35" s="68">
        <f>IF(Inputs!$F$14="Purchase",-VLOOKUP('Projections-WORST'!R$8,MortgageAmortWORST[],4,FALSE),0)</f>
        <v>300.91974451036549</v>
      </c>
      <c r="S35" s="68">
        <f>IF(Inputs!$F$14="Purchase",-VLOOKUP('Projections-WORST'!S$8,MortgageAmortWORST[],4,FALSE),0)</f>
        <v>302.92587614043458</v>
      </c>
      <c r="T35" s="68">
        <f>IF(Inputs!$F$14="Purchase",-VLOOKUP('Projections-WORST'!T$8,MortgageAmortWORST[],4,FALSE),0)</f>
        <v>304.94538198137082</v>
      </c>
      <c r="U35" s="68">
        <f>IF(Inputs!$F$14="Purchase",-VLOOKUP('Projections-WORST'!U$8,MortgageAmortWORST[],4,FALSE),0)</f>
        <v>306.97835119458</v>
      </c>
      <c r="V35" s="68">
        <f>IF(Inputs!$F$14="Purchase",-VLOOKUP('Projections-WORST'!V$8,MortgageAmortWORST[],4,FALSE),0)</f>
        <v>309.02487353587719</v>
      </c>
      <c r="W35" s="68">
        <f>IF(Inputs!$F$14="Purchase",-VLOOKUP('Projections-WORST'!W$8,MortgageAmortWORST[],4,FALSE),0)</f>
        <v>311.08503935944969</v>
      </c>
      <c r="X35" s="68">
        <f>IF(Inputs!$F$14="Purchase",-VLOOKUP('Projections-WORST'!X$8,MortgageAmortWORST[],4,FALSE),0)</f>
        <v>313.15893962184606</v>
      </c>
      <c r="Y35" s="68">
        <f>IF(Inputs!$F$14="Purchase",-VLOOKUP('Projections-WORST'!Y$8,MortgageAmortWORST[],4,FALSE),0)</f>
        <v>315.2466658859916</v>
      </c>
      <c r="Z35" s="68">
        <f>IF(Inputs!$F$14="Purchase",-VLOOKUP('Projections-WORST'!Z$8,MortgageAmortWORST[],4,FALSE),0)</f>
        <v>317.34831032523152</v>
      </c>
      <c r="AA35" s="68">
        <f>IF(Inputs!$F$14="Purchase",-VLOOKUP('Projections-WORST'!AA$8,MortgageAmortWORST[],4,FALSE),0)</f>
        <v>319.46396572739985</v>
      </c>
      <c r="AB35" s="68">
        <f>IF(Inputs!$F$14="Purchase",-VLOOKUP('Projections-WORST'!AB$8,MortgageAmortWORST[],4,FALSE),0)</f>
        <v>321.59372549891583</v>
      </c>
      <c r="AC35" s="68">
        <f>IF(Inputs!$F$14="Purchase",-VLOOKUP('Projections-WORST'!AC$8,MortgageAmortWORST[],4,FALSE),0)</f>
        <v>323.73768366890857</v>
      </c>
      <c r="AD35" s="68">
        <f>IF(Inputs!$F$14="Purchase",-VLOOKUP('Projections-WORST'!AD$8,MortgageAmortWORST[],4,FALSE),0)</f>
        <v>325.89593489336795</v>
      </c>
      <c r="AE35" s="68">
        <f>IF(Inputs!$F$14="Purchase",-VLOOKUP('Projections-WORST'!AE$8,MortgageAmortWORST[],4,FALSE),0)</f>
        <v>328.06857445932371</v>
      </c>
      <c r="AF35" s="68">
        <f>IF(Inputs!$F$14="Purchase",-VLOOKUP('Projections-WORST'!AF$8,MortgageAmortWORST[],4,FALSE),0)</f>
        <v>330.25569828905253</v>
      </c>
      <c r="AG35" s="68">
        <f>IF(Inputs!$F$14="Purchase",-VLOOKUP('Projections-WORST'!AG$8,MortgageAmortWORST[],4,FALSE),0)</f>
        <v>332.457402944313</v>
      </c>
      <c r="AH35" s="68">
        <f>IF(Inputs!$F$14="Purchase",-VLOOKUP('Projections-WORST'!AH$8,MortgageAmortWORST[],4,FALSE),0)</f>
        <v>334.67378563060839</v>
      </c>
      <c r="AI35" s="68">
        <f>IF(Inputs!$F$14="Purchase",-VLOOKUP('Projections-WORST'!AI$8,MortgageAmortWORST[],4,FALSE),0)</f>
        <v>336.90494420147905</v>
      </c>
      <c r="AJ35" s="68">
        <f>IF(Inputs!$F$14="Purchase",-VLOOKUP('Projections-WORST'!AJ$8,MortgageAmortWORST[],4,FALSE),0)</f>
        <v>339.15097716282224</v>
      </c>
      <c r="AK35" s="68">
        <f>IF(Inputs!$F$14="Purchase",-VLOOKUP('Projections-WORST'!AK$8,MortgageAmortWORST[],4,FALSE),0)</f>
        <v>341.4119836772411</v>
      </c>
      <c r="AL35" s="68">
        <f>IF(Inputs!$F$14="Purchase",-VLOOKUP('Projections-WORST'!AL$8,MortgageAmortWORST[],4,FALSE),0)</f>
        <v>343.68806356842271</v>
      </c>
      <c r="AM35" s="68">
        <f>IF(Inputs!$F$14="Purchase",-VLOOKUP('Projections-WORST'!AM$8,MortgageAmortWORST[],4,FALSE),0)</f>
        <v>345.97931732554548</v>
      </c>
      <c r="AN35" s="68">
        <f>IF(Inputs!$F$14="Purchase",-VLOOKUP('Projections-WORST'!AN$8,MortgageAmortWORST[],4,FALSE),0)</f>
        <v>348.28584610771583</v>
      </c>
    </row>
    <row r="36" spans="1:40" s="49" customFormat="1">
      <c r="A36" s="2"/>
      <c r="B36" s="2" t="s">
        <v>208</v>
      </c>
      <c r="C36" s="48"/>
      <c r="D36" s="52"/>
      <c r="E36" s="68">
        <f>IF(Inputs!$F$14="Purchase",-VLOOKUP('Projections-WORST'!E$8,MortgageAmortWORST[],3,FALSE),0)</f>
        <v>1750</v>
      </c>
      <c r="F36" s="68">
        <f>IF(Inputs!$F$14="Purchase",-VLOOKUP('Projections-WORST'!F$8,MortgageAmortWORST[],3,FALSE),0)</f>
        <v>1748.1598828276392</v>
      </c>
      <c r="G36" s="68">
        <f>IF(Inputs!$F$14="Purchase",-VLOOKUP('Projections-WORST'!G$8,MortgageAmortWORST[],3,FALSE),0)</f>
        <v>1746.3074982074627</v>
      </c>
      <c r="H36" s="68">
        <f>IF(Inputs!$F$14="Purchase",-VLOOKUP('Projections-WORST'!H$8,MortgageAmortWORST[],3,FALSE),0)</f>
        <v>1744.4427643564848</v>
      </c>
      <c r="I36" s="68">
        <f>IF(Inputs!$F$14="Purchase",-VLOOKUP('Projections-WORST'!I$8,MortgageAmortWORST[],3,FALSE),0)</f>
        <v>1742.5655989465006</v>
      </c>
      <c r="J36" s="68">
        <f>IF(Inputs!$F$14="Purchase",-VLOOKUP('Projections-WORST'!J$8,MortgageAmortWORST[],3,FALSE),0)</f>
        <v>1740.6759191004494</v>
      </c>
      <c r="K36" s="68">
        <f>IF(Inputs!$F$14="Purchase",-VLOOKUP('Projections-WORST'!K$8,MortgageAmortWORST[],3,FALSE),0)</f>
        <v>1738.7736413887583</v>
      </c>
      <c r="L36" s="68">
        <f>IF(Inputs!$F$14="Purchase",-VLOOKUP('Projections-WORST'!L$8,MortgageAmortWORST[],3,FALSE),0)</f>
        <v>1736.8586818256558</v>
      </c>
      <c r="M36" s="68">
        <f>IF(Inputs!$F$14="Purchase",-VLOOKUP('Projections-WORST'!M$8,MortgageAmortWORST[],3,FALSE),0)</f>
        <v>1734.9309558654659</v>
      </c>
      <c r="N36" s="68">
        <f>IF(Inputs!$F$14="Purchase",-VLOOKUP('Projections-WORST'!N$8,MortgageAmortWORST[],3,FALSE),0)</f>
        <v>1732.990378398875</v>
      </c>
      <c r="O36" s="68">
        <f>IF(Inputs!$F$14="Purchase",-VLOOKUP('Projections-WORST'!O$8,MortgageAmortWORST[],3,FALSE),0)</f>
        <v>1731.0368637491731</v>
      </c>
      <c r="P36" s="68">
        <f>IF(Inputs!$F$14="Purchase",-VLOOKUP('Projections-WORST'!P$8,MortgageAmortWORST[],3,FALSE),0)</f>
        <v>1729.0703256684735</v>
      </c>
      <c r="Q36" s="68">
        <f>IF(Inputs!$F$14="Purchase",-VLOOKUP('Projections-WORST'!Q$8,MortgageAmortWORST[],3,FALSE),0)</f>
        <v>1727.0906773339022</v>
      </c>
      <c r="R36" s="68">
        <f>IF(Inputs!$F$14="Purchase",-VLOOKUP('Projections-WORST'!R$8,MortgageAmortWORST[],3,FALSE),0)</f>
        <v>1725.0978313437674</v>
      </c>
      <c r="S36" s="68">
        <f>IF(Inputs!$F$14="Purchase",-VLOOKUP('Projections-WORST'!S$8,MortgageAmortWORST[],3,FALSE),0)</f>
        <v>1723.0916997136983</v>
      </c>
      <c r="T36" s="68">
        <f>IF(Inputs!$F$14="Purchase",-VLOOKUP('Projections-WORST'!T$8,MortgageAmortWORST[],3,FALSE),0)</f>
        <v>1721.0721938727622</v>
      </c>
      <c r="U36" s="68">
        <f>IF(Inputs!$F$14="Purchase",-VLOOKUP('Projections-WORST'!U$8,MortgageAmortWORST[],3,FALSE),0)</f>
        <v>1719.0392246595532</v>
      </c>
      <c r="V36" s="68">
        <f>IF(Inputs!$F$14="Purchase",-VLOOKUP('Projections-WORST'!V$8,MortgageAmortWORST[],3,FALSE),0)</f>
        <v>1716.9927023182559</v>
      </c>
      <c r="W36" s="68">
        <f>IF(Inputs!$F$14="Purchase",-VLOOKUP('Projections-WORST'!W$8,MortgageAmortWORST[],3,FALSE),0)</f>
        <v>1714.9325364946833</v>
      </c>
      <c r="X36" s="68">
        <f>IF(Inputs!$F$14="Purchase",-VLOOKUP('Projections-WORST'!X$8,MortgageAmortWORST[],3,FALSE),0)</f>
        <v>1712.8586362322872</v>
      </c>
      <c r="Y36" s="68">
        <f>IF(Inputs!$F$14="Purchase",-VLOOKUP('Projections-WORST'!Y$8,MortgageAmortWORST[],3,FALSE),0)</f>
        <v>1710.7709099681415</v>
      </c>
      <c r="Z36" s="68">
        <f>IF(Inputs!$F$14="Purchase",-VLOOKUP('Projections-WORST'!Z$8,MortgageAmortWORST[],3,FALSE),0)</f>
        <v>1708.6692655289014</v>
      </c>
      <c r="AA36" s="68">
        <f>IF(Inputs!$F$14="Purchase",-VLOOKUP('Projections-WORST'!AA$8,MortgageAmortWORST[],3,FALSE),0)</f>
        <v>1706.5536101267332</v>
      </c>
      <c r="AB36" s="68">
        <f>IF(Inputs!$F$14="Purchase",-VLOOKUP('Projections-WORST'!AB$8,MortgageAmortWORST[],3,FALSE),0)</f>
        <v>1704.4238503552172</v>
      </c>
      <c r="AC36" s="68">
        <f>IF(Inputs!$F$14="Purchase",-VLOOKUP('Projections-WORST'!AC$8,MortgageAmortWORST[],3,FALSE),0)</f>
        <v>1702.2798921852243</v>
      </c>
      <c r="AD36" s="68">
        <f>IF(Inputs!$F$14="Purchase",-VLOOKUP('Projections-WORST'!AD$8,MortgageAmortWORST[],3,FALSE),0)</f>
        <v>1700.121640960765</v>
      </c>
      <c r="AE36" s="68">
        <f>IF(Inputs!$F$14="Purchase",-VLOOKUP('Projections-WORST'!AE$8,MortgageAmortWORST[],3,FALSE),0)</f>
        <v>1697.9490013948093</v>
      </c>
      <c r="AF36" s="68">
        <f>IF(Inputs!$F$14="Purchase",-VLOOKUP('Projections-WORST'!AF$8,MortgageAmortWORST[],3,FALSE),0)</f>
        <v>1695.7618775650803</v>
      </c>
      <c r="AG36" s="68">
        <f>IF(Inputs!$F$14="Purchase",-VLOOKUP('Projections-WORST'!AG$8,MortgageAmortWORST[],3,FALSE),0)</f>
        <v>1693.56017290982</v>
      </c>
      <c r="AH36" s="68">
        <f>IF(Inputs!$F$14="Purchase",-VLOOKUP('Projections-WORST'!AH$8,MortgageAmortWORST[],3,FALSE),0)</f>
        <v>1691.3437902235244</v>
      </c>
      <c r="AI36" s="68">
        <f>IF(Inputs!$F$14="Purchase",-VLOOKUP('Projections-WORST'!AI$8,MortgageAmortWORST[],3,FALSE),0)</f>
        <v>1689.1126316526538</v>
      </c>
      <c r="AJ36" s="68">
        <f>IF(Inputs!$F$14="Purchase",-VLOOKUP('Projections-WORST'!AJ$8,MortgageAmortWORST[],3,FALSE),0)</f>
        <v>1686.8665986913109</v>
      </c>
      <c r="AK36" s="68">
        <f>IF(Inputs!$F$14="Purchase",-VLOOKUP('Projections-WORST'!AK$8,MortgageAmortWORST[],3,FALSE),0)</f>
        <v>1684.6055921768918</v>
      </c>
      <c r="AL36" s="68">
        <f>IF(Inputs!$F$14="Purchase",-VLOOKUP('Projections-WORST'!AL$8,MortgageAmortWORST[],3,FALSE),0)</f>
        <v>1682.3295122857103</v>
      </c>
      <c r="AM36" s="68">
        <f>IF(Inputs!$F$14="Purchase",-VLOOKUP('Projections-WORST'!AM$8,MortgageAmortWORST[],3,FALSE),0)</f>
        <v>1680.0382585285874</v>
      </c>
      <c r="AN36" s="68">
        <f>IF(Inputs!$F$14="Purchase",-VLOOKUP('Projections-WORST'!AN$8,MortgageAmortWORST[],3,FALSE),0)</f>
        <v>1677.7317297464172</v>
      </c>
    </row>
    <row r="37" spans="1:40" s="16" customFormat="1">
      <c r="A37" s="2"/>
      <c r="B37" s="71" t="s">
        <v>219</v>
      </c>
      <c r="C37" s="32"/>
      <c r="D37" s="15"/>
    </row>
    <row r="38" spans="1:40" s="16" customFormat="1">
      <c r="A38" s="2"/>
      <c r="B38" s="50" t="s">
        <v>290</v>
      </c>
      <c r="C38" s="32"/>
      <c r="D38" s="15"/>
    </row>
    <row r="39" spans="1:40" s="16" customFormat="1">
      <c r="A39" s="2"/>
      <c r="B39" s="50"/>
      <c r="C39" s="32"/>
      <c r="D39" s="15"/>
    </row>
    <row r="40" spans="1:40" s="49" customFormat="1">
      <c r="A40" s="2"/>
      <c r="B40" s="2" t="s">
        <v>209</v>
      </c>
      <c r="C40" s="56"/>
      <c r="D40" s="52"/>
      <c r="E40" s="68">
        <f>SUM(E41:E48)</f>
        <v>10093.200000000001</v>
      </c>
      <c r="F40" s="68">
        <f t="shared" ref="F40:AN40" si="8">SUM(F41:F48)</f>
        <v>21793.200000000001</v>
      </c>
      <c r="G40" s="68">
        <f t="shared" si="8"/>
        <v>21793.200000000001</v>
      </c>
      <c r="H40" s="68">
        <f t="shared" si="8"/>
        <v>10093.200000000001</v>
      </c>
      <c r="I40" s="68">
        <f t="shared" si="8"/>
        <v>10093.200000000001</v>
      </c>
      <c r="J40" s="68">
        <f t="shared" si="8"/>
        <v>21793.200000000001</v>
      </c>
      <c r="K40" s="68">
        <f t="shared" si="8"/>
        <v>10093.200000000001</v>
      </c>
      <c r="L40" s="68">
        <f t="shared" si="8"/>
        <v>21793.200000000001</v>
      </c>
      <c r="M40" s="68">
        <f t="shared" si="8"/>
        <v>10093.200000000001</v>
      </c>
      <c r="N40" s="68">
        <f t="shared" si="8"/>
        <v>10093.200000000001</v>
      </c>
      <c r="O40" s="68">
        <f t="shared" si="8"/>
        <v>9775.76</v>
      </c>
      <c r="P40" s="68">
        <f t="shared" si="8"/>
        <v>9775.76</v>
      </c>
      <c r="Q40" s="68">
        <f t="shared" si="8"/>
        <v>9775.76</v>
      </c>
      <c r="R40" s="68">
        <f t="shared" si="8"/>
        <v>22043.119999999999</v>
      </c>
      <c r="S40" s="68">
        <f t="shared" si="8"/>
        <v>22043.119999999999</v>
      </c>
      <c r="T40" s="68">
        <f t="shared" si="8"/>
        <v>9775.76</v>
      </c>
      <c r="U40" s="68">
        <f t="shared" si="8"/>
        <v>9775.76</v>
      </c>
      <c r="V40" s="68">
        <f t="shared" si="8"/>
        <v>22043.119999999999</v>
      </c>
      <c r="W40" s="68">
        <f t="shared" si="8"/>
        <v>9775.76</v>
      </c>
      <c r="X40" s="68">
        <f t="shared" si="8"/>
        <v>22043.119999999999</v>
      </c>
      <c r="Y40" s="68">
        <f t="shared" si="8"/>
        <v>9775.76</v>
      </c>
      <c r="Z40" s="68">
        <f t="shared" si="8"/>
        <v>9775.76</v>
      </c>
      <c r="AA40" s="68">
        <f t="shared" si="8"/>
        <v>15168.208000000002</v>
      </c>
      <c r="AB40" s="68">
        <f t="shared" si="8"/>
        <v>15168.208000000002</v>
      </c>
      <c r="AC40" s="68">
        <f t="shared" si="8"/>
        <v>15168.208000000002</v>
      </c>
      <c r="AD40" s="68">
        <f t="shared" si="8"/>
        <v>30511.983999999993</v>
      </c>
      <c r="AE40" s="68">
        <f t="shared" si="8"/>
        <v>30511.983999999993</v>
      </c>
      <c r="AF40" s="68">
        <f t="shared" si="8"/>
        <v>15168.208000000002</v>
      </c>
      <c r="AG40" s="68">
        <f t="shared" si="8"/>
        <v>15168.208000000002</v>
      </c>
      <c r="AH40" s="68">
        <f t="shared" si="8"/>
        <v>30511.983999999993</v>
      </c>
      <c r="AI40" s="68">
        <f t="shared" si="8"/>
        <v>15168.208000000002</v>
      </c>
      <c r="AJ40" s="68">
        <f t="shared" si="8"/>
        <v>30511.983999999993</v>
      </c>
      <c r="AK40" s="68">
        <f t="shared" si="8"/>
        <v>15168.208000000002</v>
      </c>
      <c r="AL40" s="68">
        <f t="shared" si="8"/>
        <v>15168.208000000002</v>
      </c>
      <c r="AM40" s="68">
        <f t="shared" si="8"/>
        <v>15168.208000000002</v>
      </c>
      <c r="AN40" s="68">
        <f t="shared" si="8"/>
        <v>15168.208000000002</v>
      </c>
    </row>
    <row r="41" spans="1:40" s="16" customFormat="1">
      <c r="A41" s="1"/>
      <c r="B41" s="1"/>
      <c r="C41" s="32" t="s">
        <v>0</v>
      </c>
      <c r="D41" s="15"/>
      <c r="E41" s="67">
        <f>IF(E$9=1,Inputs!$F$61*'Projections-WORST'!E$17,IF(E$9=2,Inputs!$F$62*'Projections-WORST'!E$17,Inputs!$F$63*'Projections-WORST'!E$17))</f>
        <v>1575</v>
      </c>
      <c r="F41" s="67">
        <f>IF(F$9=1,Inputs!$F$61*'Projections-WORST'!F$17,IF(F$9=2,Inputs!$F$62*'Projections-WORST'!F$17,Inputs!$F$63*'Projections-WORST'!F$17))</f>
        <v>4725</v>
      </c>
      <c r="G41" s="67">
        <f>IF(G$9=1,Inputs!$F$61*'Projections-WORST'!G$17,IF(G$9=2,Inputs!$F$62*'Projections-WORST'!G$17,Inputs!$F$63*'Projections-WORST'!G$17))</f>
        <v>4725</v>
      </c>
      <c r="H41" s="67">
        <f>IF(H$9=1,Inputs!$F$61*'Projections-WORST'!H$17,IF(H$9=2,Inputs!$F$62*'Projections-WORST'!H$17,Inputs!$F$63*'Projections-WORST'!H$17))</f>
        <v>1575</v>
      </c>
      <c r="I41" s="67">
        <f>IF(I$9=1,Inputs!$F$61*'Projections-WORST'!I$17,IF(I$9=2,Inputs!$F$62*'Projections-WORST'!I$17,Inputs!$F$63*'Projections-WORST'!I$17))</f>
        <v>1575</v>
      </c>
      <c r="J41" s="67">
        <f>IF(J$9=1,Inputs!$F$61*'Projections-WORST'!J$17,IF(J$9=2,Inputs!$F$62*'Projections-WORST'!J$17,Inputs!$F$63*'Projections-WORST'!J$17))</f>
        <v>4725</v>
      </c>
      <c r="K41" s="67">
        <f>IF(K$9=1,Inputs!$F$61*'Projections-WORST'!K$17,IF(K$9=2,Inputs!$F$62*'Projections-WORST'!K$17,Inputs!$F$63*'Projections-WORST'!K$17))</f>
        <v>1575</v>
      </c>
      <c r="L41" s="67">
        <f>IF(L$9=1,Inputs!$F$61*'Projections-WORST'!L$17,IF(L$9=2,Inputs!$F$62*'Projections-WORST'!L$17,Inputs!$F$63*'Projections-WORST'!L$17))</f>
        <v>4725</v>
      </c>
      <c r="M41" s="67">
        <f>IF(M$9=1,Inputs!$F$61*'Projections-WORST'!M$17,IF(M$9=2,Inputs!$F$62*'Projections-WORST'!M$17,Inputs!$F$63*'Projections-WORST'!M$17))</f>
        <v>1575</v>
      </c>
      <c r="N41" s="67">
        <f>IF(N$9=1,Inputs!$F$61*'Projections-WORST'!N$17,IF(N$9=2,Inputs!$F$62*'Projections-WORST'!N$17,Inputs!$F$63*'Projections-WORST'!N$17))</f>
        <v>1575</v>
      </c>
      <c r="O41" s="67">
        <f>IF(O$9=1,Inputs!$F$61*'Projections-WORST'!O$17,IF(O$9=2,Inputs!$F$62*'Projections-WORST'!O$17,Inputs!$F$63*'Projections-WORST'!O$17))</f>
        <v>1732.5000000000002</v>
      </c>
      <c r="P41" s="67">
        <f>IF(P$9=1,Inputs!$F$61*'Projections-WORST'!P$17,IF(P$9=2,Inputs!$F$62*'Projections-WORST'!P$17,Inputs!$F$63*'Projections-WORST'!P$17))</f>
        <v>1732.5000000000002</v>
      </c>
      <c r="Q41" s="67">
        <f>IF(Q$9=1,Inputs!$F$61*'Projections-WORST'!Q$17,IF(Q$9=2,Inputs!$F$62*'Projections-WORST'!Q$17,Inputs!$F$63*'Projections-WORST'!Q$17))</f>
        <v>1732.5000000000002</v>
      </c>
      <c r="R41" s="67">
        <f>IF(R$9=1,Inputs!$F$61*'Projections-WORST'!R$17,IF(R$9=2,Inputs!$F$62*'Projections-WORST'!R$17,Inputs!$F$63*'Projections-WORST'!R$17))</f>
        <v>5197.5</v>
      </c>
      <c r="S41" s="67">
        <f>IF(S$9=1,Inputs!$F$61*'Projections-WORST'!S$17,IF(S$9=2,Inputs!$F$62*'Projections-WORST'!S$17,Inputs!$F$63*'Projections-WORST'!S$17))</f>
        <v>5197.5</v>
      </c>
      <c r="T41" s="67">
        <f>IF(T$9=1,Inputs!$F$61*'Projections-WORST'!T$17,IF(T$9=2,Inputs!$F$62*'Projections-WORST'!T$17,Inputs!$F$63*'Projections-WORST'!T$17))</f>
        <v>1732.5000000000002</v>
      </c>
      <c r="U41" s="67">
        <f>IF(U$9=1,Inputs!$F$61*'Projections-WORST'!U$17,IF(U$9=2,Inputs!$F$62*'Projections-WORST'!U$17,Inputs!$F$63*'Projections-WORST'!U$17))</f>
        <v>1732.5000000000002</v>
      </c>
      <c r="V41" s="67">
        <f>IF(V$9=1,Inputs!$F$61*'Projections-WORST'!V$17,IF(V$9=2,Inputs!$F$62*'Projections-WORST'!V$17,Inputs!$F$63*'Projections-WORST'!V$17))</f>
        <v>5197.5</v>
      </c>
      <c r="W41" s="67">
        <f>IF(W$9=1,Inputs!$F$61*'Projections-WORST'!W$17,IF(W$9=2,Inputs!$F$62*'Projections-WORST'!W$17,Inputs!$F$63*'Projections-WORST'!W$17))</f>
        <v>1732.5000000000002</v>
      </c>
      <c r="X41" s="67">
        <f>IF(X$9=1,Inputs!$F$61*'Projections-WORST'!X$17,IF(X$9=2,Inputs!$F$62*'Projections-WORST'!X$17,Inputs!$F$63*'Projections-WORST'!X$17))</f>
        <v>5197.5</v>
      </c>
      <c r="Y41" s="67">
        <f>IF(Y$9=1,Inputs!$F$61*'Projections-WORST'!Y$17,IF(Y$9=2,Inputs!$F$62*'Projections-WORST'!Y$17,Inputs!$F$63*'Projections-WORST'!Y$17))</f>
        <v>1732.5000000000002</v>
      </c>
      <c r="Z41" s="67">
        <f>IF(Z$9=1,Inputs!$F$61*'Projections-WORST'!Z$17,IF(Z$9=2,Inputs!$F$62*'Projections-WORST'!Z$17,Inputs!$F$63*'Projections-WORST'!Z$17))</f>
        <v>1732.5000000000002</v>
      </c>
      <c r="AA41" s="67">
        <f>IF(AA$9=1,Inputs!$F$61*'Projections-WORST'!AA$17,IF(AA$9=2,Inputs!$F$62*'Projections-WORST'!AA$17,Inputs!$F$63*'Projections-WORST'!AA$17))</f>
        <v>2079</v>
      </c>
      <c r="AB41" s="67">
        <f>IF(AB$9=1,Inputs!$F$61*'Projections-WORST'!AB$17,IF(AB$9=2,Inputs!$F$62*'Projections-WORST'!AB$17,Inputs!$F$63*'Projections-WORST'!AB$17))</f>
        <v>2079</v>
      </c>
      <c r="AC41" s="67">
        <f>IF(AC$9=1,Inputs!$F$61*'Projections-WORST'!AC$17,IF(AC$9=2,Inputs!$F$62*'Projections-WORST'!AC$17,Inputs!$F$63*'Projections-WORST'!AC$17))</f>
        <v>2079</v>
      </c>
      <c r="AD41" s="67">
        <f>IF(AD$9=1,Inputs!$F$61*'Projections-WORST'!AD$17,IF(AD$9=2,Inputs!$F$62*'Projections-WORST'!AD$17,Inputs!$F$63*'Projections-WORST'!AD$17))</f>
        <v>6237</v>
      </c>
      <c r="AE41" s="67">
        <f>IF(AE$9=1,Inputs!$F$61*'Projections-WORST'!AE$17,IF(AE$9=2,Inputs!$F$62*'Projections-WORST'!AE$17,Inputs!$F$63*'Projections-WORST'!AE$17))</f>
        <v>6237</v>
      </c>
      <c r="AF41" s="67">
        <f>IF(AF$9=1,Inputs!$F$61*'Projections-WORST'!AF$17,IF(AF$9=2,Inputs!$F$62*'Projections-WORST'!AF$17,Inputs!$F$63*'Projections-WORST'!AF$17))</f>
        <v>2079</v>
      </c>
      <c r="AG41" s="67">
        <f>IF(AG$9=1,Inputs!$F$61*'Projections-WORST'!AG$17,IF(AG$9=2,Inputs!$F$62*'Projections-WORST'!AG$17,Inputs!$F$63*'Projections-WORST'!AG$17))</f>
        <v>2079</v>
      </c>
      <c r="AH41" s="67">
        <f>IF(AH$9=1,Inputs!$F$61*'Projections-WORST'!AH$17,IF(AH$9=2,Inputs!$F$62*'Projections-WORST'!AH$17,Inputs!$F$63*'Projections-WORST'!AH$17))</f>
        <v>6237</v>
      </c>
      <c r="AI41" s="67">
        <f>IF(AI$9=1,Inputs!$F$61*'Projections-WORST'!AI$17,IF(AI$9=2,Inputs!$F$62*'Projections-WORST'!AI$17,Inputs!$F$63*'Projections-WORST'!AI$17))</f>
        <v>2079</v>
      </c>
      <c r="AJ41" s="67">
        <f>IF(AJ$9=1,Inputs!$F$61*'Projections-WORST'!AJ$17,IF(AJ$9=2,Inputs!$F$62*'Projections-WORST'!AJ$17,Inputs!$F$63*'Projections-WORST'!AJ$17))</f>
        <v>6237</v>
      </c>
      <c r="AK41" s="67">
        <f>IF(AK$9=1,Inputs!$F$61*'Projections-WORST'!AK$17,IF(AK$9=2,Inputs!$F$62*'Projections-WORST'!AK$17,Inputs!$F$63*'Projections-WORST'!AK$17))</f>
        <v>2079</v>
      </c>
      <c r="AL41" s="67">
        <f>IF(AL$9=1,Inputs!$F$61*'Projections-WORST'!AL$17,IF(AL$9=2,Inputs!$F$62*'Projections-WORST'!AL$17,Inputs!$F$63*'Projections-WORST'!AL$17))</f>
        <v>2079</v>
      </c>
      <c r="AM41" s="67">
        <f>IF(AM$9=1,Inputs!$F$61*'Projections-WORST'!AM$17,IF(AM$9=2,Inputs!$F$62*'Projections-WORST'!AM$17,Inputs!$F$63*'Projections-WORST'!AM$17))</f>
        <v>2079</v>
      </c>
      <c r="AN41" s="67">
        <f>IF(AN$9=1,Inputs!$F$61*'Projections-WORST'!AN$17,IF(AN$9=2,Inputs!$F$62*'Projections-WORST'!AN$17,Inputs!$F$63*'Projections-WORST'!AN$17))</f>
        <v>2079</v>
      </c>
    </row>
    <row r="42" spans="1:40" s="16" customFormat="1">
      <c r="A42" s="1"/>
      <c r="B42" s="1"/>
      <c r="C42" s="32" t="s">
        <v>212</v>
      </c>
      <c r="D42" s="15"/>
      <c r="E42" s="67">
        <f>IF(E$9=1,Inputs!$F$74*'Projections-WORST'!E$17,IF(E$9=2,Inputs!$F$79*'Projections-WORST'!E$17,Inputs!$F$80*'Projections-WORST'!E$17))</f>
        <v>2925</v>
      </c>
      <c r="F42" s="67">
        <f>IF(F$9=1,Inputs!$F$74*'Projections-WORST'!F$17,IF(F$9=2,Inputs!$F$79*'Projections-WORST'!F$17,Inputs!$F$80*'Projections-WORST'!F$17))</f>
        <v>8775</v>
      </c>
      <c r="G42" s="67">
        <f>IF(G$9=1,Inputs!$F$74*'Projections-WORST'!G$17,IF(G$9=2,Inputs!$F$79*'Projections-WORST'!G$17,Inputs!$F$80*'Projections-WORST'!G$17))</f>
        <v>8775</v>
      </c>
      <c r="H42" s="67">
        <f>IF(H$9=1,Inputs!$F$74*'Projections-WORST'!H$17,IF(H$9=2,Inputs!$F$79*'Projections-WORST'!H$17,Inputs!$F$80*'Projections-WORST'!H$17))</f>
        <v>2925</v>
      </c>
      <c r="I42" s="67">
        <f>IF(I$9=1,Inputs!$F$74*'Projections-WORST'!I$17,IF(I$9=2,Inputs!$F$79*'Projections-WORST'!I$17,Inputs!$F$80*'Projections-WORST'!I$17))</f>
        <v>2925</v>
      </c>
      <c r="J42" s="67">
        <f>IF(J$9=1,Inputs!$F$74*'Projections-WORST'!J$17,IF(J$9=2,Inputs!$F$79*'Projections-WORST'!J$17,Inputs!$F$80*'Projections-WORST'!J$17))</f>
        <v>8775</v>
      </c>
      <c r="K42" s="67">
        <f>IF(K$9=1,Inputs!$F$74*'Projections-WORST'!K$17,IF(K$9=2,Inputs!$F$79*'Projections-WORST'!K$17,Inputs!$F$80*'Projections-WORST'!K$17))</f>
        <v>2925</v>
      </c>
      <c r="L42" s="67">
        <f>IF(L$9=1,Inputs!$F$74*'Projections-WORST'!L$17,IF(L$9=2,Inputs!$F$79*'Projections-WORST'!L$17,Inputs!$F$80*'Projections-WORST'!L$17))</f>
        <v>8775</v>
      </c>
      <c r="M42" s="67">
        <f>IF(M$9=1,Inputs!$F$74*'Projections-WORST'!M$17,IF(M$9=2,Inputs!$F$79*'Projections-WORST'!M$17,Inputs!$F$80*'Projections-WORST'!M$17))</f>
        <v>2925</v>
      </c>
      <c r="N42" s="67">
        <f>IF(N$9=1,Inputs!$F$74*'Projections-WORST'!N$17,IF(N$9=2,Inputs!$F$79*'Projections-WORST'!N$17,Inputs!$F$80*'Projections-WORST'!N$17))</f>
        <v>2925</v>
      </c>
      <c r="O42" s="67">
        <f>IF(O$9=1,Inputs!$F$74*'Projections-WORST'!O$17,IF(O$9=2,Inputs!$F$79*'Projections-WORST'!O$17,Inputs!$F$80*'Projections-WORST'!O$17))</f>
        <v>2966.4</v>
      </c>
      <c r="P42" s="67">
        <f>IF(P$9=1,Inputs!$F$74*'Projections-WORST'!P$17,IF(P$9=2,Inputs!$F$79*'Projections-WORST'!P$17,Inputs!$F$80*'Projections-WORST'!P$17))</f>
        <v>2966.4</v>
      </c>
      <c r="Q42" s="67">
        <f>IF(Q$9=1,Inputs!$F$74*'Projections-WORST'!Q$17,IF(Q$9=2,Inputs!$F$79*'Projections-WORST'!Q$17,Inputs!$F$80*'Projections-WORST'!Q$17))</f>
        <v>2966.4</v>
      </c>
      <c r="R42" s="67">
        <f>IF(R$9=1,Inputs!$F$74*'Projections-WORST'!R$17,IF(R$9=2,Inputs!$F$79*'Projections-WORST'!R$17,Inputs!$F$80*'Projections-WORST'!R$17))</f>
        <v>8899.1999999999989</v>
      </c>
      <c r="S42" s="67">
        <f>IF(S$9=1,Inputs!$F$74*'Projections-WORST'!S$17,IF(S$9=2,Inputs!$F$79*'Projections-WORST'!S$17,Inputs!$F$80*'Projections-WORST'!S$17))</f>
        <v>8899.1999999999989</v>
      </c>
      <c r="T42" s="67">
        <f>IF(T$9=1,Inputs!$F$74*'Projections-WORST'!T$17,IF(T$9=2,Inputs!$F$79*'Projections-WORST'!T$17,Inputs!$F$80*'Projections-WORST'!T$17))</f>
        <v>2966.4</v>
      </c>
      <c r="U42" s="67">
        <f>IF(U$9=1,Inputs!$F$74*'Projections-WORST'!U$17,IF(U$9=2,Inputs!$F$79*'Projections-WORST'!U$17,Inputs!$F$80*'Projections-WORST'!U$17))</f>
        <v>2966.4</v>
      </c>
      <c r="V42" s="67">
        <f>IF(V$9=1,Inputs!$F$74*'Projections-WORST'!V$17,IF(V$9=2,Inputs!$F$79*'Projections-WORST'!V$17,Inputs!$F$80*'Projections-WORST'!V$17))</f>
        <v>8899.1999999999989</v>
      </c>
      <c r="W42" s="67">
        <f>IF(W$9=1,Inputs!$F$74*'Projections-WORST'!W$17,IF(W$9=2,Inputs!$F$79*'Projections-WORST'!W$17,Inputs!$F$80*'Projections-WORST'!W$17))</f>
        <v>2966.4</v>
      </c>
      <c r="X42" s="67">
        <f>IF(X$9=1,Inputs!$F$74*'Projections-WORST'!X$17,IF(X$9=2,Inputs!$F$79*'Projections-WORST'!X$17,Inputs!$F$80*'Projections-WORST'!X$17))</f>
        <v>8899.1999999999989</v>
      </c>
      <c r="Y42" s="67">
        <f>IF(Y$9=1,Inputs!$F$74*'Projections-WORST'!Y$17,IF(Y$9=2,Inputs!$F$79*'Projections-WORST'!Y$17,Inputs!$F$80*'Projections-WORST'!Y$17))</f>
        <v>2966.4</v>
      </c>
      <c r="Z42" s="67">
        <f>IF(Z$9=1,Inputs!$F$74*'Projections-WORST'!Z$17,IF(Z$9=2,Inputs!$F$79*'Projections-WORST'!Z$17,Inputs!$F$80*'Projections-WORST'!Z$17))</f>
        <v>2966.4</v>
      </c>
      <c r="AA42" s="67">
        <f>IF(AA$9=1,Inputs!$F$74*'Projections-WORST'!AA$17,IF(AA$9=2,Inputs!$F$79*'Projections-WORST'!AA$17,Inputs!$F$80*'Projections-WORST'!AA$17))</f>
        <v>3819.24</v>
      </c>
      <c r="AB42" s="67">
        <f>IF(AB$9=1,Inputs!$F$74*'Projections-WORST'!AB$17,IF(AB$9=2,Inputs!$F$79*'Projections-WORST'!AB$17,Inputs!$F$80*'Projections-WORST'!AB$17))</f>
        <v>3819.24</v>
      </c>
      <c r="AC42" s="67">
        <f>IF(AC$9=1,Inputs!$F$74*'Projections-WORST'!AC$17,IF(AC$9=2,Inputs!$F$79*'Projections-WORST'!AC$17,Inputs!$F$80*'Projections-WORST'!AC$17))</f>
        <v>3819.24</v>
      </c>
      <c r="AD42" s="67">
        <f>IF(AD$9=1,Inputs!$F$74*'Projections-WORST'!AD$17,IF(AD$9=2,Inputs!$F$79*'Projections-WORST'!AD$17,Inputs!$F$80*'Projections-WORST'!AD$17))</f>
        <v>11457.719999999998</v>
      </c>
      <c r="AE42" s="67">
        <f>IF(AE$9=1,Inputs!$F$74*'Projections-WORST'!AE$17,IF(AE$9=2,Inputs!$F$79*'Projections-WORST'!AE$17,Inputs!$F$80*'Projections-WORST'!AE$17))</f>
        <v>11457.719999999998</v>
      </c>
      <c r="AF42" s="67">
        <f>IF(AF$9=1,Inputs!$F$74*'Projections-WORST'!AF$17,IF(AF$9=2,Inputs!$F$79*'Projections-WORST'!AF$17,Inputs!$F$80*'Projections-WORST'!AF$17))</f>
        <v>3819.24</v>
      </c>
      <c r="AG42" s="67">
        <f>IF(AG$9=1,Inputs!$F$74*'Projections-WORST'!AG$17,IF(AG$9=2,Inputs!$F$79*'Projections-WORST'!AG$17,Inputs!$F$80*'Projections-WORST'!AG$17))</f>
        <v>3819.24</v>
      </c>
      <c r="AH42" s="67">
        <f>IF(AH$9=1,Inputs!$F$74*'Projections-WORST'!AH$17,IF(AH$9=2,Inputs!$F$79*'Projections-WORST'!AH$17,Inputs!$F$80*'Projections-WORST'!AH$17))</f>
        <v>11457.719999999998</v>
      </c>
      <c r="AI42" s="67">
        <f>IF(AI$9=1,Inputs!$F$74*'Projections-WORST'!AI$17,IF(AI$9=2,Inputs!$F$79*'Projections-WORST'!AI$17,Inputs!$F$80*'Projections-WORST'!AI$17))</f>
        <v>3819.24</v>
      </c>
      <c r="AJ42" s="67">
        <f>IF(AJ$9=1,Inputs!$F$74*'Projections-WORST'!AJ$17,IF(AJ$9=2,Inputs!$F$79*'Projections-WORST'!AJ$17,Inputs!$F$80*'Projections-WORST'!AJ$17))</f>
        <v>11457.719999999998</v>
      </c>
      <c r="AK42" s="67">
        <f>IF(AK$9=1,Inputs!$F$74*'Projections-WORST'!AK$17,IF(AK$9=2,Inputs!$F$79*'Projections-WORST'!AK$17,Inputs!$F$80*'Projections-WORST'!AK$17))</f>
        <v>3819.24</v>
      </c>
      <c r="AL42" s="67">
        <f>IF(AL$9=1,Inputs!$F$74*'Projections-WORST'!AL$17,IF(AL$9=2,Inputs!$F$79*'Projections-WORST'!AL$17,Inputs!$F$80*'Projections-WORST'!AL$17))</f>
        <v>3819.24</v>
      </c>
      <c r="AM42" s="67">
        <f>IF(AM$9=1,Inputs!$F$74*'Projections-WORST'!AM$17,IF(AM$9=2,Inputs!$F$79*'Projections-WORST'!AM$17,Inputs!$F$80*'Projections-WORST'!AM$17))</f>
        <v>3819.24</v>
      </c>
      <c r="AN42" s="67">
        <f>IF(AN$9=1,Inputs!$F$74*'Projections-WORST'!AN$17,IF(AN$9=2,Inputs!$F$79*'Projections-WORST'!AN$17,Inputs!$F$80*'Projections-WORST'!AN$17))</f>
        <v>3819.24</v>
      </c>
    </row>
    <row r="43" spans="1:40" s="16" customFormat="1">
      <c r="A43" s="1"/>
      <c r="B43" s="1"/>
      <c r="C43" s="32" t="s">
        <v>317</v>
      </c>
      <c r="D43" s="15"/>
      <c r="E43" s="67">
        <f>Inputs!$F$78*'Projections-WORST'!E42</f>
        <v>585</v>
      </c>
      <c r="F43" s="67">
        <f>Inputs!$F$78*'Projections-WORST'!F42</f>
        <v>1755</v>
      </c>
      <c r="G43" s="67">
        <f>Inputs!$F$78*'Projections-WORST'!G42</f>
        <v>1755</v>
      </c>
      <c r="H43" s="67">
        <f>Inputs!$F$78*'Projections-WORST'!H42</f>
        <v>585</v>
      </c>
      <c r="I43" s="67">
        <f>Inputs!$F$78*'Projections-WORST'!I42</f>
        <v>585</v>
      </c>
      <c r="J43" s="67">
        <f>Inputs!$F$78*'Projections-WORST'!J42</f>
        <v>1755</v>
      </c>
      <c r="K43" s="67">
        <f>Inputs!$F$78*'Projections-WORST'!K42</f>
        <v>585</v>
      </c>
      <c r="L43" s="67">
        <f>Inputs!$F$78*'Projections-WORST'!L42</f>
        <v>1755</v>
      </c>
      <c r="M43" s="67">
        <f>Inputs!$F$78*'Projections-WORST'!M42</f>
        <v>585</v>
      </c>
      <c r="N43" s="67">
        <f>Inputs!$F$78*'Projections-WORST'!N42</f>
        <v>585</v>
      </c>
      <c r="O43" s="67">
        <f>Inputs!$F$78*'Projections-WORST'!O42</f>
        <v>593.28000000000009</v>
      </c>
      <c r="P43" s="67">
        <f>Inputs!$F$78*'Projections-WORST'!P42</f>
        <v>593.28000000000009</v>
      </c>
      <c r="Q43" s="67">
        <f>Inputs!$F$78*'Projections-WORST'!Q42</f>
        <v>593.28000000000009</v>
      </c>
      <c r="R43" s="67">
        <f>Inputs!$F$78*'Projections-WORST'!R42</f>
        <v>1779.84</v>
      </c>
      <c r="S43" s="67">
        <f>Inputs!$F$78*'Projections-WORST'!S42</f>
        <v>1779.84</v>
      </c>
      <c r="T43" s="67">
        <f>Inputs!$F$78*'Projections-WORST'!T42</f>
        <v>593.28000000000009</v>
      </c>
      <c r="U43" s="67">
        <f>Inputs!$F$78*'Projections-WORST'!U42</f>
        <v>593.28000000000009</v>
      </c>
      <c r="V43" s="67">
        <f>Inputs!$F$78*'Projections-WORST'!V42</f>
        <v>1779.84</v>
      </c>
      <c r="W43" s="67">
        <f>Inputs!$F$78*'Projections-WORST'!W42</f>
        <v>593.28000000000009</v>
      </c>
      <c r="X43" s="67">
        <f>Inputs!$F$78*'Projections-WORST'!X42</f>
        <v>1779.84</v>
      </c>
      <c r="Y43" s="67">
        <f>Inputs!$F$78*'Projections-WORST'!Y42</f>
        <v>593.28000000000009</v>
      </c>
      <c r="Z43" s="67">
        <f>Inputs!$F$78*'Projections-WORST'!Z42</f>
        <v>593.28000000000009</v>
      </c>
      <c r="AA43" s="67">
        <f>Inputs!$F$78*'Projections-WORST'!AA42</f>
        <v>763.84799999999996</v>
      </c>
      <c r="AB43" s="67">
        <f>Inputs!$F$78*'Projections-WORST'!AB42</f>
        <v>763.84799999999996</v>
      </c>
      <c r="AC43" s="67">
        <f>Inputs!$F$78*'Projections-WORST'!AC42</f>
        <v>763.84799999999996</v>
      </c>
      <c r="AD43" s="67">
        <f>Inputs!$F$78*'Projections-WORST'!AD42</f>
        <v>2291.5439999999994</v>
      </c>
      <c r="AE43" s="67">
        <f>Inputs!$F$78*'Projections-WORST'!AE42</f>
        <v>2291.5439999999994</v>
      </c>
      <c r="AF43" s="67">
        <f>Inputs!$F$78*'Projections-WORST'!AF42</f>
        <v>763.84799999999996</v>
      </c>
      <c r="AG43" s="67">
        <f>Inputs!$F$78*'Projections-WORST'!AG42</f>
        <v>763.84799999999996</v>
      </c>
      <c r="AH43" s="67">
        <f>Inputs!$F$78*'Projections-WORST'!AH42</f>
        <v>2291.5439999999994</v>
      </c>
      <c r="AI43" s="67">
        <f>Inputs!$F$78*'Projections-WORST'!AI42</f>
        <v>763.84799999999996</v>
      </c>
      <c r="AJ43" s="67">
        <f>Inputs!$F$78*'Projections-WORST'!AJ42</f>
        <v>2291.5439999999994</v>
      </c>
      <c r="AK43" s="67">
        <f>Inputs!$F$78*'Projections-WORST'!AK42</f>
        <v>763.84799999999996</v>
      </c>
      <c r="AL43" s="67">
        <f>Inputs!$F$78*'Projections-WORST'!AL42</f>
        <v>763.84799999999996</v>
      </c>
      <c r="AM43" s="67">
        <f>Inputs!$F$78*'Projections-WORST'!AM42</f>
        <v>763.84799999999996</v>
      </c>
      <c r="AN43" s="67">
        <f>Inputs!$F$78*'Projections-WORST'!AN42</f>
        <v>763.84799999999996</v>
      </c>
    </row>
    <row r="44" spans="1:40" s="16" customFormat="1">
      <c r="A44" s="1"/>
      <c r="B44" s="1"/>
      <c r="C44" s="32" t="s">
        <v>213</v>
      </c>
      <c r="D44" s="15"/>
      <c r="E44" s="67">
        <f>IF(E$9=1,Inputs!$F$84*Inputs!$F$9*Inputs!$F$10*Inputs!$F$11*Inputs!$F$82/(13-MONTH($E$6)),IF(E$9=2,Inputs!$F$85*Inputs!$F$9*Inputs!$F$10*Inputs!$F$11*Inputs!$F$82*(1+Inputs!$F$88)/12,Inputs!$F$86*Inputs!$F$9*Inputs!$F$10*Inputs!$F$11*Inputs!$F$82*(1+2*Inputs!$F$88)/12))</f>
        <v>3264</v>
      </c>
      <c r="F44" s="67">
        <f>IF(F$9=1,Inputs!$F$84*Inputs!$F$9*Inputs!$F$10*Inputs!$F$11*Inputs!$F$82/(13-MONTH($E$6)),IF(F$9=2,Inputs!$F$85*Inputs!$F$9*Inputs!$F$10*Inputs!$F$11*Inputs!$F$82*(1+Inputs!$F$88)/12,Inputs!$F$86*Inputs!$F$9*Inputs!$F$10*Inputs!$F$11*Inputs!$F$82*(1+2*Inputs!$F$88)/12))</f>
        <v>3264</v>
      </c>
      <c r="G44" s="67">
        <f>IF(G$9=1,Inputs!$F$84*Inputs!$F$9*Inputs!$F$10*Inputs!$F$11*Inputs!$F$82/(13-MONTH($E$6)),IF(G$9=2,Inputs!$F$85*Inputs!$F$9*Inputs!$F$10*Inputs!$F$11*Inputs!$F$82*(1+Inputs!$F$88)/12,Inputs!$F$86*Inputs!$F$9*Inputs!$F$10*Inputs!$F$11*Inputs!$F$82*(1+2*Inputs!$F$88)/12))</f>
        <v>3264</v>
      </c>
      <c r="H44" s="67">
        <f>IF(H$9=1,Inputs!$F$84*Inputs!$F$9*Inputs!$F$10*Inputs!$F$11*Inputs!$F$82/(13-MONTH($E$6)),IF(H$9=2,Inputs!$F$85*Inputs!$F$9*Inputs!$F$10*Inputs!$F$11*Inputs!$F$82*(1+Inputs!$F$88)/12,Inputs!$F$86*Inputs!$F$9*Inputs!$F$10*Inputs!$F$11*Inputs!$F$82*(1+2*Inputs!$F$88)/12))</f>
        <v>3264</v>
      </c>
      <c r="I44" s="67">
        <f>IF(I$9=1,Inputs!$F$84*Inputs!$F$9*Inputs!$F$10*Inputs!$F$11*Inputs!$F$82/(13-MONTH($E$6)),IF(I$9=2,Inputs!$F$85*Inputs!$F$9*Inputs!$F$10*Inputs!$F$11*Inputs!$F$82*(1+Inputs!$F$88)/12,Inputs!$F$86*Inputs!$F$9*Inputs!$F$10*Inputs!$F$11*Inputs!$F$82*(1+2*Inputs!$F$88)/12))</f>
        <v>3264</v>
      </c>
      <c r="J44" s="67">
        <f>IF(J$9=1,Inputs!$F$84*Inputs!$F$9*Inputs!$F$10*Inputs!$F$11*Inputs!$F$82/(13-MONTH($E$6)),IF(J$9=2,Inputs!$F$85*Inputs!$F$9*Inputs!$F$10*Inputs!$F$11*Inputs!$F$82*(1+Inputs!$F$88)/12,Inputs!$F$86*Inputs!$F$9*Inputs!$F$10*Inputs!$F$11*Inputs!$F$82*(1+2*Inputs!$F$88)/12))</f>
        <v>3264</v>
      </c>
      <c r="K44" s="67">
        <f>IF(K$9=1,Inputs!$F$84*Inputs!$F$9*Inputs!$F$10*Inputs!$F$11*Inputs!$F$82/(13-MONTH($E$6)),IF(K$9=2,Inputs!$F$85*Inputs!$F$9*Inputs!$F$10*Inputs!$F$11*Inputs!$F$82*(1+Inputs!$F$88)/12,Inputs!$F$86*Inputs!$F$9*Inputs!$F$10*Inputs!$F$11*Inputs!$F$82*(1+2*Inputs!$F$88)/12))</f>
        <v>3264</v>
      </c>
      <c r="L44" s="67">
        <f>IF(L$9=1,Inputs!$F$84*Inputs!$F$9*Inputs!$F$10*Inputs!$F$11*Inputs!$F$82/(13-MONTH($E$6)),IF(L$9=2,Inputs!$F$85*Inputs!$F$9*Inputs!$F$10*Inputs!$F$11*Inputs!$F$82*(1+Inputs!$F$88)/12,Inputs!$F$86*Inputs!$F$9*Inputs!$F$10*Inputs!$F$11*Inputs!$F$82*(1+2*Inputs!$F$88)/12))</f>
        <v>3264</v>
      </c>
      <c r="M44" s="67">
        <f>IF(M$9=1,Inputs!$F$84*Inputs!$F$9*Inputs!$F$10*Inputs!$F$11*Inputs!$F$82/(13-MONTH($E$6)),IF(M$9=2,Inputs!$F$85*Inputs!$F$9*Inputs!$F$10*Inputs!$F$11*Inputs!$F$82*(1+Inputs!$F$88)/12,Inputs!$F$86*Inputs!$F$9*Inputs!$F$10*Inputs!$F$11*Inputs!$F$82*(1+2*Inputs!$F$88)/12))</f>
        <v>3264</v>
      </c>
      <c r="N44" s="67">
        <f>IF(N$9=1,Inputs!$F$84*Inputs!$F$9*Inputs!$F$10*Inputs!$F$11*Inputs!$F$82/(13-MONTH($E$6)),IF(N$9=2,Inputs!$F$85*Inputs!$F$9*Inputs!$F$10*Inputs!$F$11*Inputs!$F$82*(1+Inputs!$F$88)/12,Inputs!$F$86*Inputs!$F$9*Inputs!$F$10*Inputs!$F$11*Inputs!$F$82*(1+2*Inputs!$F$88)/12))</f>
        <v>3264</v>
      </c>
      <c r="O44" s="67">
        <f>IF(O$9=1,Inputs!$F$84*Inputs!$F$9*Inputs!$F$10*Inputs!$F$11*Inputs!$F$82/(13-MONTH($E$6)),IF(O$9=2,Inputs!$F$85*Inputs!$F$9*Inputs!$F$10*Inputs!$F$11*Inputs!$F$82*(1+Inputs!$F$88)/12,Inputs!$F$86*Inputs!$F$9*Inputs!$F$10*Inputs!$F$11*Inputs!$F$82*(1+2*Inputs!$F$88)/12))</f>
        <v>2801.6000000000004</v>
      </c>
      <c r="P44" s="67">
        <f>IF(P$9=1,Inputs!$F$84*Inputs!$F$9*Inputs!$F$10*Inputs!$F$11*Inputs!$F$82/(13-MONTH($E$6)),IF(P$9=2,Inputs!$F$85*Inputs!$F$9*Inputs!$F$10*Inputs!$F$11*Inputs!$F$82*(1+Inputs!$F$88)/12,Inputs!$F$86*Inputs!$F$9*Inputs!$F$10*Inputs!$F$11*Inputs!$F$82*(1+2*Inputs!$F$88)/12))</f>
        <v>2801.6000000000004</v>
      </c>
      <c r="Q44" s="67">
        <f>IF(Q$9=1,Inputs!$F$84*Inputs!$F$9*Inputs!$F$10*Inputs!$F$11*Inputs!$F$82/(13-MONTH($E$6)),IF(Q$9=2,Inputs!$F$85*Inputs!$F$9*Inputs!$F$10*Inputs!$F$11*Inputs!$F$82*(1+Inputs!$F$88)/12,Inputs!$F$86*Inputs!$F$9*Inputs!$F$10*Inputs!$F$11*Inputs!$F$82*(1+2*Inputs!$F$88)/12))</f>
        <v>2801.6000000000004</v>
      </c>
      <c r="R44" s="67">
        <f>IF(R$9=1,Inputs!$F$84*Inputs!$F$9*Inputs!$F$10*Inputs!$F$11*Inputs!$F$82/(13-MONTH($E$6)),IF(R$9=2,Inputs!$F$85*Inputs!$F$9*Inputs!$F$10*Inputs!$F$11*Inputs!$F$82*(1+Inputs!$F$88)/12,Inputs!$F$86*Inputs!$F$9*Inputs!$F$10*Inputs!$F$11*Inputs!$F$82*(1+2*Inputs!$F$88)/12))</f>
        <v>2801.6000000000004</v>
      </c>
      <c r="S44" s="67">
        <f>IF(S$9=1,Inputs!$F$84*Inputs!$F$9*Inputs!$F$10*Inputs!$F$11*Inputs!$F$82/(13-MONTH($E$6)),IF(S$9=2,Inputs!$F$85*Inputs!$F$9*Inputs!$F$10*Inputs!$F$11*Inputs!$F$82*(1+Inputs!$F$88)/12,Inputs!$F$86*Inputs!$F$9*Inputs!$F$10*Inputs!$F$11*Inputs!$F$82*(1+2*Inputs!$F$88)/12))</f>
        <v>2801.6000000000004</v>
      </c>
      <c r="T44" s="67">
        <f>IF(T$9=1,Inputs!$F$84*Inputs!$F$9*Inputs!$F$10*Inputs!$F$11*Inputs!$F$82/(13-MONTH($E$6)),IF(T$9=2,Inputs!$F$85*Inputs!$F$9*Inputs!$F$10*Inputs!$F$11*Inputs!$F$82*(1+Inputs!$F$88)/12,Inputs!$F$86*Inputs!$F$9*Inputs!$F$10*Inputs!$F$11*Inputs!$F$82*(1+2*Inputs!$F$88)/12))</f>
        <v>2801.6000000000004</v>
      </c>
      <c r="U44" s="67">
        <f>IF(U$9=1,Inputs!$F$84*Inputs!$F$9*Inputs!$F$10*Inputs!$F$11*Inputs!$F$82/(13-MONTH($E$6)),IF(U$9=2,Inputs!$F$85*Inputs!$F$9*Inputs!$F$10*Inputs!$F$11*Inputs!$F$82*(1+Inputs!$F$88)/12,Inputs!$F$86*Inputs!$F$9*Inputs!$F$10*Inputs!$F$11*Inputs!$F$82*(1+2*Inputs!$F$88)/12))</f>
        <v>2801.6000000000004</v>
      </c>
      <c r="V44" s="67">
        <f>IF(V$9=1,Inputs!$F$84*Inputs!$F$9*Inputs!$F$10*Inputs!$F$11*Inputs!$F$82/(13-MONTH($E$6)),IF(V$9=2,Inputs!$F$85*Inputs!$F$9*Inputs!$F$10*Inputs!$F$11*Inputs!$F$82*(1+Inputs!$F$88)/12,Inputs!$F$86*Inputs!$F$9*Inputs!$F$10*Inputs!$F$11*Inputs!$F$82*(1+2*Inputs!$F$88)/12))</f>
        <v>2801.6000000000004</v>
      </c>
      <c r="W44" s="67">
        <f>IF(W$9=1,Inputs!$F$84*Inputs!$F$9*Inputs!$F$10*Inputs!$F$11*Inputs!$F$82/(13-MONTH($E$6)),IF(W$9=2,Inputs!$F$85*Inputs!$F$9*Inputs!$F$10*Inputs!$F$11*Inputs!$F$82*(1+Inputs!$F$88)/12,Inputs!$F$86*Inputs!$F$9*Inputs!$F$10*Inputs!$F$11*Inputs!$F$82*(1+2*Inputs!$F$88)/12))</f>
        <v>2801.6000000000004</v>
      </c>
      <c r="X44" s="67">
        <f>IF(X$9=1,Inputs!$F$84*Inputs!$F$9*Inputs!$F$10*Inputs!$F$11*Inputs!$F$82/(13-MONTH($E$6)),IF(X$9=2,Inputs!$F$85*Inputs!$F$9*Inputs!$F$10*Inputs!$F$11*Inputs!$F$82*(1+Inputs!$F$88)/12,Inputs!$F$86*Inputs!$F$9*Inputs!$F$10*Inputs!$F$11*Inputs!$F$82*(1+2*Inputs!$F$88)/12))</f>
        <v>2801.6000000000004</v>
      </c>
      <c r="Y44" s="67">
        <f>IF(Y$9=1,Inputs!$F$84*Inputs!$F$9*Inputs!$F$10*Inputs!$F$11*Inputs!$F$82/(13-MONTH($E$6)),IF(Y$9=2,Inputs!$F$85*Inputs!$F$9*Inputs!$F$10*Inputs!$F$11*Inputs!$F$82*(1+Inputs!$F$88)/12,Inputs!$F$86*Inputs!$F$9*Inputs!$F$10*Inputs!$F$11*Inputs!$F$82*(1+2*Inputs!$F$88)/12))</f>
        <v>2801.6000000000004</v>
      </c>
      <c r="Z44" s="67">
        <f>IF(Z$9=1,Inputs!$F$84*Inputs!$F$9*Inputs!$F$10*Inputs!$F$11*Inputs!$F$82/(13-MONTH($E$6)),IF(Z$9=2,Inputs!$F$85*Inputs!$F$9*Inputs!$F$10*Inputs!$F$11*Inputs!$F$82*(1+Inputs!$F$88)/12,Inputs!$F$86*Inputs!$F$9*Inputs!$F$10*Inputs!$F$11*Inputs!$F$82*(1+2*Inputs!$F$88)/12))</f>
        <v>2801.6000000000004</v>
      </c>
      <c r="AA44" s="67">
        <f>IF(AA$9=1,Inputs!$F$84*Inputs!$F$9*Inputs!$F$10*Inputs!$F$11*Inputs!$F$82/(13-MONTH($E$6)),IF(AA$9=2,Inputs!$F$85*Inputs!$F$9*Inputs!$F$10*Inputs!$F$11*Inputs!$F$82*(1+Inputs!$F$88)/12,Inputs!$F$86*Inputs!$F$9*Inputs!$F$10*Inputs!$F$11*Inputs!$F$82*(1+2*Inputs!$F$88)/12))</f>
        <v>5766.4000000000005</v>
      </c>
      <c r="AB44" s="67">
        <f>IF(AB$9=1,Inputs!$F$84*Inputs!$F$9*Inputs!$F$10*Inputs!$F$11*Inputs!$F$82/(13-MONTH($E$6)),IF(AB$9=2,Inputs!$F$85*Inputs!$F$9*Inputs!$F$10*Inputs!$F$11*Inputs!$F$82*(1+Inputs!$F$88)/12,Inputs!$F$86*Inputs!$F$9*Inputs!$F$10*Inputs!$F$11*Inputs!$F$82*(1+2*Inputs!$F$88)/12))</f>
        <v>5766.4000000000005</v>
      </c>
      <c r="AC44" s="67">
        <f>IF(AC$9=1,Inputs!$F$84*Inputs!$F$9*Inputs!$F$10*Inputs!$F$11*Inputs!$F$82/(13-MONTH($E$6)),IF(AC$9=2,Inputs!$F$85*Inputs!$F$9*Inputs!$F$10*Inputs!$F$11*Inputs!$F$82*(1+Inputs!$F$88)/12,Inputs!$F$86*Inputs!$F$9*Inputs!$F$10*Inputs!$F$11*Inputs!$F$82*(1+2*Inputs!$F$88)/12))</f>
        <v>5766.4000000000005</v>
      </c>
      <c r="AD44" s="67">
        <f>IF(AD$9=1,Inputs!$F$84*Inputs!$F$9*Inputs!$F$10*Inputs!$F$11*Inputs!$F$82/(13-MONTH($E$6)),IF(AD$9=2,Inputs!$F$85*Inputs!$F$9*Inputs!$F$10*Inputs!$F$11*Inputs!$F$82*(1+Inputs!$F$88)/12,Inputs!$F$86*Inputs!$F$9*Inputs!$F$10*Inputs!$F$11*Inputs!$F$82*(1+2*Inputs!$F$88)/12))</f>
        <v>5766.4000000000005</v>
      </c>
      <c r="AE44" s="67">
        <f>IF(AE$9=1,Inputs!$F$84*Inputs!$F$9*Inputs!$F$10*Inputs!$F$11*Inputs!$F$82/(13-MONTH($E$6)),IF(AE$9=2,Inputs!$F$85*Inputs!$F$9*Inputs!$F$10*Inputs!$F$11*Inputs!$F$82*(1+Inputs!$F$88)/12,Inputs!$F$86*Inputs!$F$9*Inputs!$F$10*Inputs!$F$11*Inputs!$F$82*(1+2*Inputs!$F$88)/12))</f>
        <v>5766.4000000000005</v>
      </c>
      <c r="AF44" s="67">
        <f>IF(AF$9=1,Inputs!$F$84*Inputs!$F$9*Inputs!$F$10*Inputs!$F$11*Inputs!$F$82/(13-MONTH($E$6)),IF(AF$9=2,Inputs!$F$85*Inputs!$F$9*Inputs!$F$10*Inputs!$F$11*Inputs!$F$82*(1+Inputs!$F$88)/12,Inputs!$F$86*Inputs!$F$9*Inputs!$F$10*Inputs!$F$11*Inputs!$F$82*(1+2*Inputs!$F$88)/12))</f>
        <v>5766.4000000000005</v>
      </c>
      <c r="AG44" s="67">
        <f>IF(AG$9=1,Inputs!$F$84*Inputs!$F$9*Inputs!$F$10*Inputs!$F$11*Inputs!$F$82/(13-MONTH($E$6)),IF(AG$9=2,Inputs!$F$85*Inputs!$F$9*Inputs!$F$10*Inputs!$F$11*Inputs!$F$82*(1+Inputs!$F$88)/12,Inputs!$F$86*Inputs!$F$9*Inputs!$F$10*Inputs!$F$11*Inputs!$F$82*(1+2*Inputs!$F$88)/12))</f>
        <v>5766.4000000000005</v>
      </c>
      <c r="AH44" s="67">
        <f>IF(AH$9=1,Inputs!$F$84*Inputs!$F$9*Inputs!$F$10*Inputs!$F$11*Inputs!$F$82/(13-MONTH($E$6)),IF(AH$9=2,Inputs!$F$85*Inputs!$F$9*Inputs!$F$10*Inputs!$F$11*Inputs!$F$82*(1+Inputs!$F$88)/12,Inputs!$F$86*Inputs!$F$9*Inputs!$F$10*Inputs!$F$11*Inputs!$F$82*(1+2*Inputs!$F$88)/12))</f>
        <v>5766.4000000000005</v>
      </c>
      <c r="AI44" s="67">
        <f>IF(AI$9=1,Inputs!$F$84*Inputs!$F$9*Inputs!$F$10*Inputs!$F$11*Inputs!$F$82/(13-MONTH($E$6)),IF(AI$9=2,Inputs!$F$85*Inputs!$F$9*Inputs!$F$10*Inputs!$F$11*Inputs!$F$82*(1+Inputs!$F$88)/12,Inputs!$F$86*Inputs!$F$9*Inputs!$F$10*Inputs!$F$11*Inputs!$F$82*(1+2*Inputs!$F$88)/12))</f>
        <v>5766.4000000000005</v>
      </c>
      <c r="AJ44" s="67">
        <f>IF(AJ$9=1,Inputs!$F$84*Inputs!$F$9*Inputs!$F$10*Inputs!$F$11*Inputs!$F$82/(13-MONTH($E$6)),IF(AJ$9=2,Inputs!$F$85*Inputs!$F$9*Inputs!$F$10*Inputs!$F$11*Inputs!$F$82*(1+Inputs!$F$88)/12,Inputs!$F$86*Inputs!$F$9*Inputs!$F$10*Inputs!$F$11*Inputs!$F$82*(1+2*Inputs!$F$88)/12))</f>
        <v>5766.4000000000005</v>
      </c>
      <c r="AK44" s="67">
        <f>IF(AK$9=1,Inputs!$F$84*Inputs!$F$9*Inputs!$F$10*Inputs!$F$11*Inputs!$F$82/(13-MONTH($E$6)),IF(AK$9=2,Inputs!$F$85*Inputs!$F$9*Inputs!$F$10*Inputs!$F$11*Inputs!$F$82*(1+Inputs!$F$88)/12,Inputs!$F$86*Inputs!$F$9*Inputs!$F$10*Inputs!$F$11*Inputs!$F$82*(1+2*Inputs!$F$88)/12))</f>
        <v>5766.4000000000005</v>
      </c>
      <c r="AL44" s="67">
        <f>IF(AL$9=1,Inputs!$F$84*Inputs!$F$9*Inputs!$F$10*Inputs!$F$11*Inputs!$F$82/(13-MONTH($E$6)),IF(AL$9=2,Inputs!$F$85*Inputs!$F$9*Inputs!$F$10*Inputs!$F$11*Inputs!$F$82*(1+Inputs!$F$88)/12,Inputs!$F$86*Inputs!$F$9*Inputs!$F$10*Inputs!$F$11*Inputs!$F$82*(1+2*Inputs!$F$88)/12))</f>
        <v>5766.4000000000005</v>
      </c>
      <c r="AM44" s="67">
        <f>IF(AM$9=1,Inputs!$F$84*Inputs!$F$9*Inputs!$F$10*Inputs!$F$11*Inputs!$F$82/(13-MONTH($E$6)),IF(AM$9=2,Inputs!$F$85*Inputs!$F$9*Inputs!$F$10*Inputs!$F$11*Inputs!$F$82*(1+Inputs!$F$88)/12,Inputs!$F$86*Inputs!$F$9*Inputs!$F$10*Inputs!$F$11*Inputs!$F$82*(1+2*Inputs!$F$88)/12))</f>
        <v>5766.4000000000005</v>
      </c>
      <c r="AN44" s="67">
        <f>IF(AN$9=1,Inputs!$F$84*Inputs!$F$9*Inputs!$F$10*Inputs!$F$11*Inputs!$F$82/(13-MONTH($E$6)),IF(AN$9=2,Inputs!$F$85*Inputs!$F$9*Inputs!$F$10*Inputs!$F$11*Inputs!$F$82*(1+Inputs!$F$88)/12,Inputs!$F$86*Inputs!$F$9*Inputs!$F$10*Inputs!$F$11*Inputs!$F$82*(1+2*Inputs!$F$88)/12))</f>
        <v>5766.4000000000005</v>
      </c>
    </row>
    <row r="45" spans="1:40" s="16" customFormat="1">
      <c r="A45" s="1"/>
      <c r="B45" s="1"/>
      <c r="C45" s="32" t="s">
        <v>318</v>
      </c>
      <c r="D45" s="15"/>
      <c r="E45" s="67">
        <f>Inputs!$F$87*'Projections-WORST'!E44</f>
        <v>979.19999999999993</v>
      </c>
      <c r="F45" s="67">
        <f>Inputs!$F$87*'Projections-WORST'!F44</f>
        <v>979.19999999999993</v>
      </c>
      <c r="G45" s="67">
        <f>Inputs!$F$87*'Projections-WORST'!G44</f>
        <v>979.19999999999993</v>
      </c>
      <c r="H45" s="67">
        <f>Inputs!$F$87*'Projections-WORST'!H44</f>
        <v>979.19999999999993</v>
      </c>
      <c r="I45" s="67">
        <f>Inputs!$F$87*'Projections-WORST'!I44</f>
        <v>979.19999999999993</v>
      </c>
      <c r="J45" s="67">
        <f>Inputs!$F$87*'Projections-WORST'!J44</f>
        <v>979.19999999999993</v>
      </c>
      <c r="K45" s="67">
        <f>Inputs!$F$87*'Projections-WORST'!K44</f>
        <v>979.19999999999993</v>
      </c>
      <c r="L45" s="67">
        <f>Inputs!$F$87*'Projections-WORST'!L44</f>
        <v>979.19999999999993</v>
      </c>
      <c r="M45" s="67">
        <f>Inputs!$F$87*'Projections-WORST'!M44</f>
        <v>979.19999999999993</v>
      </c>
      <c r="N45" s="67">
        <f>Inputs!$F$87*'Projections-WORST'!N44</f>
        <v>979.19999999999993</v>
      </c>
      <c r="O45" s="67">
        <f>Inputs!$F$87*'Projections-WORST'!O44</f>
        <v>840.48000000000013</v>
      </c>
      <c r="P45" s="67">
        <f>Inputs!$F$87*'Projections-WORST'!P44</f>
        <v>840.48000000000013</v>
      </c>
      <c r="Q45" s="67">
        <f>Inputs!$F$87*'Projections-WORST'!Q44</f>
        <v>840.48000000000013</v>
      </c>
      <c r="R45" s="67">
        <f>Inputs!$F$87*'Projections-WORST'!R44</f>
        <v>840.48000000000013</v>
      </c>
      <c r="S45" s="67">
        <f>Inputs!$F$87*'Projections-WORST'!S44</f>
        <v>840.48000000000013</v>
      </c>
      <c r="T45" s="67">
        <f>Inputs!$F$87*'Projections-WORST'!T44</f>
        <v>840.48000000000013</v>
      </c>
      <c r="U45" s="67">
        <f>Inputs!$F$87*'Projections-WORST'!U44</f>
        <v>840.48000000000013</v>
      </c>
      <c r="V45" s="67">
        <f>Inputs!$F$87*'Projections-WORST'!V44</f>
        <v>840.48000000000013</v>
      </c>
      <c r="W45" s="67">
        <f>Inputs!$F$87*'Projections-WORST'!W44</f>
        <v>840.48000000000013</v>
      </c>
      <c r="X45" s="67">
        <f>Inputs!$F$87*'Projections-WORST'!X44</f>
        <v>840.48000000000013</v>
      </c>
      <c r="Y45" s="67">
        <f>Inputs!$F$87*'Projections-WORST'!Y44</f>
        <v>840.48000000000013</v>
      </c>
      <c r="Z45" s="67">
        <f>Inputs!$F$87*'Projections-WORST'!Z44</f>
        <v>840.48000000000013</v>
      </c>
      <c r="AA45" s="67">
        <f>Inputs!$F$87*'Projections-WORST'!AA44</f>
        <v>1729.92</v>
      </c>
      <c r="AB45" s="67">
        <f>Inputs!$F$87*'Projections-WORST'!AB44</f>
        <v>1729.92</v>
      </c>
      <c r="AC45" s="67">
        <f>Inputs!$F$87*'Projections-WORST'!AC44</f>
        <v>1729.92</v>
      </c>
      <c r="AD45" s="67">
        <f>Inputs!$F$87*'Projections-WORST'!AD44</f>
        <v>1729.92</v>
      </c>
      <c r="AE45" s="67">
        <f>Inputs!$F$87*'Projections-WORST'!AE44</f>
        <v>1729.92</v>
      </c>
      <c r="AF45" s="67">
        <f>Inputs!$F$87*'Projections-WORST'!AF44</f>
        <v>1729.92</v>
      </c>
      <c r="AG45" s="67">
        <f>Inputs!$F$87*'Projections-WORST'!AG44</f>
        <v>1729.92</v>
      </c>
      <c r="AH45" s="67">
        <f>Inputs!$F$87*'Projections-WORST'!AH44</f>
        <v>1729.92</v>
      </c>
      <c r="AI45" s="67">
        <f>Inputs!$F$87*'Projections-WORST'!AI44</f>
        <v>1729.92</v>
      </c>
      <c r="AJ45" s="67">
        <f>Inputs!$F$87*'Projections-WORST'!AJ44</f>
        <v>1729.92</v>
      </c>
      <c r="AK45" s="67">
        <f>Inputs!$F$87*'Projections-WORST'!AK44</f>
        <v>1729.92</v>
      </c>
      <c r="AL45" s="67">
        <f>Inputs!$F$87*'Projections-WORST'!AL44</f>
        <v>1729.92</v>
      </c>
      <c r="AM45" s="67">
        <f>Inputs!$F$87*'Projections-WORST'!AM44</f>
        <v>1729.92</v>
      </c>
      <c r="AN45" s="67">
        <f>Inputs!$F$87*'Projections-WORST'!AN44</f>
        <v>1729.92</v>
      </c>
    </row>
    <row r="46" spans="1:40" s="16" customFormat="1">
      <c r="A46" s="1"/>
      <c r="B46" s="1"/>
      <c r="C46" s="32" t="s">
        <v>41</v>
      </c>
      <c r="D46" s="15"/>
      <c r="E46" s="67">
        <f>IF(E$9=1,Inputs!$F$64*'Projections-WORST'!E$17,IF(E$9=2,Inputs!$F$65*'Projections-WORST'!E$17,Inputs!$F$66*'Projections-WORST'!E$17))</f>
        <v>360</v>
      </c>
      <c r="F46" s="67">
        <f>IF(F$9=1,Inputs!$F$64*'Projections-WORST'!F$17,IF(F$9=2,Inputs!$F$65*'Projections-WORST'!F$17,Inputs!$F$66*'Projections-WORST'!F$17))</f>
        <v>1080</v>
      </c>
      <c r="G46" s="67">
        <f>IF(G$9=1,Inputs!$F$64*'Projections-WORST'!G$17,IF(G$9=2,Inputs!$F$65*'Projections-WORST'!G$17,Inputs!$F$66*'Projections-WORST'!G$17))</f>
        <v>1080</v>
      </c>
      <c r="H46" s="67">
        <f>IF(H$9=1,Inputs!$F$64*'Projections-WORST'!H$17,IF(H$9=2,Inputs!$F$65*'Projections-WORST'!H$17,Inputs!$F$66*'Projections-WORST'!H$17))</f>
        <v>360</v>
      </c>
      <c r="I46" s="67">
        <f>IF(I$9=1,Inputs!$F$64*'Projections-WORST'!I$17,IF(I$9=2,Inputs!$F$65*'Projections-WORST'!I$17,Inputs!$F$66*'Projections-WORST'!I$17))</f>
        <v>360</v>
      </c>
      <c r="J46" s="67">
        <f>IF(J$9=1,Inputs!$F$64*'Projections-WORST'!J$17,IF(J$9=2,Inputs!$F$65*'Projections-WORST'!J$17,Inputs!$F$66*'Projections-WORST'!J$17))</f>
        <v>1080</v>
      </c>
      <c r="K46" s="67">
        <f>IF(K$9=1,Inputs!$F$64*'Projections-WORST'!K$17,IF(K$9=2,Inputs!$F$65*'Projections-WORST'!K$17,Inputs!$F$66*'Projections-WORST'!K$17))</f>
        <v>360</v>
      </c>
      <c r="L46" s="67">
        <f>IF(L$9=1,Inputs!$F$64*'Projections-WORST'!L$17,IF(L$9=2,Inputs!$F$65*'Projections-WORST'!L$17,Inputs!$F$66*'Projections-WORST'!L$17))</f>
        <v>1080</v>
      </c>
      <c r="M46" s="67">
        <f>IF(M$9=1,Inputs!$F$64*'Projections-WORST'!M$17,IF(M$9=2,Inputs!$F$65*'Projections-WORST'!M$17,Inputs!$F$66*'Projections-WORST'!M$17))</f>
        <v>360</v>
      </c>
      <c r="N46" s="67">
        <f>IF(N$9=1,Inputs!$F$64*'Projections-WORST'!N$17,IF(N$9=2,Inputs!$F$65*'Projections-WORST'!N$17,Inputs!$F$66*'Projections-WORST'!N$17))</f>
        <v>360</v>
      </c>
      <c r="O46" s="67">
        <f>IF(O$9=1,Inputs!$F$64*'Projections-WORST'!O$17,IF(O$9=2,Inputs!$F$65*'Projections-WORST'!O$17,Inputs!$F$66*'Projections-WORST'!O$17))</f>
        <v>396.00000000000006</v>
      </c>
      <c r="P46" s="67">
        <f>IF(P$9=1,Inputs!$F$64*'Projections-WORST'!P$17,IF(P$9=2,Inputs!$F$65*'Projections-WORST'!P$17,Inputs!$F$66*'Projections-WORST'!P$17))</f>
        <v>396.00000000000006</v>
      </c>
      <c r="Q46" s="67">
        <f>IF(Q$9=1,Inputs!$F$64*'Projections-WORST'!Q$17,IF(Q$9=2,Inputs!$F$65*'Projections-WORST'!Q$17,Inputs!$F$66*'Projections-WORST'!Q$17))</f>
        <v>396.00000000000006</v>
      </c>
      <c r="R46" s="67">
        <f>IF(R$9=1,Inputs!$F$64*'Projections-WORST'!R$17,IF(R$9=2,Inputs!$F$65*'Projections-WORST'!R$17,Inputs!$F$66*'Projections-WORST'!R$17))</f>
        <v>1188.0000000000002</v>
      </c>
      <c r="S46" s="67">
        <f>IF(S$9=1,Inputs!$F$64*'Projections-WORST'!S$17,IF(S$9=2,Inputs!$F$65*'Projections-WORST'!S$17,Inputs!$F$66*'Projections-WORST'!S$17))</f>
        <v>1188.0000000000002</v>
      </c>
      <c r="T46" s="67">
        <f>IF(T$9=1,Inputs!$F$64*'Projections-WORST'!T$17,IF(T$9=2,Inputs!$F$65*'Projections-WORST'!T$17,Inputs!$F$66*'Projections-WORST'!T$17))</f>
        <v>396.00000000000006</v>
      </c>
      <c r="U46" s="67">
        <f>IF(U$9=1,Inputs!$F$64*'Projections-WORST'!U$17,IF(U$9=2,Inputs!$F$65*'Projections-WORST'!U$17,Inputs!$F$66*'Projections-WORST'!U$17))</f>
        <v>396.00000000000006</v>
      </c>
      <c r="V46" s="67">
        <f>IF(V$9=1,Inputs!$F$64*'Projections-WORST'!V$17,IF(V$9=2,Inputs!$F$65*'Projections-WORST'!V$17,Inputs!$F$66*'Projections-WORST'!V$17))</f>
        <v>1188.0000000000002</v>
      </c>
      <c r="W46" s="67">
        <f>IF(W$9=1,Inputs!$F$64*'Projections-WORST'!W$17,IF(W$9=2,Inputs!$F$65*'Projections-WORST'!W$17,Inputs!$F$66*'Projections-WORST'!W$17))</f>
        <v>396.00000000000006</v>
      </c>
      <c r="X46" s="67">
        <f>IF(X$9=1,Inputs!$F$64*'Projections-WORST'!X$17,IF(X$9=2,Inputs!$F$65*'Projections-WORST'!X$17,Inputs!$F$66*'Projections-WORST'!X$17))</f>
        <v>1188.0000000000002</v>
      </c>
      <c r="Y46" s="67">
        <f>IF(Y$9=1,Inputs!$F$64*'Projections-WORST'!Y$17,IF(Y$9=2,Inputs!$F$65*'Projections-WORST'!Y$17,Inputs!$F$66*'Projections-WORST'!Y$17))</f>
        <v>396.00000000000006</v>
      </c>
      <c r="Z46" s="67">
        <f>IF(Z$9=1,Inputs!$F$64*'Projections-WORST'!Z$17,IF(Z$9=2,Inputs!$F$65*'Projections-WORST'!Z$17,Inputs!$F$66*'Projections-WORST'!Z$17))</f>
        <v>396.00000000000006</v>
      </c>
      <c r="AA46" s="67">
        <f>IF(AA$9=1,Inputs!$F$64*'Projections-WORST'!AA$17,IF(AA$9=2,Inputs!$F$65*'Projections-WORST'!AA$17,Inputs!$F$66*'Projections-WORST'!AA$17))</f>
        <v>475.2000000000001</v>
      </c>
      <c r="AB46" s="67">
        <f>IF(AB$9=1,Inputs!$F$64*'Projections-WORST'!AB$17,IF(AB$9=2,Inputs!$F$65*'Projections-WORST'!AB$17,Inputs!$F$66*'Projections-WORST'!AB$17))</f>
        <v>475.2000000000001</v>
      </c>
      <c r="AC46" s="67">
        <f>IF(AC$9=1,Inputs!$F$64*'Projections-WORST'!AC$17,IF(AC$9=2,Inputs!$F$65*'Projections-WORST'!AC$17,Inputs!$F$66*'Projections-WORST'!AC$17))</f>
        <v>475.2000000000001</v>
      </c>
      <c r="AD46" s="67">
        <f>IF(AD$9=1,Inputs!$F$64*'Projections-WORST'!AD$17,IF(AD$9=2,Inputs!$F$65*'Projections-WORST'!AD$17,Inputs!$F$66*'Projections-WORST'!AD$17))</f>
        <v>1425.6000000000001</v>
      </c>
      <c r="AE46" s="67">
        <f>IF(AE$9=1,Inputs!$F$64*'Projections-WORST'!AE$17,IF(AE$9=2,Inputs!$F$65*'Projections-WORST'!AE$17,Inputs!$F$66*'Projections-WORST'!AE$17))</f>
        <v>1425.6000000000001</v>
      </c>
      <c r="AF46" s="67">
        <f>IF(AF$9=1,Inputs!$F$64*'Projections-WORST'!AF$17,IF(AF$9=2,Inputs!$F$65*'Projections-WORST'!AF$17,Inputs!$F$66*'Projections-WORST'!AF$17))</f>
        <v>475.2000000000001</v>
      </c>
      <c r="AG46" s="67">
        <f>IF(AG$9=1,Inputs!$F$64*'Projections-WORST'!AG$17,IF(AG$9=2,Inputs!$F$65*'Projections-WORST'!AG$17,Inputs!$F$66*'Projections-WORST'!AG$17))</f>
        <v>475.2000000000001</v>
      </c>
      <c r="AH46" s="67">
        <f>IF(AH$9=1,Inputs!$F$64*'Projections-WORST'!AH$17,IF(AH$9=2,Inputs!$F$65*'Projections-WORST'!AH$17,Inputs!$F$66*'Projections-WORST'!AH$17))</f>
        <v>1425.6000000000001</v>
      </c>
      <c r="AI46" s="67">
        <f>IF(AI$9=1,Inputs!$F$64*'Projections-WORST'!AI$17,IF(AI$9=2,Inputs!$F$65*'Projections-WORST'!AI$17,Inputs!$F$66*'Projections-WORST'!AI$17))</f>
        <v>475.2000000000001</v>
      </c>
      <c r="AJ46" s="67">
        <f>IF(AJ$9=1,Inputs!$F$64*'Projections-WORST'!AJ$17,IF(AJ$9=2,Inputs!$F$65*'Projections-WORST'!AJ$17,Inputs!$F$66*'Projections-WORST'!AJ$17))</f>
        <v>1425.6000000000001</v>
      </c>
      <c r="AK46" s="67">
        <f>IF(AK$9=1,Inputs!$F$64*'Projections-WORST'!AK$17,IF(AK$9=2,Inputs!$F$65*'Projections-WORST'!AK$17,Inputs!$F$66*'Projections-WORST'!AK$17))</f>
        <v>475.2000000000001</v>
      </c>
      <c r="AL46" s="67">
        <f>IF(AL$9=1,Inputs!$F$64*'Projections-WORST'!AL$17,IF(AL$9=2,Inputs!$F$65*'Projections-WORST'!AL$17,Inputs!$F$66*'Projections-WORST'!AL$17))</f>
        <v>475.2000000000001</v>
      </c>
      <c r="AM46" s="67">
        <f>IF(AM$9=1,Inputs!$F$64*'Projections-WORST'!AM$17,IF(AM$9=2,Inputs!$F$65*'Projections-WORST'!AM$17,Inputs!$F$66*'Projections-WORST'!AM$17))</f>
        <v>475.2000000000001</v>
      </c>
      <c r="AN46" s="67">
        <f>IF(AN$9=1,Inputs!$F$64*'Projections-WORST'!AN$17,IF(AN$9=2,Inputs!$F$65*'Projections-WORST'!AN$17,Inputs!$F$66*'Projections-WORST'!AN$17))</f>
        <v>475.2000000000001</v>
      </c>
    </row>
    <row r="47" spans="1:40" s="16" customFormat="1">
      <c r="A47" s="1"/>
      <c r="B47" s="1"/>
      <c r="C47" s="32" t="s">
        <v>210</v>
      </c>
      <c r="D47" s="15"/>
      <c r="E47" s="67">
        <f>IF(E$9=1,Inputs!$F$67*'Projections-WORST'!E$17,IF(E$9=2,Inputs!$F$68*'Projections-WORST'!E$17,Inputs!$F$69*'Projections-WORST'!E$17))</f>
        <v>225</v>
      </c>
      <c r="F47" s="67">
        <f>IF(F$9=1,Inputs!$F$67*'Projections-WORST'!F$17,IF(F$9=2,Inputs!$F$68*'Projections-WORST'!F$17,Inputs!$F$69*'Projections-WORST'!F$17))</f>
        <v>675</v>
      </c>
      <c r="G47" s="67">
        <f>IF(G$9=1,Inputs!$F$67*'Projections-WORST'!G$17,IF(G$9=2,Inputs!$F$68*'Projections-WORST'!G$17,Inputs!$F$69*'Projections-WORST'!G$17))</f>
        <v>675</v>
      </c>
      <c r="H47" s="67">
        <f>IF(H$9=1,Inputs!$F$67*'Projections-WORST'!H$17,IF(H$9=2,Inputs!$F$68*'Projections-WORST'!H$17,Inputs!$F$69*'Projections-WORST'!H$17))</f>
        <v>225</v>
      </c>
      <c r="I47" s="67">
        <f>IF(I$9=1,Inputs!$F$67*'Projections-WORST'!I$17,IF(I$9=2,Inputs!$F$68*'Projections-WORST'!I$17,Inputs!$F$69*'Projections-WORST'!I$17))</f>
        <v>225</v>
      </c>
      <c r="J47" s="67">
        <f>IF(J$9=1,Inputs!$F$67*'Projections-WORST'!J$17,IF(J$9=2,Inputs!$F$68*'Projections-WORST'!J$17,Inputs!$F$69*'Projections-WORST'!J$17))</f>
        <v>675</v>
      </c>
      <c r="K47" s="67">
        <f>IF(K$9=1,Inputs!$F$67*'Projections-WORST'!K$17,IF(K$9=2,Inputs!$F$68*'Projections-WORST'!K$17,Inputs!$F$69*'Projections-WORST'!K$17))</f>
        <v>225</v>
      </c>
      <c r="L47" s="67">
        <f>IF(L$9=1,Inputs!$F$67*'Projections-WORST'!L$17,IF(L$9=2,Inputs!$F$68*'Projections-WORST'!L$17,Inputs!$F$69*'Projections-WORST'!L$17))</f>
        <v>675</v>
      </c>
      <c r="M47" s="67">
        <f>IF(M$9=1,Inputs!$F$67*'Projections-WORST'!M$17,IF(M$9=2,Inputs!$F$68*'Projections-WORST'!M$17,Inputs!$F$69*'Projections-WORST'!M$17))</f>
        <v>225</v>
      </c>
      <c r="N47" s="67">
        <f>IF(N$9=1,Inputs!$F$67*'Projections-WORST'!N$17,IF(N$9=2,Inputs!$F$68*'Projections-WORST'!N$17,Inputs!$F$69*'Projections-WORST'!N$17))</f>
        <v>225</v>
      </c>
      <c r="O47" s="67">
        <f>IF(O$9=1,Inputs!$F$67*'Projections-WORST'!O$17,IF(O$9=2,Inputs!$F$68*'Projections-WORST'!O$17,Inputs!$F$69*'Projections-WORST'!O$17))</f>
        <v>247.50000000000006</v>
      </c>
      <c r="P47" s="67">
        <f>IF(P$9=1,Inputs!$F$67*'Projections-WORST'!P$17,IF(P$9=2,Inputs!$F$68*'Projections-WORST'!P$17,Inputs!$F$69*'Projections-WORST'!P$17))</f>
        <v>247.50000000000006</v>
      </c>
      <c r="Q47" s="67">
        <f>IF(Q$9=1,Inputs!$F$67*'Projections-WORST'!Q$17,IF(Q$9=2,Inputs!$F$68*'Projections-WORST'!Q$17,Inputs!$F$69*'Projections-WORST'!Q$17))</f>
        <v>247.50000000000006</v>
      </c>
      <c r="R47" s="67">
        <f>IF(R$9=1,Inputs!$F$67*'Projections-WORST'!R$17,IF(R$9=2,Inputs!$F$68*'Projections-WORST'!R$17,Inputs!$F$69*'Projections-WORST'!R$17))</f>
        <v>742.50000000000011</v>
      </c>
      <c r="S47" s="67">
        <f>IF(S$9=1,Inputs!$F$67*'Projections-WORST'!S$17,IF(S$9=2,Inputs!$F$68*'Projections-WORST'!S$17,Inputs!$F$69*'Projections-WORST'!S$17))</f>
        <v>742.50000000000011</v>
      </c>
      <c r="T47" s="67">
        <f>IF(T$9=1,Inputs!$F$67*'Projections-WORST'!T$17,IF(T$9=2,Inputs!$F$68*'Projections-WORST'!T$17,Inputs!$F$69*'Projections-WORST'!T$17))</f>
        <v>247.50000000000006</v>
      </c>
      <c r="U47" s="67">
        <f>IF(U$9=1,Inputs!$F$67*'Projections-WORST'!U$17,IF(U$9=2,Inputs!$F$68*'Projections-WORST'!U$17,Inputs!$F$69*'Projections-WORST'!U$17))</f>
        <v>247.50000000000006</v>
      </c>
      <c r="V47" s="67">
        <f>IF(V$9=1,Inputs!$F$67*'Projections-WORST'!V$17,IF(V$9=2,Inputs!$F$68*'Projections-WORST'!V$17,Inputs!$F$69*'Projections-WORST'!V$17))</f>
        <v>742.50000000000011</v>
      </c>
      <c r="W47" s="67">
        <f>IF(W$9=1,Inputs!$F$67*'Projections-WORST'!W$17,IF(W$9=2,Inputs!$F$68*'Projections-WORST'!W$17,Inputs!$F$69*'Projections-WORST'!W$17))</f>
        <v>247.50000000000006</v>
      </c>
      <c r="X47" s="67">
        <f>IF(X$9=1,Inputs!$F$67*'Projections-WORST'!X$17,IF(X$9=2,Inputs!$F$68*'Projections-WORST'!X$17,Inputs!$F$69*'Projections-WORST'!X$17))</f>
        <v>742.50000000000011</v>
      </c>
      <c r="Y47" s="67">
        <f>IF(Y$9=1,Inputs!$F$67*'Projections-WORST'!Y$17,IF(Y$9=2,Inputs!$F$68*'Projections-WORST'!Y$17,Inputs!$F$69*'Projections-WORST'!Y$17))</f>
        <v>247.50000000000006</v>
      </c>
      <c r="Z47" s="67">
        <f>IF(Z$9=1,Inputs!$F$67*'Projections-WORST'!Z$17,IF(Z$9=2,Inputs!$F$68*'Projections-WORST'!Z$17,Inputs!$F$69*'Projections-WORST'!Z$17))</f>
        <v>247.50000000000006</v>
      </c>
      <c r="AA47" s="67">
        <f>IF(AA$9=1,Inputs!$F$67*'Projections-WORST'!AA$17,IF(AA$9=2,Inputs!$F$68*'Projections-WORST'!AA$17,Inputs!$F$69*'Projections-WORST'!AA$17))</f>
        <v>297.00000000000006</v>
      </c>
      <c r="AB47" s="67">
        <f>IF(AB$9=1,Inputs!$F$67*'Projections-WORST'!AB$17,IF(AB$9=2,Inputs!$F$68*'Projections-WORST'!AB$17,Inputs!$F$69*'Projections-WORST'!AB$17))</f>
        <v>297.00000000000006</v>
      </c>
      <c r="AC47" s="67">
        <f>IF(AC$9=1,Inputs!$F$67*'Projections-WORST'!AC$17,IF(AC$9=2,Inputs!$F$68*'Projections-WORST'!AC$17,Inputs!$F$69*'Projections-WORST'!AC$17))</f>
        <v>297.00000000000006</v>
      </c>
      <c r="AD47" s="67">
        <f>IF(AD$9=1,Inputs!$F$67*'Projections-WORST'!AD$17,IF(AD$9=2,Inputs!$F$68*'Projections-WORST'!AD$17,Inputs!$F$69*'Projections-WORST'!AD$17))</f>
        <v>891</v>
      </c>
      <c r="AE47" s="67">
        <f>IF(AE$9=1,Inputs!$F$67*'Projections-WORST'!AE$17,IF(AE$9=2,Inputs!$F$68*'Projections-WORST'!AE$17,Inputs!$F$69*'Projections-WORST'!AE$17))</f>
        <v>891</v>
      </c>
      <c r="AF47" s="67">
        <f>IF(AF$9=1,Inputs!$F$67*'Projections-WORST'!AF$17,IF(AF$9=2,Inputs!$F$68*'Projections-WORST'!AF$17,Inputs!$F$69*'Projections-WORST'!AF$17))</f>
        <v>297.00000000000006</v>
      </c>
      <c r="AG47" s="67">
        <f>IF(AG$9=1,Inputs!$F$67*'Projections-WORST'!AG$17,IF(AG$9=2,Inputs!$F$68*'Projections-WORST'!AG$17,Inputs!$F$69*'Projections-WORST'!AG$17))</f>
        <v>297.00000000000006</v>
      </c>
      <c r="AH47" s="67">
        <f>IF(AH$9=1,Inputs!$F$67*'Projections-WORST'!AH$17,IF(AH$9=2,Inputs!$F$68*'Projections-WORST'!AH$17,Inputs!$F$69*'Projections-WORST'!AH$17))</f>
        <v>891</v>
      </c>
      <c r="AI47" s="67">
        <f>IF(AI$9=1,Inputs!$F$67*'Projections-WORST'!AI$17,IF(AI$9=2,Inputs!$F$68*'Projections-WORST'!AI$17,Inputs!$F$69*'Projections-WORST'!AI$17))</f>
        <v>297.00000000000006</v>
      </c>
      <c r="AJ47" s="67">
        <f>IF(AJ$9=1,Inputs!$F$67*'Projections-WORST'!AJ$17,IF(AJ$9=2,Inputs!$F$68*'Projections-WORST'!AJ$17,Inputs!$F$69*'Projections-WORST'!AJ$17))</f>
        <v>891</v>
      </c>
      <c r="AK47" s="67">
        <f>IF(AK$9=1,Inputs!$F$67*'Projections-WORST'!AK$17,IF(AK$9=2,Inputs!$F$68*'Projections-WORST'!AK$17,Inputs!$F$69*'Projections-WORST'!AK$17))</f>
        <v>297.00000000000006</v>
      </c>
      <c r="AL47" s="67">
        <f>IF(AL$9=1,Inputs!$F$67*'Projections-WORST'!AL$17,IF(AL$9=2,Inputs!$F$68*'Projections-WORST'!AL$17,Inputs!$F$69*'Projections-WORST'!AL$17))</f>
        <v>297.00000000000006</v>
      </c>
      <c r="AM47" s="67">
        <f>IF(AM$9=1,Inputs!$F$67*'Projections-WORST'!AM$17,IF(AM$9=2,Inputs!$F$68*'Projections-WORST'!AM$17,Inputs!$F$69*'Projections-WORST'!AM$17))</f>
        <v>297.00000000000006</v>
      </c>
      <c r="AN47" s="67">
        <f>IF(AN$9=1,Inputs!$F$67*'Projections-WORST'!AN$17,IF(AN$9=2,Inputs!$F$68*'Projections-WORST'!AN$17,Inputs!$F$69*'Projections-WORST'!AN$17))</f>
        <v>297.00000000000006</v>
      </c>
    </row>
    <row r="48" spans="1:40" s="16" customFormat="1">
      <c r="A48" s="1"/>
      <c r="B48" s="1"/>
      <c r="C48" s="32" t="s">
        <v>211</v>
      </c>
      <c r="D48" s="15"/>
      <c r="E48" s="67">
        <f>IF(E$9=1,Inputs!$F$70*'Projections-WORST'!E$17,IF(E$9=2,Inputs!$F$71*'Projections-WORST'!E$17,Inputs!$F$72*'Projections-WORST'!E$17))</f>
        <v>180</v>
      </c>
      <c r="F48" s="67">
        <f>IF(F$9=1,Inputs!$F$70*'Projections-WORST'!F$17,IF(F$9=2,Inputs!$F$71*'Projections-WORST'!F$17,Inputs!$F$72*'Projections-WORST'!F$17))</f>
        <v>540</v>
      </c>
      <c r="G48" s="67">
        <f>IF(G$9=1,Inputs!$F$70*'Projections-WORST'!G$17,IF(G$9=2,Inputs!$F$71*'Projections-WORST'!G$17,Inputs!$F$72*'Projections-WORST'!G$17))</f>
        <v>540</v>
      </c>
      <c r="H48" s="67">
        <f>IF(H$9=1,Inputs!$F$70*'Projections-WORST'!H$17,IF(H$9=2,Inputs!$F$71*'Projections-WORST'!H$17,Inputs!$F$72*'Projections-WORST'!H$17))</f>
        <v>180</v>
      </c>
      <c r="I48" s="67">
        <f>IF(I$9=1,Inputs!$F$70*'Projections-WORST'!I$17,IF(I$9=2,Inputs!$F$71*'Projections-WORST'!I$17,Inputs!$F$72*'Projections-WORST'!I$17))</f>
        <v>180</v>
      </c>
      <c r="J48" s="67">
        <f>IF(J$9=1,Inputs!$F$70*'Projections-WORST'!J$17,IF(J$9=2,Inputs!$F$71*'Projections-WORST'!J$17,Inputs!$F$72*'Projections-WORST'!J$17))</f>
        <v>540</v>
      </c>
      <c r="K48" s="67">
        <f>IF(K$9=1,Inputs!$F$70*'Projections-WORST'!K$17,IF(K$9=2,Inputs!$F$71*'Projections-WORST'!K$17,Inputs!$F$72*'Projections-WORST'!K$17))</f>
        <v>180</v>
      </c>
      <c r="L48" s="67">
        <f>IF(L$9=1,Inputs!$F$70*'Projections-WORST'!L$17,IF(L$9=2,Inputs!$F$71*'Projections-WORST'!L$17,Inputs!$F$72*'Projections-WORST'!L$17))</f>
        <v>540</v>
      </c>
      <c r="M48" s="67">
        <f>IF(M$9=1,Inputs!$F$70*'Projections-WORST'!M$17,IF(M$9=2,Inputs!$F$71*'Projections-WORST'!M$17,Inputs!$F$72*'Projections-WORST'!M$17))</f>
        <v>180</v>
      </c>
      <c r="N48" s="67">
        <f>IF(N$9=1,Inputs!$F$70*'Projections-WORST'!N$17,IF(N$9=2,Inputs!$F$71*'Projections-WORST'!N$17,Inputs!$F$72*'Projections-WORST'!N$17))</f>
        <v>180</v>
      </c>
      <c r="O48" s="67">
        <f>IF(O$9=1,Inputs!$F$70*'Projections-WORST'!O$17,IF(O$9=2,Inputs!$F$71*'Projections-WORST'!O$17,Inputs!$F$72*'Projections-WORST'!O$17))</f>
        <v>198.00000000000003</v>
      </c>
      <c r="P48" s="67">
        <f>IF(P$9=1,Inputs!$F$70*'Projections-WORST'!P$17,IF(P$9=2,Inputs!$F$71*'Projections-WORST'!P$17,Inputs!$F$72*'Projections-WORST'!P$17))</f>
        <v>198.00000000000003</v>
      </c>
      <c r="Q48" s="67">
        <f>IF(Q$9=1,Inputs!$F$70*'Projections-WORST'!Q$17,IF(Q$9=2,Inputs!$F$71*'Projections-WORST'!Q$17,Inputs!$F$72*'Projections-WORST'!Q$17))</f>
        <v>198.00000000000003</v>
      </c>
      <c r="R48" s="67">
        <f>IF(R$9=1,Inputs!$F$70*'Projections-WORST'!R$17,IF(R$9=2,Inputs!$F$71*'Projections-WORST'!R$17,Inputs!$F$72*'Projections-WORST'!R$17))</f>
        <v>594.00000000000011</v>
      </c>
      <c r="S48" s="67">
        <f>IF(S$9=1,Inputs!$F$70*'Projections-WORST'!S$17,IF(S$9=2,Inputs!$F$71*'Projections-WORST'!S$17,Inputs!$F$72*'Projections-WORST'!S$17))</f>
        <v>594.00000000000011</v>
      </c>
      <c r="T48" s="67">
        <f>IF(T$9=1,Inputs!$F$70*'Projections-WORST'!T$17,IF(T$9=2,Inputs!$F$71*'Projections-WORST'!T$17,Inputs!$F$72*'Projections-WORST'!T$17))</f>
        <v>198.00000000000003</v>
      </c>
      <c r="U48" s="67">
        <f>IF(U$9=1,Inputs!$F$70*'Projections-WORST'!U$17,IF(U$9=2,Inputs!$F$71*'Projections-WORST'!U$17,Inputs!$F$72*'Projections-WORST'!U$17))</f>
        <v>198.00000000000003</v>
      </c>
      <c r="V48" s="67">
        <f>IF(V$9=1,Inputs!$F$70*'Projections-WORST'!V$17,IF(V$9=2,Inputs!$F$71*'Projections-WORST'!V$17,Inputs!$F$72*'Projections-WORST'!V$17))</f>
        <v>594.00000000000011</v>
      </c>
      <c r="W48" s="67">
        <f>IF(W$9=1,Inputs!$F$70*'Projections-WORST'!W$17,IF(W$9=2,Inputs!$F$71*'Projections-WORST'!W$17,Inputs!$F$72*'Projections-WORST'!W$17))</f>
        <v>198.00000000000003</v>
      </c>
      <c r="X48" s="67">
        <f>IF(X$9=1,Inputs!$F$70*'Projections-WORST'!X$17,IF(X$9=2,Inputs!$F$71*'Projections-WORST'!X$17,Inputs!$F$72*'Projections-WORST'!X$17))</f>
        <v>594.00000000000011</v>
      </c>
      <c r="Y48" s="67">
        <f>IF(Y$9=1,Inputs!$F$70*'Projections-WORST'!Y$17,IF(Y$9=2,Inputs!$F$71*'Projections-WORST'!Y$17,Inputs!$F$72*'Projections-WORST'!Y$17))</f>
        <v>198.00000000000003</v>
      </c>
      <c r="Z48" s="67">
        <f>IF(Z$9=1,Inputs!$F$70*'Projections-WORST'!Z$17,IF(Z$9=2,Inputs!$F$71*'Projections-WORST'!Z$17,Inputs!$F$72*'Projections-WORST'!Z$17))</f>
        <v>198.00000000000003</v>
      </c>
      <c r="AA48" s="67">
        <f>IF(AA$9=1,Inputs!$F$70*'Projections-WORST'!AA$17,IF(AA$9=2,Inputs!$F$71*'Projections-WORST'!AA$17,Inputs!$F$72*'Projections-WORST'!AA$17))</f>
        <v>237.60000000000005</v>
      </c>
      <c r="AB48" s="67">
        <f>IF(AB$9=1,Inputs!$F$70*'Projections-WORST'!AB$17,IF(AB$9=2,Inputs!$F$71*'Projections-WORST'!AB$17,Inputs!$F$72*'Projections-WORST'!AB$17))</f>
        <v>237.60000000000005</v>
      </c>
      <c r="AC48" s="67">
        <f>IF(AC$9=1,Inputs!$F$70*'Projections-WORST'!AC$17,IF(AC$9=2,Inputs!$F$71*'Projections-WORST'!AC$17,Inputs!$F$72*'Projections-WORST'!AC$17))</f>
        <v>237.60000000000005</v>
      </c>
      <c r="AD48" s="67">
        <f>IF(AD$9=1,Inputs!$F$70*'Projections-WORST'!AD$17,IF(AD$9=2,Inputs!$F$71*'Projections-WORST'!AD$17,Inputs!$F$72*'Projections-WORST'!AD$17))</f>
        <v>712.80000000000007</v>
      </c>
      <c r="AE48" s="67">
        <f>IF(AE$9=1,Inputs!$F$70*'Projections-WORST'!AE$17,IF(AE$9=2,Inputs!$F$71*'Projections-WORST'!AE$17,Inputs!$F$72*'Projections-WORST'!AE$17))</f>
        <v>712.80000000000007</v>
      </c>
      <c r="AF48" s="67">
        <f>IF(AF$9=1,Inputs!$F$70*'Projections-WORST'!AF$17,IF(AF$9=2,Inputs!$F$71*'Projections-WORST'!AF$17,Inputs!$F$72*'Projections-WORST'!AF$17))</f>
        <v>237.60000000000005</v>
      </c>
      <c r="AG48" s="67">
        <f>IF(AG$9=1,Inputs!$F$70*'Projections-WORST'!AG$17,IF(AG$9=2,Inputs!$F$71*'Projections-WORST'!AG$17,Inputs!$F$72*'Projections-WORST'!AG$17))</f>
        <v>237.60000000000005</v>
      </c>
      <c r="AH48" s="67">
        <f>IF(AH$9=1,Inputs!$F$70*'Projections-WORST'!AH$17,IF(AH$9=2,Inputs!$F$71*'Projections-WORST'!AH$17,Inputs!$F$72*'Projections-WORST'!AH$17))</f>
        <v>712.80000000000007</v>
      </c>
      <c r="AI48" s="67">
        <f>IF(AI$9=1,Inputs!$F$70*'Projections-WORST'!AI$17,IF(AI$9=2,Inputs!$F$71*'Projections-WORST'!AI$17,Inputs!$F$72*'Projections-WORST'!AI$17))</f>
        <v>237.60000000000005</v>
      </c>
      <c r="AJ48" s="67">
        <f>IF(AJ$9=1,Inputs!$F$70*'Projections-WORST'!AJ$17,IF(AJ$9=2,Inputs!$F$71*'Projections-WORST'!AJ$17,Inputs!$F$72*'Projections-WORST'!AJ$17))</f>
        <v>712.80000000000007</v>
      </c>
      <c r="AK48" s="67">
        <f>IF(AK$9=1,Inputs!$F$70*'Projections-WORST'!AK$17,IF(AK$9=2,Inputs!$F$71*'Projections-WORST'!AK$17,Inputs!$F$72*'Projections-WORST'!AK$17))</f>
        <v>237.60000000000005</v>
      </c>
      <c r="AL48" s="67">
        <f>IF(AL$9=1,Inputs!$F$70*'Projections-WORST'!AL$17,IF(AL$9=2,Inputs!$F$71*'Projections-WORST'!AL$17,Inputs!$F$72*'Projections-WORST'!AL$17))</f>
        <v>237.60000000000005</v>
      </c>
      <c r="AM48" s="67">
        <f>IF(AM$9=1,Inputs!$F$70*'Projections-WORST'!AM$17,IF(AM$9=2,Inputs!$F$71*'Projections-WORST'!AM$17,Inputs!$F$72*'Projections-WORST'!AM$17))</f>
        <v>237.60000000000005</v>
      </c>
      <c r="AN48" s="67">
        <f>IF(AN$9=1,Inputs!$F$70*'Projections-WORST'!AN$17,IF(AN$9=2,Inputs!$F$71*'Projections-WORST'!AN$17,Inputs!$F$72*'Projections-WORST'!AN$17))</f>
        <v>237.60000000000005</v>
      </c>
    </row>
    <row r="49" spans="1:40" s="16" customFormat="1">
      <c r="A49" s="1"/>
      <c r="B49" s="1"/>
      <c r="C49" s="32"/>
      <c r="D49" s="15"/>
    </row>
    <row r="50" spans="1:40" s="49" customFormat="1">
      <c r="A50" s="2"/>
      <c r="B50" s="2" t="s">
        <v>220</v>
      </c>
      <c r="C50" s="48"/>
      <c r="D50" s="52"/>
      <c r="E50" s="68">
        <f>SUM(E51:E70)</f>
        <v>20380</v>
      </c>
      <c r="F50" s="68">
        <f t="shared" ref="F50:AN50" si="9">SUM(F51:F70)</f>
        <v>20380</v>
      </c>
      <c r="G50" s="68">
        <f t="shared" si="9"/>
        <v>20380</v>
      </c>
      <c r="H50" s="68">
        <f t="shared" si="9"/>
        <v>20380</v>
      </c>
      <c r="I50" s="68">
        <f t="shared" si="9"/>
        <v>20380</v>
      </c>
      <c r="J50" s="68">
        <f t="shared" si="9"/>
        <v>20380</v>
      </c>
      <c r="K50" s="68">
        <f t="shared" si="9"/>
        <v>20380</v>
      </c>
      <c r="L50" s="68">
        <f t="shared" si="9"/>
        <v>20380</v>
      </c>
      <c r="M50" s="68">
        <f t="shared" si="9"/>
        <v>20380</v>
      </c>
      <c r="N50" s="68">
        <f t="shared" si="9"/>
        <v>20380</v>
      </c>
      <c r="O50" s="68">
        <f t="shared" si="9"/>
        <v>20985.4</v>
      </c>
      <c r="P50" s="68">
        <f t="shared" si="9"/>
        <v>20985.4</v>
      </c>
      <c r="Q50" s="68">
        <f t="shared" si="9"/>
        <v>20985.4</v>
      </c>
      <c r="R50" s="68">
        <f t="shared" si="9"/>
        <v>20985.4</v>
      </c>
      <c r="S50" s="68">
        <f t="shared" si="9"/>
        <v>20985.4</v>
      </c>
      <c r="T50" s="68">
        <f t="shared" si="9"/>
        <v>20985.4</v>
      </c>
      <c r="U50" s="68">
        <f t="shared" si="9"/>
        <v>20985.4</v>
      </c>
      <c r="V50" s="68">
        <f t="shared" si="9"/>
        <v>20985.4</v>
      </c>
      <c r="W50" s="68">
        <f t="shared" si="9"/>
        <v>20985.4</v>
      </c>
      <c r="X50" s="68">
        <f t="shared" si="9"/>
        <v>20985.4</v>
      </c>
      <c r="Y50" s="68">
        <f t="shared" si="9"/>
        <v>20985.4</v>
      </c>
      <c r="Z50" s="68">
        <f t="shared" si="9"/>
        <v>20985.4</v>
      </c>
      <c r="AA50" s="68">
        <f t="shared" si="9"/>
        <v>22357.599999999999</v>
      </c>
      <c r="AB50" s="68">
        <f t="shared" si="9"/>
        <v>22357.599999999999</v>
      </c>
      <c r="AC50" s="68">
        <f t="shared" si="9"/>
        <v>22357.599999999999</v>
      </c>
      <c r="AD50" s="68">
        <f t="shared" si="9"/>
        <v>22357.599999999999</v>
      </c>
      <c r="AE50" s="68">
        <f t="shared" si="9"/>
        <v>22357.599999999999</v>
      </c>
      <c r="AF50" s="68">
        <f t="shared" si="9"/>
        <v>22357.599999999999</v>
      </c>
      <c r="AG50" s="68">
        <f t="shared" si="9"/>
        <v>22357.599999999999</v>
      </c>
      <c r="AH50" s="68">
        <f t="shared" si="9"/>
        <v>22357.599999999999</v>
      </c>
      <c r="AI50" s="68">
        <f t="shared" si="9"/>
        <v>22357.599999999999</v>
      </c>
      <c r="AJ50" s="68">
        <f t="shared" si="9"/>
        <v>22357.599999999999</v>
      </c>
      <c r="AK50" s="68">
        <f t="shared" si="9"/>
        <v>22357.599999999999</v>
      </c>
      <c r="AL50" s="68">
        <f t="shared" si="9"/>
        <v>22357.599999999999</v>
      </c>
      <c r="AM50" s="68">
        <f t="shared" si="9"/>
        <v>22877.330799999996</v>
      </c>
      <c r="AN50" s="68">
        <f t="shared" si="9"/>
        <v>22877.330799999996</v>
      </c>
    </row>
    <row r="51" spans="1:40" s="16" customFormat="1">
      <c r="A51" s="1"/>
      <c r="B51" s="1"/>
      <c r="C51" s="34" t="str">
        <f>Inputs!C95</f>
        <v>Executive Director</v>
      </c>
      <c r="D51" s="15"/>
      <c r="E51" s="67">
        <f>Inputs!$F95*(1+('Projections-WORST'!E$9-1)*Inputs!$F$94)</f>
        <v>7000</v>
      </c>
      <c r="F51" s="67">
        <f>Inputs!$F95*(1+('Projections-WORST'!F$9-1)*Inputs!$F$94)</f>
        <v>7000</v>
      </c>
      <c r="G51" s="67">
        <f>Inputs!$F95*(1+('Projections-WORST'!G$9-1)*Inputs!$F$94)</f>
        <v>7000</v>
      </c>
      <c r="H51" s="67">
        <f>Inputs!$F95*(1+('Projections-WORST'!H$9-1)*Inputs!$F$94)</f>
        <v>7000</v>
      </c>
      <c r="I51" s="67">
        <f>Inputs!$F95*(1+('Projections-WORST'!I$9-1)*Inputs!$F$94)</f>
        <v>7000</v>
      </c>
      <c r="J51" s="67">
        <f>Inputs!$F95*(1+('Projections-WORST'!J$9-1)*Inputs!$F$94)</f>
        <v>7000</v>
      </c>
      <c r="K51" s="67">
        <f>Inputs!$F95*(1+('Projections-WORST'!K$9-1)*Inputs!$F$94)</f>
        <v>7000</v>
      </c>
      <c r="L51" s="67">
        <f>Inputs!$F95*(1+('Projections-WORST'!L$9-1)*Inputs!$F$94)</f>
        <v>7000</v>
      </c>
      <c r="M51" s="67">
        <f>Inputs!$F95*(1+('Projections-WORST'!M$9-1)*Inputs!$F$94)</f>
        <v>7000</v>
      </c>
      <c r="N51" s="67">
        <f>Inputs!$F95*(1+('Projections-WORST'!N$9-1)*Inputs!$F$94)</f>
        <v>7000</v>
      </c>
      <c r="O51" s="67">
        <f>Inputs!$F95*(1+('Projections-WORST'!O$9-1)*Inputs!$F$94)</f>
        <v>7210</v>
      </c>
      <c r="P51" s="67">
        <f>Inputs!$F95*(1+('Projections-WORST'!P$9-1)*Inputs!$F$94)</f>
        <v>7210</v>
      </c>
      <c r="Q51" s="67">
        <f>Inputs!$F95*(1+('Projections-WORST'!Q$9-1)*Inputs!$F$94)</f>
        <v>7210</v>
      </c>
      <c r="R51" s="67">
        <f>Inputs!$F95*(1+('Projections-WORST'!R$9-1)*Inputs!$F$94)</f>
        <v>7210</v>
      </c>
      <c r="S51" s="67">
        <f>Inputs!$F95*(1+('Projections-WORST'!S$9-1)*Inputs!$F$94)</f>
        <v>7210</v>
      </c>
      <c r="T51" s="67">
        <f>Inputs!$F95*(1+('Projections-WORST'!T$9-1)*Inputs!$F$94)</f>
        <v>7210</v>
      </c>
      <c r="U51" s="67">
        <f>Inputs!$F95*(1+('Projections-WORST'!U$9-1)*Inputs!$F$94)</f>
        <v>7210</v>
      </c>
      <c r="V51" s="67">
        <f>Inputs!$F95*(1+('Projections-WORST'!V$9-1)*Inputs!$F$94)</f>
        <v>7210</v>
      </c>
      <c r="W51" s="67">
        <f>Inputs!$F95*(1+('Projections-WORST'!W$9-1)*Inputs!$F$94)</f>
        <v>7210</v>
      </c>
      <c r="X51" s="67">
        <f>Inputs!$F95*(1+('Projections-WORST'!X$9-1)*Inputs!$F$94)</f>
        <v>7210</v>
      </c>
      <c r="Y51" s="67">
        <f>Inputs!$F95*(1+('Projections-WORST'!Y$9-1)*Inputs!$F$94)</f>
        <v>7210</v>
      </c>
      <c r="Z51" s="67">
        <f>Inputs!$F95*(1+('Projections-WORST'!Z$9-1)*Inputs!$F$94)</f>
        <v>7210</v>
      </c>
      <c r="AA51" s="67">
        <f>Inputs!$F95*(1+('Projections-WORST'!AA$9-1)*Inputs!$F$94)</f>
        <v>7420</v>
      </c>
      <c r="AB51" s="67">
        <f>Inputs!$F95*(1+('Projections-WORST'!AB$9-1)*Inputs!$F$94)</f>
        <v>7420</v>
      </c>
      <c r="AC51" s="67">
        <f>Inputs!$F95*(1+('Projections-WORST'!AC$9-1)*Inputs!$F$94)</f>
        <v>7420</v>
      </c>
      <c r="AD51" s="67">
        <f>Inputs!$F95*(1+('Projections-WORST'!AD$9-1)*Inputs!$F$94)</f>
        <v>7420</v>
      </c>
      <c r="AE51" s="67">
        <f>Inputs!$F95*(1+('Projections-WORST'!AE$9-1)*Inputs!$F$94)</f>
        <v>7420</v>
      </c>
      <c r="AF51" s="67">
        <f>Inputs!$F95*(1+('Projections-WORST'!AF$9-1)*Inputs!$F$94)</f>
        <v>7420</v>
      </c>
      <c r="AG51" s="67">
        <f>Inputs!$F95*(1+('Projections-WORST'!AG$9-1)*Inputs!$F$94)</f>
        <v>7420</v>
      </c>
      <c r="AH51" s="67">
        <f>Inputs!$F95*(1+('Projections-WORST'!AH$9-1)*Inputs!$F$94)</f>
        <v>7420</v>
      </c>
      <c r="AI51" s="67">
        <f>Inputs!$F95*(1+('Projections-WORST'!AI$9-1)*Inputs!$F$94)</f>
        <v>7420</v>
      </c>
      <c r="AJ51" s="67">
        <f>Inputs!$F95*(1+('Projections-WORST'!AJ$9-1)*Inputs!$F$94)</f>
        <v>7420</v>
      </c>
      <c r="AK51" s="67">
        <f>Inputs!$F95*(1+('Projections-WORST'!AK$9-1)*Inputs!$F$94)</f>
        <v>7420</v>
      </c>
      <c r="AL51" s="67">
        <f>Inputs!$F95*(1+('Projections-WORST'!AL$9-1)*Inputs!$F$94)</f>
        <v>7420</v>
      </c>
      <c r="AM51" s="67">
        <f>Inputs!$F95*(1+('Projections-WORST'!AM$9-1)*Inputs!$F$94)</f>
        <v>7630.0000000000009</v>
      </c>
      <c r="AN51" s="67">
        <f>Inputs!$F95*(1+('Projections-WORST'!AN$9-1)*Inputs!$F$94)</f>
        <v>7630.0000000000009</v>
      </c>
    </row>
    <row r="52" spans="1:40" s="16" customFormat="1">
      <c r="A52" s="1"/>
      <c r="B52" s="1"/>
      <c r="C52" s="34" t="str">
        <f>Inputs!C96</f>
        <v>Deputy Director</v>
      </c>
      <c r="D52" s="15"/>
      <c r="E52" s="67">
        <f>Inputs!$F96*(1+('Projections-WORST'!E$9-1)*Inputs!$F$94)</f>
        <v>6000</v>
      </c>
      <c r="F52" s="67">
        <f>Inputs!$F96*(1+('Projections-WORST'!F$9-1)*Inputs!$F$94)</f>
        <v>6000</v>
      </c>
      <c r="G52" s="67">
        <f>Inputs!$F96*(1+('Projections-WORST'!G$9-1)*Inputs!$F$94)</f>
        <v>6000</v>
      </c>
      <c r="H52" s="67">
        <f>Inputs!$F96*(1+('Projections-WORST'!H$9-1)*Inputs!$F$94)</f>
        <v>6000</v>
      </c>
      <c r="I52" s="67">
        <f>Inputs!$F96*(1+('Projections-WORST'!I$9-1)*Inputs!$F$94)</f>
        <v>6000</v>
      </c>
      <c r="J52" s="67">
        <f>Inputs!$F96*(1+('Projections-WORST'!J$9-1)*Inputs!$F$94)</f>
        <v>6000</v>
      </c>
      <c r="K52" s="67">
        <f>Inputs!$F96*(1+('Projections-WORST'!K$9-1)*Inputs!$F$94)</f>
        <v>6000</v>
      </c>
      <c r="L52" s="67">
        <f>Inputs!$F96*(1+('Projections-WORST'!L$9-1)*Inputs!$F$94)</f>
        <v>6000</v>
      </c>
      <c r="M52" s="67">
        <f>Inputs!$F96*(1+('Projections-WORST'!M$9-1)*Inputs!$F$94)</f>
        <v>6000</v>
      </c>
      <c r="N52" s="67">
        <f>Inputs!$F96*(1+('Projections-WORST'!N$9-1)*Inputs!$F$94)</f>
        <v>6000</v>
      </c>
      <c r="O52" s="67">
        <f>Inputs!$F96*(1+('Projections-WORST'!O$9-1)*Inputs!$F$94)</f>
        <v>6180</v>
      </c>
      <c r="P52" s="67">
        <f>Inputs!$F96*(1+('Projections-WORST'!P$9-1)*Inputs!$F$94)</f>
        <v>6180</v>
      </c>
      <c r="Q52" s="67">
        <f>Inputs!$F96*(1+('Projections-WORST'!Q$9-1)*Inputs!$F$94)</f>
        <v>6180</v>
      </c>
      <c r="R52" s="67">
        <f>Inputs!$F96*(1+('Projections-WORST'!R$9-1)*Inputs!$F$94)</f>
        <v>6180</v>
      </c>
      <c r="S52" s="67">
        <f>Inputs!$F96*(1+('Projections-WORST'!S$9-1)*Inputs!$F$94)</f>
        <v>6180</v>
      </c>
      <c r="T52" s="67">
        <f>Inputs!$F96*(1+('Projections-WORST'!T$9-1)*Inputs!$F$94)</f>
        <v>6180</v>
      </c>
      <c r="U52" s="67">
        <f>Inputs!$F96*(1+('Projections-WORST'!U$9-1)*Inputs!$F$94)</f>
        <v>6180</v>
      </c>
      <c r="V52" s="67">
        <f>Inputs!$F96*(1+('Projections-WORST'!V$9-1)*Inputs!$F$94)</f>
        <v>6180</v>
      </c>
      <c r="W52" s="67">
        <f>Inputs!$F96*(1+('Projections-WORST'!W$9-1)*Inputs!$F$94)</f>
        <v>6180</v>
      </c>
      <c r="X52" s="67">
        <f>Inputs!$F96*(1+('Projections-WORST'!X$9-1)*Inputs!$F$94)</f>
        <v>6180</v>
      </c>
      <c r="Y52" s="67">
        <f>Inputs!$F96*(1+('Projections-WORST'!Y$9-1)*Inputs!$F$94)</f>
        <v>6180</v>
      </c>
      <c r="Z52" s="67">
        <f>Inputs!$F96*(1+('Projections-WORST'!Z$9-1)*Inputs!$F$94)</f>
        <v>6180</v>
      </c>
      <c r="AA52" s="67">
        <f>Inputs!$F96*(1+('Projections-WORST'!AA$9-1)*Inputs!$F$94)</f>
        <v>6360</v>
      </c>
      <c r="AB52" s="67">
        <f>Inputs!$F96*(1+('Projections-WORST'!AB$9-1)*Inputs!$F$94)</f>
        <v>6360</v>
      </c>
      <c r="AC52" s="67">
        <f>Inputs!$F96*(1+('Projections-WORST'!AC$9-1)*Inputs!$F$94)</f>
        <v>6360</v>
      </c>
      <c r="AD52" s="67">
        <f>Inputs!$F96*(1+('Projections-WORST'!AD$9-1)*Inputs!$F$94)</f>
        <v>6360</v>
      </c>
      <c r="AE52" s="67">
        <f>Inputs!$F96*(1+('Projections-WORST'!AE$9-1)*Inputs!$F$94)</f>
        <v>6360</v>
      </c>
      <c r="AF52" s="67">
        <f>Inputs!$F96*(1+('Projections-WORST'!AF$9-1)*Inputs!$F$94)</f>
        <v>6360</v>
      </c>
      <c r="AG52" s="67">
        <f>Inputs!$F96*(1+('Projections-WORST'!AG$9-1)*Inputs!$F$94)</f>
        <v>6360</v>
      </c>
      <c r="AH52" s="67">
        <f>Inputs!$F96*(1+('Projections-WORST'!AH$9-1)*Inputs!$F$94)</f>
        <v>6360</v>
      </c>
      <c r="AI52" s="67">
        <f>Inputs!$F96*(1+('Projections-WORST'!AI$9-1)*Inputs!$F$94)</f>
        <v>6360</v>
      </c>
      <c r="AJ52" s="67">
        <f>Inputs!$F96*(1+('Projections-WORST'!AJ$9-1)*Inputs!$F$94)</f>
        <v>6360</v>
      </c>
      <c r="AK52" s="67">
        <f>Inputs!$F96*(1+('Projections-WORST'!AK$9-1)*Inputs!$F$94)</f>
        <v>6360</v>
      </c>
      <c r="AL52" s="67">
        <f>Inputs!$F96*(1+('Projections-WORST'!AL$9-1)*Inputs!$F$94)</f>
        <v>6360</v>
      </c>
      <c r="AM52" s="67">
        <f>Inputs!$F96*(1+('Projections-WORST'!AM$9-1)*Inputs!$F$94)</f>
        <v>6540.0000000000009</v>
      </c>
      <c r="AN52" s="67">
        <f>Inputs!$F96*(1+('Projections-WORST'!AN$9-1)*Inputs!$F$94)</f>
        <v>6540.0000000000009</v>
      </c>
    </row>
    <row r="53" spans="1:40" s="16" customFormat="1">
      <c r="A53" s="1"/>
      <c r="B53" s="1"/>
      <c r="C53" s="34" t="str">
        <f>Inputs!C97</f>
        <v>&lt;Indirect Labor Individual #3 Monthly Salary, CY 1&gt;</v>
      </c>
      <c r="D53" s="15"/>
      <c r="E53" s="67">
        <f>Inputs!$F97*(1+('Projections-WORST'!E$9-1)*Inputs!$F$94)</f>
        <v>0</v>
      </c>
      <c r="F53" s="67">
        <f>Inputs!$F97*(1+('Projections-WORST'!F$9-1)*Inputs!$F$94)</f>
        <v>0</v>
      </c>
      <c r="G53" s="67">
        <f>Inputs!$F97*(1+('Projections-WORST'!G$9-1)*Inputs!$F$94)</f>
        <v>0</v>
      </c>
      <c r="H53" s="67">
        <f>Inputs!$F97*(1+('Projections-WORST'!H$9-1)*Inputs!$F$94)</f>
        <v>0</v>
      </c>
      <c r="I53" s="67">
        <f>Inputs!$F97*(1+('Projections-WORST'!I$9-1)*Inputs!$F$94)</f>
        <v>0</v>
      </c>
      <c r="J53" s="67">
        <f>Inputs!$F97*(1+('Projections-WORST'!J$9-1)*Inputs!$F$94)</f>
        <v>0</v>
      </c>
      <c r="K53" s="67">
        <f>Inputs!$F97*(1+('Projections-WORST'!K$9-1)*Inputs!$F$94)</f>
        <v>0</v>
      </c>
      <c r="L53" s="67">
        <f>Inputs!$F97*(1+('Projections-WORST'!L$9-1)*Inputs!$F$94)</f>
        <v>0</v>
      </c>
      <c r="M53" s="67">
        <f>Inputs!$F97*(1+('Projections-WORST'!M$9-1)*Inputs!$F$94)</f>
        <v>0</v>
      </c>
      <c r="N53" s="67">
        <f>Inputs!$F97*(1+('Projections-WORST'!N$9-1)*Inputs!$F$94)</f>
        <v>0</v>
      </c>
      <c r="O53" s="67">
        <f>Inputs!$F97*(1+('Projections-WORST'!O$9-1)*Inputs!$F$94)</f>
        <v>0</v>
      </c>
      <c r="P53" s="67">
        <f>Inputs!$F97*(1+('Projections-WORST'!P$9-1)*Inputs!$F$94)</f>
        <v>0</v>
      </c>
      <c r="Q53" s="67">
        <f>Inputs!$F97*(1+('Projections-WORST'!Q$9-1)*Inputs!$F$94)</f>
        <v>0</v>
      </c>
      <c r="R53" s="67">
        <f>Inputs!$F97*(1+('Projections-WORST'!R$9-1)*Inputs!$F$94)</f>
        <v>0</v>
      </c>
      <c r="S53" s="67">
        <f>Inputs!$F97*(1+('Projections-WORST'!S$9-1)*Inputs!$F$94)</f>
        <v>0</v>
      </c>
      <c r="T53" s="67">
        <f>Inputs!$F97*(1+('Projections-WORST'!T$9-1)*Inputs!$F$94)</f>
        <v>0</v>
      </c>
      <c r="U53" s="67">
        <f>Inputs!$F97*(1+('Projections-WORST'!U$9-1)*Inputs!$F$94)</f>
        <v>0</v>
      </c>
      <c r="V53" s="67">
        <f>Inputs!$F97*(1+('Projections-WORST'!V$9-1)*Inputs!$F$94)</f>
        <v>0</v>
      </c>
      <c r="W53" s="67">
        <f>Inputs!$F97*(1+('Projections-WORST'!W$9-1)*Inputs!$F$94)</f>
        <v>0</v>
      </c>
      <c r="X53" s="67">
        <f>Inputs!$F97*(1+('Projections-WORST'!X$9-1)*Inputs!$F$94)</f>
        <v>0</v>
      </c>
      <c r="Y53" s="67">
        <f>Inputs!$F97*(1+('Projections-WORST'!Y$9-1)*Inputs!$F$94)</f>
        <v>0</v>
      </c>
      <c r="Z53" s="67">
        <f>Inputs!$F97*(1+('Projections-WORST'!Z$9-1)*Inputs!$F$94)</f>
        <v>0</v>
      </c>
      <c r="AA53" s="67">
        <f>Inputs!$F97*(1+('Projections-WORST'!AA$9-1)*Inputs!$F$94)</f>
        <v>0</v>
      </c>
      <c r="AB53" s="67">
        <f>Inputs!$F97*(1+('Projections-WORST'!AB$9-1)*Inputs!$F$94)</f>
        <v>0</v>
      </c>
      <c r="AC53" s="67">
        <f>Inputs!$F97*(1+('Projections-WORST'!AC$9-1)*Inputs!$F$94)</f>
        <v>0</v>
      </c>
      <c r="AD53" s="67">
        <f>Inputs!$F97*(1+('Projections-WORST'!AD$9-1)*Inputs!$F$94)</f>
        <v>0</v>
      </c>
      <c r="AE53" s="67">
        <f>Inputs!$F97*(1+('Projections-WORST'!AE$9-1)*Inputs!$F$94)</f>
        <v>0</v>
      </c>
      <c r="AF53" s="67">
        <f>Inputs!$F97*(1+('Projections-WORST'!AF$9-1)*Inputs!$F$94)</f>
        <v>0</v>
      </c>
      <c r="AG53" s="67">
        <f>Inputs!$F97*(1+('Projections-WORST'!AG$9-1)*Inputs!$F$94)</f>
        <v>0</v>
      </c>
      <c r="AH53" s="67">
        <f>Inputs!$F97*(1+('Projections-WORST'!AH$9-1)*Inputs!$F$94)</f>
        <v>0</v>
      </c>
      <c r="AI53" s="67">
        <f>Inputs!$F97*(1+('Projections-WORST'!AI$9-1)*Inputs!$F$94)</f>
        <v>0</v>
      </c>
      <c r="AJ53" s="67">
        <f>Inputs!$F97*(1+('Projections-WORST'!AJ$9-1)*Inputs!$F$94)</f>
        <v>0</v>
      </c>
      <c r="AK53" s="67">
        <f>Inputs!$F97*(1+('Projections-WORST'!AK$9-1)*Inputs!$F$94)</f>
        <v>0</v>
      </c>
      <c r="AL53" s="67">
        <f>Inputs!$F97*(1+('Projections-WORST'!AL$9-1)*Inputs!$F$94)</f>
        <v>0</v>
      </c>
      <c r="AM53" s="67">
        <f>Inputs!$F97*(1+('Projections-WORST'!AM$9-1)*Inputs!$F$94)</f>
        <v>0</v>
      </c>
      <c r="AN53" s="67">
        <f>Inputs!$F97*(1+('Projections-WORST'!AN$9-1)*Inputs!$F$94)</f>
        <v>0</v>
      </c>
    </row>
    <row r="54" spans="1:40" s="16" customFormat="1">
      <c r="A54" s="1"/>
      <c r="B54" s="1"/>
      <c r="C54" s="34" t="str">
        <f>Inputs!C98</f>
        <v>&lt;Indirect Labor Individual #4 Monthly Salary, CY 1&gt;</v>
      </c>
      <c r="D54" s="15"/>
      <c r="E54" s="67">
        <f>Inputs!$F98*(1+('Projections-WORST'!E$9-1)*Inputs!$F$94)</f>
        <v>0</v>
      </c>
      <c r="F54" s="67">
        <f>Inputs!$F98*(1+('Projections-WORST'!F$9-1)*Inputs!$F$94)</f>
        <v>0</v>
      </c>
      <c r="G54" s="67">
        <f>Inputs!$F98*(1+('Projections-WORST'!G$9-1)*Inputs!$F$94)</f>
        <v>0</v>
      </c>
      <c r="H54" s="67">
        <f>Inputs!$F98*(1+('Projections-WORST'!H$9-1)*Inputs!$F$94)</f>
        <v>0</v>
      </c>
      <c r="I54" s="67">
        <f>Inputs!$F98*(1+('Projections-WORST'!I$9-1)*Inputs!$F$94)</f>
        <v>0</v>
      </c>
      <c r="J54" s="67">
        <f>Inputs!$F98*(1+('Projections-WORST'!J$9-1)*Inputs!$F$94)</f>
        <v>0</v>
      </c>
      <c r="K54" s="67">
        <f>Inputs!$F98*(1+('Projections-WORST'!K$9-1)*Inputs!$F$94)</f>
        <v>0</v>
      </c>
      <c r="L54" s="67">
        <f>Inputs!$F98*(1+('Projections-WORST'!L$9-1)*Inputs!$F$94)</f>
        <v>0</v>
      </c>
      <c r="M54" s="67">
        <f>Inputs!$F98*(1+('Projections-WORST'!M$9-1)*Inputs!$F$94)</f>
        <v>0</v>
      </c>
      <c r="N54" s="67">
        <f>Inputs!$F98*(1+('Projections-WORST'!N$9-1)*Inputs!$F$94)</f>
        <v>0</v>
      </c>
      <c r="O54" s="67">
        <f>Inputs!$F98*(1+('Projections-WORST'!O$9-1)*Inputs!$F$94)</f>
        <v>0</v>
      </c>
      <c r="P54" s="67">
        <f>Inputs!$F98*(1+('Projections-WORST'!P$9-1)*Inputs!$F$94)</f>
        <v>0</v>
      </c>
      <c r="Q54" s="67">
        <f>Inputs!$F98*(1+('Projections-WORST'!Q$9-1)*Inputs!$F$94)</f>
        <v>0</v>
      </c>
      <c r="R54" s="67">
        <f>Inputs!$F98*(1+('Projections-WORST'!R$9-1)*Inputs!$F$94)</f>
        <v>0</v>
      </c>
      <c r="S54" s="67">
        <f>Inputs!$F98*(1+('Projections-WORST'!S$9-1)*Inputs!$F$94)</f>
        <v>0</v>
      </c>
      <c r="T54" s="67">
        <f>Inputs!$F98*(1+('Projections-WORST'!T$9-1)*Inputs!$F$94)</f>
        <v>0</v>
      </c>
      <c r="U54" s="67">
        <f>Inputs!$F98*(1+('Projections-WORST'!U$9-1)*Inputs!$F$94)</f>
        <v>0</v>
      </c>
      <c r="V54" s="67">
        <f>Inputs!$F98*(1+('Projections-WORST'!V$9-1)*Inputs!$F$94)</f>
        <v>0</v>
      </c>
      <c r="W54" s="67">
        <f>Inputs!$F98*(1+('Projections-WORST'!W$9-1)*Inputs!$F$94)</f>
        <v>0</v>
      </c>
      <c r="X54" s="67">
        <f>Inputs!$F98*(1+('Projections-WORST'!X$9-1)*Inputs!$F$94)</f>
        <v>0</v>
      </c>
      <c r="Y54" s="67">
        <f>Inputs!$F98*(1+('Projections-WORST'!Y$9-1)*Inputs!$F$94)</f>
        <v>0</v>
      </c>
      <c r="Z54" s="67">
        <f>Inputs!$F98*(1+('Projections-WORST'!Z$9-1)*Inputs!$F$94)</f>
        <v>0</v>
      </c>
      <c r="AA54" s="67">
        <f>Inputs!$F98*(1+('Projections-WORST'!AA$9-1)*Inputs!$F$94)</f>
        <v>0</v>
      </c>
      <c r="AB54" s="67">
        <f>Inputs!$F98*(1+('Projections-WORST'!AB$9-1)*Inputs!$F$94)</f>
        <v>0</v>
      </c>
      <c r="AC54" s="67">
        <f>Inputs!$F98*(1+('Projections-WORST'!AC$9-1)*Inputs!$F$94)</f>
        <v>0</v>
      </c>
      <c r="AD54" s="67">
        <f>Inputs!$F98*(1+('Projections-WORST'!AD$9-1)*Inputs!$F$94)</f>
        <v>0</v>
      </c>
      <c r="AE54" s="67">
        <f>Inputs!$F98*(1+('Projections-WORST'!AE$9-1)*Inputs!$F$94)</f>
        <v>0</v>
      </c>
      <c r="AF54" s="67">
        <f>Inputs!$F98*(1+('Projections-WORST'!AF$9-1)*Inputs!$F$94)</f>
        <v>0</v>
      </c>
      <c r="AG54" s="67">
        <f>Inputs!$F98*(1+('Projections-WORST'!AG$9-1)*Inputs!$F$94)</f>
        <v>0</v>
      </c>
      <c r="AH54" s="67">
        <f>Inputs!$F98*(1+('Projections-WORST'!AH$9-1)*Inputs!$F$94)</f>
        <v>0</v>
      </c>
      <c r="AI54" s="67">
        <f>Inputs!$F98*(1+('Projections-WORST'!AI$9-1)*Inputs!$F$94)</f>
        <v>0</v>
      </c>
      <c r="AJ54" s="67">
        <f>Inputs!$F98*(1+('Projections-WORST'!AJ$9-1)*Inputs!$F$94)</f>
        <v>0</v>
      </c>
      <c r="AK54" s="67">
        <f>Inputs!$F98*(1+('Projections-WORST'!AK$9-1)*Inputs!$F$94)</f>
        <v>0</v>
      </c>
      <c r="AL54" s="67">
        <f>Inputs!$F98*(1+('Projections-WORST'!AL$9-1)*Inputs!$F$94)</f>
        <v>0</v>
      </c>
      <c r="AM54" s="67">
        <f>Inputs!$F98*(1+('Projections-WORST'!AM$9-1)*Inputs!$F$94)</f>
        <v>0</v>
      </c>
      <c r="AN54" s="67">
        <f>Inputs!$F98*(1+('Projections-WORST'!AN$9-1)*Inputs!$F$94)</f>
        <v>0</v>
      </c>
    </row>
    <row r="55" spans="1:40" s="16" customFormat="1">
      <c r="A55" s="1"/>
      <c r="B55" s="1"/>
      <c r="C55" s="34" t="str">
        <f>Inputs!C99</f>
        <v>&lt;Indirect Labor Individual #5 Monthly Salary, CY 1&gt;</v>
      </c>
      <c r="D55" s="15"/>
      <c r="E55" s="67">
        <f>Inputs!$F99*(1+('Projections-WORST'!E$9-1)*Inputs!$F$94)</f>
        <v>0</v>
      </c>
      <c r="F55" s="67">
        <f>Inputs!$F99*(1+('Projections-WORST'!F$9-1)*Inputs!$F$94)</f>
        <v>0</v>
      </c>
      <c r="G55" s="67">
        <f>Inputs!$F99*(1+('Projections-WORST'!G$9-1)*Inputs!$F$94)</f>
        <v>0</v>
      </c>
      <c r="H55" s="67">
        <f>Inputs!$F99*(1+('Projections-WORST'!H$9-1)*Inputs!$F$94)</f>
        <v>0</v>
      </c>
      <c r="I55" s="67">
        <f>Inputs!$F99*(1+('Projections-WORST'!I$9-1)*Inputs!$F$94)</f>
        <v>0</v>
      </c>
      <c r="J55" s="67">
        <f>Inputs!$F99*(1+('Projections-WORST'!J$9-1)*Inputs!$F$94)</f>
        <v>0</v>
      </c>
      <c r="K55" s="67">
        <f>Inputs!$F99*(1+('Projections-WORST'!K$9-1)*Inputs!$F$94)</f>
        <v>0</v>
      </c>
      <c r="L55" s="67">
        <f>Inputs!$F99*(1+('Projections-WORST'!L$9-1)*Inputs!$F$94)</f>
        <v>0</v>
      </c>
      <c r="M55" s="67">
        <f>Inputs!$F99*(1+('Projections-WORST'!M$9-1)*Inputs!$F$94)</f>
        <v>0</v>
      </c>
      <c r="N55" s="67">
        <f>Inputs!$F99*(1+('Projections-WORST'!N$9-1)*Inputs!$F$94)</f>
        <v>0</v>
      </c>
      <c r="O55" s="67">
        <f>Inputs!$F99*(1+('Projections-WORST'!O$9-1)*Inputs!$F$94)</f>
        <v>0</v>
      </c>
      <c r="P55" s="67">
        <f>Inputs!$F99*(1+('Projections-WORST'!P$9-1)*Inputs!$F$94)</f>
        <v>0</v>
      </c>
      <c r="Q55" s="67">
        <f>Inputs!$F99*(1+('Projections-WORST'!Q$9-1)*Inputs!$F$94)</f>
        <v>0</v>
      </c>
      <c r="R55" s="67">
        <f>Inputs!$F99*(1+('Projections-WORST'!R$9-1)*Inputs!$F$94)</f>
        <v>0</v>
      </c>
      <c r="S55" s="67">
        <f>Inputs!$F99*(1+('Projections-WORST'!S$9-1)*Inputs!$F$94)</f>
        <v>0</v>
      </c>
      <c r="T55" s="67">
        <f>Inputs!$F99*(1+('Projections-WORST'!T$9-1)*Inputs!$F$94)</f>
        <v>0</v>
      </c>
      <c r="U55" s="67">
        <f>Inputs!$F99*(1+('Projections-WORST'!U$9-1)*Inputs!$F$94)</f>
        <v>0</v>
      </c>
      <c r="V55" s="67">
        <f>Inputs!$F99*(1+('Projections-WORST'!V$9-1)*Inputs!$F$94)</f>
        <v>0</v>
      </c>
      <c r="W55" s="67">
        <f>Inputs!$F99*(1+('Projections-WORST'!W$9-1)*Inputs!$F$94)</f>
        <v>0</v>
      </c>
      <c r="X55" s="67">
        <f>Inputs!$F99*(1+('Projections-WORST'!X$9-1)*Inputs!$F$94)</f>
        <v>0</v>
      </c>
      <c r="Y55" s="67">
        <f>Inputs!$F99*(1+('Projections-WORST'!Y$9-1)*Inputs!$F$94)</f>
        <v>0</v>
      </c>
      <c r="Z55" s="67">
        <f>Inputs!$F99*(1+('Projections-WORST'!Z$9-1)*Inputs!$F$94)</f>
        <v>0</v>
      </c>
      <c r="AA55" s="67">
        <f>Inputs!$F99*(1+('Projections-WORST'!AA$9-1)*Inputs!$F$94)</f>
        <v>0</v>
      </c>
      <c r="AB55" s="67">
        <f>Inputs!$F99*(1+('Projections-WORST'!AB$9-1)*Inputs!$F$94)</f>
        <v>0</v>
      </c>
      <c r="AC55" s="67">
        <f>Inputs!$F99*(1+('Projections-WORST'!AC$9-1)*Inputs!$F$94)</f>
        <v>0</v>
      </c>
      <c r="AD55" s="67">
        <f>Inputs!$F99*(1+('Projections-WORST'!AD$9-1)*Inputs!$F$94)</f>
        <v>0</v>
      </c>
      <c r="AE55" s="67">
        <f>Inputs!$F99*(1+('Projections-WORST'!AE$9-1)*Inputs!$F$94)</f>
        <v>0</v>
      </c>
      <c r="AF55" s="67">
        <f>Inputs!$F99*(1+('Projections-WORST'!AF$9-1)*Inputs!$F$94)</f>
        <v>0</v>
      </c>
      <c r="AG55" s="67">
        <f>Inputs!$F99*(1+('Projections-WORST'!AG$9-1)*Inputs!$F$94)</f>
        <v>0</v>
      </c>
      <c r="AH55" s="67">
        <f>Inputs!$F99*(1+('Projections-WORST'!AH$9-1)*Inputs!$F$94)</f>
        <v>0</v>
      </c>
      <c r="AI55" s="67">
        <f>Inputs!$F99*(1+('Projections-WORST'!AI$9-1)*Inputs!$F$94)</f>
        <v>0</v>
      </c>
      <c r="AJ55" s="67">
        <f>Inputs!$F99*(1+('Projections-WORST'!AJ$9-1)*Inputs!$F$94)</f>
        <v>0</v>
      </c>
      <c r="AK55" s="67">
        <f>Inputs!$F99*(1+('Projections-WORST'!AK$9-1)*Inputs!$F$94)</f>
        <v>0</v>
      </c>
      <c r="AL55" s="67">
        <f>Inputs!$F99*(1+('Projections-WORST'!AL$9-1)*Inputs!$F$94)</f>
        <v>0</v>
      </c>
      <c r="AM55" s="67">
        <f>Inputs!$F99*(1+('Projections-WORST'!AM$9-1)*Inputs!$F$94)</f>
        <v>0</v>
      </c>
      <c r="AN55" s="67">
        <f>Inputs!$F99*(1+('Projections-WORST'!AN$9-1)*Inputs!$F$94)</f>
        <v>0</v>
      </c>
    </row>
    <row r="56" spans="1:40" s="16" customFormat="1">
      <c r="A56" s="1"/>
      <c r="B56" s="1"/>
      <c r="C56" s="34" t="str">
        <f>Inputs!C100</f>
        <v>&lt;Indirect Labor Individual #6 Monthly Salary, CY 1&gt;</v>
      </c>
      <c r="D56" s="15"/>
      <c r="E56" s="67">
        <f>Inputs!$F100*(1+('Projections-WORST'!E$9-1)*Inputs!$F$94)</f>
        <v>0</v>
      </c>
      <c r="F56" s="67">
        <f>Inputs!$F100*(1+('Projections-WORST'!F$9-1)*Inputs!$F$94)</f>
        <v>0</v>
      </c>
      <c r="G56" s="67">
        <f>Inputs!$F100*(1+('Projections-WORST'!G$9-1)*Inputs!$F$94)</f>
        <v>0</v>
      </c>
      <c r="H56" s="67">
        <f>Inputs!$F100*(1+('Projections-WORST'!H$9-1)*Inputs!$F$94)</f>
        <v>0</v>
      </c>
      <c r="I56" s="67">
        <f>Inputs!$F100*(1+('Projections-WORST'!I$9-1)*Inputs!$F$94)</f>
        <v>0</v>
      </c>
      <c r="J56" s="67">
        <f>Inputs!$F100*(1+('Projections-WORST'!J$9-1)*Inputs!$F$94)</f>
        <v>0</v>
      </c>
      <c r="K56" s="67">
        <f>Inputs!$F100*(1+('Projections-WORST'!K$9-1)*Inputs!$F$94)</f>
        <v>0</v>
      </c>
      <c r="L56" s="67">
        <f>Inputs!$F100*(1+('Projections-WORST'!L$9-1)*Inputs!$F$94)</f>
        <v>0</v>
      </c>
      <c r="M56" s="67">
        <f>Inputs!$F100*(1+('Projections-WORST'!M$9-1)*Inputs!$F$94)</f>
        <v>0</v>
      </c>
      <c r="N56" s="67">
        <f>Inputs!$F100*(1+('Projections-WORST'!N$9-1)*Inputs!$F$94)</f>
        <v>0</v>
      </c>
      <c r="O56" s="67">
        <f>Inputs!$F100*(1+('Projections-WORST'!O$9-1)*Inputs!$F$94)</f>
        <v>0</v>
      </c>
      <c r="P56" s="67">
        <f>Inputs!$F100*(1+('Projections-WORST'!P$9-1)*Inputs!$F$94)</f>
        <v>0</v>
      </c>
      <c r="Q56" s="67">
        <f>Inputs!$F100*(1+('Projections-WORST'!Q$9-1)*Inputs!$F$94)</f>
        <v>0</v>
      </c>
      <c r="R56" s="67">
        <f>Inputs!$F100*(1+('Projections-WORST'!R$9-1)*Inputs!$F$94)</f>
        <v>0</v>
      </c>
      <c r="S56" s="67">
        <f>Inputs!$F100*(1+('Projections-WORST'!S$9-1)*Inputs!$F$94)</f>
        <v>0</v>
      </c>
      <c r="T56" s="67">
        <f>Inputs!$F100*(1+('Projections-WORST'!T$9-1)*Inputs!$F$94)</f>
        <v>0</v>
      </c>
      <c r="U56" s="67">
        <f>Inputs!$F100*(1+('Projections-WORST'!U$9-1)*Inputs!$F$94)</f>
        <v>0</v>
      </c>
      <c r="V56" s="67">
        <f>Inputs!$F100*(1+('Projections-WORST'!V$9-1)*Inputs!$F$94)</f>
        <v>0</v>
      </c>
      <c r="W56" s="67">
        <f>Inputs!$F100*(1+('Projections-WORST'!W$9-1)*Inputs!$F$94)</f>
        <v>0</v>
      </c>
      <c r="X56" s="67">
        <f>Inputs!$F100*(1+('Projections-WORST'!X$9-1)*Inputs!$F$94)</f>
        <v>0</v>
      </c>
      <c r="Y56" s="67">
        <f>Inputs!$F100*(1+('Projections-WORST'!Y$9-1)*Inputs!$F$94)</f>
        <v>0</v>
      </c>
      <c r="Z56" s="67">
        <f>Inputs!$F100*(1+('Projections-WORST'!Z$9-1)*Inputs!$F$94)</f>
        <v>0</v>
      </c>
      <c r="AA56" s="67">
        <f>Inputs!$F100*(1+('Projections-WORST'!AA$9-1)*Inputs!$F$94)</f>
        <v>0</v>
      </c>
      <c r="AB56" s="67">
        <f>Inputs!$F100*(1+('Projections-WORST'!AB$9-1)*Inputs!$F$94)</f>
        <v>0</v>
      </c>
      <c r="AC56" s="67">
        <f>Inputs!$F100*(1+('Projections-WORST'!AC$9-1)*Inputs!$F$94)</f>
        <v>0</v>
      </c>
      <c r="AD56" s="67">
        <f>Inputs!$F100*(1+('Projections-WORST'!AD$9-1)*Inputs!$F$94)</f>
        <v>0</v>
      </c>
      <c r="AE56" s="67">
        <f>Inputs!$F100*(1+('Projections-WORST'!AE$9-1)*Inputs!$F$94)</f>
        <v>0</v>
      </c>
      <c r="AF56" s="67">
        <f>Inputs!$F100*(1+('Projections-WORST'!AF$9-1)*Inputs!$F$94)</f>
        <v>0</v>
      </c>
      <c r="AG56" s="67">
        <f>Inputs!$F100*(1+('Projections-WORST'!AG$9-1)*Inputs!$F$94)</f>
        <v>0</v>
      </c>
      <c r="AH56" s="67">
        <f>Inputs!$F100*(1+('Projections-WORST'!AH$9-1)*Inputs!$F$94)</f>
        <v>0</v>
      </c>
      <c r="AI56" s="67">
        <f>Inputs!$F100*(1+('Projections-WORST'!AI$9-1)*Inputs!$F$94)</f>
        <v>0</v>
      </c>
      <c r="AJ56" s="67">
        <f>Inputs!$F100*(1+('Projections-WORST'!AJ$9-1)*Inputs!$F$94)</f>
        <v>0</v>
      </c>
      <c r="AK56" s="67">
        <f>Inputs!$F100*(1+('Projections-WORST'!AK$9-1)*Inputs!$F$94)</f>
        <v>0</v>
      </c>
      <c r="AL56" s="67">
        <f>Inputs!$F100*(1+('Projections-WORST'!AL$9-1)*Inputs!$F$94)</f>
        <v>0</v>
      </c>
      <c r="AM56" s="67">
        <f>Inputs!$F100*(1+('Projections-WORST'!AM$9-1)*Inputs!$F$94)</f>
        <v>0</v>
      </c>
      <c r="AN56" s="67">
        <f>Inputs!$F100*(1+('Projections-WORST'!AN$9-1)*Inputs!$F$94)</f>
        <v>0</v>
      </c>
    </row>
    <row r="57" spans="1:40" s="16" customFormat="1">
      <c r="A57" s="1"/>
      <c r="B57" s="1"/>
      <c r="C57" s="34" t="str">
        <f>Inputs!C101</f>
        <v>&lt;Indirect Labor Individual #7 Monthly Salary, CY 1&gt;</v>
      </c>
      <c r="D57" s="15"/>
      <c r="E57" s="67">
        <f>Inputs!$F101*(1+('Projections-WORST'!E$9-1)*Inputs!$F$94)</f>
        <v>0</v>
      </c>
      <c r="F57" s="67">
        <f>Inputs!$F101*(1+('Projections-WORST'!F$9-1)*Inputs!$F$94)</f>
        <v>0</v>
      </c>
      <c r="G57" s="67">
        <f>Inputs!$F101*(1+('Projections-WORST'!G$9-1)*Inputs!$F$94)</f>
        <v>0</v>
      </c>
      <c r="H57" s="67">
        <f>Inputs!$F101*(1+('Projections-WORST'!H$9-1)*Inputs!$F$94)</f>
        <v>0</v>
      </c>
      <c r="I57" s="67">
        <f>Inputs!$F101*(1+('Projections-WORST'!I$9-1)*Inputs!$F$94)</f>
        <v>0</v>
      </c>
      <c r="J57" s="67">
        <f>Inputs!$F101*(1+('Projections-WORST'!J$9-1)*Inputs!$F$94)</f>
        <v>0</v>
      </c>
      <c r="K57" s="67">
        <f>Inputs!$F101*(1+('Projections-WORST'!K$9-1)*Inputs!$F$94)</f>
        <v>0</v>
      </c>
      <c r="L57" s="67">
        <f>Inputs!$F101*(1+('Projections-WORST'!L$9-1)*Inputs!$F$94)</f>
        <v>0</v>
      </c>
      <c r="M57" s="67">
        <f>Inputs!$F101*(1+('Projections-WORST'!M$9-1)*Inputs!$F$94)</f>
        <v>0</v>
      </c>
      <c r="N57" s="67">
        <f>Inputs!$F101*(1+('Projections-WORST'!N$9-1)*Inputs!$F$94)</f>
        <v>0</v>
      </c>
      <c r="O57" s="67">
        <f>Inputs!$F101*(1+('Projections-WORST'!O$9-1)*Inputs!$F$94)</f>
        <v>0</v>
      </c>
      <c r="P57" s="67">
        <f>Inputs!$F101*(1+('Projections-WORST'!P$9-1)*Inputs!$F$94)</f>
        <v>0</v>
      </c>
      <c r="Q57" s="67">
        <f>Inputs!$F101*(1+('Projections-WORST'!Q$9-1)*Inputs!$F$94)</f>
        <v>0</v>
      </c>
      <c r="R57" s="67">
        <f>Inputs!$F101*(1+('Projections-WORST'!R$9-1)*Inputs!$F$94)</f>
        <v>0</v>
      </c>
      <c r="S57" s="67">
        <f>Inputs!$F101*(1+('Projections-WORST'!S$9-1)*Inputs!$F$94)</f>
        <v>0</v>
      </c>
      <c r="T57" s="67">
        <f>Inputs!$F101*(1+('Projections-WORST'!T$9-1)*Inputs!$F$94)</f>
        <v>0</v>
      </c>
      <c r="U57" s="67">
        <f>Inputs!$F101*(1+('Projections-WORST'!U$9-1)*Inputs!$F$94)</f>
        <v>0</v>
      </c>
      <c r="V57" s="67">
        <f>Inputs!$F101*(1+('Projections-WORST'!V$9-1)*Inputs!$F$94)</f>
        <v>0</v>
      </c>
      <c r="W57" s="67">
        <f>Inputs!$F101*(1+('Projections-WORST'!W$9-1)*Inputs!$F$94)</f>
        <v>0</v>
      </c>
      <c r="X57" s="67">
        <f>Inputs!$F101*(1+('Projections-WORST'!X$9-1)*Inputs!$F$94)</f>
        <v>0</v>
      </c>
      <c r="Y57" s="67">
        <f>Inputs!$F101*(1+('Projections-WORST'!Y$9-1)*Inputs!$F$94)</f>
        <v>0</v>
      </c>
      <c r="Z57" s="67">
        <f>Inputs!$F101*(1+('Projections-WORST'!Z$9-1)*Inputs!$F$94)</f>
        <v>0</v>
      </c>
      <c r="AA57" s="67">
        <f>Inputs!$F101*(1+('Projections-WORST'!AA$9-1)*Inputs!$F$94)</f>
        <v>0</v>
      </c>
      <c r="AB57" s="67">
        <f>Inputs!$F101*(1+('Projections-WORST'!AB$9-1)*Inputs!$F$94)</f>
        <v>0</v>
      </c>
      <c r="AC57" s="67">
        <f>Inputs!$F101*(1+('Projections-WORST'!AC$9-1)*Inputs!$F$94)</f>
        <v>0</v>
      </c>
      <c r="AD57" s="67">
        <f>Inputs!$F101*(1+('Projections-WORST'!AD$9-1)*Inputs!$F$94)</f>
        <v>0</v>
      </c>
      <c r="AE57" s="67">
        <f>Inputs!$F101*(1+('Projections-WORST'!AE$9-1)*Inputs!$F$94)</f>
        <v>0</v>
      </c>
      <c r="AF57" s="67">
        <f>Inputs!$F101*(1+('Projections-WORST'!AF$9-1)*Inputs!$F$94)</f>
        <v>0</v>
      </c>
      <c r="AG57" s="67">
        <f>Inputs!$F101*(1+('Projections-WORST'!AG$9-1)*Inputs!$F$94)</f>
        <v>0</v>
      </c>
      <c r="AH57" s="67">
        <f>Inputs!$F101*(1+('Projections-WORST'!AH$9-1)*Inputs!$F$94)</f>
        <v>0</v>
      </c>
      <c r="AI57" s="67">
        <f>Inputs!$F101*(1+('Projections-WORST'!AI$9-1)*Inputs!$F$94)</f>
        <v>0</v>
      </c>
      <c r="AJ57" s="67">
        <f>Inputs!$F101*(1+('Projections-WORST'!AJ$9-1)*Inputs!$F$94)</f>
        <v>0</v>
      </c>
      <c r="AK57" s="67">
        <f>Inputs!$F101*(1+('Projections-WORST'!AK$9-1)*Inputs!$F$94)</f>
        <v>0</v>
      </c>
      <c r="AL57" s="67">
        <f>Inputs!$F101*(1+('Projections-WORST'!AL$9-1)*Inputs!$F$94)</f>
        <v>0</v>
      </c>
      <c r="AM57" s="67">
        <f>Inputs!$F101*(1+('Projections-WORST'!AM$9-1)*Inputs!$F$94)</f>
        <v>0</v>
      </c>
      <c r="AN57" s="67">
        <f>Inputs!$F101*(1+('Projections-WORST'!AN$9-1)*Inputs!$F$94)</f>
        <v>0</v>
      </c>
    </row>
    <row r="58" spans="1:40" s="16" customFormat="1">
      <c r="A58" s="1"/>
      <c r="B58" s="1"/>
      <c r="C58" s="34" t="str">
        <f>Inputs!C102</f>
        <v>&lt;Indirect Labor Individual #8 Monthly Salary, CY 1&gt;</v>
      </c>
      <c r="D58" s="15"/>
      <c r="E58" s="67">
        <f>Inputs!$F102*(1+('Projections-WORST'!E$9-1)*Inputs!$F$94)</f>
        <v>0</v>
      </c>
      <c r="F58" s="67">
        <f>Inputs!$F102*(1+('Projections-WORST'!F$9-1)*Inputs!$F$94)</f>
        <v>0</v>
      </c>
      <c r="G58" s="67">
        <f>Inputs!$F102*(1+('Projections-WORST'!G$9-1)*Inputs!$F$94)</f>
        <v>0</v>
      </c>
      <c r="H58" s="67">
        <f>Inputs!$F102*(1+('Projections-WORST'!H$9-1)*Inputs!$F$94)</f>
        <v>0</v>
      </c>
      <c r="I58" s="67">
        <f>Inputs!$F102*(1+('Projections-WORST'!I$9-1)*Inputs!$F$94)</f>
        <v>0</v>
      </c>
      <c r="J58" s="67">
        <f>Inputs!$F102*(1+('Projections-WORST'!J$9-1)*Inputs!$F$94)</f>
        <v>0</v>
      </c>
      <c r="K58" s="67">
        <f>Inputs!$F102*(1+('Projections-WORST'!K$9-1)*Inputs!$F$94)</f>
        <v>0</v>
      </c>
      <c r="L58" s="67">
        <f>Inputs!$F102*(1+('Projections-WORST'!L$9-1)*Inputs!$F$94)</f>
        <v>0</v>
      </c>
      <c r="M58" s="67">
        <f>Inputs!$F102*(1+('Projections-WORST'!M$9-1)*Inputs!$F$94)</f>
        <v>0</v>
      </c>
      <c r="N58" s="67">
        <f>Inputs!$F102*(1+('Projections-WORST'!N$9-1)*Inputs!$F$94)</f>
        <v>0</v>
      </c>
      <c r="O58" s="67">
        <f>Inputs!$F102*(1+('Projections-WORST'!O$9-1)*Inputs!$F$94)</f>
        <v>0</v>
      </c>
      <c r="P58" s="67">
        <f>Inputs!$F102*(1+('Projections-WORST'!P$9-1)*Inputs!$F$94)</f>
        <v>0</v>
      </c>
      <c r="Q58" s="67">
        <f>Inputs!$F102*(1+('Projections-WORST'!Q$9-1)*Inputs!$F$94)</f>
        <v>0</v>
      </c>
      <c r="R58" s="67">
        <f>Inputs!$F102*(1+('Projections-WORST'!R$9-1)*Inputs!$F$94)</f>
        <v>0</v>
      </c>
      <c r="S58" s="67">
        <f>Inputs!$F102*(1+('Projections-WORST'!S$9-1)*Inputs!$F$94)</f>
        <v>0</v>
      </c>
      <c r="T58" s="67">
        <f>Inputs!$F102*(1+('Projections-WORST'!T$9-1)*Inputs!$F$94)</f>
        <v>0</v>
      </c>
      <c r="U58" s="67">
        <f>Inputs!$F102*(1+('Projections-WORST'!U$9-1)*Inputs!$F$94)</f>
        <v>0</v>
      </c>
      <c r="V58" s="67">
        <f>Inputs!$F102*(1+('Projections-WORST'!V$9-1)*Inputs!$F$94)</f>
        <v>0</v>
      </c>
      <c r="W58" s="67">
        <f>Inputs!$F102*(1+('Projections-WORST'!W$9-1)*Inputs!$F$94)</f>
        <v>0</v>
      </c>
      <c r="X58" s="67">
        <f>Inputs!$F102*(1+('Projections-WORST'!X$9-1)*Inputs!$F$94)</f>
        <v>0</v>
      </c>
      <c r="Y58" s="67">
        <f>Inputs!$F102*(1+('Projections-WORST'!Y$9-1)*Inputs!$F$94)</f>
        <v>0</v>
      </c>
      <c r="Z58" s="67">
        <f>Inputs!$F102*(1+('Projections-WORST'!Z$9-1)*Inputs!$F$94)</f>
        <v>0</v>
      </c>
      <c r="AA58" s="67">
        <f>Inputs!$F102*(1+('Projections-WORST'!AA$9-1)*Inputs!$F$94)</f>
        <v>0</v>
      </c>
      <c r="AB58" s="67">
        <f>Inputs!$F102*(1+('Projections-WORST'!AB$9-1)*Inputs!$F$94)</f>
        <v>0</v>
      </c>
      <c r="AC58" s="67">
        <f>Inputs!$F102*(1+('Projections-WORST'!AC$9-1)*Inputs!$F$94)</f>
        <v>0</v>
      </c>
      <c r="AD58" s="67">
        <f>Inputs!$F102*(1+('Projections-WORST'!AD$9-1)*Inputs!$F$94)</f>
        <v>0</v>
      </c>
      <c r="AE58" s="67">
        <f>Inputs!$F102*(1+('Projections-WORST'!AE$9-1)*Inputs!$F$94)</f>
        <v>0</v>
      </c>
      <c r="AF58" s="67">
        <f>Inputs!$F102*(1+('Projections-WORST'!AF$9-1)*Inputs!$F$94)</f>
        <v>0</v>
      </c>
      <c r="AG58" s="67">
        <f>Inputs!$F102*(1+('Projections-WORST'!AG$9-1)*Inputs!$F$94)</f>
        <v>0</v>
      </c>
      <c r="AH58" s="67">
        <f>Inputs!$F102*(1+('Projections-WORST'!AH$9-1)*Inputs!$F$94)</f>
        <v>0</v>
      </c>
      <c r="AI58" s="67">
        <f>Inputs!$F102*(1+('Projections-WORST'!AI$9-1)*Inputs!$F$94)</f>
        <v>0</v>
      </c>
      <c r="AJ58" s="67">
        <f>Inputs!$F102*(1+('Projections-WORST'!AJ$9-1)*Inputs!$F$94)</f>
        <v>0</v>
      </c>
      <c r="AK58" s="67">
        <f>Inputs!$F102*(1+('Projections-WORST'!AK$9-1)*Inputs!$F$94)</f>
        <v>0</v>
      </c>
      <c r="AL58" s="67">
        <f>Inputs!$F102*(1+('Projections-WORST'!AL$9-1)*Inputs!$F$94)</f>
        <v>0</v>
      </c>
      <c r="AM58" s="67">
        <f>Inputs!$F102*(1+('Projections-WORST'!AM$9-1)*Inputs!$F$94)</f>
        <v>0</v>
      </c>
      <c r="AN58" s="67">
        <f>Inputs!$F102*(1+('Projections-WORST'!AN$9-1)*Inputs!$F$94)</f>
        <v>0</v>
      </c>
    </row>
    <row r="59" spans="1:40" s="16" customFormat="1">
      <c r="A59" s="1"/>
      <c r="B59" s="1"/>
      <c r="C59" s="34" t="str">
        <f>Inputs!C103</f>
        <v>&lt;Indirect Labor Individual #9 Monthly Salary, CY 1&gt;</v>
      </c>
      <c r="D59" s="15"/>
      <c r="E59" s="67">
        <f>Inputs!$F103*(1+('Projections-WORST'!E$9-1)*Inputs!$F$94)</f>
        <v>0</v>
      </c>
      <c r="F59" s="67">
        <f>Inputs!$F103*(1+('Projections-WORST'!F$9-1)*Inputs!$F$94)</f>
        <v>0</v>
      </c>
      <c r="G59" s="67">
        <f>Inputs!$F103*(1+('Projections-WORST'!G$9-1)*Inputs!$F$94)</f>
        <v>0</v>
      </c>
      <c r="H59" s="67">
        <f>Inputs!$F103*(1+('Projections-WORST'!H$9-1)*Inputs!$F$94)</f>
        <v>0</v>
      </c>
      <c r="I59" s="67">
        <f>Inputs!$F103*(1+('Projections-WORST'!I$9-1)*Inputs!$F$94)</f>
        <v>0</v>
      </c>
      <c r="J59" s="67">
        <f>Inputs!$F103*(1+('Projections-WORST'!J$9-1)*Inputs!$F$94)</f>
        <v>0</v>
      </c>
      <c r="K59" s="67">
        <f>Inputs!$F103*(1+('Projections-WORST'!K$9-1)*Inputs!$F$94)</f>
        <v>0</v>
      </c>
      <c r="L59" s="67">
        <f>Inputs!$F103*(1+('Projections-WORST'!L$9-1)*Inputs!$F$94)</f>
        <v>0</v>
      </c>
      <c r="M59" s="67">
        <f>Inputs!$F103*(1+('Projections-WORST'!M$9-1)*Inputs!$F$94)</f>
        <v>0</v>
      </c>
      <c r="N59" s="67">
        <f>Inputs!$F103*(1+('Projections-WORST'!N$9-1)*Inputs!$F$94)</f>
        <v>0</v>
      </c>
      <c r="O59" s="67">
        <f>Inputs!$F103*(1+('Projections-WORST'!O$9-1)*Inputs!$F$94)</f>
        <v>0</v>
      </c>
      <c r="P59" s="67">
        <f>Inputs!$F103*(1+('Projections-WORST'!P$9-1)*Inputs!$F$94)</f>
        <v>0</v>
      </c>
      <c r="Q59" s="67">
        <f>Inputs!$F103*(1+('Projections-WORST'!Q$9-1)*Inputs!$F$94)</f>
        <v>0</v>
      </c>
      <c r="R59" s="67">
        <f>Inputs!$F103*(1+('Projections-WORST'!R$9-1)*Inputs!$F$94)</f>
        <v>0</v>
      </c>
      <c r="S59" s="67">
        <f>Inputs!$F103*(1+('Projections-WORST'!S$9-1)*Inputs!$F$94)</f>
        <v>0</v>
      </c>
      <c r="T59" s="67">
        <f>Inputs!$F103*(1+('Projections-WORST'!T$9-1)*Inputs!$F$94)</f>
        <v>0</v>
      </c>
      <c r="U59" s="67">
        <f>Inputs!$F103*(1+('Projections-WORST'!U$9-1)*Inputs!$F$94)</f>
        <v>0</v>
      </c>
      <c r="V59" s="67">
        <f>Inputs!$F103*(1+('Projections-WORST'!V$9-1)*Inputs!$F$94)</f>
        <v>0</v>
      </c>
      <c r="W59" s="67">
        <f>Inputs!$F103*(1+('Projections-WORST'!W$9-1)*Inputs!$F$94)</f>
        <v>0</v>
      </c>
      <c r="X59" s="67">
        <f>Inputs!$F103*(1+('Projections-WORST'!X$9-1)*Inputs!$F$94)</f>
        <v>0</v>
      </c>
      <c r="Y59" s="67">
        <f>Inputs!$F103*(1+('Projections-WORST'!Y$9-1)*Inputs!$F$94)</f>
        <v>0</v>
      </c>
      <c r="Z59" s="67">
        <f>Inputs!$F103*(1+('Projections-WORST'!Z$9-1)*Inputs!$F$94)</f>
        <v>0</v>
      </c>
      <c r="AA59" s="67">
        <f>Inputs!$F103*(1+('Projections-WORST'!AA$9-1)*Inputs!$F$94)</f>
        <v>0</v>
      </c>
      <c r="AB59" s="67">
        <f>Inputs!$F103*(1+('Projections-WORST'!AB$9-1)*Inputs!$F$94)</f>
        <v>0</v>
      </c>
      <c r="AC59" s="67">
        <f>Inputs!$F103*(1+('Projections-WORST'!AC$9-1)*Inputs!$F$94)</f>
        <v>0</v>
      </c>
      <c r="AD59" s="67">
        <f>Inputs!$F103*(1+('Projections-WORST'!AD$9-1)*Inputs!$F$94)</f>
        <v>0</v>
      </c>
      <c r="AE59" s="67">
        <f>Inputs!$F103*(1+('Projections-WORST'!AE$9-1)*Inputs!$F$94)</f>
        <v>0</v>
      </c>
      <c r="AF59" s="67">
        <f>Inputs!$F103*(1+('Projections-WORST'!AF$9-1)*Inputs!$F$94)</f>
        <v>0</v>
      </c>
      <c r="AG59" s="67">
        <f>Inputs!$F103*(1+('Projections-WORST'!AG$9-1)*Inputs!$F$94)</f>
        <v>0</v>
      </c>
      <c r="AH59" s="67">
        <f>Inputs!$F103*(1+('Projections-WORST'!AH$9-1)*Inputs!$F$94)</f>
        <v>0</v>
      </c>
      <c r="AI59" s="67">
        <f>Inputs!$F103*(1+('Projections-WORST'!AI$9-1)*Inputs!$F$94)</f>
        <v>0</v>
      </c>
      <c r="AJ59" s="67">
        <f>Inputs!$F103*(1+('Projections-WORST'!AJ$9-1)*Inputs!$F$94)</f>
        <v>0</v>
      </c>
      <c r="AK59" s="67">
        <f>Inputs!$F103*(1+('Projections-WORST'!AK$9-1)*Inputs!$F$94)</f>
        <v>0</v>
      </c>
      <c r="AL59" s="67">
        <f>Inputs!$F103*(1+('Projections-WORST'!AL$9-1)*Inputs!$F$94)</f>
        <v>0</v>
      </c>
      <c r="AM59" s="67">
        <f>Inputs!$F103*(1+('Projections-WORST'!AM$9-1)*Inputs!$F$94)</f>
        <v>0</v>
      </c>
      <c r="AN59" s="67">
        <f>Inputs!$F103*(1+('Projections-WORST'!AN$9-1)*Inputs!$F$94)</f>
        <v>0</v>
      </c>
    </row>
    <row r="60" spans="1:40" s="16" customFormat="1">
      <c r="A60" s="1"/>
      <c r="B60" s="1"/>
      <c r="C60" s="34" t="s">
        <v>227</v>
      </c>
      <c r="D60" s="15"/>
      <c r="E60" s="67">
        <f>SUM(E51:E59)*Inputs!$F$93</f>
        <v>3900</v>
      </c>
      <c r="F60" s="67">
        <f>SUM(F51:F59)*Inputs!$F$93</f>
        <v>3900</v>
      </c>
      <c r="G60" s="67">
        <f>SUM(G51:G59)*Inputs!$F$93</f>
        <v>3900</v>
      </c>
      <c r="H60" s="67">
        <f>SUM(H51:H59)*Inputs!$F$93</f>
        <v>3900</v>
      </c>
      <c r="I60" s="67">
        <f>SUM(I51:I59)*Inputs!$F$93</f>
        <v>3900</v>
      </c>
      <c r="J60" s="67">
        <f>SUM(J51:J59)*Inputs!$F$93</f>
        <v>3900</v>
      </c>
      <c r="K60" s="67">
        <f>SUM(K51:K59)*Inputs!$F$93</f>
        <v>3900</v>
      </c>
      <c r="L60" s="67">
        <f>SUM(L51:L59)*Inputs!$F$93</f>
        <v>3900</v>
      </c>
      <c r="M60" s="67">
        <f>SUM(M51:M59)*Inputs!$F$93</f>
        <v>3900</v>
      </c>
      <c r="N60" s="67">
        <f>SUM(N51:N59)*Inputs!$F$93</f>
        <v>3900</v>
      </c>
      <c r="O60" s="67">
        <f>SUM(O51:O59)*Inputs!$F$93</f>
        <v>4017</v>
      </c>
      <c r="P60" s="67">
        <f>SUM(P51:P59)*Inputs!$F$93</f>
        <v>4017</v>
      </c>
      <c r="Q60" s="67">
        <f>SUM(Q51:Q59)*Inputs!$F$93</f>
        <v>4017</v>
      </c>
      <c r="R60" s="67">
        <f>SUM(R51:R59)*Inputs!$F$93</f>
        <v>4017</v>
      </c>
      <c r="S60" s="67">
        <f>SUM(S51:S59)*Inputs!$F$93</f>
        <v>4017</v>
      </c>
      <c r="T60" s="67">
        <f>SUM(T51:T59)*Inputs!$F$93</f>
        <v>4017</v>
      </c>
      <c r="U60" s="67">
        <f>SUM(U51:U59)*Inputs!$F$93</f>
        <v>4017</v>
      </c>
      <c r="V60" s="67">
        <f>SUM(V51:V59)*Inputs!$F$93</f>
        <v>4017</v>
      </c>
      <c r="W60" s="67">
        <f>SUM(W51:W59)*Inputs!$F$93</f>
        <v>4017</v>
      </c>
      <c r="X60" s="67">
        <f>SUM(X51:X59)*Inputs!$F$93</f>
        <v>4017</v>
      </c>
      <c r="Y60" s="67">
        <f>SUM(Y51:Y59)*Inputs!$F$93</f>
        <v>4017</v>
      </c>
      <c r="Z60" s="67">
        <f>SUM(Z51:Z59)*Inputs!$F$93</f>
        <v>4017</v>
      </c>
      <c r="AA60" s="67">
        <f>SUM(AA51:AA59)*Inputs!$F$93</f>
        <v>4134</v>
      </c>
      <c r="AB60" s="67">
        <f>SUM(AB51:AB59)*Inputs!$F$93</f>
        <v>4134</v>
      </c>
      <c r="AC60" s="67">
        <f>SUM(AC51:AC59)*Inputs!$F$93</f>
        <v>4134</v>
      </c>
      <c r="AD60" s="67">
        <f>SUM(AD51:AD59)*Inputs!$F$93</f>
        <v>4134</v>
      </c>
      <c r="AE60" s="67">
        <f>SUM(AE51:AE59)*Inputs!$F$93</f>
        <v>4134</v>
      </c>
      <c r="AF60" s="67">
        <f>SUM(AF51:AF59)*Inputs!$F$93</f>
        <v>4134</v>
      </c>
      <c r="AG60" s="67">
        <f>SUM(AG51:AG59)*Inputs!$F$93</f>
        <v>4134</v>
      </c>
      <c r="AH60" s="67">
        <f>SUM(AH51:AH59)*Inputs!$F$93</f>
        <v>4134</v>
      </c>
      <c r="AI60" s="67">
        <f>SUM(AI51:AI59)*Inputs!$F$93</f>
        <v>4134</v>
      </c>
      <c r="AJ60" s="67">
        <f>SUM(AJ51:AJ59)*Inputs!$F$93</f>
        <v>4134</v>
      </c>
      <c r="AK60" s="67">
        <f>SUM(AK51:AK59)*Inputs!$F$93</f>
        <v>4134</v>
      </c>
      <c r="AL60" s="67">
        <f>SUM(AL51:AL59)*Inputs!$F$93</f>
        <v>4134</v>
      </c>
      <c r="AM60" s="67">
        <f>SUM(AM51:AM59)*Inputs!$F$93</f>
        <v>4251</v>
      </c>
      <c r="AN60" s="67">
        <f>SUM(AN51:AN59)*Inputs!$F$93</f>
        <v>4251</v>
      </c>
    </row>
    <row r="61" spans="1:40" s="16" customFormat="1">
      <c r="A61" s="1"/>
      <c r="B61" s="1"/>
      <c r="C61" s="34" t="s">
        <v>23</v>
      </c>
      <c r="D61" s="15"/>
      <c r="E61" s="67">
        <f>IF(E$9=1,Inputs!$F$106,IF('Projections-WORST'!E$9=2,Inputs!$F$108,Inputs!$F$110))</f>
        <v>2880</v>
      </c>
      <c r="F61" s="67">
        <f>IF(F$9=1,Inputs!$F$106,IF('Projections-WORST'!F$9=2,Inputs!$F$108,Inputs!$F$110))</f>
        <v>2880</v>
      </c>
      <c r="G61" s="67">
        <f>IF(G$9=1,Inputs!$F$106,IF('Projections-WORST'!G$9=2,Inputs!$F$108,Inputs!$F$110))</f>
        <v>2880</v>
      </c>
      <c r="H61" s="67">
        <f>IF(H$9=1,Inputs!$F$106,IF('Projections-WORST'!H$9=2,Inputs!$F$108,Inputs!$F$110))</f>
        <v>2880</v>
      </c>
      <c r="I61" s="67">
        <f>IF(I$9=1,Inputs!$F$106,IF('Projections-WORST'!I$9=2,Inputs!$F$108,Inputs!$F$110))</f>
        <v>2880</v>
      </c>
      <c r="J61" s="67">
        <f>IF(J$9=1,Inputs!$F$106,IF('Projections-WORST'!J$9=2,Inputs!$F$108,Inputs!$F$110))</f>
        <v>2880</v>
      </c>
      <c r="K61" s="67">
        <f>IF(K$9=1,Inputs!$F$106,IF('Projections-WORST'!K$9=2,Inputs!$F$108,Inputs!$F$110))</f>
        <v>2880</v>
      </c>
      <c r="L61" s="67">
        <f>IF(L$9=1,Inputs!$F$106,IF('Projections-WORST'!L$9=2,Inputs!$F$108,Inputs!$F$110))</f>
        <v>2880</v>
      </c>
      <c r="M61" s="67">
        <f>IF(M$9=1,Inputs!$F$106,IF('Projections-WORST'!M$9=2,Inputs!$F$108,Inputs!$F$110))</f>
        <v>2880</v>
      </c>
      <c r="N61" s="67">
        <f>IF(N$9=1,Inputs!$F$106,IF('Projections-WORST'!N$9=2,Inputs!$F$108,Inputs!$F$110))</f>
        <v>2880</v>
      </c>
      <c r="O61" s="67">
        <f>IF(O$9=1,Inputs!$F$106,IF('Projections-WORST'!O$9=2,Inputs!$F$108,Inputs!$F$110))</f>
        <v>2966.3999999999996</v>
      </c>
      <c r="P61" s="67">
        <f>IF(P$9=1,Inputs!$F$106,IF('Projections-WORST'!P$9=2,Inputs!$F$108,Inputs!$F$110))</f>
        <v>2966.3999999999996</v>
      </c>
      <c r="Q61" s="67">
        <f>IF(Q$9=1,Inputs!$F$106,IF('Projections-WORST'!Q$9=2,Inputs!$F$108,Inputs!$F$110))</f>
        <v>2966.3999999999996</v>
      </c>
      <c r="R61" s="67">
        <f>IF(R$9=1,Inputs!$F$106,IF('Projections-WORST'!R$9=2,Inputs!$F$108,Inputs!$F$110))</f>
        <v>2966.3999999999996</v>
      </c>
      <c r="S61" s="67">
        <f>IF(S$9=1,Inputs!$F$106,IF('Projections-WORST'!S$9=2,Inputs!$F$108,Inputs!$F$110))</f>
        <v>2966.3999999999996</v>
      </c>
      <c r="T61" s="67">
        <f>IF(T$9=1,Inputs!$F$106,IF('Projections-WORST'!T$9=2,Inputs!$F$108,Inputs!$F$110))</f>
        <v>2966.3999999999996</v>
      </c>
      <c r="U61" s="67">
        <f>IF(U$9=1,Inputs!$F$106,IF('Projections-WORST'!U$9=2,Inputs!$F$108,Inputs!$F$110))</f>
        <v>2966.3999999999996</v>
      </c>
      <c r="V61" s="67">
        <f>IF(V$9=1,Inputs!$F$106,IF('Projections-WORST'!V$9=2,Inputs!$F$108,Inputs!$F$110))</f>
        <v>2966.3999999999996</v>
      </c>
      <c r="W61" s="67">
        <f>IF(W$9=1,Inputs!$F$106,IF('Projections-WORST'!W$9=2,Inputs!$F$108,Inputs!$F$110))</f>
        <v>2966.3999999999996</v>
      </c>
      <c r="X61" s="67">
        <f>IF(X$9=1,Inputs!$F$106,IF('Projections-WORST'!X$9=2,Inputs!$F$108,Inputs!$F$110))</f>
        <v>2966.3999999999996</v>
      </c>
      <c r="Y61" s="67">
        <f>IF(Y$9=1,Inputs!$F$106,IF('Projections-WORST'!Y$9=2,Inputs!$F$108,Inputs!$F$110))</f>
        <v>2966.3999999999996</v>
      </c>
      <c r="Z61" s="67">
        <f>IF(Z$9=1,Inputs!$F$106,IF('Projections-WORST'!Z$9=2,Inputs!$F$108,Inputs!$F$110))</f>
        <v>2966.3999999999996</v>
      </c>
      <c r="AA61" s="67">
        <f>IF(AA$9=1,Inputs!$F$106,IF('Projections-WORST'!AA$9=2,Inputs!$F$108,Inputs!$F$110))</f>
        <v>3819.24</v>
      </c>
      <c r="AB61" s="67">
        <f>IF(AB$9=1,Inputs!$F$106,IF('Projections-WORST'!AB$9=2,Inputs!$F$108,Inputs!$F$110))</f>
        <v>3819.24</v>
      </c>
      <c r="AC61" s="67">
        <f>IF(AC$9=1,Inputs!$F$106,IF('Projections-WORST'!AC$9=2,Inputs!$F$108,Inputs!$F$110))</f>
        <v>3819.24</v>
      </c>
      <c r="AD61" s="67">
        <f>IF(AD$9=1,Inputs!$F$106,IF('Projections-WORST'!AD$9=2,Inputs!$F$108,Inputs!$F$110))</f>
        <v>3819.24</v>
      </c>
      <c r="AE61" s="67">
        <f>IF(AE$9=1,Inputs!$F$106,IF('Projections-WORST'!AE$9=2,Inputs!$F$108,Inputs!$F$110))</f>
        <v>3819.24</v>
      </c>
      <c r="AF61" s="67">
        <f>IF(AF$9=1,Inputs!$F$106,IF('Projections-WORST'!AF$9=2,Inputs!$F$108,Inputs!$F$110))</f>
        <v>3819.24</v>
      </c>
      <c r="AG61" s="67">
        <f>IF(AG$9=1,Inputs!$F$106,IF('Projections-WORST'!AG$9=2,Inputs!$F$108,Inputs!$F$110))</f>
        <v>3819.24</v>
      </c>
      <c r="AH61" s="67">
        <f>IF(AH$9=1,Inputs!$F$106,IF('Projections-WORST'!AH$9=2,Inputs!$F$108,Inputs!$F$110))</f>
        <v>3819.24</v>
      </c>
      <c r="AI61" s="67">
        <f>IF(AI$9=1,Inputs!$F$106,IF('Projections-WORST'!AI$9=2,Inputs!$F$108,Inputs!$F$110))</f>
        <v>3819.24</v>
      </c>
      <c r="AJ61" s="67">
        <f>IF(AJ$9=1,Inputs!$F$106,IF('Projections-WORST'!AJ$9=2,Inputs!$F$108,Inputs!$F$110))</f>
        <v>3819.24</v>
      </c>
      <c r="AK61" s="67">
        <f>IF(AK$9=1,Inputs!$F$106,IF('Projections-WORST'!AK$9=2,Inputs!$F$108,Inputs!$F$110))</f>
        <v>3819.24</v>
      </c>
      <c r="AL61" s="67">
        <f>IF(AL$9=1,Inputs!$F$106,IF('Projections-WORST'!AL$9=2,Inputs!$F$108,Inputs!$F$110))</f>
        <v>3819.24</v>
      </c>
      <c r="AM61" s="67">
        <f>IF(AM$9=1,Inputs!$F$106,IF('Projections-WORST'!AM$9=2,Inputs!$F$108,Inputs!$F$110))</f>
        <v>3819.24</v>
      </c>
      <c r="AN61" s="67">
        <f>IF(AN$9=1,Inputs!$F$106,IF('Projections-WORST'!AN$9=2,Inputs!$F$108,Inputs!$F$110))</f>
        <v>3819.24</v>
      </c>
    </row>
    <row r="62" spans="1:40" s="16" customFormat="1">
      <c r="A62" s="1"/>
      <c r="B62" s="1"/>
      <c r="C62" s="34" t="s">
        <v>40</v>
      </c>
      <c r="D62" s="15"/>
      <c r="E62" s="67">
        <f>IF(E$9=1,Inputs!$F$113,IF('Projections-WORST'!E$9=2,Inputs!$F$114,Inputs!$F$115))</f>
        <v>200</v>
      </c>
      <c r="F62" s="67">
        <f>IF(F$9=1,Inputs!$F$113,IF('Projections-WORST'!F$9=2,Inputs!$F$114,Inputs!$F$115))</f>
        <v>200</v>
      </c>
      <c r="G62" s="67">
        <f>IF(G$9=1,Inputs!$F$113,IF('Projections-WORST'!G$9=2,Inputs!$F$114,Inputs!$F$115))</f>
        <v>200</v>
      </c>
      <c r="H62" s="67">
        <f>IF(H$9=1,Inputs!$F$113,IF('Projections-WORST'!H$9=2,Inputs!$F$114,Inputs!$F$115))</f>
        <v>200</v>
      </c>
      <c r="I62" s="67">
        <f>IF(I$9=1,Inputs!$F$113,IF('Projections-WORST'!I$9=2,Inputs!$F$114,Inputs!$F$115))</f>
        <v>200</v>
      </c>
      <c r="J62" s="67">
        <f>IF(J$9=1,Inputs!$F$113,IF('Projections-WORST'!J$9=2,Inputs!$F$114,Inputs!$F$115))</f>
        <v>200</v>
      </c>
      <c r="K62" s="67">
        <f>IF(K$9=1,Inputs!$F$113,IF('Projections-WORST'!K$9=2,Inputs!$F$114,Inputs!$F$115))</f>
        <v>200</v>
      </c>
      <c r="L62" s="67">
        <f>IF(L$9=1,Inputs!$F$113,IF('Projections-WORST'!L$9=2,Inputs!$F$114,Inputs!$F$115))</f>
        <v>200</v>
      </c>
      <c r="M62" s="67">
        <f>IF(M$9=1,Inputs!$F$113,IF('Projections-WORST'!M$9=2,Inputs!$F$114,Inputs!$F$115))</f>
        <v>200</v>
      </c>
      <c r="N62" s="67">
        <f>IF(N$9=1,Inputs!$F$113,IF('Projections-WORST'!N$9=2,Inputs!$F$114,Inputs!$F$115))</f>
        <v>200</v>
      </c>
      <c r="O62" s="67">
        <f>IF(O$9=1,Inputs!$F$113,IF('Projections-WORST'!O$9=2,Inputs!$F$114,Inputs!$F$115))</f>
        <v>200</v>
      </c>
      <c r="P62" s="67">
        <f>IF(P$9=1,Inputs!$F$113,IF('Projections-WORST'!P$9=2,Inputs!$F$114,Inputs!$F$115))</f>
        <v>200</v>
      </c>
      <c r="Q62" s="67">
        <f>IF(Q$9=1,Inputs!$F$113,IF('Projections-WORST'!Q$9=2,Inputs!$F$114,Inputs!$F$115))</f>
        <v>200</v>
      </c>
      <c r="R62" s="67">
        <f>IF(R$9=1,Inputs!$F$113,IF('Projections-WORST'!R$9=2,Inputs!$F$114,Inputs!$F$115))</f>
        <v>200</v>
      </c>
      <c r="S62" s="67">
        <f>IF(S$9=1,Inputs!$F$113,IF('Projections-WORST'!S$9=2,Inputs!$F$114,Inputs!$F$115))</f>
        <v>200</v>
      </c>
      <c r="T62" s="67">
        <f>IF(T$9=1,Inputs!$F$113,IF('Projections-WORST'!T$9=2,Inputs!$F$114,Inputs!$F$115))</f>
        <v>200</v>
      </c>
      <c r="U62" s="67">
        <f>IF(U$9=1,Inputs!$F$113,IF('Projections-WORST'!U$9=2,Inputs!$F$114,Inputs!$F$115))</f>
        <v>200</v>
      </c>
      <c r="V62" s="67">
        <f>IF(V$9=1,Inputs!$F$113,IF('Projections-WORST'!V$9=2,Inputs!$F$114,Inputs!$F$115))</f>
        <v>200</v>
      </c>
      <c r="W62" s="67">
        <f>IF(W$9=1,Inputs!$F$113,IF('Projections-WORST'!W$9=2,Inputs!$F$114,Inputs!$F$115))</f>
        <v>200</v>
      </c>
      <c r="X62" s="67">
        <f>IF(X$9=1,Inputs!$F$113,IF('Projections-WORST'!X$9=2,Inputs!$F$114,Inputs!$F$115))</f>
        <v>200</v>
      </c>
      <c r="Y62" s="67">
        <f>IF(Y$9=1,Inputs!$F$113,IF('Projections-WORST'!Y$9=2,Inputs!$F$114,Inputs!$F$115))</f>
        <v>200</v>
      </c>
      <c r="Z62" s="67">
        <f>IF(Z$9=1,Inputs!$F$113,IF('Projections-WORST'!Z$9=2,Inputs!$F$114,Inputs!$F$115))</f>
        <v>200</v>
      </c>
      <c r="AA62" s="67">
        <f>IF(AA$9=1,Inputs!$F$113,IF('Projections-WORST'!AA$9=2,Inputs!$F$114,Inputs!$F$115))</f>
        <v>200</v>
      </c>
      <c r="AB62" s="67">
        <f>IF(AB$9=1,Inputs!$F$113,IF('Projections-WORST'!AB$9=2,Inputs!$F$114,Inputs!$F$115))</f>
        <v>200</v>
      </c>
      <c r="AC62" s="67">
        <f>IF(AC$9=1,Inputs!$F$113,IF('Projections-WORST'!AC$9=2,Inputs!$F$114,Inputs!$F$115))</f>
        <v>200</v>
      </c>
      <c r="AD62" s="67">
        <f>IF(AD$9=1,Inputs!$F$113,IF('Projections-WORST'!AD$9=2,Inputs!$F$114,Inputs!$F$115))</f>
        <v>200</v>
      </c>
      <c r="AE62" s="67">
        <f>IF(AE$9=1,Inputs!$F$113,IF('Projections-WORST'!AE$9=2,Inputs!$F$114,Inputs!$F$115))</f>
        <v>200</v>
      </c>
      <c r="AF62" s="67">
        <f>IF(AF$9=1,Inputs!$F$113,IF('Projections-WORST'!AF$9=2,Inputs!$F$114,Inputs!$F$115))</f>
        <v>200</v>
      </c>
      <c r="AG62" s="67">
        <f>IF(AG$9=1,Inputs!$F$113,IF('Projections-WORST'!AG$9=2,Inputs!$F$114,Inputs!$F$115))</f>
        <v>200</v>
      </c>
      <c r="AH62" s="67">
        <f>IF(AH$9=1,Inputs!$F$113,IF('Projections-WORST'!AH$9=2,Inputs!$F$114,Inputs!$F$115))</f>
        <v>200</v>
      </c>
      <c r="AI62" s="67">
        <f>IF(AI$9=1,Inputs!$F$113,IF('Projections-WORST'!AI$9=2,Inputs!$F$114,Inputs!$F$115))</f>
        <v>200</v>
      </c>
      <c r="AJ62" s="67">
        <f>IF(AJ$9=1,Inputs!$F$113,IF('Projections-WORST'!AJ$9=2,Inputs!$F$114,Inputs!$F$115))</f>
        <v>200</v>
      </c>
      <c r="AK62" s="67">
        <f>IF(AK$9=1,Inputs!$F$113,IF('Projections-WORST'!AK$9=2,Inputs!$F$114,Inputs!$F$115))</f>
        <v>200</v>
      </c>
      <c r="AL62" s="67">
        <f>IF(AL$9=1,Inputs!$F$113,IF('Projections-WORST'!AL$9=2,Inputs!$F$114,Inputs!$F$115))</f>
        <v>200</v>
      </c>
      <c r="AM62" s="67">
        <f>IF(AM$9=1,Inputs!$F$113,IF('Projections-WORST'!AM$9=2,Inputs!$F$114,Inputs!$F$115))</f>
        <v>200</v>
      </c>
      <c r="AN62" s="67">
        <f>IF(AN$9=1,Inputs!$F$113,IF('Projections-WORST'!AN$9=2,Inputs!$F$114,Inputs!$F$115))</f>
        <v>200</v>
      </c>
    </row>
    <row r="63" spans="1:40" s="16" customFormat="1">
      <c r="A63" s="1"/>
      <c r="B63" s="1"/>
      <c r="C63" s="34" t="s">
        <v>225</v>
      </c>
      <c r="D63" s="15"/>
      <c r="E63" s="67">
        <f>Inputs!$F117*((1+Inputs!$F$12)^(E$9-1))</f>
        <v>200</v>
      </c>
      <c r="F63" s="67">
        <f>Inputs!$F117*((1+Inputs!$F$12)^(F$9-1))</f>
        <v>200</v>
      </c>
      <c r="G63" s="67">
        <f>Inputs!$F117*((1+Inputs!$F$12)^(G$9-1))</f>
        <v>200</v>
      </c>
      <c r="H63" s="67">
        <f>Inputs!$F117*((1+Inputs!$F$12)^(H$9-1))</f>
        <v>200</v>
      </c>
      <c r="I63" s="67">
        <f>Inputs!$F117*((1+Inputs!$F$12)^(I$9-1))</f>
        <v>200</v>
      </c>
      <c r="J63" s="67">
        <f>Inputs!$F117*((1+Inputs!$F$12)^(J$9-1))</f>
        <v>200</v>
      </c>
      <c r="K63" s="67">
        <f>Inputs!$F117*((1+Inputs!$F$12)^(K$9-1))</f>
        <v>200</v>
      </c>
      <c r="L63" s="67">
        <f>Inputs!$F117*((1+Inputs!$F$12)^(L$9-1))</f>
        <v>200</v>
      </c>
      <c r="M63" s="67">
        <f>Inputs!$F117*((1+Inputs!$F$12)^(M$9-1))</f>
        <v>200</v>
      </c>
      <c r="N63" s="67">
        <f>Inputs!$F117*((1+Inputs!$F$12)^(N$9-1))</f>
        <v>200</v>
      </c>
      <c r="O63" s="67">
        <f>Inputs!$F117*((1+Inputs!$F$12)^(O$9-1))</f>
        <v>206</v>
      </c>
      <c r="P63" s="67">
        <f>Inputs!$F117*((1+Inputs!$F$12)^(P$9-1))</f>
        <v>206</v>
      </c>
      <c r="Q63" s="67">
        <f>Inputs!$F117*((1+Inputs!$F$12)^(Q$9-1))</f>
        <v>206</v>
      </c>
      <c r="R63" s="67">
        <f>Inputs!$F117*((1+Inputs!$F$12)^(R$9-1))</f>
        <v>206</v>
      </c>
      <c r="S63" s="67">
        <f>Inputs!$F117*((1+Inputs!$F$12)^(S$9-1))</f>
        <v>206</v>
      </c>
      <c r="T63" s="67">
        <f>Inputs!$F117*((1+Inputs!$F$12)^(T$9-1))</f>
        <v>206</v>
      </c>
      <c r="U63" s="67">
        <f>Inputs!$F117*((1+Inputs!$F$12)^(U$9-1))</f>
        <v>206</v>
      </c>
      <c r="V63" s="67">
        <f>Inputs!$F117*((1+Inputs!$F$12)^(V$9-1))</f>
        <v>206</v>
      </c>
      <c r="W63" s="67">
        <f>Inputs!$F117*((1+Inputs!$F$12)^(W$9-1))</f>
        <v>206</v>
      </c>
      <c r="X63" s="67">
        <f>Inputs!$F117*((1+Inputs!$F$12)^(X$9-1))</f>
        <v>206</v>
      </c>
      <c r="Y63" s="67">
        <f>Inputs!$F117*((1+Inputs!$F$12)^(Y$9-1))</f>
        <v>206</v>
      </c>
      <c r="Z63" s="67">
        <f>Inputs!$F117*((1+Inputs!$F$12)^(Z$9-1))</f>
        <v>206</v>
      </c>
      <c r="AA63" s="67">
        <f>Inputs!$F117*((1+Inputs!$F$12)^(AA$9-1))</f>
        <v>212.17999999999998</v>
      </c>
      <c r="AB63" s="67">
        <f>Inputs!$F117*((1+Inputs!$F$12)^(AB$9-1))</f>
        <v>212.17999999999998</v>
      </c>
      <c r="AC63" s="67">
        <f>Inputs!$F117*((1+Inputs!$F$12)^(AC$9-1))</f>
        <v>212.17999999999998</v>
      </c>
      <c r="AD63" s="67">
        <f>Inputs!$F117*((1+Inputs!$F$12)^(AD$9-1))</f>
        <v>212.17999999999998</v>
      </c>
      <c r="AE63" s="67">
        <f>Inputs!$F117*((1+Inputs!$F$12)^(AE$9-1))</f>
        <v>212.17999999999998</v>
      </c>
      <c r="AF63" s="67">
        <f>Inputs!$F117*((1+Inputs!$F$12)^(AF$9-1))</f>
        <v>212.17999999999998</v>
      </c>
      <c r="AG63" s="67">
        <f>Inputs!$F117*((1+Inputs!$F$12)^(AG$9-1))</f>
        <v>212.17999999999998</v>
      </c>
      <c r="AH63" s="67">
        <f>Inputs!$F117*((1+Inputs!$F$12)^(AH$9-1))</f>
        <v>212.17999999999998</v>
      </c>
      <c r="AI63" s="67">
        <f>Inputs!$F117*((1+Inputs!$F$12)^(AI$9-1))</f>
        <v>212.17999999999998</v>
      </c>
      <c r="AJ63" s="67">
        <f>Inputs!$F117*((1+Inputs!$F$12)^(AJ$9-1))</f>
        <v>212.17999999999998</v>
      </c>
      <c r="AK63" s="67">
        <f>Inputs!$F117*((1+Inputs!$F$12)^(AK$9-1))</f>
        <v>212.17999999999998</v>
      </c>
      <c r="AL63" s="67">
        <f>Inputs!$F117*((1+Inputs!$F$12)^(AL$9-1))</f>
        <v>212.17999999999998</v>
      </c>
      <c r="AM63" s="67">
        <f>Inputs!$F117*((1+Inputs!$F$12)^(AM$9-1))</f>
        <v>218.5454</v>
      </c>
      <c r="AN63" s="67">
        <f>Inputs!$F117*((1+Inputs!$F$12)^(AN$9-1))</f>
        <v>218.5454</v>
      </c>
    </row>
    <row r="64" spans="1:40" s="16" customFormat="1">
      <c r="A64" s="1"/>
      <c r="B64" s="1"/>
      <c r="C64" s="34" t="s">
        <v>19</v>
      </c>
      <c r="D64" s="15"/>
      <c r="E64" s="67">
        <f>Inputs!$F118*((1+Inputs!$F$12)^(E$9-1))</f>
        <v>200</v>
      </c>
      <c r="F64" s="67">
        <f>Inputs!$F118*((1+Inputs!$F$12)^(F$9-1))</f>
        <v>200</v>
      </c>
      <c r="G64" s="67">
        <f>Inputs!$F118*((1+Inputs!$F$12)^(G$9-1))</f>
        <v>200</v>
      </c>
      <c r="H64" s="67">
        <f>Inputs!$F118*((1+Inputs!$F$12)^(H$9-1))</f>
        <v>200</v>
      </c>
      <c r="I64" s="67">
        <f>Inputs!$F118*((1+Inputs!$F$12)^(I$9-1))</f>
        <v>200</v>
      </c>
      <c r="J64" s="67">
        <f>Inputs!$F118*((1+Inputs!$F$12)^(J$9-1))</f>
        <v>200</v>
      </c>
      <c r="K64" s="67">
        <f>Inputs!$F118*((1+Inputs!$F$12)^(K$9-1))</f>
        <v>200</v>
      </c>
      <c r="L64" s="67">
        <f>Inputs!$F118*((1+Inputs!$F$12)^(L$9-1))</f>
        <v>200</v>
      </c>
      <c r="M64" s="67">
        <f>Inputs!$F118*((1+Inputs!$F$12)^(M$9-1))</f>
        <v>200</v>
      </c>
      <c r="N64" s="67">
        <f>Inputs!$F118*((1+Inputs!$F$12)^(N$9-1))</f>
        <v>200</v>
      </c>
      <c r="O64" s="67">
        <f>Inputs!$F118*((1+Inputs!$F$12)^(O$9-1))</f>
        <v>206</v>
      </c>
      <c r="P64" s="67">
        <f>Inputs!$F118*((1+Inputs!$F$12)^(P$9-1))</f>
        <v>206</v>
      </c>
      <c r="Q64" s="67">
        <f>Inputs!$F118*((1+Inputs!$F$12)^(Q$9-1))</f>
        <v>206</v>
      </c>
      <c r="R64" s="67">
        <f>Inputs!$F118*((1+Inputs!$F$12)^(R$9-1))</f>
        <v>206</v>
      </c>
      <c r="S64" s="67">
        <f>Inputs!$F118*((1+Inputs!$F$12)^(S$9-1))</f>
        <v>206</v>
      </c>
      <c r="T64" s="67">
        <f>Inputs!$F118*((1+Inputs!$F$12)^(T$9-1))</f>
        <v>206</v>
      </c>
      <c r="U64" s="67">
        <f>Inputs!$F118*((1+Inputs!$F$12)^(U$9-1))</f>
        <v>206</v>
      </c>
      <c r="V64" s="67">
        <f>Inputs!$F118*((1+Inputs!$F$12)^(V$9-1))</f>
        <v>206</v>
      </c>
      <c r="W64" s="67">
        <f>Inputs!$F118*((1+Inputs!$F$12)^(W$9-1))</f>
        <v>206</v>
      </c>
      <c r="X64" s="67">
        <f>Inputs!$F118*((1+Inputs!$F$12)^(X$9-1))</f>
        <v>206</v>
      </c>
      <c r="Y64" s="67">
        <f>Inputs!$F118*((1+Inputs!$F$12)^(Y$9-1))</f>
        <v>206</v>
      </c>
      <c r="Z64" s="67">
        <f>Inputs!$F118*((1+Inputs!$F$12)^(Z$9-1))</f>
        <v>206</v>
      </c>
      <c r="AA64" s="67">
        <f>Inputs!$F118*((1+Inputs!$F$12)^(AA$9-1))</f>
        <v>212.17999999999998</v>
      </c>
      <c r="AB64" s="67">
        <f>Inputs!$F118*((1+Inputs!$F$12)^(AB$9-1))</f>
        <v>212.17999999999998</v>
      </c>
      <c r="AC64" s="67">
        <f>Inputs!$F118*((1+Inputs!$F$12)^(AC$9-1))</f>
        <v>212.17999999999998</v>
      </c>
      <c r="AD64" s="67">
        <f>Inputs!$F118*((1+Inputs!$F$12)^(AD$9-1))</f>
        <v>212.17999999999998</v>
      </c>
      <c r="AE64" s="67">
        <f>Inputs!$F118*((1+Inputs!$F$12)^(AE$9-1))</f>
        <v>212.17999999999998</v>
      </c>
      <c r="AF64" s="67">
        <f>Inputs!$F118*((1+Inputs!$F$12)^(AF$9-1))</f>
        <v>212.17999999999998</v>
      </c>
      <c r="AG64" s="67">
        <f>Inputs!$F118*((1+Inputs!$F$12)^(AG$9-1))</f>
        <v>212.17999999999998</v>
      </c>
      <c r="AH64" s="67">
        <f>Inputs!$F118*((1+Inputs!$F$12)^(AH$9-1))</f>
        <v>212.17999999999998</v>
      </c>
      <c r="AI64" s="67">
        <f>Inputs!$F118*((1+Inputs!$F$12)^(AI$9-1))</f>
        <v>212.17999999999998</v>
      </c>
      <c r="AJ64" s="67">
        <f>Inputs!$F118*((1+Inputs!$F$12)^(AJ$9-1))</f>
        <v>212.17999999999998</v>
      </c>
      <c r="AK64" s="67">
        <f>Inputs!$F118*((1+Inputs!$F$12)^(AK$9-1))</f>
        <v>212.17999999999998</v>
      </c>
      <c r="AL64" s="67">
        <f>Inputs!$F118*((1+Inputs!$F$12)^(AL$9-1))</f>
        <v>212.17999999999998</v>
      </c>
      <c r="AM64" s="67">
        <f>Inputs!$F118*((1+Inputs!$F$12)^(AM$9-1))</f>
        <v>218.5454</v>
      </c>
      <c r="AN64" s="67">
        <f>Inputs!$F118*((1+Inputs!$F$12)^(AN$9-1))</f>
        <v>218.5454</v>
      </c>
    </row>
    <row r="65" spans="1:40" s="16" customFormat="1">
      <c r="A65" s="1"/>
      <c r="B65" s="1"/>
      <c r="C65" s="34" t="s">
        <v>1</v>
      </c>
      <c r="D65" s="15"/>
      <c r="E65" s="67">
        <f>Inputs!$F119*((1+Inputs!$F$12)^(E$9-1))</f>
        <v>0</v>
      </c>
      <c r="F65" s="67">
        <f>Inputs!$F119*((1+Inputs!$F$12)^(F$9-1))</f>
        <v>0</v>
      </c>
      <c r="G65" s="67">
        <f>Inputs!$F119*((1+Inputs!$F$12)^(G$9-1))</f>
        <v>0</v>
      </c>
      <c r="H65" s="67">
        <f>Inputs!$F119*((1+Inputs!$F$12)^(H$9-1))</f>
        <v>0</v>
      </c>
      <c r="I65" s="67">
        <f>Inputs!$F119*((1+Inputs!$F$12)^(I$9-1))</f>
        <v>0</v>
      </c>
      <c r="J65" s="67">
        <f>Inputs!$F119*((1+Inputs!$F$12)^(J$9-1))</f>
        <v>0</v>
      </c>
      <c r="K65" s="67">
        <f>Inputs!$F119*((1+Inputs!$F$12)^(K$9-1))</f>
        <v>0</v>
      </c>
      <c r="L65" s="67">
        <f>Inputs!$F119*((1+Inputs!$F$12)^(L$9-1))</f>
        <v>0</v>
      </c>
      <c r="M65" s="67">
        <f>Inputs!$F119*((1+Inputs!$F$12)^(M$9-1))</f>
        <v>0</v>
      </c>
      <c r="N65" s="67">
        <f>Inputs!$F119*((1+Inputs!$F$12)^(N$9-1))</f>
        <v>0</v>
      </c>
      <c r="O65" s="67">
        <f>Inputs!$F119*((1+Inputs!$F$12)^(O$9-1))</f>
        <v>0</v>
      </c>
      <c r="P65" s="67">
        <f>Inputs!$F119*((1+Inputs!$F$12)^(P$9-1))</f>
        <v>0</v>
      </c>
      <c r="Q65" s="67">
        <f>Inputs!$F119*((1+Inputs!$F$12)^(Q$9-1))</f>
        <v>0</v>
      </c>
      <c r="R65" s="67">
        <f>Inputs!$F119*((1+Inputs!$F$12)^(R$9-1))</f>
        <v>0</v>
      </c>
      <c r="S65" s="67">
        <f>Inputs!$F119*((1+Inputs!$F$12)^(S$9-1))</f>
        <v>0</v>
      </c>
      <c r="T65" s="67">
        <f>Inputs!$F119*((1+Inputs!$F$12)^(T$9-1))</f>
        <v>0</v>
      </c>
      <c r="U65" s="67">
        <f>Inputs!$F119*((1+Inputs!$F$12)^(U$9-1))</f>
        <v>0</v>
      </c>
      <c r="V65" s="67">
        <f>Inputs!$F119*((1+Inputs!$F$12)^(V$9-1))</f>
        <v>0</v>
      </c>
      <c r="W65" s="67">
        <f>Inputs!$F119*((1+Inputs!$F$12)^(W$9-1))</f>
        <v>0</v>
      </c>
      <c r="X65" s="67">
        <f>Inputs!$F119*((1+Inputs!$F$12)^(X$9-1))</f>
        <v>0</v>
      </c>
      <c r="Y65" s="67">
        <f>Inputs!$F119*((1+Inputs!$F$12)^(Y$9-1))</f>
        <v>0</v>
      </c>
      <c r="Z65" s="67">
        <f>Inputs!$F119*((1+Inputs!$F$12)^(Z$9-1))</f>
        <v>0</v>
      </c>
      <c r="AA65" s="67">
        <f>Inputs!$F119*((1+Inputs!$F$12)^(AA$9-1))</f>
        <v>0</v>
      </c>
      <c r="AB65" s="67">
        <f>Inputs!$F119*((1+Inputs!$F$12)^(AB$9-1))</f>
        <v>0</v>
      </c>
      <c r="AC65" s="67">
        <f>Inputs!$F119*((1+Inputs!$F$12)^(AC$9-1))</f>
        <v>0</v>
      </c>
      <c r="AD65" s="67">
        <f>Inputs!$F119*((1+Inputs!$F$12)^(AD$9-1))</f>
        <v>0</v>
      </c>
      <c r="AE65" s="67">
        <f>Inputs!$F119*((1+Inputs!$F$12)^(AE$9-1))</f>
        <v>0</v>
      </c>
      <c r="AF65" s="67">
        <f>Inputs!$F119*((1+Inputs!$F$12)^(AF$9-1))</f>
        <v>0</v>
      </c>
      <c r="AG65" s="67">
        <f>Inputs!$F119*((1+Inputs!$F$12)^(AG$9-1))</f>
        <v>0</v>
      </c>
      <c r="AH65" s="67">
        <f>Inputs!$F119*((1+Inputs!$F$12)^(AH$9-1))</f>
        <v>0</v>
      </c>
      <c r="AI65" s="67">
        <f>Inputs!$F119*((1+Inputs!$F$12)^(AI$9-1))</f>
        <v>0</v>
      </c>
      <c r="AJ65" s="67">
        <f>Inputs!$F119*((1+Inputs!$F$12)^(AJ$9-1))</f>
        <v>0</v>
      </c>
      <c r="AK65" s="67">
        <f>Inputs!$F119*((1+Inputs!$F$12)^(AK$9-1))</f>
        <v>0</v>
      </c>
      <c r="AL65" s="67">
        <f>Inputs!$F119*((1+Inputs!$F$12)^(AL$9-1))</f>
        <v>0</v>
      </c>
      <c r="AM65" s="67">
        <f>Inputs!$F119*((1+Inputs!$F$12)^(AM$9-1))</f>
        <v>0</v>
      </c>
      <c r="AN65" s="67">
        <f>Inputs!$F119*((1+Inputs!$F$12)^(AN$9-1))</f>
        <v>0</v>
      </c>
    </row>
    <row r="66" spans="1:40" s="16" customFormat="1">
      <c r="A66" s="1"/>
      <c r="B66" s="1"/>
      <c r="C66" s="34" t="str">
        <f>Inputs!C121</f>
        <v>&lt;Other Monthly Operating Expense #1, CY 1&gt;</v>
      </c>
      <c r="D66" s="15"/>
      <c r="E66" s="67">
        <f>Inputs!$F121*((1+Inputs!$F$12)^(E$9-1))</f>
        <v>0</v>
      </c>
      <c r="F66" s="67">
        <f>Inputs!$F121*((1+Inputs!$F$12)^(F$9-1))</f>
        <v>0</v>
      </c>
      <c r="G66" s="67">
        <f>Inputs!$F121*((1+Inputs!$F$12)^(G$9-1))</f>
        <v>0</v>
      </c>
      <c r="H66" s="67">
        <f>Inputs!$F121*((1+Inputs!$F$12)^(H$9-1))</f>
        <v>0</v>
      </c>
      <c r="I66" s="67">
        <f>Inputs!$F121*((1+Inputs!$F$12)^(I$9-1))</f>
        <v>0</v>
      </c>
      <c r="J66" s="67">
        <f>Inputs!$F121*((1+Inputs!$F$12)^(J$9-1))</f>
        <v>0</v>
      </c>
      <c r="K66" s="67">
        <f>Inputs!$F121*((1+Inputs!$F$12)^(K$9-1))</f>
        <v>0</v>
      </c>
      <c r="L66" s="67">
        <f>Inputs!$F121*((1+Inputs!$F$12)^(L$9-1))</f>
        <v>0</v>
      </c>
      <c r="M66" s="67">
        <f>Inputs!$F121*((1+Inputs!$F$12)^(M$9-1))</f>
        <v>0</v>
      </c>
      <c r="N66" s="67">
        <f>Inputs!$F121*((1+Inputs!$F$12)^(N$9-1))</f>
        <v>0</v>
      </c>
      <c r="O66" s="67">
        <f>Inputs!$F121*((1+Inputs!$F$12)^(O$9-1))</f>
        <v>0</v>
      </c>
      <c r="P66" s="67">
        <f>Inputs!$F121*((1+Inputs!$F$12)^(P$9-1))</f>
        <v>0</v>
      </c>
      <c r="Q66" s="67">
        <f>Inputs!$F121*((1+Inputs!$F$12)^(Q$9-1))</f>
        <v>0</v>
      </c>
      <c r="R66" s="67">
        <f>Inputs!$F121*((1+Inputs!$F$12)^(R$9-1))</f>
        <v>0</v>
      </c>
      <c r="S66" s="67">
        <f>Inputs!$F121*((1+Inputs!$F$12)^(S$9-1))</f>
        <v>0</v>
      </c>
      <c r="T66" s="67">
        <f>Inputs!$F121*((1+Inputs!$F$12)^(T$9-1))</f>
        <v>0</v>
      </c>
      <c r="U66" s="67">
        <f>Inputs!$F121*((1+Inputs!$F$12)^(U$9-1))</f>
        <v>0</v>
      </c>
      <c r="V66" s="67">
        <f>Inputs!$F121*((1+Inputs!$F$12)^(V$9-1))</f>
        <v>0</v>
      </c>
      <c r="W66" s="67">
        <f>Inputs!$F121*((1+Inputs!$F$12)^(W$9-1))</f>
        <v>0</v>
      </c>
      <c r="X66" s="67">
        <f>Inputs!$F121*((1+Inputs!$F$12)^(X$9-1))</f>
        <v>0</v>
      </c>
      <c r="Y66" s="67">
        <f>Inputs!$F121*((1+Inputs!$F$12)^(Y$9-1))</f>
        <v>0</v>
      </c>
      <c r="Z66" s="67">
        <f>Inputs!$F121*((1+Inputs!$F$12)^(Z$9-1))</f>
        <v>0</v>
      </c>
      <c r="AA66" s="67">
        <f>Inputs!$F121*((1+Inputs!$F$12)^(AA$9-1))</f>
        <v>0</v>
      </c>
      <c r="AB66" s="67">
        <f>Inputs!$F121*((1+Inputs!$F$12)^(AB$9-1))</f>
        <v>0</v>
      </c>
      <c r="AC66" s="67">
        <f>Inputs!$F121*((1+Inputs!$F$12)^(AC$9-1))</f>
        <v>0</v>
      </c>
      <c r="AD66" s="67">
        <f>Inputs!$F121*((1+Inputs!$F$12)^(AD$9-1))</f>
        <v>0</v>
      </c>
      <c r="AE66" s="67">
        <f>Inputs!$F121*((1+Inputs!$F$12)^(AE$9-1))</f>
        <v>0</v>
      </c>
      <c r="AF66" s="67">
        <f>Inputs!$F121*((1+Inputs!$F$12)^(AF$9-1))</f>
        <v>0</v>
      </c>
      <c r="AG66" s="67">
        <f>Inputs!$F121*((1+Inputs!$F$12)^(AG$9-1))</f>
        <v>0</v>
      </c>
      <c r="AH66" s="67">
        <f>Inputs!$F121*((1+Inputs!$F$12)^(AH$9-1))</f>
        <v>0</v>
      </c>
      <c r="AI66" s="67">
        <f>Inputs!$F121*((1+Inputs!$F$12)^(AI$9-1))</f>
        <v>0</v>
      </c>
      <c r="AJ66" s="67">
        <f>Inputs!$F121*((1+Inputs!$F$12)^(AJ$9-1))</f>
        <v>0</v>
      </c>
      <c r="AK66" s="67">
        <f>Inputs!$F121*((1+Inputs!$F$12)^(AK$9-1))</f>
        <v>0</v>
      </c>
      <c r="AL66" s="67">
        <f>Inputs!$F121*((1+Inputs!$F$12)^(AL$9-1))</f>
        <v>0</v>
      </c>
      <c r="AM66" s="67">
        <f>Inputs!$F121*((1+Inputs!$F$12)^(AM$9-1))</f>
        <v>0</v>
      </c>
      <c r="AN66" s="67">
        <f>Inputs!$F121*((1+Inputs!$F$12)^(AN$9-1))</f>
        <v>0</v>
      </c>
    </row>
    <row r="67" spans="1:40" s="16" customFormat="1">
      <c r="A67" s="1"/>
      <c r="B67" s="1"/>
      <c r="C67" s="34" t="str">
        <f>Inputs!C122</f>
        <v>&lt;Other Monthly Operating Expense #2, CY 1&gt;</v>
      </c>
      <c r="D67" s="15"/>
      <c r="E67" s="67">
        <f>Inputs!$F122*((1+Inputs!$F$12)^(E$9-1))</f>
        <v>0</v>
      </c>
      <c r="F67" s="67">
        <f>Inputs!$F122*((1+Inputs!$F$12)^(F$9-1))</f>
        <v>0</v>
      </c>
      <c r="G67" s="67">
        <f>Inputs!$F122*((1+Inputs!$F$12)^(G$9-1))</f>
        <v>0</v>
      </c>
      <c r="H67" s="67">
        <f>Inputs!$F122*((1+Inputs!$F$12)^(H$9-1))</f>
        <v>0</v>
      </c>
      <c r="I67" s="67">
        <f>Inputs!$F122*((1+Inputs!$F$12)^(I$9-1))</f>
        <v>0</v>
      </c>
      <c r="J67" s="67">
        <f>Inputs!$F122*((1+Inputs!$F$12)^(J$9-1))</f>
        <v>0</v>
      </c>
      <c r="K67" s="67">
        <f>Inputs!$F122*((1+Inputs!$F$12)^(K$9-1))</f>
        <v>0</v>
      </c>
      <c r="L67" s="67">
        <f>Inputs!$F122*((1+Inputs!$F$12)^(L$9-1))</f>
        <v>0</v>
      </c>
      <c r="M67" s="67">
        <f>Inputs!$F122*((1+Inputs!$F$12)^(M$9-1))</f>
        <v>0</v>
      </c>
      <c r="N67" s="67">
        <f>Inputs!$F122*((1+Inputs!$F$12)^(N$9-1))</f>
        <v>0</v>
      </c>
      <c r="O67" s="67">
        <f>Inputs!$F122*((1+Inputs!$F$12)^(O$9-1))</f>
        <v>0</v>
      </c>
      <c r="P67" s="67">
        <f>Inputs!$F122*((1+Inputs!$F$12)^(P$9-1))</f>
        <v>0</v>
      </c>
      <c r="Q67" s="67">
        <f>Inputs!$F122*((1+Inputs!$F$12)^(Q$9-1))</f>
        <v>0</v>
      </c>
      <c r="R67" s="67">
        <f>Inputs!$F122*((1+Inputs!$F$12)^(R$9-1))</f>
        <v>0</v>
      </c>
      <c r="S67" s="67">
        <f>Inputs!$F122*((1+Inputs!$F$12)^(S$9-1))</f>
        <v>0</v>
      </c>
      <c r="T67" s="67">
        <f>Inputs!$F122*((1+Inputs!$F$12)^(T$9-1))</f>
        <v>0</v>
      </c>
      <c r="U67" s="67">
        <f>Inputs!$F122*((1+Inputs!$F$12)^(U$9-1))</f>
        <v>0</v>
      </c>
      <c r="V67" s="67">
        <f>Inputs!$F122*((1+Inputs!$F$12)^(V$9-1))</f>
        <v>0</v>
      </c>
      <c r="W67" s="67">
        <f>Inputs!$F122*((1+Inputs!$F$12)^(W$9-1))</f>
        <v>0</v>
      </c>
      <c r="X67" s="67">
        <f>Inputs!$F122*((1+Inputs!$F$12)^(X$9-1))</f>
        <v>0</v>
      </c>
      <c r="Y67" s="67">
        <f>Inputs!$F122*((1+Inputs!$F$12)^(Y$9-1))</f>
        <v>0</v>
      </c>
      <c r="Z67" s="67">
        <f>Inputs!$F122*((1+Inputs!$F$12)^(Z$9-1))</f>
        <v>0</v>
      </c>
      <c r="AA67" s="67">
        <f>Inputs!$F122*((1+Inputs!$F$12)^(AA$9-1))</f>
        <v>0</v>
      </c>
      <c r="AB67" s="67">
        <f>Inputs!$F122*((1+Inputs!$F$12)^(AB$9-1))</f>
        <v>0</v>
      </c>
      <c r="AC67" s="67">
        <f>Inputs!$F122*((1+Inputs!$F$12)^(AC$9-1))</f>
        <v>0</v>
      </c>
      <c r="AD67" s="67">
        <f>Inputs!$F122*((1+Inputs!$F$12)^(AD$9-1))</f>
        <v>0</v>
      </c>
      <c r="AE67" s="67">
        <f>Inputs!$F122*((1+Inputs!$F$12)^(AE$9-1))</f>
        <v>0</v>
      </c>
      <c r="AF67" s="67">
        <f>Inputs!$F122*((1+Inputs!$F$12)^(AF$9-1))</f>
        <v>0</v>
      </c>
      <c r="AG67" s="67">
        <f>Inputs!$F122*((1+Inputs!$F$12)^(AG$9-1))</f>
        <v>0</v>
      </c>
      <c r="AH67" s="67">
        <f>Inputs!$F122*((1+Inputs!$F$12)^(AH$9-1))</f>
        <v>0</v>
      </c>
      <c r="AI67" s="67">
        <f>Inputs!$F122*((1+Inputs!$F$12)^(AI$9-1))</f>
        <v>0</v>
      </c>
      <c r="AJ67" s="67">
        <f>Inputs!$F122*((1+Inputs!$F$12)^(AJ$9-1))</f>
        <v>0</v>
      </c>
      <c r="AK67" s="67">
        <f>Inputs!$F122*((1+Inputs!$F$12)^(AK$9-1))</f>
        <v>0</v>
      </c>
      <c r="AL67" s="67">
        <f>Inputs!$F122*((1+Inputs!$F$12)^(AL$9-1))</f>
        <v>0</v>
      </c>
      <c r="AM67" s="67">
        <f>Inputs!$F122*((1+Inputs!$F$12)^(AM$9-1))</f>
        <v>0</v>
      </c>
      <c r="AN67" s="67">
        <f>Inputs!$F122*((1+Inputs!$F$12)^(AN$9-1))</f>
        <v>0</v>
      </c>
    </row>
    <row r="68" spans="1:40" s="16" customFormat="1">
      <c r="A68" s="1"/>
      <c r="B68" s="1"/>
      <c r="C68" s="34" t="str">
        <f>Inputs!C123</f>
        <v>&lt;Other Monthly Operating Expense #3, CY 1&gt;</v>
      </c>
      <c r="D68" s="15"/>
      <c r="E68" s="67">
        <f>Inputs!$F123*((1+Inputs!$F$12)^(E$9-1))</f>
        <v>0</v>
      </c>
      <c r="F68" s="67">
        <f>Inputs!$F123*((1+Inputs!$F$12)^(F$9-1))</f>
        <v>0</v>
      </c>
      <c r="G68" s="67">
        <f>Inputs!$F123*((1+Inputs!$F$12)^(G$9-1))</f>
        <v>0</v>
      </c>
      <c r="H68" s="67">
        <f>Inputs!$F123*((1+Inputs!$F$12)^(H$9-1))</f>
        <v>0</v>
      </c>
      <c r="I68" s="67">
        <f>Inputs!$F123*((1+Inputs!$F$12)^(I$9-1))</f>
        <v>0</v>
      </c>
      <c r="J68" s="67">
        <f>Inputs!$F123*((1+Inputs!$F$12)^(J$9-1))</f>
        <v>0</v>
      </c>
      <c r="K68" s="67">
        <f>Inputs!$F123*((1+Inputs!$F$12)^(K$9-1))</f>
        <v>0</v>
      </c>
      <c r="L68" s="67">
        <f>Inputs!$F123*((1+Inputs!$F$12)^(L$9-1))</f>
        <v>0</v>
      </c>
      <c r="M68" s="67">
        <f>Inputs!$F123*((1+Inputs!$F$12)^(M$9-1))</f>
        <v>0</v>
      </c>
      <c r="N68" s="67">
        <f>Inputs!$F123*((1+Inputs!$F$12)^(N$9-1))</f>
        <v>0</v>
      </c>
      <c r="O68" s="67">
        <f>Inputs!$F123*((1+Inputs!$F$12)^(O$9-1))</f>
        <v>0</v>
      </c>
      <c r="P68" s="67">
        <f>Inputs!$F123*((1+Inputs!$F$12)^(P$9-1))</f>
        <v>0</v>
      </c>
      <c r="Q68" s="67">
        <f>Inputs!$F123*((1+Inputs!$F$12)^(Q$9-1))</f>
        <v>0</v>
      </c>
      <c r="R68" s="67">
        <f>Inputs!$F123*((1+Inputs!$F$12)^(R$9-1))</f>
        <v>0</v>
      </c>
      <c r="S68" s="67">
        <f>Inputs!$F123*((1+Inputs!$F$12)^(S$9-1))</f>
        <v>0</v>
      </c>
      <c r="T68" s="67">
        <f>Inputs!$F123*((1+Inputs!$F$12)^(T$9-1))</f>
        <v>0</v>
      </c>
      <c r="U68" s="67">
        <f>Inputs!$F123*((1+Inputs!$F$12)^(U$9-1))</f>
        <v>0</v>
      </c>
      <c r="V68" s="67">
        <f>Inputs!$F123*((1+Inputs!$F$12)^(V$9-1))</f>
        <v>0</v>
      </c>
      <c r="W68" s="67">
        <f>Inputs!$F123*((1+Inputs!$F$12)^(W$9-1))</f>
        <v>0</v>
      </c>
      <c r="X68" s="67">
        <f>Inputs!$F123*((1+Inputs!$F$12)^(X$9-1))</f>
        <v>0</v>
      </c>
      <c r="Y68" s="67">
        <f>Inputs!$F123*((1+Inputs!$F$12)^(Y$9-1))</f>
        <v>0</v>
      </c>
      <c r="Z68" s="67">
        <f>Inputs!$F123*((1+Inputs!$F$12)^(Z$9-1))</f>
        <v>0</v>
      </c>
      <c r="AA68" s="67">
        <f>Inputs!$F123*((1+Inputs!$F$12)^(AA$9-1))</f>
        <v>0</v>
      </c>
      <c r="AB68" s="67">
        <f>Inputs!$F123*((1+Inputs!$F$12)^(AB$9-1))</f>
        <v>0</v>
      </c>
      <c r="AC68" s="67">
        <f>Inputs!$F123*((1+Inputs!$F$12)^(AC$9-1))</f>
        <v>0</v>
      </c>
      <c r="AD68" s="67">
        <f>Inputs!$F123*((1+Inputs!$F$12)^(AD$9-1))</f>
        <v>0</v>
      </c>
      <c r="AE68" s="67">
        <f>Inputs!$F123*((1+Inputs!$F$12)^(AE$9-1))</f>
        <v>0</v>
      </c>
      <c r="AF68" s="67">
        <f>Inputs!$F123*((1+Inputs!$F$12)^(AF$9-1))</f>
        <v>0</v>
      </c>
      <c r="AG68" s="67">
        <f>Inputs!$F123*((1+Inputs!$F$12)^(AG$9-1))</f>
        <v>0</v>
      </c>
      <c r="AH68" s="67">
        <f>Inputs!$F123*((1+Inputs!$F$12)^(AH$9-1))</f>
        <v>0</v>
      </c>
      <c r="AI68" s="67">
        <f>Inputs!$F123*((1+Inputs!$F$12)^(AI$9-1))</f>
        <v>0</v>
      </c>
      <c r="AJ68" s="67">
        <f>Inputs!$F123*((1+Inputs!$F$12)^(AJ$9-1))</f>
        <v>0</v>
      </c>
      <c r="AK68" s="67">
        <f>Inputs!$F123*((1+Inputs!$F$12)^(AK$9-1))</f>
        <v>0</v>
      </c>
      <c r="AL68" s="67">
        <f>Inputs!$F123*((1+Inputs!$F$12)^(AL$9-1))</f>
        <v>0</v>
      </c>
      <c r="AM68" s="67">
        <f>Inputs!$F123*((1+Inputs!$F$12)^(AM$9-1))</f>
        <v>0</v>
      </c>
      <c r="AN68" s="67">
        <f>Inputs!$F123*((1+Inputs!$F$12)^(AN$9-1))</f>
        <v>0</v>
      </c>
    </row>
    <row r="69" spans="1:40" s="16" customFormat="1">
      <c r="A69" s="1"/>
      <c r="B69" s="1"/>
      <c r="C69" s="34" t="str">
        <f>Inputs!C124</f>
        <v>&lt;Other Monthly Operating Expense #4, CY 1&gt;</v>
      </c>
      <c r="D69" s="15"/>
      <c r="E69" s="67">
        <f>Inputs!$F124*((1+Inputs!$F$12)^(E$9-1))</f>
        <v>0</v>
      </c>
      <c r="F69" s="67">
        <f>Inputs!$F124*((1+Inputs!$F$12)^(F$9-1))</f>
        <v>0</v>
      </c>
      <c r="G69" s="67">
        <f>Inputs!$F124*((1+Inputs!$F$12)^(G$9-1))</f>
        <v>0</v>
      </c>
      <c r="H69" s="67">
        <f>Inputs!$F124*((1+Inputs!$F$12)^(H$9-1))</f>
        <v>0</v>
      </c>
      <c r="I69" s="67">
        <f>Inputs!$F124*((1+Inputs!$F$12)^(I$9-1))</f>
        <v>0</v>
      </c>
      <c r="J69" s="67">
        <f>Inputs!$F124*((1+Inputs!$F$12)^(J$9-1))</f>
        <v>0</v>
      </c>
      <c r="K69" s="67">
        <f>Inputs!$F124*((1+Inputs!$F$12)^(K$9-1))</f>
        <v>0</v>
      </c>
      <c r="L69" s="67">
        <f>Inputs!$F124*((1+Inputs!$F$12)^(L$9-1))</f>
        <v>0</v>
      </c>
      <c r="M69" s="67">
        <f>Inputs!$F124*((1+Inputs!$F$12)^(M$9-1))</f>
        <v>0</v>
      </c>
      <c r="N69" s="67">
        <f>Inputs!$F124*((1+Inputs!$F$12)^(N$9-1))</f>
        <v>0</v>
      </c>
      <c r="O69" s="67">
        <f>Inputs!$F124*((1+Inputs!$F$12)^(O$9-1))</f>
        <v>0</v>
      </c>
      <c r="P69" s="67">
        <f>Inputs!$F124*((1+Inputs!$F$12)^(P$9-1))</f>
        <v>0</v>
      </c>
      <c r="Q69" s="67">
        <f>Inputs!$F124*((1+Inputs!$F$12)^(Q$9-1))</f>
        <v>0</v>
      </c>
      <c r="R69" s="67">
        <f>Inputs!$F124*((1+Inputs!$F$12)^(R$9-1))</f>
        <v>0</v>
      </c>
      <c r="S69" s="67">
        <f>Inputs!$F124*((1+Inputs!$F$12)^(S$9-1))</f>
        <v>0</v>
      </c>
      <c r="T69" s="67">
        <f>Inputs!$F124*((1+Inputs!$F$12)^(T$9-1))</f>
        <v>0</v>
      </c>
      <c r="U69" s="67">
        <f>Inputs!$F124*((1+Inputs!$F$12)^(U$9-1))</f>
        <v>0</v>
      </c>
      <c r="V69" s="67">
        <f>Inputs!$F124*((1+Inputs!$F$12)^(V$9-1))</f>
        <v>0</v>
      </c>
      <c r="W69" s="67">
        <f>Inputs!$F124*((1+Inputs!$F$12)^(W$9-1))</f>
        <v>0</v>
      </c>
      <c r="X69" s="67">
        <f>Inputs!$F124*((1+Inputs!$F$12)^(X$9-1))</f>
        <v>0</v>
      </c>
      <c r="Y69" s="67">
        <f>Inputs!$F124*((1+Inputs!$F$12)^(Y$9-1))</f>
        <v>0</v>
      </c>
      <c r="Z69" s="67">
        <f>Inputs!$F124*((1+Inputs!$F$12)^(Z$9-1))</f>
        <v>0</v>
      </c>
      <c r="AA69" s="67">
        <f>Inputs!$F124*((1+Inputs!$F$12)^(AA$9-1))</f>
        <v>0</v>
      </c>
      <c r="AB69" s="67">
        <f>Inputs!$F124*((1+Inputs!$F$12)^(AB$9-1))</f>
        <v>0</v>
      </c>
      <c r="AC69" s="67">
        <f>Inputs!$F124*((1+Inputs!$F$12)^(AC$9-1))</f>
        <v>0</v>
      </c>
      <c r="AD69" s="67">
        <f>Inputs!$F124*((1+Inputs!$F$12)^(AD$9-1))</f>
        <v>0</v>
      </c>
      <c r="AE69" s="67">
        <f>Inputs!$F124*((1+Inputs!$F$12)^(AE$9-1))</f>
        <v>0</v>
      </c>
      <c r="AF69" s="67">
        <f>Inputs!$F124*((1+Inputs!$F$12)^(AF$9-1))</f>
        <v>0</v>
      </c>
      <c r="AG69" s="67">
        <f>Inputs!$F124*((1+Inputs!$F$12)^(AG$9-1))</f>
        <v>0</v>
      </c>
      <c r="AH69" s="67">
        <f>Inputs!$F124*((1+Inputs!$F$12)^(AH$9-1))</f>
        <v>0</v>
      </c>
      <c r="AI69" s="67">
        <f>Inputs!$F124*((1+Inputs!$F$12)^(AI$9-1))</f>
        <v>0</v>
      </c>
      <c r="AJ69" s="67">
        <f>Inputs!$F124*((1+Inputs!$F$12)^(AJ$9-1))</f>
        <v>0</v>
      </c>
      <c r="AK69" s="67">
        <f>Inputs!$F124*((1+Inputs!$F$12)^(AK$9-1))</f>
        <v>0</v>
      </c>
      <c r="AL69" s="67">
        <f>Inputs!$F124*((1+Inputs!$F$12)^(AL$9-1))</f>
        <v>0</v>
      </c>
      <c r="AM69" s="67">
        <f>Inputs!$F124*((1+Inputs!$F$12)^(AM$9-1))</f>
        <v>0</v>
      </c>
      <c r="AN69" s="67">
        <f>Inputs!$F124*((1+Inputs!$F$12)^(AN$9-1))</f>
        <v>0</v>
      </c>
    </row>
    <row r="70" spans="1:40" s="16" customFormat="1">
      <c r="A70" s="1"/>
      <c r="B70" s="1"/>
      <c r="C70" s="34" t="str">
        <f>Inputs!C125</f>
        <v>&lt;Other Monthly Operating Expense #5, CY 1&gt;</v>
      </c>
      <c r="D70" s="15"/>
      <c r="E70" s="67">
        <f>Inputs!$F125*((1+Inputs!$F$12)^(E$9-1))</f>
        <v>0</v>
      </c>
      <c r="F70" s="67">
        <f>Inputs!$F125*((1+Inputs!$F$12)^(F$9-1))</f>
        <v>0</v>
      </c>
      <c r="G70" s="67">
        <f>Inputs!$F125*((1+Inputs!$F$12)^(G$9-1))</f>
        <v>0</v>
      </c>
      <c r="H70" s="67">
        <f>Inputs!$F125*((1+Inputs!$F$12)^(H$9-1))</f>
        <v>0</v>
      </c>
      <c r="I70" s="67">
        <f>Inputs!$F125*((1+Inputs!$F$12)^(I$9-1))</f>
        <v>0</v>
      </c>
      <c r="J70" s="67">
        <f>Inputs!$F125*((1+Inputs!$F$12)^(J$9-1))</f>
        <v>0</v>
      </c>
      <c r="K70" s="67">
        <f>Inputs!$F125*((1+Inputs!$F$12)^(K$9-1))</f>
        <v>0</v>
      </c>
      <c r="L70" s="67">
        <f>Inputs!$F125*((1+Inputs!$F$12)^(L$9-1))</f>
        <v>0</v>
      </c>
      <c r="M70" s="67">
        <f>Inputs!$F125*((1+Inputs!$F$12)^(M$9-1))</f>
        <v>0</v>
      </c>
      <c r="N70" s="67">
        <f>Inputs!$F125*((1+Inputs!$F$12)^(N$9-1))</f>
        <v>0</v>
      </c>
      <c r="O70" s="67">
        <f>Inputs!$F125*((1+Inputs!$F$12)^(O$9-1))</f>
        <v>0</v>
      </c>
      <c r="P70" s="67">
        <f>Inputs!$F125*((1+Inputs!$F$12)^(P$9-1))</f>
        <v>0</v>
      </c>
      <c r="Q70" s="67">
        <f>Inputs!$F125*((1+Inputs!$F$12)^(Q$9-1))</f>
        <v>0</v>
      </c>
      <c r="R70" s="67">
        <f>Inputs!$F125*((1+Inputs!$F$12)^(R$9-1))</f>
        <v>0</v>
      </c>
      <c r="S70" s="67">
        <f>Inputs!$F125*((1+Inputs!$F$12)^(S$9-1))</f>
        <v>0</v>
      </c>
      <c r="T70" s="67">
        <f>Inputs!$F125*((1+Inputs!$F$12)^(T$9-1))</f>
        <v>0</v>
      </c>
      <c r="U70" s="67">
        <f>Inputs!$F125*((1+Inputs!$F$12)^(U$9-1))</f>
        <v>0</v>
      </c>
      <c r="V70" s="67">
        <f>Inputs!$F125*((1+Inputs!$F$12)^(V$9-1))</f>
        <v>0</v>
      </c>
      <c r="W70" s="67">
        <f>Inputs!$F125*((1+Inputs!$F$12)^(W$9-1))</f>
        <v>0</v>
      </c>
      <c r="X70" s="67">
        <f>Inputs!$F125*((1+Inputs!$F$12)^(X$9-1))</f>
        <v>0</v>
      </c>
      <c r="Y70" s="67">
        <f>Inputs!$F125*((1+Inputs!$F$12)^(Y$9-1))</f>
        <v>0</v>
      </c>
      <c r="Z70" s="67">
        <f>Inputs!$F125*((1+Inputs!$F$12)^(Z$9-1))</f>
        <v>0</v>
      </c>
      <c r="AA70" s="67">
        <f>Inputs!$F125*((1+Inputs!$F$12)^(AA$9-1))</f>
        <v>0</v>
      </c>
      <c r="AB70" s="67">
        <f>Inputs!$F125*((1+Inputs!$F$12)^(AB$9-1))</f>
        <v>0</v>
      </c>
      <c r="AC70" s="67">
        <f>Inputs!$F125*((1+Inputs!$F$12)^(AC$9-1))</f>
        <v>0</v>
      </c>
      <c r="AD70" s="67">
        <f>Inputs!$F125*((1+Inputs!$F$12)^(AD$9-1))</f>
        <v>0</v>
      </c>
      <c r="AE70" s="67">
        <f>Inputs!$F125*((1+Inputs!$F$12)^(AE$9-1))</f>
        <v>0</v>
      </c>
      <c r="AF70" s="67">
        <f>Inputs!$F125*((1+Inputs!$F$12)^(AF$9-1))</f>
        <v>0</v>
      </c>
      <c r="AG70" s="67">
        <f>Inputs!$F125*((1+Inputs!$F$12)^(AG$9-1))</f>
        <v>0</v>
      </c>
      <c r="AH70" s="67">
        <f>Inputs!$F125*((1+Inputs!$F$12)^(AH$9-1))</f>
        <v>0</v>
      </c>
      <c r="AI70" s="67">
        <f>Inputs!$F125*((1+Inputs!$F$12)^(AI$9-1))</f>
        <v>0</v>
      </c>
      <c r="AJ70" s="67">
        <f>Inputs!$F125*((1+Inputs!$F$12)^(AJ$9-1))</f>
        <v>0</v>
      </c>
      <c r="AK70" s="67">
        <f>Inputs!$F125*((1+Inputs!$F$12)^(AK$9-1))</f>
        <v>0</v>
      </c>
      <c r="AL70" s="67">
        <f>Inputs!$F125*((1+Inputs!$F$12)^(AL$9-1))</f>
        <v>0</v>
      </c>
      <c r="AM70" s="67">
        <f>Inputs!$F125*((1+Inputs!$F$12)^(AM$9-1))</f>
        <v>0</v>
      </c>
      <c r="AN70" s="67">
        <f>Inputs!$F125*((1+Inputs!$F$12)^(AN$9-1))</f>
        <v>0</v>
      </c>
    </row>
    <row r="71" spans="1:40" s="16" customFormat="1">
      <c r="A71" s="1"/>
      <c r="B71" s="1"/>
      <c r="C71" s="34"/>
      <c r="D71" s="15"/>
    </row>
    <row r="72" spans="1:40" s="49" customFormat="1">
      <c r="A72" s="2"/>
      <c r="B72" s="48" t="s">
        <v>229</v>
      </c>
      <c r="D72" s="52">
        <f>IF(E5="New Business",-SUMIF(CreditAmort1WORST[Month],"&lt;1",CreditAmort1WORST[Principal]),"")</f>
        <v>0</v>
      </c>
      <c r="E72" s="68">
        <f>IFERROR(-VLOOKUP(E$8,CreditAmort1WORST[],4),0)-IFERROR(VLOOKUP(E$8,CreditAmort2WORST[],4),0)-IFERROR(VLOOKUP(E$8,CreditAmort3WORST[],4),0)-IFERROR(VLOOKUP(E$8,CreditAmort4WORST[],4),0)</f>
        <v>0</v>
      </c>
      <c r="F72" s="68">
        <f>IFERROR(-VLOOKUP(F$8,CreditAmort1WORST[],4),0)-IFERROR(VLOOKUP(F$8,CreditAmort2WORST[],4),0)-IFERROR(VLOOKUP(F$8,CreditAmort3WORST[],4),0)-IFERROR(VLOOKUP(F$8,CreditAmort4WORST[],4),0)</f>
        <v>0</v>
      </c>
      <c r="G72" s="68">
        <f>IFERROR(-VLOOKUP(G$8,CreditAmort1WORST[],4),0)-IFERROR(VLOOKUP(G$8,CreditAmort2WORST[],4),0)-IFERROR(VLOOKUP(G$8,CreditAmort3WORST[],4),0)-IFERROR(VLOOKUP(G$8,CreditAmort4WORST[],4),0)</f>
        <v>0</v>
      </c>
      <c r="H72" s="68">
        <f>IFERROR(-VLOOKUP(H$8,CreditAmort1WORST[],4),0)-IFERROR(VLOOKUP(H$8,CreditAmort2WORST[],4),0)-IFERROR(VLOOKUP(H$8,CreditAmort3WORST[],4),0)-IFERROR(VLOOKUP(H$8,CreditAmort4WORST[],4),0)</f>
        <v>0</v>
      </c>
      <c r="I72" s="68">
        <f>IFERROR(-VLOOKUP(I$8,CreditAmort1WORST[],4),0)-IFERROR(VLOOKUP(I$8,CreditAmort2WORST[],4),0)-IFERROR(VLOOKUP(I$8,CreditAmort3WORST[],4),0)-IFERROR(VLOOKUP(I$8,CreditAmort4WORST[],4),0)</f>
        <v>0</v>
      </c>
      <c r="J72" s="68">
        <f>IFERROR(-VLOOKUP(J$8,CreditAmort1WORST[],4),0)-IFERROR(VLOOKUP(J$8,CreditAmort2WORST[],4),0)-IFERROR(VLOOKUP(J$8,CreditAmort3WORST[],4),0)-IFERROR(VLOOKUP(J$8,CreditAmort4WORST[],4),0)</f>
        <v>0</v>
      </c>
      <c r="K72" s="68">
        <f>IFERROR(-VLOOKUP(K$8,CreditAmort1WORST[],4),0)-IFERROR(VLOOKUP(K$8,CreditAmort2WORST[],4),0)-IFERROR(VLOOKUP(K$8,CreditAmort3WORST[],4),0)-IFERROR(VLOOKUP(K$8,CreditAmort4WORST[],4),0)</f>
        <v>0</v>
      </c>
      <c r="L72" s="68">
        <f>IFERROR(-VLOOKUP(L$8,CreditAmort1WORST[],4),0)-IFERROR(VLOOKUP(L$8,CreditAmort2WORST[],4),0)-IFERROR(VLOOKUP(L$8,CreditAmort3WORST[],4),0)-IFERROR(VLOOKUP(L$8,CreditAmort4WORST[],4),0)</f>
        <v>0</v>
      </c>
      <c r="M72" s="68">
        <f>IFERROR(-VLOOKUP(M$8,CreditAmort1WORST[],4),0)-IFERROR(VLOOKUP(M$8,CreditAmort2WORST[],4),0)-IFERROR(VLOOKUP(M$8,CreditAmort3WORST[],4),0)-IFERROR(VLOOKUP(M$8,CreditAmort4WORST[],4),0)</f>
        <v>0</v>
      </c>
      <c r="N72" s="68">
        <f>IFERROR(-VLOOKUP(N$8,CreditAmort1WORST[],4),0)-IFERROR(VLOOKUP(N$8,CreditAmort2WORST[],4),0)-IFERROR(VLOOKUP(N$8,CreditAmort3WORST[],4),0)-IFERROR(VLOOKUP(N$8,CreditAmort4WORST[],4),0)</f>
        <v>0</v>
      </c>
      <c r="O72" s="68">
        <f>IFERROR(-VLOOKUP(O$8,CreditAmort1WORST[],4),0)-IFERROR(VLOOKUP(O$8,CreditAmort2WORST[],4),0)-IFERROR(VLOOKUP(O$8,CreditAmort3WORST[],4),0)-IFERROR(VLOOKUP(O$8,CreditAmort4WORST[],4),0)</f>
        <v>0</v>
      </c>
      <c r="P72" s="68">
        <f>IFERROR(-VLOOKUP(P$8,CreditAmort1WORST[],4),0)-IFERROR(VLOOKUP(P$8,CreditAmort2WORST[],4),0)-IFERROR(VLOOKUP(P$8,CreditAmort3WORST[],4),0)-IFERROR(VLOOKUP(P$8,CreditAmort4WORST[],4),0)</f>
        <v>0</v>
      </c>
      <c r="Q72" s="68">
        <f>IFERROR(-VLOOKUP(Q$8,CreditAmort1WORST[],4),0)-IFERROR(VLOOKUP(Q$8,CreditAmort2WORST[],4),0)-IFERROR(VLOOKUP(Q$8,CreditAmort3WORST[],4),0)-IFERROR(VLOOKUP(Q$8,CreditAmort4WORST[],4),0)</f>
        <v>0</v>
      </c>
      <c r="R72" s="68">
        <f>IFERROR(-VLOOKUP(R$8,CreditAmort1WORST[],4),0)-IFERROR(VLOOKUP(R$8,CreditAmort2WORST[],4),0)-IFERROR(VLOOKUP(R$8,CreditAmort3WORST[],4),0)-IFERROR(VLOOKUP(R$8,CreditAmort4WORST[],4),0)</f>
        <v>0</v>
      </c>
      <c r="S72" s="68">
        <f>IFERROR(-VLOOKUP(S$8,CreditAmort1WORST[],4),0)-IFERROR(VLOOKUP(S$8,CreditAmort2WORST[],4),0)-IFERROR(VLOOKUP(S$8,CreditAmort3WORST[],4),0)-IFERROR(VLOOKUP(S$8,CreditAmort4WORST[],4),0)</f>
        <v>0</v>
      </c>
      <c r="T72" s="68">
        <f>IFERROR(-VLOOKUP(T$8,CreditAmort1WORST[],4),0)-IFERROR(VLOOKUP(T$8,CreditAmort2WORST[],4),0)-IFERROR(VLOOKUP(T$8,CreditAmort3WORST[],4),0)-IFERROR(VLOOKUP(T$8,CreditAmort4WORST[],4),0)</f>
        <v>0</v>
      </c>
      <c r="U72" s="68">
        <f>IFERROR(-VLOOKUP(U$8,CreditAmort1WORST[],4),0)-IFERROR(VLOOKUP(U$8,CreditAmort2WORST[],4),0)-IFERROR(VLOOKUP(U$8,CreditAmort3WORST[],4),0)-IFERROR(VLOOKUP(U$8,CreditAmort4WORST[],4),0)</f>
        <v>0</v>
      </c>
      <c r="V72" s="68">
        <f>IFERROR(-VLOOKUP(V$8,CreditAmort1WORST[],4),0)-IFERROR(VLOOKUP(V$8,CreditAmort2WORST[],4),0)-IFERROR(VLOOKUP(V$8,CreditAmort3WORST[],4),0)-IFERROR(VLOOKUP(V$8,CreditAmort4WORST[],4),0)</f>
        <v>0</v>
      </c>
      <c r="W72" s="68">
        <f>IFERROR(-VLOOKUP(W$8,CreditAmort1WORST[],4),0)-IFERROR(VLOOKUP(W$8,CreditAmort2WORST[],4),0)-IFERROR(VLOOKUP(W$8,CreditAmort3WORST[],4),0)-IFERROR(VLOOKUP(W$8,CreditAmort4WORST[],4),0)</f>
        <v>0</v>
      </c>
      <c r="X72" s="68">
        <f>IFERROR(-VLOOKUP(X$8,CreditAmort1WORST[],4),0)-IFERROR(VLOOKUP(X$8,CreditAmort2WORST[],4),0)-IFERROR(VLOOKUP(X$8,CreditAmort3WORST[],4),0)-IFERROR(VLOOKUP(X$8,CreditAmort4WORST[],4),0)</f>
        <v>0</v>
      </c>
      <c r="Y72" s="68">
        <f>IFERROR(-VLOOKUP(Y$8,CreditAmort1WORST[],4),0)-IFERROR(VLOOKUP(Y$8,CreditAmort2WORST[],4),0)-IFERROR(VLOOKUP(Y$8,CreditAmort3WORST[],4),0)-IFERROR(VLOOKUP(Y$8,CreditAmort4WORST[],4),0)</f>
        <v>0</v>
      </c>
      <c r="Z72" s="68">
        <f>IFERROR(-VLOOKUP(Z$8,CreditAmort1WORST[],4),0)-IFERROR(VLOOKUP(Z$8,CreditAmort2WORST[],4),0)-IFERROR(VLOOKUP(Z$8,CreditAmort3WORST[],4),0)-IFERROR(VLOOKUP(Z$8,CreditAmort4WORST[],4),0)</f>
        <v>0</v>
      </c>
      <c r="AA72" s="68">
        <f>IFERROR(-VLOOKUP(AA$8,CreditAmort1WORST[],4),0)-IFERROR(VLOOKUP(AA$8,CreditAmort2WORST[],4),0)-IFERROR(VLOOKUP(AA$8,CreditAmort3WORST[],4),0)-IFERROR(VLOOKUP(AA$8,CreditAmort4WORST[],4),0)</f>
        <v>0</v>
      </c>
      <c r="AB72" s="68">
        <f>IFERROR(-VLOOKUP(AB$8,CreditAmort1WORST[],4),0)-IFERROR(VLOOKUP(AB$8,CreditAmort2WORST[],4),0)-IFERROR(VLOOKUP(AB$8,CreditAmort3WORST[],4),0)-IFERROR(VLOOKUP(AB$8,CreditAmort4WORST[],4),0)</f>
        <v>0</v>
      </c>
      <c r="AC72" s="68">
        <f>IFERROR(-VLOOKUP(AC$8,CreditAmort1WORST[],4),0)-IFERROR(VLOOKUP(AC$8,CreditAmort2WORST[],4),0)-IFERROR(VLOOKUP(AC$8,CreditAmort3WORST[],4),0)-IFERROR(VLOOKUP(AC$8,CreditAmort4WORST[],4),0)</f>
        <v>0</v>
      </c>
      <c r="AD72" s="68">
        <f>IFERROR(-VLOOKUP(AD$8,CreditAmort1WORST[],4),0)-IFERROR(VLOOKUP(AD$8,CreditAmort2WORST[],4),0)-IFERROR(VLOOKUP(AD$8,CreditAmort3WORST[],4),0)-IFERROR(VLOOKUP(AD$8,CreditAmort4WORST[],4),0)</f>
        <v>0</v>
      </c>
      <c r="AE72" s="68">
        <f>IFERROR(-VLOOKUP(AE$8,CreditAmort1WORST[],4),0)-IFERROR(VLOOKUP(AE$8,CreditAmort2WORST[],4),0)-IFERROR(VLOOKUP(AE$8,CreditAmort3WORST[],4),0)-IFERROR(VLOOKUP(AE$8,CreditAmort4WORST[],4),0)</f>
        <v>0</v>
      </c>
      <c r="AF72" s="68">
        <f>IFERROR(-VLOOKUP(AF$8,CreditAmort1WORST[],4),0)-IFERROR(VLOOKUP(AF$8,CreditAmort2WORST[],4),0)-IFERROR(VLOOKUP(AF$8,CreditAmort3WORST[],4),0)-IFERROR(VLOOKUP(AF$8,CreditAmort4WORST[],4),0)</f>
        <v>0</v>
      </c>
      <c r="AG72" s="68">
        <f>IFERROR(-VLOOKUP(AG$8,CreditAmort1WORST[],4),0)-IFERROR(VLOOKUP(AG$8,CreditAmort2WORST[],4),0)-IFERROR(VLOOKUP(AG$8,CreditAmort3WORST[],4),0)-IFERROR(VLOOKUP(AG$8,CreditAmort4WORST[],4),0)</f>
        <v>0</v>
      </c>
      <c r="AH72" s="68">
        <f>IFERROR(-VLOOKUP(AH$8,CreditAmort1WORST[],4),0)-IFERROR(VLOOKUP(AH$8,CreditAmort2WORST[],4),0)-IFERROR(VLOOKUP(AH$8,CreditAmort3WORST[],4),0)-IFERROR(VLOOKUP(AH$8,CreditAmort4WORST[],4),0)</f>
        <v>0</v>
      </c>
      <c r="AI72" s="68">
        <f>IFERROR(-VLOOKUP(AI$8,CreditAmort1WORST[],4),0)-IFERROR(VLOOKUP(AI$8,CreditAmort2WORST[],4),0)-IFERROR(VLOOKUP(AI$8,CreditAmort3WORST[],4),0)-IFERROR(VLOOKUP(AI$8,CreditAmort4WORST[],4),0)</f>
        <v>0</v>
      </c>
      <c r="AJ72" s="68">
        <f>IFERROR(-VLOOKUP(AJ$8,CreditAmort1WORST[],4),0)-IFERROR(VLOOKUP(AJ$8,CreditAmort2WORST[],4),0)-IFERROR(VLOOKUP(AJ$8,CreditAmort3WORST[],4),0)-IFERROR(VLOOKUP(AJ$8,CreditAmort4WORST[],4),0)</f>
        <v>0</v>
      </c>
      <c r="AK72" s="68">
        <f>IFERROR(-VLOOKUP(AK$8,CreditAmort1WORST[],4),0)-IFERROR(VLOOKUP(AK$8,CreditAmort2WORST[],4),0)-IFERROR(VLOOKUP(AK$8,CreditAmort3WORST[],4),0)-IFERROR(VLOOKUP(AK$8,CreditAmort4WORST[],4),0)</f>
        <v>0</v>
      </c>
      <c r="AL72" s="68">
        <f>IFERROR(-VLOOKUP(AL$8,CreditAmort1WORST[],4),0)-IFERROR(VLOOKUP(AL$8,CreditAmort2WORST[],4),0)-IFERROR(VLOOKUP(AL$8,CreditAmort3WORST[],4),0)-IFERROR(VLOOKUP(AL$8,CreditAmort4WORST[],4),0)</f>
        <v>0</v>
      </c>
      <c r="AM72" s="68">
        <f>IFERROR(-VLOOKUP(AM$8,CreditAmort1WORST[],4),0)-IFERROR(VLOOKUP(AM$8,CreditAmort2WORST[],4),0)-IFERROR(VLOOKUP(AM$8,CreditAmort3WORST[],4),0)-IFERROR(VLOOKUP(AM$8,CreditAmort4WORST[],4),0)</f>
        <v>0</v>
      </c>
      <c r="AN72" s="68">
        <f>IFERROR(-VLOOKUP(AN$8,CreditAmort1WORST[],4),0)-IFERROR(VLOOKUP(AN$8,CreditAmort2WORST[],4),0)-IFERROR(VLOOKUP(AN$8,CreditAmort3WORST[],4),0)-IFERROR(VLOOKUP(AN$8,CreditAmort4WORST[],4),0)</f>
        <v>0</v>
      </c>
    </row>
    <row r="73" spans="1:40" s="49" customFormat="1">
      <c r="A73" s="2"/>
      <c r="B73" s="48" t="s">
        <v>230</v>
      </c>
      <c r="D73" s="52"/>
      <c r="E73" s="68">
        <f>IFERROR(-VLOOKUP(E$8,CreditAmort1WORST[],3),0)-IFERROR(VLOOKUP(E$8,CreditAmort2WORST[],3),0)-IFERROR(VLOOKUP(E$8,CreditAmort3WORST[],3),0)-IFERROR(VLOOKUP(E$8,CreditAmort4WORST[],3),0)</f>
        <v>0</v>
      </c>
      <c r="F73" s="68">
        <f>IFERROR(-VLOOKUP(F$8,CreditAmort1WORST[],3),0)-IFERROR(VLOOKUP(F$8,CreditAmort2WORST[],3),0)-IFERROR(VLOOKUP(F$8,CreditAmort3WORST[],3),0)-IFERROR(VLOOKUP(F$8,CreditAmort4WORST[],3),0)</f>
        <v>0</v>
      </c>
      <c r="G73" s="68">
        <f>IFERROR(-VLOOKUP(G$8,CreditAmort1WORST[],3),0)-IFERROR(VLOOKUP(G$8,CreditAmort2WORST[],3),0)-IFERROR(VLOOKUP(G$8,CreditAmort3WORST[],3),0)-IFERROR(VLOOKUP(G$8,CreditAmort4WORST[],3),0)</f>
        <v>0</v>
      </c>
      <c r="H73" s="68">
        <f>IFERROR(-VLOOKUP(H$8,CreditAmort1WORST[],3),0)-IFERROR(VLOOKUP(H$8,CreditAmort2WORST[],3),0)-IFERROR(VLOOKUP(H$8,CreditAmort3WORST[],3),0)-IFERROR(VLOOKUP(H$8,CreditAmort4WORST[],3),0)</f>
        <v>0</v>
      </c>
      <c r="I73" s="68">
        <f>IFERROR(-VLOOKUP(I$8,CreditAmort1WORST[],3),0)-IFERROR(VLOOKUP(I$8,CreditAmort2WORST[],3),0)-IFERROR(VLOOKUP(I$8,CreditAmort3WORST[],3),0)-IFERROR(VLOOKUP(I$8,CreditAmort4WORST[],3),0)</f>
        <v>0</v>
      </c>
      <c r="J73" s="68">
        <f>IFERROR(-VLOOKUP(J$8,CreditAmort1WORST[],3),0)-IFERROR(VLOOKUP(J$8,CreditAmort2WORST[],3),0)-IFERROR(VLOOKUP(J$8,CreditAmort3WORST[],3),0)-IFERROR(VLOOKUP(J$8,CreditAmort4WORST[],3),0)</f>
        <v>0</v>
      </c>
      <c r="K73" s="68">
        <f>IFERROR(-VLOOKUP(K$8,CreditAmort1WORST[],3),0)-IFERROR(VLOOKUP(K$8,CreditAmort2WORST[],3),0)-IFERROR(VLOOKUP(K$8,CreditAmort3WORST[],3),0)-IFERROR(VLOOKUP(K$8,CreditAmort4WORST[],3),0)</f>
        <v>0</v>
      </c>
      <c r="L73" s="68">
        <f>IFERROR(-VLOOKUP(L$8,CreditAmort1WORST[],3),0)-IFERROR(VLOOKUP(L$8,CreditAmort2WORST[],3),0)-IFERROR(VLOOKUP(L$8,CreditAmort3WORST[],3),0)-IFERROR(VLOOKUP(L$8,CreditAmort4WORST[],3),0)</f>
        <v>0</v>
      </c>
      <c r="M73" s="68">
        <f>IFERROR(-VLOOKUP(M$8,CreditAmort1WORST[],3),0)-IFERROR(VLOOKUP(M$8,CreditAmort2WORST[],3),0)-IFERROR(VLOOKUP(M$8,CreditAmort3WORST[],3),0)-IFERROR(VLOOKUP(M$8,CreditAmort4WORST[],3),0)</f>
        <v>0</v>
      </c>
      <c r="N73" s="68">
        <f>IFERROR(-VLOOKUP(N$8,CreditAmort1WORST[],3),0)-IFERROR(VLOOKUP(N$8,CreditAmort2WORST[],3),0)-IFERROR(VLOOKUP(N$8,CreditAmort3WORST[],3),0)-IFERROR(VLOOKUP(N$8,CreditAmort4WORST[],3),0)</f>
        <v>0</v>
      </c>
      <c r="O73" s="68">
        <f>IFERROR(-VLOOKUP(O$8,CreditAmort1WORST[],3),0)-IFERROR(VLOOKUP(O$8,CreditAmort2WORST[],3),0)-IFERROR(VLOOKUP(O$8,CreditAmort3WORST[],3),0)-IFERROR(VLOOKUP(O$8,CreditAmort4WORST[],3),0)</f>
        <v>0</v>
      </c>
      <c r="P73" s="68">
        <f>IFERROR(-VLOOKUP(P$8,CreditAmort1WORST[],3),0)-IFERROR(VLOOKUP(P$8,CreditAmort2WORST[],3),0)-IFERROR(VLOOKUP(P$8,CreditAmort3WORST[],3),0)-IFERROR(VLOOKUP(P$8,CreditAmort4WORST[],3),0)</f>
        <v>0</v>
      </c>
      <c r="Q73" s="68">
        <f>IFERROR(-VLOOKUP(Q$8,CreditAmort1WORST[],3),0)-IFERROR(VLOOKUP(Q$8,CreditAmort2WORST[],3),0)-IFERROR(VLOOKUP(Q$8,CreditAmort3WORST[],3),0)-IFERROR(VLOOKUP(Q$8,CreditAmort4WORST[],3),0)</f>
        <v>0</v>
      </c>
      <c r="R73" s="68">
        <f>IFERROR(-VLOOKUP(R$8,CreditAmort1WORST[],3),0)-IFERROR(VLOOKUP(R$8,CreditAmort2WORST[],3),0)-IFERROR(VLOOKUP(R$8,CreditAmort3WORST[],3),0)-IFERROR(VLOOKUP(R$8,CreditAmort4WORST[],3),0)</f>
        <v>0</v>
      </c>
      <c r="S73" s="68">
        <f>IFERROR(-VLOOKUP(S$8,CreditAmort1WORST[],3),0)-IFERROR(VLOOKUP(S$8,CreditAmort2WORST[],3),0)-IFERROR(VLOOKUP(S$8,CreditAmort3WORST[],3),0)-IFERROR(VLOOKUP(S$8,CreditAmort4WORST[],3),0)</f>
        <v>0</v>
      </c>
      <c r="T73" s="68">
        <f>IFERROR(-VLOOKUP(T$8,CreditAmort1WORST[],3),0)-IFERROR(VLOOKUP(T$8,CreditAmort2WORST[],3),0)-IFERROR(VLOOKUP(T$8,CreditAmort3WORST[],3),0)-IFERROR(VLOOKUP(T$8,CreditAmort4WORST[],3),0)</f>
        <v>0</v>
      </c>
      <c r="U73" s="68">
        <f>IFERROR(-VLOOKUP(U$8,CreditAmort1WORST[],3),0)-IFERROR(VLOOKUP(U$8,CreditAmort2WORST[],3),0)-IFERROR(VLOOKUP(U$8,CreditAmort3WORST[],3),0)-IFERROR(VLOOKUP(U$8,CreditAmort4WORST[],3),0)</f>
        <v>0</v>
      </c>
      <c r="V73" s="68">
        <f>IFERROR(-VLOOKUP(V$8,CreditAmort1WORST[],3),0)-IFERROR(VLOOKUP(V$8,CreditAmort2WORST[],3),0)-IFERROR(VLOOKUP(V$8,CreditAmort3WORST[],3),0)-IFERROR(VLOOKUP(V$8,CreditAmort4WORST[],3),0)</f>
        <v>0</v>
      </c>
      <c r="W73" s="68">
        <f>IFERROR(-VLOOKUP(W$8,CreditAmort1WORST[],3),0)-IFERROR(VLOOKUP(W$8,CreditAmort2WORST[],3),0)-IFERROR(VLOOKUP(W$8,CreditAmort3WORST[],3),0)-IFERROR(VLOOKUP(W$8,CreditAmort4WORST[],3),0)</f>
        <v>0</v>
      </c>
      <c r="X73" s="68">
        <f>IFERROR(-VLOOKUP(X$8,CreditAmort1WORST[],3),0)-IFERROR(VLOOKUP(X$8,CreditAmort2WORST[],3),0)-IFERROR(VLOOKUP(X$8,CreditAmort3WORST[],3),0)-IFERROR(VLOOKUP(X$8,CreditAmort4WORST[],3),0)</f>
        <v>0</v>
      </c>
      <c r="Y73" s="68">
        <f>IFERROR(-VLOOKUP(Y$8,CreditAmort1WORST[],3),0)-IFERROR(VLOOKUP(Y$8,CreditAmort2WORST[],3),0)-IFERROR(VLOOKUP(Y$8,CreditAmort3WORST[],3),0)-IFERROR(VLOOKUP(Y$8,CreditAmort4WORST[],3),0)</f>
        <v>0</v>
      </c>
      <c r="Z73" s="68">
        <f>IFERROR(-VLOOKUP(Z$8,CreditAmort1WORST[],3),0)-IFERROR(VLOOKUP(Z$8,CreditAmort2WORST[],3),0)-IFERROR(VLOOKUP(Z$8,CreditAmort3WORST[],3),0)-IFERROR(VLOOKUP(Z$8,CreditAmort4WORST[],3),0)</f>
        <v>0</v>
      </c>
      <c r="AA73" s="68">
        <f>IFERROR(-VLOOKUP(AA$8,CreditAmort1WORST[],3),0)-IFERROR(VLOOKUP(AA$8,CreditAmort2WORST[],3),0)-IFERROR(VLOOKUP(AA$8,CreditAmort3WORST[],3),0)-IFERROR(VLOOKUP(AA$8,CreditAmort4WORST[],3),0)</f>
        <v>0</v>
      </c>
      <c r="AB73" s="68">
        <f>IFERROR(-VLOOKUP(AB$8,CreditAmort1WORST[],3),0)-IFERROR(VLOOKUP(AB$8,CreditAmort2WORST[],3),0)-IFERROR(VLOOKUP(AB$8,CreditAmort3WORST[],3),0)-IFERROR(VLOOKUP(AB$8,CreditAmort4WORST[],3),0)</f>
        <v>0</v>
      </c>
      <c r="AC73" s="68">
        <f>IFERROR(-VLOOKUP(AC$8,CreditAmort1WORST[],3),0)-IFERROR(VLOOKUP(AC$8,CreditAmort2WORST[],3),0)-IFERROR(VLOOKUP(AC$8,CreditAmort3WORST[],3),0)-IFERROR(VLOOKUP(AC$8,CreditAmort4WORST[],3),0)</f>
        <v>0</v>
      </c>
      <c r="AD73" s="68">
        <f>IFERROR(-VLOOKUP(AD$8,CreditAmort1WORST[],3),0)-IFERROR(VLOOKUP(AD$8,CreditAmort2WORST[],3),0)-IFERROR(VLOOKUP(AD$8,CreditAmort3WORST[],3),0)-IFERROR(VLOOKUP(AD$8,CreditAmort4WORST[],3),0)</f>
        <v>0</v>
      </c>
      <c r="AE73" s="68">
        <f>IFERROR(-VLOOKUP(AE$8,CreditAmort1WORST[],3),0)-IFERROR(VLOOKUP(AE$8,CreditAmort2WORST[],3),0)-IFERROR(VLOOKUP(AE$8,CreditAmort3WORST[],3),0)-IFERROR(VLOOKUP(AE$8,CreditAmort4WORST[],3),0)</f>
        <v>0</v>
      </c>
      <c r="AF73" s="68">
        <f>IFERROR(-VLOOKUP(AF$8,CreditAmort1WORST[],3),0)-IFERROR(VLOOKUP(AF$8,CreditAmort2WORST[],3),0)-IFERROR(VLOOKUP(AF$8,CreditAmort3WORST[],3),0)-IFERROR(VLOOKUP(AF$8,CreditAmort4WORST[],3),0)</f>
        <v>0</v>
      </c>
      <c r="AG73" s="68">
        <f>IFERROR(-VLOOKUP(AG$8,CreditAmort1WORST[],3),0)-IFERROR(VLOOKUP(AG$8,CreditAmort2WORST[],3),0)-IFERROR(VLOOKUP(AG$8,CreditAmort3WORST[],3),0)-IFERROR(VLOOKUP(AG$8,CreditAmort4WORST[],3),0)</f>
        <v>0</v>
      </c>
      <c r="AH73" s="68">
        <f>IFERROR(-VLOOKUP(AH$8,CreditAmort1WORST[],3),0)-IFERROR(VLOOKUP(AH$8,CreditAmort2WORST[],3),0)-IFERROR(VLOOKUP(AH$8,CreditAmort3WORST[],3),0)-IFERROR(VLOOKUP(AH$8,CreditAmort4WORST[],3),0)</f>
        <v>0</v>
      </c>
      <c r="AI73" s="68">
        <f>IFERROR(-VLOOKUP(AI$8,CreditAmort1WORST[],3),0)-IFERROR(VLOOKUP(AI$8,CreditAmort2WORST[],3),0)-IFERROR(VLOOKUP(AI$8,CreditAmort3WORST[],3),0)-IFERROR(VLOOKUP(AI$8,CreditAmort4WORST[],3),0)</f>
        <v>0</v>
      </c>
      <c r="AJ73" s="68">
        <f>IFERROR(-VLOOKUP(AJ$8,CreditAmort1WORST[],3),0)-IFERROR(VLOOKUP(AJ$8,CreditAmort2WORST[],3),0)-IFERROR(VLOOKUP(AJ$8,CreditAmort3WORST[],3),0)-IFERROR(VLOOKUP(AJ$8,CreditAmort4WORST[],3),0)</f>
        <v>0</v>
      </c>
      <c r="AK73" s="68">
        <f>IFERROR(-VLOOKUP(AK$8,CreditAmort1WORST[],3),0)-IFERROR(VLOOKUP(AK$8,CreditAmort2WORST[],3),0)-IFERROR(VLOOKUP(AK$8,CreditAmort3WORST[],3),0)-IFERROR(VLOOKUP(AK$8,CreditAmort4WORST[],3),0)</f>
        <v>0</v>
      </c>
      <c r="AL73" s="68">
        <f>IFERROR(-VLOOKUP(AL$8,CreditAmort1WORST[],3),0)-IFERROR(VLOOKUP(AL$8,CreditAmort2WORST[],3),0)-IFERROR(VLOOKUP(AL$8,CreditAmort3WORST[],3),0)-IFERROR(VLOOKUP(AL$8,CreditAmort4WORST[],3),0)</f>
        <v>0</v>
      </c>
      <c r="AM73" s="68">
        <f>IFERROR(-VLOOKUP(AM$8,CreditAmort1WORST[],3),0)-IFERROR(VLOOKUP(AM$8,CreditAmort2WORST[],3),0)-IFERROR(VLOOKUP(AM$8,CreditAmort3WORST[],3),0)-IFERROR(VLOOKUP(AM$8,CreditAmort4WORST[],3),0)</f>
        <v>0</v>
      </c>
      <c r="AN73" s="68">
        <f>IFERROR(-VLOOKUP(AN$8,CreditAmort1WORST[],3),0)-IFERROR(VLOOKUP(AN$8,CreditAmort2WORST[],3),0)-IFERROR(VLOOKUP(AN$8,CreditAmort3WORST[],3),0)-IFERROR(VLOOKUP(AN$8,CreditAmort4WORST[],3),0)</f>
        <v>0</v>
      </c>
    </row>
    <row r="74" spans="1:40" s="49" customFormat="1">
      <c r="A74" s="2"/>
      <c r="B74" s="2"/>
      <c r="C74" s="32"/>
      <c r="D74" s="52"/>
      <c r="E74" s="67"/>
      <c r="F74" s="67"/>
      <c r="G74" s="67"/>
      <c r="H74" s="67"/>
      <c r="I74" s="67"/>
      <c r="J74" s="67"/>
      <c r="K74" s="67"/>
      <c r="L74" s="67"/>
      <c r="M74" s="67"/>
      <c r="N74" s="67"/>
      <c r="O74" s="67"/>
      <c r="P74" s="67"/>
      <c r="Q74" s="67"/>
      <c r="R74" s="67"/>
      <c r="S74" s="67"/>
      <c r="T74" s="67"/>
      <c r="U74" s="67"/>
      <c r="V74" s="67"/>
      <c r="W74" s="67"/>
      <c r="X74" s="67"/>
      <c r="Y74" s="67"/>
      <c r="Z74" s="67"/>
      <c r="AA74" s="67"/>
      <c r="AB74" s="67"/>
      <c r="AC74" s="67"/>
      <c r="AD74" s="67"/>
      <c r="AE74" s="67"/>
      <c r="AF74" s="67"/>
      <c r="AG74" s="67"/>
      <c r="AH74" s="67"/>
      <c r="AI74" s="67"/>
      <c r="AJ74" s="67"/>
      <c r="AK74" s="67"/>
      <c r="AL74" s="67"/>
      <c r="AM74" s="67"/>
      <c r="AN74" s="67"/>
    </row>
    <row r="75" spans="1:40" s="49" customFormat="1">
      <c r="A75" s="2"/>
      <c r="B75" s="2" t="s">
        <v>226</v>
      </c>
      <c r="C75" s="32"/>
      <c r="D75" s="52"/>
      <c r="E75" s="68">
        <f>SUM(E76:E88)</f>
        <v>0</v>
      </c>
      <c r="F75" s="68">
        <f t="shared" ref="F75:AN75" si="10">SUM(F76:F88)</f>
        <v>0</v>
      </c>
      <c r="G75" s="68">
        <f t="shared" si="10"/>
        <v>0</v>
      </c>
      <c r="H75" s="68">
        <f t="shared" si="10"/>
        <v>0</v>
      </c>
      <c r="I75" s="68">
        <f t="shared" si="10"/>
        <v>0</v>
      </c>
      <c r="J75" s="68">
        <f t="shared" si="10"/>
        <v>0</v>
      </c>
      <c r="K75" s="68">
        <f t="shared" si="10"/>
        <v>0</v>
      </c>
      <c r="L75" s="68">
        <f t="shared" si="10"/>
        <v>0</v>
      </c>
      <c r="M75" s="68">
        <f t="shared" si="10"/>
        <v>0</v>
      </c>
      <c r="N75" s="68">
        <f t="shared" si="10"/>
        <v>0</v>
      </c>
      <c r="O75" s="68">
        <f t="shared" si="10"/>
        <v>0</v>
      </c>
      <c r="P75" s="68">
        <f t="shared" si="10"/>
        <v>0</v>
      </c>
      <c r="Q75" s="68">
        <f t="shared" si="10"/>
        <v>0</v>
      </c>
      <c r="R75" s="68">
        <f t="shared" si="10"/>
        <v>0</v>
      </c>
      <c r="S75" s="68">
        <f t="shared" si="10"/>
        <v>0</v>
      </c>
      <c r="T75" s="68">
        <f t="shared" si="10"/>
        <v>0</v>
      </c>
      <c r="U75" s="68">
        <f t="shared" si="10"/>
        <v>0</v>
      </c>
      <c r="V75" s="68">
        <f t="shared" si="10"/>
        <v>0</v>
      </c>
      <c r="W75" s="68">
        <f t="shared" si="10"/>
        <v>0</v>
      </c>
      <c r="X75" s="68">
        <f t="shared" si="10"/>
        <v>0</v>
      </c>
      <c r="Y75" s="68">
        <f t="shared" si="10"/>
        <v>0</v>
      </c>
      <c r="Z75" s="68">
        <f t="shared" si="10"/>
        <v>0</v>
      </c>
      <c r="AA75" s="68">
        <f t="shared" si="10"/>
        <v>0</v>
      </c>
      <c r="AB75" s="68">
        <f t="shared" si="10"/>
        <v>0</v>
      </c>
      <c r="AC75" s="68">
        <f t="shared" si="10"/>
        <v>0</v>
      </c>
      <c r="AD75" s="68">
        <f t="shared" si="10"/>
        <v>0</v>
      </c>
      <c r="AE75" s="68">
        <f t="shared" si="10"/>
        <v>0</v>
      </c>
      <c r="AF75" s="68">
        <f t="shared" si="10"/>
        <v>0</v>
      </c>
      <c r="AG75" s="68">
        <f t="shared" si="10"/>
        <v>0</v>
      </c>
      <c r="AH75" s="68">
        <f t="shared" si="10"/>
        <v>0</v>
      </c>
      <c r="AI75" s="68">
        <f t="shared" si="10"/>
        <v>0</v>
      </c>
      <c r="AJ75" s="68">
        <f t="shared" si="10"/>
        <v>0</v>
      </c>
      <c r="AK75" s="68">
        <f t="shared" si="10"/>
        <v>0</v>
      </c>
      <c r="AL75" s="68">
        <f t="shared" si="10"/>
        <v>0</v>
      </c>
      <c r="AM75" s="68">
        <f t="shared" si="10"/>
        <v>0</v>
      </c>
      <c r="AN75" s="68">
        <f t="shared" si="10"/>
        <v>0</v>
      </c>
    </row>
    <row r="76" spans="1:40" s="16" customFormat="1">
      <c r="A76" s="1"/>
      <c r="B76" s="1"/>
      <c r="C76" s="34" t="str">
        <f>Inputs!C130</f>
        <v>&lt;One-time purchase #1&gt;</v>
      </c>
      <c r="D76" s="15"/>
      <c r="E76" s="67">
        <f>IF(Inputs!$F$131=E$8,Inputs!$F$130,0)</f>
        <v>0</v>
      </c>
      <c r="F76" s="67">
        <f>IF(Inputs!$F$131=F$8,Inputs!$F$130,0)</f>
        <v>0</v>
      </c>
      <c r="G76" s="67">
        <f>IF(Inputs!$F$131=G$8,Inputs!$F$130,0)</f>
        <v>0</v>
      </c>
      <c r="H76" s="67">
        <f>IF(Inputs!$F$131=H$8,Inputs!$F$130,0)</f>
        <v>0</v>
      </c>
      <c r="I76" s="67">
        <f>IF(Inputs!$F$131=I$8,Inputs!$F$130,0)</f>
        <v>0</v>
      </c>
      <c r="J76" s="67">
        <f>IF(Inputs!$F$131=J$8,Inputs!$F$130,0)</f>
        <v>0</v>
      </c>
      <c r="K76" s="67">
        <f>IF(Inputs!$F$131=K$8,Inputs!$F$130,0)</f>
        <v>0</v>
      </c>
      <c r="L76" s="67">
        <f>IF(Inputs!$F$131=L$8,Inputs!$F$130,0)</f>
        <v>0</v>
      </c>
      <c r="M76" s="67">
        <f>IF(Inputs!$F$131=M$8,Inputs!$F$130,0)</f>
        <v>0</v>
      </c>
      <c r="N76" s="67">
        <f>IF(Inputs!$F$131=N$8,Inputs!$F$130,0)</f>
        <v>0</v>
      </c>
      <c r="O76" s="67">
        <f>IF(Inputs!$F$131=O$8,Inputs!$F$130,0)</f>
        <v>0</v>
      </c>
      <c r="P76" s="67">
        <f>IF(Inputs!$F$131=P$8,Inputs!$F$130,0)</f>
        <v>0</v>
      </c>
      <c r="Q76" s="67">
        <f>IF(Inputs!$F$131=Q$8,Inputs!$F$130,0)</f>
        <v>0</v>
      </c>
      <c r="R76" s="67">
        <f>IF(Inputs!$F$131=R$8,Inputs!$F$130,0)</f>
        <v>0</v>
      </c>
      <c r="S76" s="67">
        <f>IF(Inputs!$F$131=S$8,Inputs!$F$130,0)</f>
        <v>0</v>
      </c>
      <c r="T76" s="67">
        <f>IF(Inputs!$F$131=T$8,Inputs!$F$130,0)</f>
        <v>0</v>
      </c>
      <c r="U76" s="67">
        <f>IF(Inputs!$F$131=U$8,Inputs!$F$130,0)</f>
        <v>0</v>
      </c>
      <c r="V76" s="67">
        <f>IF(Inputs!$F$131=V$8,Inputs!$F$130,0)</f>
        <v>0</v>
      </c>
      <c r="W76" s="67">
        <f>IF(Inputs!$F$131=W$8,Inputs!$F$130,0)</f>
        <v>0</v>
      </c>
      <c r="X76" s="67">
        <f>IF(Inputs!$F$131=X$8,Inputs!$F$130,0)</f>
        <v>0</v>
      </c>
      <c r="Y76" s="67">
        <f>IF(Inputs!$F$131=Y$8,Inputs!$F$130,0)</f>
        <v>0</v>
      </c>
      <c r="Z76" s="67">
        <f>IF(Inputs!$F$131=Z$8,Inputs!$F$130,0)</f>
        <v>0</v>
      </c>
      <c r="AA76" s="67">
        <f>IF(Inputs!$F$131=AA$8,Inputs!$F$130,0)</f>
        <v>0</v>
      </c>
      <c r="AB76" s="67">
        <f>IF(Inputs!$F$131=AB$8,Inputs!$F$130,0)</f>
        <v>0</v>
      </c>
      <c r="AC76" s="67">
        <f>IF(Inputs!$F$131=AC$8,Inputs!$F$130,0)</f>
        <v>0</v>
      </c>
      <c r="AD76" s="67">
        <f>IF(Inputs!$F$131=AD$8,Inputs!$F$130,0)</f>
        <v>0</v>
      </c>
      <c r="AE76" s="67">
        <f>IF(Inputs!$F$131=AE$8,Inputs!$F$130,0)</f>
        <v>0</v>
      </c>
      <c r="AF76" s="67">
        <f>IF(Inputs!$F$131=AF$8,Inputs!$F$130,0)</f>
        <v>0</v>
      </c>
      <c r="AG76" s="67">
        <f>IF(Inputs!$F$131=AG$8,Inputs!$F$130,0)</f>
        <v>0</v>
      </c>
      <c r="AH76" s="67">
        <f>IF(Inputs!$F$131=AH$8,Inputs!$F$130,0)</f>
        <v>0</v>
      </c>
      <c r="AI76" s="67">
        <f>IF(Inputs!$F$131=AI$8,Inputs!$F$130,0)</f>
        <v>0</v>
      </c>
      <c r="AJ76" s="67">
        <f>IF(Inputs!$F$131=AJ$8,Inputs!$F$130,0)</f>
        <v>0</v>
      </c>
      <c r="AK76" s="67">
        <f>IF(Inputs!$F$131=AK$8,Inputs!$F$130,0)</f>
        <v>0</v>
      </c>
      <c r="AL76" s="67">
        <f>IF(Inputs!$F$131=AL$8,Inputs!$F$130,0)</f>
        <v>0</v>
      </c>
      <c r="AM76" s="67">
        <f>IF(Inputs!$F$131=AM$8,Inputs!$F$130,0)</f>
        <v>0</v>
      </c>
      <c r="AN76" s="67">
        <f>IF(Inputs!$F$131=AN$8,Inputs!$F$130,0)</f>
        <v>0</v>
      </c>
    </row>
    <row r="77" spans="1:40" s="16" customFormat="1">
      <c r="A77" s="1"/>
      <c r="B77" s="1"/>
      <c r="C77" s="34" t="str">
        <f>Inputs!C132</f>
        <v>&lt;One-time purchase #2&gt;</v>
      </c>
      <c r="D77" s="15"/>
      <c r="E77" s="67">
        <f>IF(Inputs!$F$133=E$8,Inputs!$F$130,0)</f>
        <v>0</v>
      </c>
      <c r="F77" s="67">
        <f>IF(Inputs!$F$133=F$8,Inputs!$F$130,0)</f>
        <v>0</v>
      </c>
      <c r="G77" s="67">
        <f>IF(Inputs!$F$133=G$8,Inputs!$F$130,0)</f>
        <v>0</v>
      </c>
      <c r="H77" s="67">
        <f>IF(Inputs!$F$133=H$8,Inputs!$F$130,0)</f>
        <v>0</v>
      </c>
      <c r="I77" s="67">
        <f>IF(Inputs!$F$133=I$8,Inputs!$F$130,0)</f>
        <v>0</v>
      </c>
      <c r="J77" s="67">
        <f>IF(Inputs!$F$133=J$8,Inputs!$F$130,0)</f>
        <v>0</v>
      </c>
      <c r="K77" s="67">
        <f>IF(Inputs!$F$133=K$8,Inputs!$F$130,0)</f>
        <v>0</v>
      </c>
      <c r="L77" s="67">
        <f>IF(Inputs!$F$133=L$8,Inputs!$F$130,0)</f>
        <v>0</v>
      </c>
      <c r="M77" s="67">
        <f>IF(Inputs!$F$133=M$8,Inputs!$F$130,0)</f>
        <v>0</v>
      </c>
      <c r="N77" s="67">
        <f>IF(Inputs!$F$133=N$8,Inputs!$F$130,0)</f>
        <v>0</v>
      </c>
      <c r="O77" s="67">
        <f>IF(Inputs!$F$133=O$8,Inputs!$F$130,0)</f>
        <v>0</v>
      </c>
      <c r="P77" s="67">
        <f>IF(Inputs!$F$133=P$8,Inputs!$F$130,0)</f>
        <v>0</v>
      </c>
      <c r="Q77" s="67">
        <f>IF(Inputs!$F$133=Q$8,Inputs!$F$130,0)</f>
        <v>0</v>
      </c>
      <c r="R77" s="67">
        <f>IF(Inputs!$F$133=R$8,Inputs!$F$130,0)</f>
        <v>0</v>
      </c>
      <c r="S77" s="67">
        <f>IF(Inputs!$F$133=S$8,Inputs!$F$130,0)</f>
        <v>0</v>
      </c>
      <c r="T77" s="67">
        <f>IF(Inputs!$F$133=T$8,Inputs!$F$130,0)</f>
        <v>0</v>
      </c>
      <c r="U77" s="67">
        <f>IF(Inputs!$F$133=U$8,Inputs!$F$130,0)</f>
        <v>0</v>
      </c>
      <c r="V77" s="67">
        <f>IF(Inputs!$F$133=V$8,Inputs!$F$130,0)</f>
        <v>0</v>
      </c>
      <c r="W77" s="67">
        <f>IF(Inputs!$F$133=W$8,Inputs!$F$130,0)</f>
        <v>0</v>
      </c>
      <c r="X77" s="67">
        <f>IF(Inputs!$F$133=X$8,Inputs!$F$130,0)</f>
        <v>0</v>
      </c>
      <c r="Y77" s="67">
        <f>IF(Inputs!$F$133=Y$8,Inputs!$F$130,0)</f>
        <v>0</v>
      </c>
      <c r="Z77" s="67">
        <f>IF(Inputs!$F$133=Z$8,Inputs!$F$130,0)</f>
        <v>0</v>
      </c>
      <c r="AA77" s="67">
        <f>IF(Inputs!$F$133=AA$8,Inputs!$F$130,0)</f>
        <v>0</v>
      </c>
      <c r="AB77" s="67">
        <f>IF(Inputs!$F$133=AB$8,Inputs!$F$130,0)</f>
        <v>0</v>
      </c>
      <c r="AC77" s="67">
        <f>IF(Inputs!$F$133=AC$8,Inputs!$F$130,0)</f>
        <v>0</v>
      </c>
      <c r="AD77" s="67">
        <f>IF(Inputs!$F$133=AD$8,Inputs!$F$130,0)</f>
        <v>0</v>
      </c>
      <c r="AE77" s="67">
        <f>IF(Inputs!$F$133=AE$8,Inputs!$F$130,0)</f>
        <v>0</v>
      </c>
      <c r="AF77" s="67">
        <f>IF(Inputs!$F$133=AF$8,Inputs!$F$130,0)</f>
        <v>0</v>
      </c>
      <c r="AG77" s="67">
        <f>IF(Inputs!$F$133=AG$8,Inputs!$F$130,0)</f>
        <v>0</v>
      </c>
      <c r="AH77" s="67">
        <f>IF(Inputs!$F$133=AH$8,Inputs!$F$130,0)</f>
        <v>0</v>
      </c>
      <c r="AI77" s="67">
        <f>IF(Inputs!$F$133=AI$8,Inputs!$F$130,0)</f>
        <v>0</v>
      </c>
      <c r="AJ77" s="67">
        <f>IF(Inputs!$F$133=AJ$8,Inputs!$F$130,0)</f>
        <v>0</v>
      </c>
      <c r="AK77" s="67">
        <f>IF(Inputs!$F$133=AK$8,Inputs!$F$130,0)</f>
        <v>0</v>
      </c>
      <c r="AL77" s="67">
        <f>IF(Inputs!$F$133=AL$8,Inputs!$F$130,0)</f>
        <v>0</v>
      </c>
      <c r="AM77" s="67">
        <f>IF(Inputs!$F$133=AM$8,Inputs!$F$130,0)</f>
        <v>0</v>
      </c>
      <c r="AN77" s="67">
        <f>IF(Inputs!$F$133=AN$8,Inputs!$F$130,0)</f>
        <v>0</v>
      </c>
    </row>
    <row r="78" spans="1:40" s="16" customFormat="1">
      <c r="A78" s="1"/>
      <c r="B78" s="1"/>
      <c r="C78" s="34" t="str">
        <f>Inputs!C134</f>
        <v>&lt;One-time purchase #3&gt;</v>
      </c>
      <c r="D78" s="15"/>
      <c r="E78" s="67">
        <f>IF(Inputs!$F$135=E$8,Inputs!$F$130,0)</f>
        <v>0</v>
      </c>
      <c r="F78" s="67">
        <f>IF(Inputs!$F$135=F$8,Inputs!$F$130,0)</f>
        <v>0</v>
      </c>
      <c r="G78" s="67">
        <f>IF(Inputs!$F$135=G$8,Inputs!$F$130,0)</f>
        <v>0</v>
      </c>
      <c r="H78" s="67">
        <f>IF(Inputs!$F$135=H$8,Inputs!$F$130,0)</f>
        <v>0</v>
      </c>
      <c r="I78" s="67">
        <f>IF(Inputs!$F$135=I$8,Inputs!$F$130,0)</f>
        <v>0</v>
      </c>
      <c r="J78" s="67">
        <f>IF(Inputs!$F$135=J$8,Inputs!$F$130,0)</f>
        <v>0</v>
      </c>
      <c r="K78" s="67">
        <f>IF(Inputs!$F$135=K$8,Inputs!$F$130,0)</f>
        <v>0</v>
      </c>
      <c r="L78" s="67">
        <f>IF(Inputs!$F$135=L$8,Inputs!$F$130,0)</f>
        <v>0</v>
      </c>
      <c r="M78" s="67">
        <f>IF(Inputs!$F$135=M$8,Inputs!$F$130,0)</f>
        <v>0</v>
      </c>
      <c r="N78" s="67">
        <f>IF(Inputs!$F$135=N$8,Inputs!$F$130,0)</f>
        <v>0</v>
      </c>
      <c r="O78" s="67">
        <f>IF(Inputs!$F$135=O$8,Inputs!$F$130,0)</f>
        <v>0</v>
      </c>
      <c r="P78" s="67">
        <f>IF(Inputs!$F$135=P$8,Inputs!$F$130,0)</f>
        <v>0</v>
      </c>
      <c r="Q78" s="67">
        <f>IF(Inputs!$F$135=Q$8,Inputs!$F$130,0)</f>
        <v>0</v>
      </c>
      <c r="R78" s="67">
        <f>IF(Inputs!$F$135=R$8,Inputs!$F$130,0)</f>
        <v>0</v>
      </c>
      <c r="S78" s="67">
        <f>IF(Inputs!$F$135=S$8,Inputs!$F$130,0)</f>
        <v>0</v>
      </c>
      <c r="T78" s="67">
        <f>IF(Inputs!$F$135=T$8,Inputs!$F$130,0)</f>
        <v>0</v>
      </c>
      <c r="U78" s="67">
        <f>IF(Inputs!$F$135=U$8,Inputs!$F$130,0)</f>
        <v>0</v>
      </c>
      <c r="V78" s="67">
        <f>IF(Inputs!$F$135=V$8,Inputs!$F$130,0)</f>
        <v>0</v>
      </c>
      <c r="W78" s="67">
        <f>IF(Inputs!$F$135=W$8,Inputs!$F$130,0)</f>
        <v>0</v>
      </c>
      <c r="X78" s="67">
        <f>IF(Inputs!$F$135=X$8,Inputs!$F$130,0)</f>
        <v>0</v>
      </c>
      <c r="Y78" s="67">
        <f>IF(Inputs!$F$135=Y$8,Inputs!$F$130,0)</f>
        <v>0</v>
      </c>
      <c r="Z78" s="67">
        <f>IF(Inputs!$F$135=Z$8,Inputs!$F$130,0)</f>
        <v>0</v>
      </c>
      <c r="AA78" s="67">
        <f>IF(Inputs!$F$135=AA$8,Inputs!$F$130,0)</f>
        <v>0</v>
      </c>
      <c r="AB78" s="67">
        <f>IF(Inputs!$F$135=AB$8,Inputs!$F$130,0)</f>
        <v>0</v>
      </c>
      <c r="AC78" s="67">
        <f>IF(Inputs!$F$135=AC$8,Inputs!$F$130,0)</f>
        <v>0</v>
      </c>
      <c r="AD78" s="67">
        <f>IF(Inputs!$F$135=AD$8,Inputs!$F$130,0)</f>
        <v>0</v>
      </c>
      <c r="AE78" s="67">
        <f>IF(Inputs!$F$135=AE$8,Inputs!$F$130,0)</f>
        <v>0</v>
      </c>
      <c r="AF78" s="67">
        <f>IF(Inputs!$F$135=AF$8,Inputs!$F$130,0)</f>
        <v>0</v>
      </c>
      <c r="AG78" s="67">
        <f>IF(Inputs!$F$135=AG$8,Inputs!$F$130,0)</f>
        <v>0</v>
      </c>
      <c r="AH78" s="67">
        <f>IF(Inputs!$F$135=AH$8,Inputs!$F$130,0)</f>
        <v>0</v>
      </c>
      <c r="AI78" s="67">
        <f>IF(Inputs!$F$135=AI$8,Inputs!$F$130,0)</f>
        <v>0</v>
      </c>
      <c r="AJ78" s="67">
        <f>IF(Inputs!$F$135=AJ$8,Inputs!$F$130,0)</f>
        <v>0</v>
      </c>
      <c r="AK78" s="67">
        <f>IF(Inputs!$F$135=AK$8,Inputs!$F$130,0)</f>
        <v>0</v>
      </c>
      <c r="AL78" s="67">
        <f>IF(Inputs!$F$135=AL$8,Inputs!$F$130,0)</f>
        <v>0</v>
      </c>
      <c r="AM78" s="67">
        <f>IF(Inputs!$F$135=AM$8,Inputs!$F$130,0)</f>
        <v>0</v>
      </c>
      <c r="AN78" s="67">
        <f>IF(Inputs!$F$135=AN$8,Inputs!$F$130,0)</f>
        <v>0</v>
      </c>
    </row>
    <row r="79" spans="1:40" s="16" customFormat="1">
      <c r="A79" s="1"/>
      <c r="B79" s="1"/>
      <c r="C79" s="34" t="str">
        <f>Inputs!C136</f>
        <v>&lt;One-time purchase #4&gt;</v>
      </c>
      <c r="D79" s="15"/>
      <c r="E79" s="67">
        <f>IF(Inputs!$F$137=E$8,Inputs!$F$130,0)</f>
        <v>0</v>
      </c>
      <c r="F79" s="67">
        <f>IF(Inputs!$F$137=F$8,Inputs!$F$130,0)</f>
        <v>0</v>
      </c>
      <c r="G79" s="67">
        <f>IF(Inputs!$F$137=G$8,Inputs!$F$130,0)</f>
        <v>0</v>
      </c>
      <c r="H79" s="67">
        <f>IF(Inputs!$F$137=H$8,Inputs!$F$130,0)</f>
        <v>0</v>
      </c>
      <c r="I79" s="67">
        <f>IF(Inputs!$F$137=I$8,Inputs!$F$130,0)</f>
        <v>0</v>
      </c>
      <c r="J79" s="67">
        <f>IF(Inputs!$F$137=J$8,Inputs!$F$130,0)</f>
        <v>0</v>
      </c>
      <c r="K79" s="67">
        <f>IF(Inputs!$F$137=K$8,Inputs!$F$130,0)</f>
        <v>0</v>
      </c>
      <c r="L79" s="67">
        <f>IF(Inputs!$F$137=L$8,Inputs!$F$130,0)</f>
        <v>0</v>
      </c>
      <c r="M79" s="67">
        <f>IF(Inputs!$F$137=M$8,Inputs!$F$130,0)</f>
        <v>0</v>
      </c>
      <c r="N79" s="67">
        <f>IF(Inputs!$F$137=N$8,Inputs!$F$130,0)</f>
        <v>0</v>
      </c>
      <c r="O79" s="67">
        <f>IF(Inputs!$F$137=O$8,Inputs!$F$130,0)</f>
        <v>0</v>
      </c>
      <c r="P79" s="67">
        <f>IF(Inputs!$F$137=P$8,Inputs!$F$130,0)</f>
        <v>0</v>
      </c>
      <c r="Q79" s="67">
        <f>IF(Inputs!$F$137=Q$8,Inputs!$F$130,0)</f>
        <v>0</v>
      </c>
      <c r="R79" s="67">
        <f>IF(Inputs!$F$137=R$8,Inputs!$F$130,0)</f>
        <v>0</v>
      </c>
      <c r="S79" s="67">
        <f>IF(Inputs!$F$137=S$8,Inputs!$F$130,0)</f>
        <v>0</v>
      </c>
      <c r="T79" s="67">
        <f>IF(Inputs!$F$137=T$8,Inputs!$F$130,0)</f>
        <v>0</v>
      </c>
      <c r="U79" s="67">
        <f>IF(Inputs!$F$137=U$8,Inputs!$F$130,0)</f>
        <v>0</v>
      </c>
      <c r="V79" s="67">
        <f>IF(Inputs!$F$137=V$8,Inputs!$F$130,0)</f>
        <v>0</v>
      </c>
      <c r="W79" s="67">
        <f>IF(Inputs!$F$137=W$8,Inputs!$F$130,0)</f>
        <v>0</v>
      </c>
      <c r="X79" s="67">
        <f>IF(Inputs!$F$137=X$8,Inputs!$F$130,0)</f>
        <v>0</v>
      </c>
      <c r="Y79" s="67">
        <f>IF(Inputs!$F$137=Y$8,Inputs!$F$130,0)</f>
        <v>0</v>
      </c>
      <c r="Z79" s="67">
        <f>IF(Inputs!$F$137=Z$8,Inputs!$F$130,0)</f>
        <v>0</v>
      </c>
      <c r="AA79" s="67">
        <f>IF(Inputs!$F$137=AA$8,Inputs!$F$130,0)</f>
        <v>0</v>
      </c>
      <c r="AB79" s="67">
        <f>IF(Inputs!$F$137=AB$8,Inputs!$F$130,0)</f>
        <v>0</v>
      </c>
      <c r="AC79" s="67">
        <f>IF(Inputs!$F$137=AC$8,Inputs!$F$130,0)</f>
        <v>0</v>
      </c>
      <c r="AD79" s="67">
        <f>IF(Inputs!$F$137=AD$8,Inputs!$F$130,0)</f>
        <v>0</v>
      </c>
      <c r="AE79" s="67">
        <f>IF(Inputs!$F$137=AE$8,Inputs!$F$130,0)</f>
        <v>0</v>
      </c>
      <c r="AF79" s="67">
        <f>IF(Inputs!$F$137=AF$8,Inputs!$F$130,0)</f>
        <v>0</v>
      </c>
      <c r="AG79" s="67">
        <f>IF(Inputs!$F$137=AG$8,Inputs!$F$130,0)</f>
        <v>0</v>
      </c>
      <c r="AH79" s="67">
        <f>IF(Inputs!$F$137=AH$8,Inputs!$F$130,0)</f>
        <v>0</v>
      </c>
      <c r="AI79" s="67">
        <f>IF(Inputs!$F$137=AI$8,Inputs!$F$130,0)</f>
        <v>0</v>
      </c>
      <c r="AJ79" s="67">
        <f>IF(Inputs!$F$137=AJ$8,Inputs!$F$130,0)</f>
        <v>0</v>
      </c>
      <c r="AK79" s="67">
        <f>IF(Inputs!$F$137=AK$8,Inputs!$F$130,0)</f>
        <v>0</v>
      </c>
      <c r="AL79" s="67">
        <f>IF(Inputs!$F$137=AL$8,Inputs!$F$130,0)</f>
        <v>0</v>
      </c>
      <c r="AM79" s="67">
        <f>IF(Inputs!$F$137=AM$8,Inputs!$F$130,0)</f>
        <v>0</v>
      </c>
      <c r="AN79" s="67">
        <f>IF(Inputs!$F$137=AN$8,Inputs!$F$130,0)</f>
        <v>0</v>
      </c>
    </row>
    <row r="80" spans="1:40" s="16" customFormat="1">
      <c r="A80" s="1"/>
      <c r="B80" s="1"/>
      <c r="C80" s="34" t="str">
        <f>Inputs!C138</f>
        <v>&lt;One-time purchase #5&gt;</v>
      </c>
      <c r="D80" s="15"/>
      <c r="E80" s="67">
        <f>IF(Inputs!$F$139=E$8,Inputs!$F$130,0)</f>
        <v>0</v>
      </c>
      <c r="F80" s="67">
        <f>IF(Inputs!$F$139=F$8,Inputs!$F$130,0)</f>
        <v>0</v>
      </c>
      <c r="G80" s="67">
        <f>IF(Inputs!$F$139=G$8,Inputs!$F$130,0)</f>
        <v>0</v>
      </c>
      <c r="H80" s="67">
        <f>IF(Inputs!$F$139=H$8,Inputs!$F$130,0)</f>
        <v>0</v>
      </c>
      <c r="I80" s="67">
        <f>IF(Inputs!$F$139=I$8,Inputs!$F$130,0)</f>
        <v>0</v>
      </c>
      <c r="J80" s="67">
        <f>IF(Inputs!$F$139=J$8,Inputs!$F$130,0)</f>
        <v>0</v>
      </c>
      <c r="K80" s="67">
        <f>IF(Inputs!$F$139=K$8,Inputs!$F$130,0)</f>
        <v>0</v>
      </c>
      <c r="L80" s="67">
        <f>IF(Inputs!$F$139=L$8,Inputs!$F$130,0)</f>
        <v>0</v>
      </c>
      <c r="M80" s="67">
        <f>IF(Inputs!$F$139=M$8,Inputs!$F$130,0)</f>
        <v>0</v>
      </c>
      <c r="N80" s="67">
        <f>IF(Inputs!$F$139=N$8,Inputs!$F$130,0)</f>
        <v>0</v>
      </c>
      <c r="O80" s="67">
        <f>IF(Inputs!$F$139=O$8,Inputs!$F$130,0)</f>
        <v>0</v>
      </c>
      <c r="P80" s="67">
        <f>IF(Inputs!$F$139=P$8,Inputs!$F$130,0)</f>
        <v>0</v>
      </c>
      <c r="Q80" s="67">
        <f>IF(Inputs!$F$139=Q$8,Inputs!$F$130,0)</f>
        <v>0</v>
      </c>
      <c r="R80" s="67">
        <f>IF(Inputs!$F$139=R$8,Inputs!$F$130,0)</f>
        <v>0</v>
      </c>
      <c r="S80" s="67">
        <f>IF(Inputs!$F$139=S$8,Inputs!$F$130,0)</f>
        <v>0</v>
      </c>
      <c r="T80" s="67">
        <f>IF(Inputs!$F$139=T$8,Inputs!$F$130,0)</f>
        <v>0</v>
      </c>
      <c r="U80" s="67">
        <f>IF(Inputs!$F$139=U$8,Inputs!$F$130,0)</f>
        <v>0</v>
      </c>
      <c r="V80" s="67">
        <f>IF(Inputs!$F$139=V$8,Inputs!$F$130,0)</f>
        <v>0</v>
      </c>
      <c r="W80" s="67">
        <f>IF(Inputs!$F$139=W$8,Inputs!$F$130,0)</f>
        <v>0</v>
      </c>
      <c r="X80" s="67">
        <f>IF(Inputs!$F$139=X$8,Inputs!$F$130,0)</f>
        <v>0</v>
      </c>
      <c r="Y80" s="67">
        <f>IF(Inputs!$F$139=Y$8,Inputs!$F$130,0)</f>
        <v>0</v>
      </c>
      <c r="Z80" s="67">
        <f>IF(Inputs!$F$139=Z$8,Inputs!$F$130,0)</f>
        <v>0</v>
      </c>
      <c r="AA80" s="67">
        <f>IF(Inputs!$F$139=AA$8,Inputs!$F$130,0)</f>
        <v>0</v>
      </c>
      <c r="AB80" s="67">
        <f>IF(Inputs!$F$139=AB$8,Inputs!$F$130,0)</f>
        <v>0</v>
      </c>
      <c r="AC80" s="67">
        <f>IF(Inputs!$F$139=AC$8,Inputs!$F$130,0)</f>
        <v>0</v>
      </c>
      <c r="AD80" s="67">
        <f>IF(Inputs!$F$139=AD$8,Inputs!$F$130,0)</f>
        <v>0</v>
      </c>
      <c r="AE80" s="67">
        <f>IF(Inputs!$F$139=AE$8,Inputs!$F$130,0)</f>
        <v>0</v>
      </c>
      <c r="AF80" s="67">
        <f>IF(Inputs!$F$139=AF$8,Inputs!$F$130,0)</f>
        <v>0</v>
      </c>
      <c r="AG80" s="67">
        <f>IF(Inputs!$F$139=AG$8,Inputs!$F$130,0)</f>
        <v>0</v>
      </c>
      <c r="AH80" s="67">
        <f>IF(Inputs!$F$139=AH$8,Inputs!$F$130,0)</f>
        <v>0</v>
      </c>
      <c r="AI80" s="67">
        <f>IF(Inputs!$F$139=AI$8,Inputs!$F$130,0)</f>
        <v>0</v>
      </c>
      <c r="AJ80" s="67">
        <f>IF(Inputs!$F$139=AJ$8,Inputs!$F$130,0)</f>
        <v>0</v>
      </c>
      <c r="AK80" s="67">
        <f>IF(Inputs!$F$139=AK$8,Inputs!$F$130,0)</f>
        <v>0</v>
      </c>
      <c r="AL80" s="67">
        <f>IF(Inputs!$F$139=AL$8,Inputs!$F$130,0)</f>
        <v>0</v>
      </c>
      <c r="AM80" s="67">
        <f>IF(Inputs!$F$139=AM$8,Inputs!$F$130,0)</f>
        <v>0</v>
      </c>
      <c r="AN80" s="67">
        <f>IF(Inputs!$F$139=AN$8,Inputs!$F$130,0)</f>
        <v>0</v>
      </c>
    </row>
    <row r="81" spans="1:40" s="16" customFormat="1">
      <c r="A81" s="1"/>
      <c r="B81" s="1"/>
      <c r="C81" s="34" t="str">
        <f>Inputs!C141</f>
        <v>Insurance - CY 2</v>
      </c>
      <c r="D81" s="15"/>
      <c r="E81" s="67">
        <f>IF(E$9=Inputs!$F$142,Inputs!$F$141,0)</f>
        <v>0</v>
      </c>
      <c r="F81" s="67">
        <f>IF(F$9=Inputs!$F$142,Inputs!$F$141,0)</f>
        <v>0</v>
      </c>
      <c r="G81" s="67">
        <f>IF(G$9=Inputs!$F$142,Inputs!$F$141,0)</f>
        <v>0</v>
      </c>
      <c r="H81" s="67">
        <f>IF(H$9=Inputs!$F$142,Inputs!$F$141,0)</f>
        <v>0</v>
      </c>
      <c r="I81" s="67">
        <f>IF(I$9=Inputs!$F$142,Inputs!$F$141,0)</f>
        <v>0</v>
      </c>
      <c r="J81" s="67">
        <f>IF(J$9=Inputs!$F$142,Inputs!$F$141,0)</f>
        <v>0</v>
      </c>
      <c r="K81" s="67">
        <f>IF(K$9=Inputs!$F$142,Inputs!$F$141,0)</f>
        <v>0</v>
      </c>
      <c r="L81" s="67">
        <f>IF(L$9=Inputs!$F$142,Inputs!$F$141,0)</f>
        <v>0</v>
      </c>
      <c r="M81" s="67">
        <f>IF(M$9=Inputs!$F$142,Inputs!$F$141,0)</f>
        <v>0</v>
      </c>
      <c r="N81" s="67">
        <f>IF(N$9=Inputs!$F$142,Inputs!$F$141,0)</f>
        <v>0</v>
      </c>
      <c r="O81" s="67">
        <f>IF(O$9=Inputs!$F$142,Inputs!$F$141,0)</f>
        <v>0</v>
      </c>
      <c r="P81" s="67">
        <f>IF(P$9=Inputs!$F$142,Inputs!$F$141,0)</f>
        <v>0</v>
      </c>
      <c r="Q81" s="67">
        <f>IF(Q$9=Inputs!$F$142,Inputs!$F$141,0)</f>
        <v>0</v>
      </c>
      <c r="R81" s="67">
        <f>IF(R$9=Inputs!$F$142,Inputs!$F$141,0)</f>
        <v>0</v>
      </c>
      <c r="S81" s="67">
        <f>IF(S$9=Inputs!$F$142,Inputs!$F$141,0)</f>
        <v>0</v>
      </c>
      <c r="T81" s="67">
        <f>IF(T$9=Inputs!$F$142,Inputs!$F$141,0)</f>
        <v>0</v>
      </c>
      <c r="U81" s="67">
        <f>IF(U$9=Inputs!$F$142,Inputs!$F$141,0)</f>
        <v>0</v>
      </c>
      <c r="V81" s="67">
        <f>IF(V$9=Inputs!$F$142,Inputs!$F$141,0)</f>
        <v>0</v>
      </c>
      <c r="W81" s="67">
        <f>IF(W$9=Inputs!$F$142,Inputs!$F$141,0)</f>
        <v>0</v>
      </c>
      <c r="X81" s="67">
        <f>IF(X$9=Inputs!$F$142,Inputs!$F$141,0)</f>
        <v>0</v>
      </c>
      <c r="Y81" s="67">
        <f>IF(Y$9=Inputs!$F$142,Inputs!$F$141,0)</f>
        <v>0</v>
      </c>
      <c r="Z81" s="67">
        <f>IF(Z$9=Inputs!$F$142,Inputs!$F$141,0)</f>
        <v>0</v>
      </c>
      <c r="AA81" s="67">
        <f>IF(AA$9=Inputs!$F$142,Inputs!$F$141,0)</f>
        <v>0</v>
      </c>
      <c r="AB81" s="67">
        <f>IF(AB$9=Inputs!$F$142,Inputs!$F$141,0)</f>
        <v>0</v>
      </c>
      <c r="AC81" s="67">
        <f>IF(AC$9=Inputs!$F$142,Inputs!$F$141,0)</f>
        <v>0</v>
      </c>
      <c r="AD81" s="67">
        <f>IF(AD$9=Inputs!$F$142,Inputs!$F$141,0)</f>
        <v>0</v>
      </c>
      <c r="AE81" s="67">
        <f>IF(AE$9=Inputs!$F$142,Inputs!$F$141,0)</f>
        <v>0</v>
      </c>
      <c r="AF81" s="67">
        <f>IF(AF$9=Inputs!$F$142,Inputs!$F$141,0)</f>
        <v>0</v>
      </c>
      <c r="AG81" s="67">
        <f>IF(AG$9=Inputs!$F$142,Inputs!$F$141,0)</f>
        <v>0</v>
      </c>
      <c r="AH81" s="67">
        <f>IF(AH$9=Inputs!$F$142,Inputs!$F$141,0)</f>
        <v>0</v>
      </c>
      <c r="AI81" s="67">
        <f>IF(AI$9=Inputs!$F$142,Inputs!$F$141,0)</f>
        <v>0</v>
      </c>
      <c r="AJ81" s="67">
        <f>IF(AJ$9=Inputs!$F$142,Inputs!$F$141,0)</f>
        <v>0</v>
      </c>
      <c r="AK81" s="67">
        <f>IF(AK$9=Inputs!$F$142,Inputs!$F$141,0)</f>
        <v>0</v>
      </c>
      <c r="AL81" s="67">
        <f>IF(AL$9=Inputs!$F$142,Inputs!$F$141,0)</f>
        <v>0</v>
      </c>
      <c r="AM81" s="67">
        <f>IF(AM$9=Inputs!$F$142,Inputs!$F$141,0)</f>
        <v>0</v>
      </c>
      <c r="AN81" s="67">
        <f>IF(AN$9=Inputs!$F$142,Inputs!$F$141,0)</f>
        <v>0</v>
      </c>
    </row>
    <row r="82" spans="1:40" s="16" customFormat="1">
      <c r="A82" s="1"/>
      <c r="B82" s="1"/>
      <c r="C82" s="34" t="str">
        <f>Inputs!C143</f>
        <v>Insurance - CY 3</v>
      </c>
      <c r="D82" s="15"/>
      <c r="E82" s="67">
        <f>IF(E$9=Inputs!$F$144,Inputs!$F$143,0)</f>
        <v>0</v>
      </c>
      <c r="F82" s="67">
        <f>IF(F$9=Inputs!$F$144,Inputs!$F$143,0)</f>
        <v>0</v>
      </c>
      <c r="G82" s="67">
        <f>IF(G$9=Inputs!$F$144,Inputs!$F$143,0)</f>
        <v>0</v>
      </c>
      <c r="H82" s="67">
        <f>IF(H$9=Inputs!$F$144,Inputs!$F$143,0)</f>
        <v>0</v>
      </c>
      <c r="I82" s="67">
        <f>IF(I$9=Inputs!$F$144,Inputs!$F$143,0)</f>
        <v>0</v>
      </c>
      <c r="J82" s="67">
        <f>IF(J$9=Inputs!$F$144,Inputs!$F$143,0)</f>
        <v>0</v>
      </c>
      <c r="K82" s="67">
        <f>IF(K$9=Inputs!$F$144,Inputs!$F$143,0)</f>
        <v>0</v>
      </c>
      <c r="L82" s="67">
        <f>IF(L$9=Inputs!$F$144,Inputs!$F$143,0)</f>
        <v>0</v>
      </c>
      <c r="M82" s="67">
        <f>IF(M$9=Inputs!$F$144,Inputs!$F$143,0)</f>
        <v>0</v>
      </c>
      <c r="N82" s="67">
        <f>IF(N$9=Inputs!$F$144,Inputs!$F$143,0)</f>
        <v>0</v>
      </c>
      <c r="O82" s="67">
        <f>IF(O$9=Inputs!$F$144,Inputs!$F$143,0)</f>
        <v>0</v>
      </c>
      <c r="P82" s="67">
        <f>IF(P$9=Inputs!$F$144,Inputs!$F$143,0)</f>
        <v>0</v>
      </c>
      <c r="Q82" s="67">
        <f>IF(Q$9=Inputs!$F$144,Inputs!$F$143,0)</f>
        <v>0</v>
      </c>
      <c r="R82" s="67">
        <f>IF(R$9=Inputs!$F$144,Inputs!$F$143,0)</f>
        <v>0</v>
      </c>
      <c r="S82" s="67">
        <f>IF(S$9=Inputs!$F$144,Inputs!$F$143,0)</f>
        <v>0</v>
      </c>
      <c r="T82" s="67">
        <f>IF(T$9=Inputs!$F$144,Inputs!$F$143,0)</f>
        <v>0</v>
      </c>
      <c r="U82" s="67">
        <f>IF(U$9=Inputs!$F$144,Inputs!$F$143,0)</f>
        <v>0</v>
      </c>
      <c r="V82" s="67">
        <f>IF(V$9=Inputs!$F$144,Inputs!$F$143,0)</f>
        <v>0</v>
      </c>
      <c r="W82" s="67">
        <f>IF(W$9=Inputs!$F$144,Inputs!$F$143,0)</f>
        <v>0</v>
      </c>
      <c r="X82" s="67">
        <f>IF(X$9=Inputs!$F$144,Inputs!$F$143,0)</f>
        <v>0</v>
      </c>
      <c r="Y82" s="67">
        <f>IF(Y$9=Inputs!$F$144,Inputs!$F$143,0)</f>
        <v>0</v>
      </c>
      <c r="Z82" s="67">
        <f>IF(Z$9=Inputs!$F$144,Inputs!$F$143,0)</f>
        <v>0</v>
      </c>
      <c r="AA82" s="67">
        <f>IF(AA$9=Inputs!$F$144,Inputs!$F$143,0)</f>
        <v>0</v>
      </c>
      <c r="AB82" s="67">
        <f>IF(AB$9=Inputs!$F$144,Inputs!$F$143,0)</f>
        <v>0</v>
      </c>
      <c r="AC82" s="67">
        <f>IF(AC$9=Inputs!$F$144,Inputs!$F$143,0)</f>
        <v>0</v>
      </c>
      <c r="AD82" s="67">
        <f>IF(AD$9=Inputs!$F$144,Inputs!$F$143,0)</f>
        <v>0</v>
      </c>
      <c r="AE82" s="67">
        <f>IF(AE$9=Inputs!$F$144,Inputs!$F$143,0)</f>
        <v>0</v>
      </c>
      <c r="AF82" s="67">
        <f>IF(AF$9=Inputs!$F$144,Inputs!$F$143,0)</f>
        <v>0</v>
      </c>
      <c r="AG82" s="67">
        <f>IF(AG$9=Inputs!$F$144,Inputs!$F$143,0)</f>
        <v>0</v>
      </c>
      <c r="AH82" s="67">
        <f>IF(AH$9=Inputs!$F$144,Inputs!$F$143,0)</f>
        <v>0</v>
      </c>
      <c r="AI82" s="67">
        <f>IF(AI$9=Inputs!$F$144,Inputs!$F$143,0)</f>
        <v>0</v>
      </c>
      <c r="AJ82" s="67">
        <f>IF(AJ$9=Inputs!$F$144,Inputs!$F$143,0)</f>
        <v>0</v>
      </c>
      <c r="AK82" s="67">
        <f>IF(AK$9=Inputs!$F$144,Inputs!$F$143,0)</f>
        <v>0</v>
      </c>
      <c r="AL82" s="67">
        <f>IF(AL$9=Inputs!$F$144,Inputs!$F$143,0)</f>
        <v>0</v>
      </c>
      <c r="AM82" s="67">
        <f>IF(AM$9=Inputs!$F$144,Inputs!$F$143,0)</f>
        <v>0</v>
      </c>
      <c r="AN82" s="67">
        <f>IF(AN$9=Inputs!$F$144,Inputs!$F$143,0)</f>
        <v>0</v>
      </c>
    </row>
    <row r="83" spans="1:40" s="16" customFormat="1">
      <c r="A83" s="1"/>
      <c r="B83" s="1"/>
      <c r="C83" s="34" t="str">
        <f>Inputs!C145</f>
        <v>&lt;Monthly expenses or cash outflow #3&gt;</v>
      </c>
      <c r="D83" s="15"/>
      <c r="E83" s="67">
        <f>IF(E$9=Inputs!$F$146,Inputs!$F$145,0)</f>
        <v>0</v>
      </c>
      <c r="F83" s="67">
        <f>IF(F$9=Inputs!$F$146,Inputs!$F$145,0)</f>
        <v>0</v>
      </c>
      <c r="G83" s="67">
        <f>IF(G$9=Inputs!$F$146,Inputs!$F$145,0)</f>
        <v>0</v>
      </c>
      <c r="H83" s="67">
        <f>IF(H$9=Inputs!$F$146,Inputs!$F$145,0)</f>
        <v>0</v>
      </c>
      <c r="I83" s="67">
        <f>IF(I$9=Inputs!$F$146,Inputs!$F$145,0)</f>
        <v>0</v>
      </c>
      <c r="J83" s="67">
        <f>IF(J$9=Inputs!$F$146,Inputs!$F$145,0)</f>
        <v>0</v>
      </c>
      <c r="K83" s="67">
        <f>IF(K$9=Inputs!$F$146,Inputs!$F$145,0)</f>
        <v>0</v>
      </c>
      <c r="L83" s="67">
        <f>IF(L$9=Inputs!$F$146,Inputs!$F$145,0)</f>
        <v>0</v>
      </c>
      <c r="M83" s="67">
        <f>IF(M$9=Inputs!$F$146,Inputs!$F$145,0)</f>
        <v>0</v>
      </c>
      <c r="N83" s="67">
        <f>IF(N$9=Inputs!$F$146,Inputs!$F$145,0)</f>
        <v>0</v>
      </c>
      <c r="O83" s="67">
        <f>IF(O$9=Inputs!$F$146,Inputs!$F$145,0)</f>
        <v>0</v>
      </c>
      <c r="P83" s="67">
        <f>IF(P$9=Inputs!$F$146,Inputs!$F$145,0)</f>
        <v>0</v>
      </c>
      <c r="Q83" s="67">
        <f>IF(Q$9=Inputs!$F$146,Inputs!$F$145,0)</f>
        <v>0</v>
      </c>
      <c r="R83" s="67">
        <f>IF(R$9=Inputs!$F$146,Inputs!$F$145,0)</f>
        <v>0</v>
      </c>
      <c r="S83" s="67">
        <f>IF(S$9=Inputs!$F$146,Inputs!$F$145,0)</f>
        <v>0</v>
      </c>
      <c r="T83" s="67">
        <f>IF(T$9=Inputs!$F$146,Inputs!$F$145,0)</f>
        <v>0</v>
      </c>
      <c r="U83" s="67">
        <f>IF(U$9=Inputs!$F$146,Inputs!$F$145,0)</f>
        <v>0</v>
      </c>
      <c r="V83" s="67">
        <f>IF(V$9=Inputs!$F$146,Inputs!$F$145,0)</f>
        <v>0</v>
      </c>
      <c r="W83" s="67">
        <f>IF(W$9=Inputs!$F$146,Inputs!$F$145,0)</f>
        <v>0</v>
      </c>
      <c r="X83" s="67">
        <f>IF(X$9=Inputs!$F$146,Inputs!$F$145,0)</f>
        <v>0</v>
      </c>
      <c r="Y83" s="67">
        <f>IF(Y$9=Inputs!$F$146,Inputs!$F$145,0)</f>
        <v>0</v>
      </c>
      <c r="Z83" s="67">
        <f>IF(Z$9=Inputs!$F$146,Inputs!$F$145,0)</f>
        <v>0</v>
      </c>
      <c r="AA83" s="67">
        <f>IF(AA$9=Inputs!$F$146,Inputs!$F$145,0)</f>
        <v>0</v>
      </c>
      <c r="AB83" s="67">
        <f>IF(AB$9=Inputs!$F$146,Inputs!$F$145,0)</f>
        <v>0</v>
      </c>
      <c r="AC83" s="67">
        <f>IF(AC$9=Inputs!$F$146,Inputs!$F$145,0)</f>
        <v>0</v>
      </c>
      <c r="AD83" s="67">
        <f>IF(AD$9=Inputs!$F$146,Inputs!$F$145,0)</f>
        <v>0</v>
      </c>
      <c r="AE83" s="67">
        <f>IF(AE$9=Inputs!$F$146,Inputs!$F$145,0)</f>
        <v>0</v>
      </c>
      <c r="AF83" s="67">
        <f>IF(AF$9=Inputs!$F$146,Inputs!$F$145,0)</f>
        <v>0</v>
      </c>
      <c r="AG83" s="67">
        <f>IF(AG$9=Inputs!$F$146,Inputs!$F$145,0)</f>
        <v>0</v>
      </c>
      <c r="AH83" s="67">
        <f>IF(AH$9=Inputs!$F$146,Inputs!$F$145,0)</f>
        <v>0</v>
      </c>
      <c r="AI83" s="67">
        <f>IF(AI$9=Inputs!$F$146,Inputs!$F$145,0)</f>
        <v>0</v>
      </c>
      <c r="AJ83" s="67">
        <f>IF(AJ$9=Inputs!$F$146,Inputs!$F$145,0)</f>
        <v>0</v>
      </c>
      <c r="AK83" s="67">
        <f>IF(AK$9=Inputs!$F$146,Inputs!$F$145,0)</f>
        <v>0</v>
      </c>
      <c r="AL83" s="67">
        <f>IF(AL$9=Inputs!$F$146,Inputs!$F$145,0)</f>
        <v>0</v>
      </c>
      <c r="AM83" s="67">
        <f>IF(AM$9=Inputs!$F$146,Inputs!$F$145,0)</f>
        <v>0</v>
      </c>
      <c r="AN83" s="67">
        <f>IF(AN$9=Inputs!$F$146,Inputs!$F$145,0)</f>
        <v>0</v>
      </c>
    </row>
    <row r="84" spans="1:40" s="16" customFormat="1">
      <c r="A84" s="1"/>
      <c r="B84" s="1"/>
      <c r="C84" s="34" t="str">
        <f>Inputs!C147</f>
        <v>&lt;Monthly expenses or cash outflow #4&gt;</v>
      </c>
      <c r="D84" s="15"/>
      <c r="E84" s="67">
        <f>IF(E$9=Inputs!$F$148,Inputs!$F$147,0)</f>
        <v>0</v>
      </c>
      <c r="F84" s="67">
        <f>IF(F$9=Inputs!$F$148,Inputs!$F$147,0)</f>
        <v>0</v>
      </c>
      <c r="G84" s="67">
        <f>IF(G$9=Inputs!$F$148,Inputs!$F$147,0)</f>
        <v>0</v>
      </c>
      <c r="H84" s="67">
        <f>IF(H$9=Inputs!$F$148,Inputs!$F$147,0)</f>
        <v>0</v>
      </c>
      <c r="I84" s="67">
        <f>IF(I$9=Inputs!$F$148,Inputs!$F$147,0)</f>
        <v>0</v>
      </c>
      <c r="J84" s="67">
        <f>IF(J$9=Inputs!$F$148,Inputs!$F$147,0)</f>
        <v>0</v>
      </c>
      <c r="K84" s="67">
        <f>IF(K$9=Inputs!$F$148,Inputs!$F$147,0)</f>
        <v>0</v>
      </c>
      <c r="L84" s="67">
        <f>IF(L$9=Inputs!$F$148,Inputs!$F$147,0)</f>
        <v>0</v>
      </c>
      <c r="M84" s="67">
        <f>IF(M$9=Inputs!$F$148,Inputs!$F$147,0)</f>
        <v>0</v>
      </c>
      <c r="N84" s="67">
        <f>IF(N$9=Inputs!$F$148,Inputs!$F$147,0)</f>
        <v>0</v>
      </c>
      <c r="O84" s="67">
        <f>IF(O$9=Inputs!$F$148,Inputs!$F$147,0)</f>
        <v>0</v>
      </c>
      <c r="P84" s="67">
        <f>IF(P$9=Inputs!$F$148,Inputs!$F$147,0)</f>
        <v>0</v>
      </c>
      <c r="Q84" s="67">
        <f>IF(Q$9=Inputs!$F$148,Inputs!$F$147,0)</f>
        <v>0</v>
      </c>
      <c r="R84" s="67">
        <f>IF(R$9=Inputs!$F$148,Inputs!$F$147,0)</f>
        <v>0</v>
      </c>
      <c r="S84" s="67">
        <f>IF(S$9=Inputs!$F$148,Inputs!$F$147,0)</f>
        <v>0</v>
      </c>
      <c r="T84" s="67">
        <f>IF(T$9=Inputs!$F$148,Inputs!$F$147,0)</f>
        <v>0</v>
      </c>
      <c r="U84" s="67">
        <f>IF(U$9=Inputs!$F$148,Inputs!$F$147,0)</f>
        <v>0</v>
      </c>
      <c r="V84" s="67">
        <f>IF(V$9=Inputs!$F$148,Inputs!$F$147,0)</f>
        <v>0</v>
      </c>
      <c r="W84" s="67">
        <f>IF(W$9=Inputs!$F$148,Inputs!$F$147,0)</f>
        <v>0</v>
      </c>
      <c r="X84" s="67">
        <f>IF(X$9=Inputs!$F$148,Inputs!$F$147,0)</f>
        <v>0</v>
      </c>
      <c r="Y84" s="67">
        <f>IF(Y$9=Inputs!$F$148,Inputs!$F$147,0)</f>
        <v>0</v>
      </c>
      <c r="Z84" s="67">
        <f>IF(Z$9=Inputs!$F$148,Inputs!$F$147,0)</f>
        <v>0</v>
      </c>
      <c r="AA84" s="67">
        <f>IF(AA$9=Inputs!$F$148,Inputs!$F$147,0)</f>
        <v>0</v>
      </c>
      <c r="AB84" s="67">
        <f>IF(AB$9=Inputs!$F$148,Inputs!$F$147,0)</f>
        <v>0</v>
      </c>
      <c r="AC84" s="67">
        <f>IF(AC$9=Inputs!$F$148,Inputs!$F$147,0)</f>
        <v>0</v>
      </c>
      <c r="AD84" s="67">
        <f>IF(AD$9=Inputs!$F$148,Inputs!$F$147,0)</f>
        <v>0</v>
      </c>
      <c r="AE84" s="67">
        <f>IF(AE$9=Inputs!$F$148,Inputs!$F$147,0)</f>
        <v>0</v>
      </c>
      <c r="AF84" s="67">
        <f>IF(AF$9=Inputs!$F$148,Inputs!$F$147,0)</f>
        <v>0</v>
      </c>
      <c r="AG84" s="67">
        <f>IF(AG$9=Inputs!$F$148,Inputs!$F$147,0)</f>
        <v>0</v>
      </c>
      <c r="AH84" s="67">
        <f>IF(AH$9=Inputs!$F$148,Inputs!$F$147,0)</f>
        <v>0</v>
      </c>
      <c r="AI84" s="67">
        <f>IF(AI$9=Inputs!$F$148,Inputs!$F$147,0)</f>
        <v>0</v>
      </c>
      <c r="AJ84" s="67">
        <f>IF(AJ$9=Inputs!$F$148,Inputs!$F$147,0)</f>
        <v>0</v>
      </c>
      <c r="AK84" s="67">
        <f>IF(AK$9=Inputs!$F$148,Inputs!$F$147,0)</f>
        <v>0</v>
      </c>
      <c r="AL84" s="67">
        <f>IF(AL$9=Inputs!$F$148,Inputs!$F$147,0)</f>
        <v>0</v>
      </c>
      <c r="AM84" s="67">
        <f>IF(AM$9=Inputs!$F$148,Inputs!$F$147,0)</f>
        <v>0</v>
      </c>
      <c r="AN84" s="67">
        <f>IF(AN$9=Inputs!$F$148,Inputs!$F$147,0)</f>
        <v>0</v>
      </c>
    </row>
    <row r="85" spans="1:40" s="16" customFormat="1">
      <c r="A85" s="1"/>
      <c r="B85" s="1"/>
      <c r="C85" s="34" t="str">
        <f>Inputs!C149</f>
        <v>&lt;Monthly expenses or cash outflow #5&gt;</v>
      </c>
      <c r="D85" s="15"/>
      <c r="E85" s="67">
        <f>IF(E$9=Inputs!$F$150,Inputs!$F$149,0)</f>
        <v>0</v>
      </c>
      <c r="F85" s="67">
        <f>IF(F$9=Inputs!$F$150,Inputs!$F$149,0)</f>
        <v>0</v>
      </c>
      <c r="G85" s="67">
        <f>IF(G$9=Inputs!$F$150,Inputs!$F$149,0)</f>
        <v>0</v>
      </c>
      <c r="H85" s="67">
        <f>IF(H$9=Inputs!$F$150,Inputs!$F$149,0)</f>
        <v>0</v>
      </c>
      <c r="I85" s="67">
        <f>IF(I$9=Inputs!$F$150,Inputs!$F$149,0)</f>
        <v>0</v>
      </c>
      <c r="J85" s="67">
        <f>IF(J$9=Inputs!$F$150,Inputs!$F$149,0)</f>
        <v>0</v>
      </c>
      <c r="K85" s="67">
        <f>IF(K$9=Inputs!$F$150,Inputs!$F$149,0)</f>
        <v>0</v>
      </c>
      <c r="L85" s="67">
        <f>IF(L$9=Inputs!$F$150,Inputs!$F$149,0)</f>
        <v>0</v>
      </c>
      <c r="M85" s="67">
        <f>IF(M$9=Inputs!$F$150,Inputs!$F$149,0)</f>
        <v>0</v>
      </c>
      <c r="N85" s="67">
        <f>IF(N$9=Inputs!$F$150,Inputs!$F$149,0)</f>
        <v>0</v>
      </c>
      <c r="O85" s="67">
        <f>IF(O$9=Inputs!$F$150,Inputs!$F$149,0)</f>
        <v>0</v>
      </c>
      <c r="P85" s="67">
        <f>IF(P$9=Inputs!$F$150,Inputs!$F$149,0)</f>
        <v>0</v>
      </c>
      <c r="Q85" s="67">
        <f>IF(Q$9=Inputs!$F$150,Inputs!$F$149,0)</f>
        <v>0</v>
      </c>
      <c r="R85" s="67">
        <f>IF(R$9=Inputs!$F$150,Inputs!$F$149,0)</f>
        <v>0</v>
      </c>
      <c r="S85" s="67">
        <f>IF(S$9=Inputs!$F$150,Inputs!$F$149,0)</f>
        <v>0</v>
      </c>
      <c r="T85" s="67">
        <f>IF(T$9=Inputs!$F$150,Inputs!$F$149,0)</f>
        <v>0</v>
      </c>
      <c r="U85" s="67">
        <f>IF(U$9=Inputs!$F$150,Inputs!$F$149,0)</f>
        <v>0</v>
      </c>
      <c r="V85" s="67">
        <f>IF(V$9=Inputs!$F$150,Inputs!$F$149,0)</f>
        <v>0</v>
      </c>
      <c r="W85" s="67">
        <f>IF(W$9=Inputs!$F$150,Inputs!$F$149,0)</f>
        <v>0</v>
      </c>
      <c r="X85" s="67">
        <f>IF(X$9=Inputs!$F$150,Inputs!$F$149,0)</f>
        <v>0</v>
      </c>
      <c r="Y85" s="67">
        <f>IF(Y$9=Inputs!$F$150,Inputs!$F$149,0)</f>
        <v>0</v>
      </c>
      <c r="Z85" s="67">
        <f>IF(Z$9=Inputs!$F$150,Inputs!$F$149,0)</f>
        <v>0</v>
      </c>
      <c r="AA85" s="67">
        <f>IF(AA$9=Inputs!$F$150,Inputs!$F$149,0)</f>
        <v>0</v>
      </c>
      <c r="AB85" s="67">
        <f>IF(AB$9=Inputs!$F$150,Inputs!$F$149,0)</f>
        <v>0</v>
      </c>
      <c r="AC85" s="67">
        <f>IF(AC$9=Inputs!$F$150,Inputs!$F$149,0)</f>
        <v>0</v>
      </c>
      <c r="AD85" s="67">
        <f>IF(AD$9=Inputs!$F$150,Inputs!$F$149,0)</f>
        <v>0</v>
      </c>
      <c r="AE85" s="67">
        <f>IF(AE$9=Inputs!$F$150,Inputs!$F$149,0)</f>
        <v>0</v>
      </c>
      <c r="AF85" s="67">
        <f>IF(AF$9=Inputs!$F$150,Inputs!$F$149,0)</f>
        <v>0</v>
      </c>
      <c r="AG85" s="67">
        <f>IF(AG$9=Inputs!$F$150,Inputs!$F$149,0)</f>
        <v>0</v>
      </c>
      <c r="AH85" s="67">
        <f>IF(AH$9=Inputs!$F$150,Inputs!$F$149,0)</f>
        <v>0</v>
      </c>
      <c r="AI85" s="67">
        <f>IF(AI$9=Inputs!$F$150,Inputs!$F$149,0)</f>
        <v>0</v>
      </c>
      <c r="AJ85" s="67">
        <f>IF(AJ$9=Inputs!$F$150,Inputs!$F$149,0)</f>
        <v>0</v>
      </c>
      <c r="AK85" s="67">
        <f>IF(AK$9=Inputs!$F$150,Inputs!$F$149,0)</f>
        <v>0</v>
      </c>
      <c r="AL85" s="67">
        <f>IF(AL$9=Inputs!$F$150,Inputs!$F$149,0)</f>
        <v>0</v>
      </c>
      <c r="AM85" s="67">
        <f>IF(AM$9=Inputs!$F$150,Inputs!$F$149,0)</f>
        <v>0</v>
      </c>
      <c r="AN85" s="67">
        <f>IF(AN$9=Inputs!$F$150,Inputs!$F$149,0)</f>
        <v>0</v>
      </c>
    </row>
    <row r="86" spans="1:40" s="16" customFormat="1">
      <c r="A86" s="1"/>
      <c r="B86" s="1"/>
      <c r="C86" s="34" t="str">
        <f>Inputs!C151</f>
        <v>&lt;Monthly expenses or cash outflow #6&gt;</v>
      </c>
      <c r="D86" s="15"/>
      <c r="E86" s="67">
        <f>IF(E$9=Inputs!$F$152,Inputs!$F$151,0)</f>
        <v>0</v>
      </c>
      <c r="F86" s="67">
        <f>IF(F$9=Inputs!$F$152,Inputs!$F$151,0)</f>
        <v>0</v>
      </c>
      <c r="G86" s="67">
        <f>IF(G$9=Inputs!$F$152,Inputs!$F$151,0)</f>
        <v>0</v>
      </c>
      <c r="H86" s="67">
        <f>IF(H$9=Inputs!$F$152,Inputs!$F$151,0)</f>
        <v>0</v>
      </c>
      <c r="I86" s="67">
        <f>IF(I$9=Inputs!$F$152,Inputs!$F$151,0)</f>
        <v>0</v>
      </c>
      <c r="J86" s="67">
        <f>IF(J$9=Inputs!$F$152,Inputs!$F$151,0)</f>
        <v>0</v>
      </c>
      <c r="K86" s="67">
        <f>IF(K$9=Inputs!$F$152,Inputs!$F$151,0)</f>
        <v>0</v>
      </c>
      <c r="L86" s="67">
        <f>IF(L$9=Inputs!$F$152,Inputs!$F$151,0)</f>
        <v>0</v>
      </c>
      <c r="M86" s="67">
        <f>IF(M$9=Inputs!$F$152,Inputs!$F$151,0)</f>
        <v>0</v>
      </c>
      <c r="N86" s="67">
        <f>IF(N$9=Inputs!$F$152,Inputs!$F$151,0)</f>
        <v>0</v>
      </c>
      <c r="O86" s="67">
        <f>IF(O$9=Inputs!$F$152,Inputs!$F$151,0)</f>
        <v>0</v>
      </c>
      <c r="P86" s="67">
        <f>IF(P$9=Inputs!$F$152,Inputs!$F$151,0)</f>
        <v>0</v>
      </c>
      <c r="Q86" s="67">
        <f>IF(Q$9=Inputs!$F$152,Inputs!$F$151,0)</f>
        <v>0</v>
      </c>
      <c r="R86" s="67">
        <f>IF(R$9=Inputs!$F$152,Inputs!$F$151,0)</f>
        <v>0</v>
      </c>
      <c r="S86" s="67">
        <f>IF(S$9=Inputs!$F$152,Inputs!$F$151,0)</f>
        <v>0</v>
      </c>
      <c r="T86" s="67">
        <f>IF(T$9=Inputs!$F$152,Inputs!$F$151,0)</f>
        <v>0</v>
      </c>
      <c r="U86" s="67">
        <f>IF(U$9=Inputs!$F$152,Inputs!$F$151,0)</f>
        <v>0</v>
      </c>
      <c r="V86" s="67">
        <f>IF(V$9=Inputs!$F$152,Inputs!$F$151,0)</f>
        <v>0</v>
      </c>
      <c r="W86" s="67">
        <f>IF(W$9=Inputs!$F$152,Inputs!$F$151,0)</f>
        <v>0</v>
      </c>
      <c r="X86" s="67">
        <f>IF(X$9=Inputs!$F$152,Inputs!$F$151,0)</f>
        <v>0</v>
      </c>
      <c r="Y86" s="67">
        <f>IF(Y$9=Inputs!$F$152,Inputs!$F$151,0)</f>
        <v>0</v>
      </c>
      <c r="Z86" s="67">
        <f>IF(Z$9=Inputs!$F$152,Inputs!$F$151,0)</f>
        <v>0</v>
      </c>
      <c r="AA86" s="67">
        <f>IF(AA$9=Inputs!$F$152,Inputs!$F$151,0)</f>
        <v>0</v>
      </c>
      <c r="AB86" s="67">
        <f>IF(AB$9=Inputs!$F$152,Inputs!$F$151,0)</f>
        <v>0</v>
      </c>
      <c r="AC86" s="67">
        <f>IF(AC$9=Inputs!$F$152,Inputs!$F$151,0)</f>
        <v>0</v>
      </c>
      <c r="AD86" s="67">
        <f>IF(AD$9=Inputs!$F$152,Inputs!$F$151,0)</f>
        <v>0</v>
      </c>
      <c r="AE86" s="67">
        <f>IF(AE$9=Inputs!$F$152,Inputs!$F$151,0)</f>
        <v>0</v>
      </c>
      <c r="AF86" s="67">
        <f>IF(AF$9=Inputs!$F$152,Inputs!$F$151,0)</f>
        <v>0</v>
      </c>
      <c r="AG86" s="67">
        <f>IF(AG$9=Inputs!$F$152,Inputs!$F$151,0)</f>
        <v>0</v>
      </c>
      <c r="AH86" s="67">
        <f>IF(AH$9=Inputs!$F$152,Inputs!$F$151,0)</f>
        <v>0</v>
      </c>
      <c r="AI86" s="67">
        <f>IF(AI$9=Inputs!$F$152,Inputs!$F$151,0)</f>
        <v>0</v>
      </c>
      <c r="AJ86" s="67">
        <f>IF(AJ$9=Inputs!$F$152,Inputs!$F$151,0)</f>
        <v>0</v>
      </c>
      <c r="AK86" s="67">
        <f>IF(AK$9=Inputs!$F$152,Inputs!$F$151,0)</f>
        <v>0</v>
      </c>
      <c r="AL86" s="67">
        <f>IF(AL$9=Inputs!$F$152,Inputs!$F$151,0)</f>
        <v>0</v>
      </c>
      <c r="AM86" s="67">
        <f>IF(AM$9=Inputs!$F$152,Inputs!$F$151,0)</f>
        <v>0</v>
      </c>
      <c r="AN86" s="67">
        <f>IF(AN$9=Inputs!$F$152,Inputs!$F$151,0)</f>
        <v>0</v>
      </c>
    </row>
    <row r="87" spans="1:40" s="16" customFormat="1">
      <c r="A87" s="1"/>
      <c r="B87" s="1"/>
      <c r="C87" s="34" t="str">
        <f>Inputs!C153</f>
        <v>&lt;Monthly expenses or cash outflow #7&gt;</v>
      </c>
      <c r="D87" s="15"/>
      <c r="E87" s="67">
        <f>IF(E$9=Inputs!$F$154,Inputs!$F$153,0)</f>
        <v>0</v>
      </c>
      <c r="F87" s="67">
        <f>IF(F$9=Inputs!$F$154,Inputs!$F$153,0)</f>
        <v>0</v>
      </c>
      <c r="G87" s="67">
        <f>IF(G$9=Inputs!$F$154,Inputs!$F$153,0)</f>
        <v>0</v>
      </c>
      <c r="H87" s="67">
        <f>IF(H$9=Inputs!$F$154,Inputs!$F$153,0)</f>
        <v>0</v>
      </c>
      <c r="I87" s="67">
        <f>IF(I$9=Inputs!$F$154,Inputs!$F$153,0)</f>
        <v>0</v>
      </c>
      <c r="J87" s="67">
        <f>IF(J$9=Inputs!$F$154,Inputs!$F$153,0)</f>
        <v>0</v>
      </c>
      <c r="K87" s="67">
        <f>IF(K$9=Inputs!$F$154,Inputs!$F$153,0)</f>
        <v>0</v>
      </c>
      <c r="L87" s="67">
        <f>IF(L$9=Inputs!$F$154,Inputs!$F$153,0)</f>
        <v>0</v>
      </c>
      <c r="M87" s="67">
        <f>IF(M$9=Inputs!$F$154,Inputs!$F$153,0)</f>
        <v>0</v>
      </c>
      <c r="N87" s="67">
        <f>IF(N$9=Inputs!$F$154,Inputs!$F$153,0)</f>
        <v>0</v>
      </c>
      <c r="O87" s="67">
        <f>IF(O$9=Inputs!$F$154,Inputs!$F$153,0)</f>
        <v>0</v>
      </c>
      <c r="P87" s="67">
        <f>IF(P$9=Inputs!$F$154,Inputs!$F$153,0)</f>
        <v>0</v>
      </c>
      <c r="Q87" s="67">
        <f>IF(Q$9=Inputs!$F$154,Inputs!$F$153,0)</f>
        <v>0</v>
      </c>
      <c r="R87" s="67">
        <f>IF(R$9=Inputs!$F$154,Inputs!$F$153,0)</f>
        <v>0</v>
      </c>
      <c r="S87" s="67">
        <f>IF(S$9=Inputs!$F$154,Inputs!$F$153,0)</f>
        <v>0</v>
      </c>
      <c r="T87" s="67">
        <f>IF(T$9=Inputs!$F$154,Inputs!$F$153,0)</f>
        <v>0</v>
      </c>
      <c r="U87" s="67">
        <f>IF(U$9=Inputs!$F$154,Inputs!$F$153,0)</f>
        <v>0</v>
      </c>
      <c r="V87" s="67">
        <f>IF(V$9=Inputs!$F$154,Inputs!$F$153,0)</f>
        <v>0</v>
      </c>
      <c r="W87" s="67">
        <f>IF(W$9=Inputs!$F$154,Inputs!$F$153,0)</f>
        <v>0</v>
      </c>
      <c r="X87" s="67">
        <f>IF(X$9=Inputs!$F$154,Inputs!$F$153,0)</f>
        <v>0</v>
      </c>
      <c r="Y87" s="67">
        <f>IF(Y$9=Inputs!$F$154,Inputs!$F$153,0)</f>
        <v>0</v>
      </c>
      <c r="Z87" s="67">
        <f>IF(Z$9=Inputs!$F$154,Inputs!$F$153,0)</f>
        <v>0</v>
      </c>
      <c r="AA87" s="67">
        <f>IF(AA$9=Inputs!$F$154,Inputs!$F$153,0)</f>
        <v>0</v>
      </c>
      <c r="AB87" s="67">
        <f>IF(AB$9=Inputs!$F$154,Inputs!$F$153,0)</f>
        <v>0</v>
      </c>
      <c r="AC87" s="67">
        <f>IF(AC$9=Inputs!$F$154,Inputs!$F$153,0)</f>
        <v>0</v>
      </c>
      <c r="AD87" s="67">
        <f>IF(AD$9=Inputs!$F$154,Inputs!$F$153,0)</f>
        <v>0</v>
      </c>
      <c r="AE87" s="67">
        <f>IF(AE$9=Inputs!$F$154,Inputs!$F$153,0)</f>
        <v>0</v>
      </c>
      <c r="AF87" s="67">
        <f>IF(AF$9=Inputs!$F$154,Inputs!$F$153,0)</f>
        <v>0</v>
      </c>
      <c r="AG87" s="67">
        <f>IF(AG$9=Inputs!$F$154,Inputs!$F$153,0)</f>
        <v>0</v>
      </c>
      <c r="AH87" s="67">
        <f>IF(AH$9=Inputs!$F$154,Inputs!$F$153,0)</f>
        <v>0</v>
      </c>
      <c r="AI87" s="67">
        <f>IF(AI$9=Inputs!$F$154,Inputs!$F$153,0)</f>
        <v>0</v>
      </c>
      <c r="AJ87" s="67">
        <f>IF(AJ$9=Inputs!$F$154,Inputs!$F$153,0)</f>
        <v>0</v>
      </c>
      <c r="AK87" s="67">
        <f>IF(AK$9=Inputs!$F$154,Inputs!$F$153,0)</f>
        <v>0</v>
      </c>
      <c r="AL87" s="67">
        <f>IF(AL$9=Inputs!$F$154,Inputs!$F$153,0)</f>
        <v>0</v>
      </c>
      <c r="AM87" s="67">
        <f>IF(AM$9=Inputs!$F$154,Inputs!$F$153,0)</f>
        <v>0</v>
      </c>
      <c r="AN87" s="67">
        <f>IF(AN$9=Inputs!$F$154,Inputs!$F$153,0)</f>
        <v>0</v>
      </c>
    </row>
    <row r="88" spans="1:40" s="16" customFormat="1">
      <c r="A88" s="1"/>
      <c r="B88" s="1"/>
      <c r="C88" s="34" t="str">
        <f>Inputs!C155</f>
        <v>&lt;Monthly expenses or cash outflow #8&gt;</v>
      </c>
      <c r="D88" s="15"/>
      <c r="E88" s="67">
        <f>IF(E$9=Inputs!$F$156,Inputs!$F$155,0)</f>
        <v>0</v>
      </c>
      <c r="F88" s="67">
        <f>IF(F$9=Inputs!$F$156,Inputs!$F$155,0)</f>
        <v>0</v>
      </c>
      <c r="G88" s="67">
        <f>IF(G$9=Inputs!$F$156,Inputs!$F$155,0)</f>
        <v>0</v>
      </c>
      <c r="H88" s="67">
        <f>IF(H$9=Inputs!$F$156,Inputs!$F$155,0)</f>
        <v>0</v>
      </c>
      <c r="I88" s="67">
        <f>IF(I$9=Inputs!$F$156,Inputs!$F$155,0)</f>
        <v>0</v>
      </c>
      <c r="J88" s="67">
        <f>IF(J$9=Inputs!$F$156,Inputs!$F$155,0)</f>
        <v>0</v>
      </c>
      <c r="K88" s="67">
        <f>IF(K$9=Inputs!$F$156,Inputs!$F$155,0)</f>
        <v>0</v>
      </c>
      <c r="L88" s="67">
        <f>IF(L$9=Inputs!$F$156,Inputs!$F$155,0)</f>
        <v>0</v>
      </c>
      <c r="M88" s="67">
        <f>IF(M$9=Inputs!$F$156,Inputs!$F$155,0)</f>
        <v>0</v>
      </c>
      <c r="N88" s="67">
        <f>IF(N$9=Inputs!$F$156,Inputs!$F$155,0)</f>
        <v>0</v>
      </c>
      <c r="O88" s="67">
        <f>IF(O$9=Inputs!$F$156,Inputs!$F$155,0)</f>
        <v>0</v>
      </c>
      <c r="P88" s="67">
        <f>IF(P$9=Inputs!$F$156,Inputs!$F$155,0)</f>
        <v>0</v>
      </c>
      <c r="Q88" s="67">
        <f>IF(Q$9=Inputs!$F$156,Inputs!$F$155,0)</f>
        <v>0</v>
      </c>
      <c r="R88" s="67">
        <f>IF(R$9=Inputs!$F$156,Inputs!$F$155,0)</f>
        <v>0</v>
      </c>
      <c r="S88" s="67">
        <f>IF(S$9=Inputs!$F$156,Inputs!$F$155,0)</f>
        <v>0</v>
      </c>
      <c r="T88" s="67">
        <f>IF(T$9=Inputs!$F$156,Inputs!$F$155,0)</f>
        <v>0</v>
      </c>
      <c r="U88" s="67">
        <f>IF(U$9=Inputs!$F$156,Inputs!$F$155,0)</f>
        <v>0</v>
      </c>
      <c r="V88" s="67">
        <f>IF(V$9=Inputs!$F$156,Inputs!$F$155,0)</f>
        <v>0</v>
      </c>
      <c r="W88" s="67">
        <f>IF(W$9=Inputs!$F$156,Inputs!$F$155,0)</f>
        <v>0</v>
      </c>
      <c r="X88" s="67">
        <f>IF(X$9=Inputs!$F$156,Inputs!$F$155,0)</f>
        <v>0</v>
      </c>
      <c r="Y88" s="67">
        <f>IF(Y$9=Inputs!$F$156,Inputs!$F$155,0)</f>
        <v>0</v>
      </c>
      <c r="Z88" s="67">
        <f>IF(Z$9=Inputs!$F$156,Inputs!$F$155,0)</f>
        <v>0</v>
      </c>
      <c r="AA88" s="67">
        <f>IF(AA$9=Inputs!$F$156,Inputs!$F$155,0)</f>
        <v>0</v>
      </c>
      <c r="AB88" s="67">
        <f>IF(AB$9=Inputs!$F$156,Inputs!$F$155,0)</f>
        <v>0</v>
      </c>
      <c r="AC88" s="67">
        <f>IF(AC$9=Inputs!$F$156,Inputs!$F$155,0)</f>
        <v>0</v>
      </c>
      <c r="AD88" s="67">
        <f>IF(AD$9=Inputs!$F$156,Inputs!$F$155,0)</f>
        <v>0</v>
      </c>
      <c r="AE88" s="67">
        <f>IF(AE$9=Inputs!$F$156,Inputs!$F$155,0)</f>
        <v>0</v>
      </c>
      <c r="AF88" s="67">
        <f>IF(AF$9=Inputs!$F$156,Inputs!$F$155,0)</f>
        <v>0</v>
      </c>
      <c r="AG88" s="67">
        <f>IF(AG$9=Inputs!$F$156,Inputs!$F$155,0)</f>
        <v>0</v>
      </c>
      <c r="AH88" s="67">
        <f>IF(AH$9=Inputs!$F$156,Inputs!$F$155,0)</f>
        <v>0</v>
      </c>
      <c r="AI88" s="67">
        <f>IF(AI$9=Inputs!$F$156,Inputs!$F$155,0)</f>
        <v>0</v>
      </c>
      <c r="AJ88" s="67">
        <f>IF(AJ$9=Inputs!$F$156,Inputs!$F$155,0)</f>
        <v>0</v>
      </c>
      <c r="AK88" s="67">
        <f>IF(AK$9=Inputs!$F$156,Inputs!$F$155,0)</f>
        <v>0</v>
      </c>
      <c r="AL88" s="67">
        <f>IF(AL$9=Inputs!$F$156,Inputs!$F$155,0)</f>
        <v>0</v>
      </c>
      <c r="AM88" s="67">
        <f>IF(AM$9=Inputs!$F$156,Inputs!$F$155,0)</f>
        <v>0</v>
      </c>
      <c r="AN88" s="67">
        <f>IF(AN$9=Inputs!$F$156,Inputs!$F$155,0)</f>
        <v>0</v>
      </c>
    </row>
    <row r="89" spans="1:40" s="16" customFormat="1">
      <c r="A89" s="1"/>
      <c r="B89" s="1"/>
      <c r="C89" s="34"/>
      <c r="D89" s="15"/>
    </row>
    <row r="90" spans="1:40" s="16" customFormat="1">
      <c r="A90" s="51" t="s">
        <v>53</v>
      </c>
      <c r="B90" s="51"/>
      <c r="C90" s="51"/>
      <c r="D90" s="52">
        <f>D32</f>
        <v>400000</v>
      </c>
      <c r="E90" s="49">
        <f>E35+E34+E36+E40+E50+E72+E73+E75</f>
        <v>32499.217575854134</v>
      </c>
      <c r="F90" s="49">
        <f t="shared" ref="F90:AN90" si="11">F35+F34+F36+F40+F50+F72+F73+F75</f>
        <v>44199.217575854134</v>
      </c>
      <c r="G90" s="49">
        <f t="shared" si="11"/>
        <v>44199.217575854134</v>
      </c>
      <c r="H90" s="49">
        <f t="shared" si="11"/>
        <v>32499.217575854134</v>
      </c>
      <c r="I90" s="49">
        <f t="shared" si="11"/>
        <v>32499.217575854134</v>
      </c>
      <c r="J90" s="49">
        <f t="shared" si="11"/>
        <v>44199.217575854134</v>
      </c>
      <c r="K90" s="49">
        <f t="shared" si="11"/>
        <v>32499.217575854134</v>
      </c>
      <c r="L90" s="49">
        <f t="shared" si="11"/>
        <v>44199.217575854134</v>
      </c>
      <c r="M90" s="49">
        <f t="shared" si="11"/>
        <v>32499.217575854134</v>
      </c>
      <c r="N90" s="49">
        <f t="shared" si="11"/>
        <v>32499.217575854134</v>
      </c>
      <c r="O90" s="49">
        <f t="shared" si="11"/>
        <v>32787.177575854133</v>
      </c>
      <c r="P90" s="49">
        <f t="shared" si="11"/>
        <v>32787.177575854133</v>
      </c>
      <c r="Q90" s="49">
        <f t="shared" si="11"/>
        <v>32787.177575854133</v>
      </c>
      <c r="R90" s="49">
        <f t="shared" si="11"/>
        <v>45054.537575854134</v>
      </c>
      <c r="S90" s="49">
        <f t="shared" si="11"/>
        <v>45054.537575854134</v>
      </c>
      <c r="T90" s="49">
        <f t="shared" si="11"/>
        <v>32787.177575854133</v>
      </c>
      <c r="U90" s="49">
        <f t="shared" si="11"/>
        <v>32787.177575854133</v>
      </c>
      <c r="V90" s="49">
        <f t="shared" si="11"/>
        <v>45054.537575854134</v>
      </c>
      <c r="W90" s="49">
        <f t="shared" si="11"/>
        <v>32787.177575854133</v>
      </c>
      <c r="X90" s="49">
        <f t="shared" si="11"/>
        <v>45054.537575854134</v>
      </c>
      <c r="Y90" s="49">
        <f t="shared" si="11"/>
        <v>32787.177575854133</v>
      </c>
      <c r="Z90" s="49">
        <f t="shared" si="11"/>
        <v>32787.177575854133</v>
      </c>
      <c r="AA90" s="49">
        <f t="shared" si="11"/>
        <v>39551.825575854135</v>
      </c>
      <c r="AB90" s="49">
        <f t="shared" si="11"/>
        <v>39551.825575854135</v>
      </c>
      <c r="AC90" s="49">
        <f t="shared" si="11"/>
        <v>39551.825575854135</v>
      </c>
      <c r="AD90" s="49">
        <f t="shared" si="11"/>
        <v>54895.601575854125</v>
      </c>
      <c r="AE90" s="49">
        <f t="shared" si="11"/>
        <v>54895.601575854125</v>
      </c>
      <c r="AF90" s="49">
        <f t="shared" si="11"/>
        <v>39551.825575854135</v>
      </c>
      <c r="AG90" s="49">
        <f t="shared" si="11"/>
        <v>39551.825575854135</v>
      </c>
      <c r="AH90" s="49">
        <f t="shared" si="11"/>
        <v>54895.601575854125</v>
      </c>
      <c r="AI90" s="49">
        <f t="shared" si="11"/>
        <v>39551.825575854135</v>
      </c>
      <c r="AJ90" s="49">
        <f t="shared" si="11"/>
        <v>54895.601575854125</v>
      </c>
      <c r="AK90" s="49">
        <f t="shared" si="11"/>
        <v>39551.825575854135</v>
      </c>
      <c r="AL90" s="49">
        <f t="shared" si="11"/>
        <v>39551.825575854135</v>
      </c>
      <c r="AM90" s="49">
        <f t="shared" si="11"/>
        <v>40071.556375854132</v>
      </c>
      <c r="AN90" s="49">
        <f t="shared" si="11"/>
        <v>40071.556375854132</v>
      </c>
    </row>
    <row r="91" spans="1:40" s="16" customFormat="1">
      <c r="A91" s="1"/>
      <c r="B91" s="1"/>
      <c r="C91" s="34"/>
    </row>
    <row r="92" spans="1:40" s="16" customFormat="1" ht="12.75" thickBot="1">
      <c r="A92" s="17"/>
      <c r="B92" s="17"/>
      <c r="C92" s="33"/>
      <c r="D92" s="19"/>
      <c r="E92" s="18"/>
      <c r="F92" s="18"/>
      <c r="G92" s="18"/>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row>
    <row r="93" spans="1:40" s="16" customFormat="1">
      <c r="A93" s="2" t="s">
        <v>231</v>
      </c>
      <c r="B93" s="1"/>
      <c r="C93" s="32"/>
      <c r="D93" s="15"/>
    </row>
    <row r="94" spans="1:40" s="16" customFormat="1" hidden="1">
      <c r="A94" s="2"/>
      <c r="B94" s="1"/>
      <c r="C94" s="43" t="s">
        <v>60</v>
      </c>
      <c r="D94" s="219"/>
      <c r="E94" s="220" t="str">
        <f t="shared" ref="E94:AN94" si="12">CONCATENATE(E9,"-",MONTH(E6))</f>
        <v>1-3</v>
      </c>
      <c r="F94" s="220" t="str">
        <f t="shared" si="12"/>
        <v>1-4</v>
      </c>
      <c r="G94" s="220" t="str">
        <f t="shared" si="12"/>
        <v>1-5</v>
      </c>
      <c r="H94" s="220" t="str">
        <f t="shared" si="12"/>
        <v>1-6</v>
      </c>
      <c r="I94" s="220" t="str">
        <f t="shared" si="12"/>
        <v>1-7</v>
      </c>
      <c r="J94" s="220" t="str">
        <f t="shared" si="12"/>
        <v>1-8</v>
      </c>
      <c r="K94" s="220" t="str">
        <f t="shared" si="12"/>
        <v>1-9</v>
      </c>
      <c r="L94" s="220" t="str">
        <f t="shared" si="12"/>
        <v>1-10</v>
      </c>
      <c r="M94" s="220" t="str">
        <f t="shared" si="12"/>
        <v>1-11</v>
      </c>
      <c r="N94" s="220" t="str">
        <f t="shared" si="12"/>
        <v>1-12</v>
      </c>
      <c r="O94" s="220" t="str">
        <f t="shared" si="12"/>
        <v>2-1</v>
      </c>
      <c r="P94" s="220" t="str">
        <f t="shared" si="12"/>
        <v>2-2</v>
      </c>
      <c r="Q94" s="220" t="str">
        <f t="shared" si="12"/>
        <v>2-3</v>
      </c>
      <c r="R94" s="220" t="str">
        <f t="shared" si="12"/>
        <v>2-4</v>
      </c>
      <c r="S94" s="220" t="str">
        <f t="shared" si="12"/>
        <v>2-5</v>
      </c>
      <c r="T94" s="220" t="str">
        <f t="shared" si="12"/>
        <v>2-6</v>
      </c>
      <c r="U94" s="220" t="str">
        <f t="shared" si="12"/>
        <v>2-7</v>
      </c>
      <c r="V94" s="220" t="str">
        <f t="shared" si="12"/>
        <v>2-8</v>
      </c>
      <c r="W94" s="220" t="str">
        <f t="shared" si="12"/>
        <v>2-9</v>
      </c>
      <c r="X94" s="220" t="str">
        <f t="shared" si="12"/>
        <v>2-10</v>
      </c>
      <c r="Y94" s="220" t="str">
        <f t="shared" si="12"/>
        <v>2-11</v>
      </c>
      <c r="Z94" s="220" t="str">
        <f t="shared" si="12"/>
        <v>2-12</v>
      </c>
      <c r="AA94" s="220" t="str">
        <f t="shared" si="12"/>
        <v>3-1</v>
      </c>
      <c r="AB94" s="220" t="str">
        <f t="shared" si="12"/>
        <v>3-2</v>
      </c>
      <c r="AC94" s="220" t="str">
        <f t="shared" si="12"/>
        <v>3-3</v>
      </c>
      <c r="AD94" s="220" t="str">
        <f t="shared" si="12"/>
        <v>3-4</v>
      </c>
      <c r="AE94" s="220" t="str">
        <f t="shared" si="12"/>
        <v>3-5</v>
      </c>
      <c r="AF94" s="220" t="str">
        <f t="shared" si="12"/>
        <v>3-6</v>
      </c>
      <c r="AG94" s="220" t="str">
        <f t="shared" si="12"/>
        <v>3-7</v>
      </c>
      <c r="AH94" s="220" t="str">
        <f t="shared" si="12"/>
        <v>3-8</v>
      </c>
      <c r="AI94" s="220" t="str">
        <f t="shared" si="12"/>
        <v>3-9</v>
      </c>
      <c r="AJ94" s="220" t="str">
        <f t="shared" si="12"/>
        <v>3-10</v>
      </c>
      <c r="AK94" s="220" t="str">
        <f t="shared" si="12"/>
        <v>3-11</v>
      </c>
      <c r="AL94" s="220" t="str">
        <f t="shared" si="12"/>
        <v>3-12</v>
      </c>
      <c r="AM94" s="220" t="str">
        <f t="shared" si="12"/>
        <v>4-1</v>
      </c>
      <c r="AN94" s="220" t="str">
        <f t="shared" si="12"/>
        <v>4-2</v>
      </c>
    </row>
    <row r="95" spans="1:40" s="16" customFormat="1">
      <c r="A95" s="1"/>
      <c r="B95" s="1"/>
      <c r="C95" s="34"/>
    </row>
    <row r="96" spans="1:40" s="16" customFormat="1">
      <c r="A96" s="1"/>
      <c r="B96" s="1"/>
      <c r="C96" s="34" t="s">
        <v>45</v>
      </c>
      <c r="D96" s="67">
        <f>-D90</f>
        <v>-400000</v>
      </c>
    </row>
    <row r="97" spans="1:40" s="16" customFormat="1">
      <c r="A97" s="1"/>
      <c r="B97" s="1"/>
      <c r="C97" s="32" t="s">
        <v>65</v>
      </c>
      <c r="D97" s="26"/>
      <c r="E97" s="67">
        <f>(E28-E19)-(E90+E35+E72)</f>
        <v>-13275.235151708264</v>
      </c>
      <c r="F97" s="67">
        <f t="shared" ref="F97:AN97" si="13">(F28-F19)-(F90+F35+F72)</f>
        <v>-15977.075268880631</v>
      </c>
      <c r="G97" s="67">
        <f t="shared" si="13"/>
        <v>-15978.927653500803</v>
      </c>
      <c r="H97" s="67">
        <f t="shared" si="13"/>
        <v>-13280.792387351779</v>
      </c>
      <c r="I97" s="67">
        <f t="shared" si="13"/>
        <v>-13282.66955276177</v>
      </c>
      <c r="J97" s="67">
        <f t="shared" si="13"/>
        <v>-15984.559232607819</v>
      </c>
      <c r="K97" s="67">
        <f t="shared" si="13"/>
        <v>-13286.46151031951</v>
      </c>
      <c r="L97" s="67">
        <f t="shared" si="13"/>
        <v>-15988.376469882613</v>
      </c>
      <c r="M97" s="67">
        <f t="shared" si="13"/>
        <v>-13290.3041958428</v>
      </c>
      <c r="N97" s="67">
        <f t="shared" si="13"/>
        <v>-13292.244773309394</v>
      </c>
      <c r="O97" s="67">
        <f t="shared" si="13"/>
        <v>-28132.158287959093</v>
      </c>
      <c r="P97" s="67">
        <f t="shared" si="13"/>
        <v>-28134.124826039792</v>
      </c>
      <c r="Q97" s="67">
        <f t="shared" si="13"/>
        <v>-28136.104474374362</v>
      </c>
      <c r="R97" s="67">
        <f t="shared" si="13"/>
        <v>-30505.457320364498</v>
      </c>
      <c r="S97" s="67">
        <f t="shared" si="13"/>
        <v>-30507.463451994568</v>
      </c>
      <c r="T97" s="67">
        <f t="shared" si="13"/>
        <v>-28142.122957835505</v>
      </c>
      <c r="U97" s="67">
        <f t="shared" si="13"/>
        <v>-28144.155927048712</v>
      </c>
      <c r="V97" s="67">
        <f t="shared" si="13"/>
        <v>-30513.56244939001</v>
      </c>
      <c r="W97" s="67">
        <f t="shared" si="13"/>
        <v>-28148.262615213585</v>
      </c>
      <c r="X97" s="67">
        <f t="shared" si="13"/>
        <v>-30517.696515475982</v>
      </c>
      <c r="Y97" s="67">
        <f t="shared" si="13"/>
        <v>-28152.424241740126</v>
      </c>
      <c r="Z97" s="67">
        <f t="shared" si="13"/>
        <v>-28154.525886179363</v>
      </c>
      <c r="AA97" s="67">
        <f t="shared" si="13"/>
        <v>-33931.289541581536</v>
      </c>
      <c r="AB97" s="67">
        <f t="shared" si="13"/>
        <v>-33933.419301353053</v>
      </c>
      <c r="AC97" s="67">
        <f t="shared" si="13"/>
        <v>-33935.563259523042</v>
      </c>
      <c r="AD97" s="67">
        <f t="shared" si="13"/>
        <v>-37401.497510747497</v>
      </c>
      <c r="AE97" s="67">
        <f t="shared" si="13"/>
        <v>-37403.670150313446</v>
      </c>
      <c r="AF97" s="67">
        <f t="shared" si="13"/>
        <v>-33942.081274143187</v>
      </c>
      <c r="AG97" s="67">
        <f t="shared" si="13"/>
        <v>-33944.282978798445</v>
      </c>
      <c r="AH97" s="67">
        <f t="shared" si="13"/>
        <v>-37410.275361484732</v>
      </c>
      <c r="AI97" s="67">
        <f t="shared" si="13"/>
        <v>-33948.730520055615</v>
      </c>
      <c r="AJ97" s="67">
        <f t="shared" si="13"/>
        <v>-37414.752553016944</v>
      </c>
      <c r="AK97" s="67">
        <f t="shared" si="13"/>
        <v>-33953.237559531379</v>
      </c>
      <c r="AL97" s="67">
        <f t="shared" si="13"/>
        <v>-33955.513639422556</v>
      </c>
      <c r="AM97" s="67">
        <f t="shared" si="13"/>
        <v>-34477.535693179678</v>
      </c>
      <c r="AN97" s="67">
        <f t="shared" si="13"/>
        <v>-34479.842221961851</v>
      </c>
    </row>
    <row r="98" spans="1:40" s="16" customFormat="1">
      <c r="A98" s="26"/>
      <c r="B98" s="1"/>
      <c r="C98" s="32" t="s">
        <v>66</v>
      </c>
      <c r="D98" s="26"/>
      <c r="E98" s="67">
        <f>E97+D98</f>
        <v>-13275.235151708264</v>
      </c>
      <c r="F98" s="67">
        <f t="shared" ref="F98:AN98" si="14">F97+E98</f>
        <v>-29252.310420588896</v>
      </c>
      <c r="G98" s="67">
        <f t="shared" si="14"/>
        <v>-45231.238074089699</v>
      </c>
      <c r="H98" s="67">
        <f t="shared" si="14"/>
        <v>-58512.030461441478</v>
      </c>
      <c r="I98" s="67">
        <f t="shared" si="14"/>
        <v>-71794.700014203248</v>
      </c>
      <c r="J98" s="67">
        <f t="shared" si="14"/>
        <v>-87779.259246811067</v>
      </c>
      <c r="K98" s="67">
        <f t="shared" si="14"/>
        <v>-101065.72075713058</v>
      </c>
      <c r="L98" s="67">
        <f t="shared" si="14"/>
        <v>-117054.09722701319</v>
      </c>
      <c r="M98" s="67">
        <f t="shared" si="14"/>
        <v>-130344.401422856</v>
      </c>
      <c r="N98" s="67">
        <f t="shared" si="14"/>
        <v>-143636.64619616538</v>
      </c>
      <c r="O98" s="67">
        <f t="shared" si="14"/>
        <v>-171768.80448412447</v>
      </c>
      <c r="P98" s="67">
        <f t="shared" si="14"/>
        <v>-199902.92931016427</v>
      </c>
      <c r="Q98" s="67">
        <f t="shared" si="14"/>
        <v>-228039.03378453862</v>
      </c>
      <c r="R98" s="67">
        <f t="shared" si="14"/>
        <v>-258544.49110490311</v>
      </c>
      <c r="S98" s="67">
        <f t="shared" si="14"/>
        <v>-289051.95455689769</v>
      </c>
      <c r="T98" s="67">
        <f t="shared" si="14"/>
        <v>-317194.07751473319</v>
      </c>
      <c r="U98" s="67">
        <f t="shared" si="14"/>
        <v>-345338.23344178189</v>
      </c>
      <c r="V98" s="67">
        <f t="shared" si="14"/>
        <v>-375851.7958911719</v>
      </c>
      <c r="W98" s="67">
        <f t="shared" si="14"/>
        <v>-404000.05850638548</v>
      </c>
      <c r="X98" s="67">
        <f t="shared" si="14"/>
        <v>-434517.75502186146</v>
      </c>
      <c r="Y98" s="67">
        <f t="shared" si="14"/>
        <v>-462670.1792636016</v>
      </c>
      <c r="Z98" s="67">
        <f t="shared" si="14"/>
        <v>-490824.70514978096</v>
      </c>
      <c r="AA98" s="67">
        <f t="shared" si="14"/>
        <v>-524755.99469136249</v>
      </c>
      <c r="AB98" s="67">
        <f t="shared" si="14"/>
        <v>-558689.41399271553</v>
      </c>
      <c r="AC98" s="67">
        <f t="shared" si="14"/>
        <v>-592624.97725223855</v>
      </c>
      <c r="AD98" s="67">
        <f t="shared" si="14"/>
        <v>-630026.47476298606</v>
      </c>
      <c r="AE98" s="67">
        <f t="shared" si="14"/>
        <v>-667430.14491329947</v>
      </c>
      <c r="AF98" s="67">
        <f t="shared" si="14"/>
        <v>-701372.22618744266</v>
      </c>
      <c r="AG98" s="67">
        <f t="shared" si="14"/>
        <v>-735316.50916624116</v>
      </c>
      <c r="AH98" s="67">
        <f t="shared" si="14"/>
        <v>-772726.78452772589</v>
      </c>
      <c r="AI98" s="67">
        <f t="shared" si="14"/>
        <v>-806675.51504778152</v>
      </c>
      <c r="AJ98" s="67">
        <f t="shared" si="14"/>
        <v>-844090.26760079851</v>
      </c>
      <c r="AK98" s="67">
        <f t="shared" si="14"/>
        <v>-878043.50516032986</v>
      </c>
      <c r="AL98" s="67">
        <f t="shared" si="14"/>
        <v>-911999.01879975246</v>
      </c>
      <c r="AM98" s="67">
        <f t="shared" si="14"/>
        <v>-946476.55449293216</v>
      </c>
      <c r="AN98" s="67">
        <f t="shared" si="14"/>
        <v>-980956.39671489398</v>
      </c>
    </row>
    <row r="99" spans="1:40" s="16" customFormat="1">
      <c r="A99" s="1"/>
      <c r="B99" s="1"/>
      <c r="C99" s="32"/>
      <c r="D99" s="26"/>
      <c r="E99" s="67"/>
      <c r="F99" s="67"/>
      <c r="G99" s="67"/>
      <c r="H99" s="67"/>
      <c r="I99" s="67"/>
      <c r="J99" s="67"/>
      <c r="K99" s="67"/>
      <c r="L99" s="67"/>
      <c r="M99" s="67"/>
      <c r="N99" s="67"/>
      <c r="O99" s="67"/>
      <c r="P99" s="67"/>
      <c r="Q99" s="67"/>
      <c r="R99" s="67"/>
      <c r="S99" s="67"/>
      <c r="T99" s="67"/>
      <c r="U99" s="67"/>
      <c r="V99" s="67"/>
      <c r="W99" s="67"/>
      <c r="X99" s="67"/>
      <c r="Y99" s="67"/>
      <c r="Z99" s="67"/>
      <c r="AA99" s="67"/>
      <c r="AB99" s="67"/>
      <c r="AC99" s="67"/>
      <c r="AD99" s="67"/>
      <c r="AE99" s="67"/>
      <c r="AF99" s="67"/>
      <c r="AG99" s="67"/>
      <c r="AH99" s="67"/>
      <c r="AI99" s="67"/>
      <c r="AJ99" s="67"/>
      <c r="AK99" s="67"/>
      <c r="AL99" s="67"/>
      <c r="AM99" s="67"/>
      <c r="AN99" s="67"/>
    </row>
    <row r="100" spans="1:40" s="16" customFormat="1">
      <c r="A100" s="1"/>
      <c r="B100" s="1"/>
      <c r="C100" s="32" t="s">
        <v>27</v>
      </c>
      <c r="D100" s="67">
        <f>D19</f>
        <v>262500</v>
      </c>
      <c r="E100" s="67">
        <f>E19</f>
        <v>0</v>
      </c>
      <c r="F100" s="67">
        <f t="shared" ref="F100:AN100" si="15">F19</f>
        <v>0</v>
      </c>
      <c r="G100" s="67">
        <f t="shared" si="15"/>
        <v>0</v>
      </c>
      <c r="H100" s="67">
        <f t="shared" si="15"/>
        <v>0</v>
      </c>
      <c r="I100" s="67">
        <f t="shared" si="15"/>
        <v>0</v>
      </c>
      <c r="J100" s="67">
        <f t="shared" si="15"/>
        <v>0</v>
      </c>
      <c r="K100" s="67">
        <f t="shared" si="15"/>
        <v>0</v>
      </c>
      <c r="L100" s="67">
        <f t="shared" si="15"/>
        <v>0</v>
      </c>
      <c r="M100" s="67">
        <f t="shared" si="15"/>
        <v>0</v>
      </c>
      <c r="N100" s="67">
        <f t="shared" si="15"/>
        <v>0</v>
      </c>
      <c r="O100" s="67">
        <f t="shared" si="15"/>
        <v>0</v>
      </c>
      <c r="P100" s="67">
        <f t="shared" si="15"/>
        <v>0</v>
      </c>
      <c r="Q100" s="67">
        <f t="shared" si="15"/>
        <v>0</v>
      </c>
      <c r="R100" s="67">
        <f t="shared" si="15"/>
        <v>0</v>
      </c>
      <c r="S100" s="67">
        <f t="shared" si="15"/>
        <v>0</v>
      </c>
      <c r="T100" s="67">
        <f t="shared" si="15"/>
        <v>0</v>
      </c>
      <c r="U100" s="67">
        <f t="shared" si="15"/>
        <v>0</v>
      </c>
      <c r="V100" s="67">
        <f t="shared" si="15"/>
        <v>0</v>
      </c>
      <c r="W100" s="67">
        <f t="shared" si="15"/>
        <v>0</v>
      </c>
      <c r="X100" s="67">
        <f t="shared" si="15"/>
        <v>0</v>
      </c>
      <c r="Y100" s="67">
        <f t="shared" si="15"/>
        <v>0</v>
      </c>
      <c r="Z100" s="67">
        <f t="shared" si="15"/>
        <v>0</v>
      </c>
      <c r="AA100" s="67">
        <f t="shared" si="15"/>
        <v>0</v>
      </c>
      <c r="AB100" s="67">
        <f t="shared" si="15"/>
        <v>0</v>
      </c>
      <c r="AC100" s="67">
        <f t="shared" si="15"/>
        <v>0</v>
      </c>
      <c r="AD100" s="67">
        <f t="shared" si="15"/>
        <v>0</v>
      </c>
      <c r="AE100" s="67">
        <f t="shared" si="15"/>
        <v>0</v>
      </c>
      <c r="AF100" s="67">
        <f t="shared" si="15"/>
        <v>0</v>
      </c>
      <c r="AG100" s="67">
        <f t="shared" si="15"/>
        <v>0</v>
      </c>
      <c r="AH100" s="67">
        <f t="shared" si="15"/>
        <v>0</v>
      </c>
      <c r="AI100" s="67">
        <f t="shared" si="15"/>
        <v>0</v>
      </c>
      <c r="AJ100" s="67">
        <f t="shared" si="15"/>
        <v>0</v>
      </c>
      <c r="AK100" s="67">
        <f t="shared" si="15"/>
        <v>0</v>
      </c>
      <c r="AL100" s="67">
        <f t="shared" si="15"/>
        <v>0</v>
      </c>
      <c r="AM100" s="67">
        <f t="shared" si="15"/>
        <v>0</v>
      </c>
      <c r="AN100" s="67">
        <f t="shared" si="15"/>
        <v>0</v>
      </c>
    </row>
    <row r="101" spans="1:40" s="16" customFormat="1">
      <c r="A101" s="1"/>
      <c r="B101" s="1"/>
      <c r="C101" s="32" t="s">
        <v>292</v>
      </c>
      <c r="D101" s="67"/>
      <c r="E101" s="67">
        <f>(E72+E35)</f>
        <v>276.01757585413287</v>
      </c>
      <c r="F101" s="67">
        <f t="shared" ref="F101:AN102" si="16">(F72+F35)</f>
        <v>277.85769302649379</v>
      </c>
      <c r="G101" s="67">
        <f t="shared" si="16"/>
        <v>279.71007764667036</v>
      </c>
      <c r="H101" s="67">
        <f t="shared" si="16"/>
        <v>281.57481149764823</v>
      </c>
      <c r="I101" s="67">
        <f t="shared" si="16"/>
        <v>283.45197690763257</v>
      </c>
      <c r="J101" s="67">
        <f t="shared" si="16"/>
        <v>285.34165675368342</v>
      </c>
      <c r="K101" s="67">
        <f t="shared" si="16"/>
        <v>287.24393446537465</v>
      </c>
      <c r="L101" s="67">
        <f t="shared" si="16"/>
        <v>289.15889402847711</v>
      </c>
      <c r="M101" s="67">
        <f t="shared" si="16"/>
        <v>291.08661998866694</v>
      </c>
      <c r="N101" s="67">
        <f t="shared" si="16"/>
        <v>293.02719745525809</v>
      </c>
      <c r="O101" s="67">
        <f t="shared" si="16"/>
        <v>294.98071210495982</v>
      </c>
      <c r="P101" s="67">
        <f t="shared" si="16"/>
        <v>296.94725018565958</v>
      </c>
      <c r="Q101" s="67">
        <f t="shared" si="16"/>
        <v>298.92689852023062</v>
      </c>
      <c r="R101" s="67">
        <f t="shared" si="16"/>
        <v>300.91974451036549</v>
      </c>
      <c r="S101" s="67">
        <f t="shared" si="16"/>
        <v>302.92587614043458</v>
      </c>
      <c r="T101" s="67">
        <f t="shared" si="16"/>
        <v>304.94538198137082</v>
      </c>
      <c r="U101" s="67">
        <f t="shared" si="16"/>
        <v>306.97835119458</v>
      </c>
      <c r="V101" s="67">
        <f t="shared" si="16"/>
        <v>309.02487353587719</v>
      </c>
      <c r="W101" s="67">
        <f t="shared" si="16"/>
        <v>311.08503935944969</v>
      </c>
      <c r="X101" s="67">
        <f t="shared" si="16"/>
        <v>313.15893962184606</v>
      </c>
      <c r="Y101" s="67">
        <f t="shared" si="16"/>
        <v>315.2466658859916</v>
      </c>
      <c r="Z101" s="67">
        <f t="shared" si="16"/>
        <v>317.34831032523152</v>
      </c>
      <c r="AA101" s="67">
        <f t="shared" si="16"/>
        <v>319.46396572739985</v>
      </c>
      <c r="AB101" s="67">
        <f t="shared" si="16"/>
        <v>321.59372549891583</v>
      </c>
      <c r="AC101" s="67">
        <f t="shared" si="16"/>
        <v>323.73768366890857</v>
      </c>
      <c r="AD101" s="67">
        <f t="shared" si="16"/>
        <v>325.89593489336795</v>
      </c>
      <c r="AE101" s="67">
        <f t="shared" si="16"/>
        <v>328.06857445932371</v>
      </c>
      <c r="AF101" s="67">
        <f t="shared" si="16"/>
        <v>330.25569828905253</v>
      </c>
      <c r="AG101" s="67">
        <f t="shared" si="16"/>
        <v>332.457402944313</v>
      </c>
      <c r="AH101" s="67">
        <f t="shared" si="16"/>
        <v>334.67378563060839</v>
      </c>
      <c r="AI101" s="67">
        <f t="shared" si="16"/>
        <v>336.90494420147905</v>
      </c>
      <c r="AJ101" s="67">
        <f t="shared" si="16"/>
        <v>339.15097716282224</v>
      </c>
      <c r="AK101" s="67">
        <f t="shared" si="16"/>
        <v>341.4119836772411</v>
      </c>
      <c r="AL101" s="67">
        <f t="shared" si="16"/>
        <v>343.68806356842271</v>
      </c>
      <c r="AM101" s="67">
        <f t="shared" si="16"/>
        <v>345.97931732554548</v>
      </c>
      <c r="AN101" s="67">
        <f t="shared" si="16"/>
        <v>348.28584610771583</v>
      </c>
    </row>
    <row r="102" spans="1:40" s="16" customFormat="1">
      <c r="A102" s="1"/>
      <c r="B102" s="1"/>
      <c r="C102" s="32" t="s">
        <v>293</v>
      </c>
      <c r="D102" s="67"/>
      <c r="E102" s="67">
        <f>(E73+E36)</f>
        <v>1750</v>
      </c>
      <c r="F102" s="67">
        <f t="shared" si="16"/>
        <v>1748.1598828276392</v>
      </c>
      <c r="G102" s="67">
        <f t="shared" si="16"/>
        <v>1746.3074982074627</v>
      </c>
      <c r="H102" s="67">
        <f t="shared" si="16"/>
        <v>1744.4427643564848</v>
      </c>
      <c r="I102" s="67">
        <f t="shared" si="16"/>
        <v>1742.5655989465006</v>
      </c>
      <c r="J102" s="67">
        <f t="shared" si="16"/>
        <v>1740.6759191004494</v>
      </c>
      <c r="K102" s="67">
        <f t="shared" si="16"/>
        <v>1738.7736413887583</v>
      </c>
      <c r="L102" s="67">
        <f t="shared" si="16"/>
        <v>1736.8586818256558</v>
      </c>
      <c r="M102" s="67">
        <f t="shared" si="16"/>
        <v>1734.9309558654659</v>
      </c>
      <c r="N102" s="67">
        <f t="shared" si="16"/>
        <v>1732.990378398875</v>
      </c>
      <c r="O102" s="67">
        <f t="shared" si="16"/>
        <v>1731.0368637491731</v>
      </c>
      <c r="P102" s="67">
        <f t="shared" si="16"/>
        <v>1729.0703256684735</v>
      </c>
      <c r="Q102" s="67">
        <f t="shared" si="16"/>
        <v>1727.0906773339022</v>
      </c>
      <c r="R102" s="67">
        <f t="shared" si="16"/>
        <v>1725.0978313437674</v>
      </c>
      <c r="S102" s="67">
        <f t="shared" si="16"/>
        <v>1723.0916997136983</v>
      </c>
      <c r="T102" s="67">
        <f t="shared" si="16"/>
        <v>1721.0721938727622</v>
      </c>
      <c r="U102" s="67">
        <f t="shared" si="16"/>
        <v>1719.0392246595532</v>
      </c>
      <c r="V102" s="67">
        <f t="shared" si="16"/>
        <v>1716.9927023182559</v>
      </c>
      <c r="W102" s="67">
        <f t="shared" si="16"/>
        <v>1714.9325364946833</v>
      </c>
      <c r="X102" s="67">
        <f t="shared" si="16"/>
        <v>1712.8586362322872</v>
      </c>
      <c r="Y102" s="67">
        <f t="shared" si="16"/>
        <v>1710.7709099681415</v>
      </c>
      <c r="Z102" s="67">
        <f t="shared" si="16"/>
        <v>1708.6692655289014</v>
      </c>
      <c r="AA102" s="67">
        <f t="shared" si="16"/>
        <v>1706.5536101267332</v>
      </c>
      <c r="AB102" s="67">
        <f t="shared" si="16"/>
        <v>1704.4238503552172</v>
      </c>
      <c r="AC102" s="67">
        <f t="shared" si="16"/>
        <v>1702.2798921852243</v>
      </c>
      <c r="AD102" s="67">
        <f t="shared" si="16"/>
        <v>1700.121640960765</v>
      </c>
      <c r="AE102" s="67">
        <f t="shared" si="16"/>
        <v>1697.9490013948093</v>
      </c>
      <c r="AF102" s="67">
        <f t="shared" si="16"/>
        <v>1695.7618775650803</v>
      </c>
      <c r="AG102" s="67">
        <f t="shared" si="16"/>
        <v>1693.56017290982</v>
      </c>
      <c r="AH102" s="67">
        <f t="shared" si="16"/>
        <v>1691.3437902235244</v>
      </c>
      <c r="AI102" s="67">
        <f t="shared" si="16"/>
        <v>1689.1126316526538</v>
      </c>
      <c r="AJ102" s="67">
        <f t="shared" si="16"/>
        <v>1686.8665986913109</v>
      </c>
      <c r="AK102" s="67">
        <f t="shared" si="16"/>
        <v>1684.6055921768918</v>
      </c>
      <c r="AL102" s="67">
        <f t="shared" si="16"/>
        <v>1682.3295122857103</v>
      </c>
      <c r="AM102" s="67">
        <f t="shared" si="16"/>
        <v>1680.0382585285874</v>
      </c>
      <c r="AN102" s="67">
        <f t="shared" si="16"/>
        <v>1677.7317297464172</v>
      </c>
    </row>
    <row r="103" spans="1:40" s="16" customFormat="1">
      <c r="A103" s="1"/>
      <c r="B103" s="1"/>
      <c r="C103" s="32" t="s">
        <v>21</v>
      </c>
      <c r="D103" s="67">
        <f>D100-D101</f>
        <v>262500</v>
      </c>
      <c r="E103" s="67">
        <f>D103+E100-E101</f>
        <v>262223.98242414586</v>
      </c>
      <c r="F103" s="67">
        <f t="shared" ref="F103:AN103" si="17">E103+F100-F101</f>
        <v>261946.12473111937</v>
      </c>
      <c r="G103" s="67">
        <f t="shared" si="17"/>
        <v>261666.41465347269</v>
      </c>
      <c r="H103" s="67">
        <f t="shared" si="17"/>
        <v>261384.83984197504</v>
      </c>
      <c r="I103" s="67">
        <f t="shared" si="17"/>
        <v>261101.3878650674</v>
      </c>
      <c r="J103" s="67">
        <f t="shared" si="17"/>
        <v>260816.04620831372</v>
      </c>
      <c r="K103" s="67">
        <f t="shared" si="17"/>
        <v>260528.80227384836</v>
      </c>
      <c r="L103" s="67">
        <f t="shared" si="17"/>
        <v>260239.64337981987</v>
      </c>
      <c r="M103" s="67">
        <f t="shared" si="17"/>
        <v>259948.5567598312</v>
      </c>
      <c r="N103" s="67">
        <f t="shared" si="17"/>
        <v>259655.52956237594</v>
      </c>
      <c r="O103" s="67">
        <f t="shared" si="17"/>
        <v>259360.54885027098</v>
      </c>
      <c r="P103" s="67">
        <f t="shared" si="17"/>
        <v>259063.60160008533</v>
      </c>
      <c r="Q103" s="67">
        <f t="shared" si="17"/>
        <v>258764.67470156509</v>
      </c>
      <c r="R103" s="67">
        <f t="shared" si="17"/>
        <v>258463.75495705471</v>
      </c>
      <c r="S103" s="67">
        <f t="shared" si="17"/>
        <v>258160.82908091426</v>
      </c>
      <c r="T103" s="67">
        <f t="shared" si="17"/>
        <v>257855.88369893288</v>
      </c>
      <c r="U103" s="67">
        <f t="shared" si="17"/>
        <v>257548.9053477383</v>
      </c>
      <c r="V103" s="67">
        <f t="shared" si="17"/>
        <v>257239.88047420242</v>
      </c>
      <c r="W103" s="67">
        <f t="shared" si="17"/>
        <v>256928.79543484296</v>
      </c>
      <c r="X103" s="67">
        <f t="shared" si="17"/>
        <v>256615.63649522112</v>
      </c>
      <c r="Y103" s="67">
        <f t="shared" si="17"/>
        <v>256300.38982933512</v>
      </c>
      <c r="Z103" s="67">
        <f t="shared" si="17"/>
        <v>255983.04151900989</v>
      </c>
      <c r="AA103" s="67">
        <f t="shared" si="17"/>
        <v>255663.57755328249</v>
      </c>
      <c r="AB103" s="67">
        <f t="shared" si="17"/>
        <v>255341.98382778358</v>
      </c>
      <c r="AC103" s="67">
        <f t="shared" si="17"/>
        <v>255018.24614411467</v>
      </c>
      <c r="AD103" s="67">
        <f t="shared" si="17"/>
        <v>254692.3502092213</v>
      </c>
      <c r="AE103" s="67">
        <f t="shared" si="17"/>
        <v>254364.28163476198</v>
      </c>
      <c r="AF103" s="67">
        <f t="shared" si="17"/>
        <v>254034.02593647293</v>
      </c>
      <c r="AG103" s="67">
        <f t="shared" si="17"/>
        <v>253701.56853352863</v>
      </c>
      <c r="AH103" s="67">
        <f t="shared" si="17"/>
        <v>253366.89474789801</v>
      </c>
      <c r="AI103" s="67">
        <f t="shared" si="17"/>
        <v>253029.98980369655</v>
      </c>
      <c r="AJ103" s="67">
        <f t="shared" si="17"/>
        <v>252690.83882653373</v>
      </c>
      <c r="AK103" s="67">
        <f t="shared" si="17"/>
        <v>252349.42684285648</v>
      </c>
      <c r="AL103" s="67">
        <f t="shared" si="17"/>
        <v>252005.73877928805</v>
      </c>
      <c r="AM103" s="67">
        <f t="shared" si="17"/>
        <v>251659.7594619625</v>
      </c>
      <c r="AN103" s="67">
        <f t="shared" si="17"/>
        <v>251311.47361585477</v>
      </c>
    </row>
    <row r="104" spans="1:40" s="16" customFormat="1">
      <c r="A104" s="1"/>
      <c r="B104" s="1"/>
      <c r="C104" s="32"/>
      <c r="D104" s="67"/>
      <c r="E104" s="67"/>
      <c r="F104" s="67"/>
      <c r="G104" s="67"/>
      <c r="H104" s="67"/>
      <c r="I104" s="67"/>
      <c r="J104" s="67"/>
      <c r="K104" s="67"/>
      <c r="L104" s="67"/>
      <c r="M104" s="67"/>
      <c r="N104" s="67"/>
      <c r="O104" s="67"/>
      <c r="P104" s="67"/>
      <c r="Q104" s="67"/>
      <c r="R104" s="67"/>
      <c r="S104" s="67"/>
      <c r="T104" s="67"/>
      <c r="U104" s="67"/>
      <c r="V104" s="67"/>
      <c r="W104" s="67"/>
      <c r="X104" s="67"/>
      <c r="Y104" s="67"/>
      <c r="Z104" s="67"/>
      <c r="AA104" s="67"/>
      <c r="AB104" s="67"/>
      <c r="AC104" s="67"/>
      <c r="AD104" s="67"/>
      <c r="AE104" s="67"/>
      <c r="AF104" s="67"/>
      <c r="AG104" s="67"/>
      <c r="AH104" s="67"/>
      <c r="AI104" s="67"/>
      <c r="AJ104" s="67"/>
      <c r="AK104" s="67"/>
      <c r="AL104" s="67"/>
      <c r="AM104" s="67"/>
      <c r="AN104" s="67"/>
    </row>
    <row r="105" spans="1:40" s="179" customFormat="1" ht="24.75">
      <c r="A105" s="138"/>
      <c r="B105" s="138"/>
      <c r="C105" s="177" t="s">
        <v>291</v>
      </c>
      <c r="D105" s="67">
        <f>D26</f>
        <v>0</v>
      </c>
      <c r="E105" s="178"/>
      <c r="F105" s="178"/>
      <c r="G105" s="178"/>
      <c r="H105" s="178"/>
      <c r="I105" s="178"/>
      <c r="J105" s="178"/>
      <c r="K105" s="178"/>
      <c r="L105" s="178"/>
      <c r="M105" s="178"/>
      <c r="N105" s="178"/>
      <c r="O105" s="178"/>
      <c r="P105" s="178"/>
      <c r="Q105" s="178"/>
      <c r="R105" s="178"/>
      <c r="S105" s="178"/>
      <c r="T105" s="178"/>
      <c r="U105" s="178"/>
      <c r="V105" s="178"/>
      <c r="W105" s="178"/>
      <c r="X105" s="178"/>
      <c r="Y105" s="178"/>
      <c r="Z105" s="178"/>
      <c r="AA105" s="178"/>
      <c r="AB105" s="178"/>
      <c r="AC105" s="178"/>
      <c r="AD105" s="178"/>
      <c r="AE105" s="178"/>
      <c r="AF105" s="178"/>
      <c r="AG105" s="178"/>
      <c r="AH105" s="178"/>
      <c r="AI105" s="178"/>
      <c r="AJ105" s="178"/>
      <c r="AK105" s="178"/>
      <c r="AL105" s="178"/>
      <c r="AM105" s="178"/>
      <c r="AN105" s="178"/>
    </row>
    <row r="106" spans="1:40" s="16" customFormat="1">
      <c r="A106" s="1"/>
      <c r="B106" s="1"/>
      <c r="C106" s="32"/>
      <c r="D106" s="67"/>
      <c r="E106" s="67"/>
      <c r="F106" s="67"/>
      <c r="G106" s="67"/>
      <c r="H106" s="67"/>
      <c r="I106" s="67"/>
      <c r="J106" s="67"/>
      <c r="K106" s="67"/>
      <c r="L106" s="67"/>
      <c r="M106" s="67"/>
      <c r="N106" s="67"/>
      <c r="O106" s="67"/>
      <c r="P106" s="67"/>
      <c r="Q106" s="67"/>
      <c r="R106" s="67"/>
      <c r="S106" s="67"/>
      <c r="T106" s="67"/>
      <c r="U106" s="67"/>
      <c r="V106" s="67"/>
      <c r="W106" s="67"/>
      <c r="X106" s="67"/>
      <c r="Y106" s="67"/>
      <c r="Z106" s="67"/>
      <c r="AA106" s="67"/>
      <c r="AB106" s="67"/>
      <c r="AC106" s="67"/>
      <c r="AD106" s="67"/>
      <c r="AE106" s="67"/>
      <c r="AF106" s="67"/>
      <c r="AG106" s="67"/>
      <c r="AH106" s="67"/>
      <c r="AI106" s="67"/>
      <c r="AJ106" s="67"/>
      <c r="AK106" s="67"/>
      <c r="AL106" s="67"/>
      <c r="AM106" s="67"/>
      <c r="AN106" s="67"/>
    </row>
    <row r="107" spans="1:40" s="16" customFormat="1">
      <c r="A107" s="1"/>
      <c r="B107" s="1"/>
      <c r="C107" s="35" t="s">
        <v>22</v>
      </c>
      <c r="D107" s="67">
        <f>D105+D100+D96</f>
        <v>-137500</v>
      </c>
      <c r="E107" s="67">
        <f>E97+E100+E101</f>
        <v>-12999.217575854131</v>
      </c>
      <c r="F107" s="67">
        <f t="shared" ref="F107:AN107" si="18">F97+F100+F101</f>
        <v>-15699.217575854138</v>
      </c>
      <c r="G107" s="67">
        <f t="shared" si="18"/>
        <v>-15699.217575854133</v>
      </c>
      <c r="H107" s="67">
        <f t="shared" si="18"/>
        <v>-12999.217575854131</v>
      </c>
      <c r="I107" s="67">
        <f t="shared" si="18"/>
        <v>-12999.217575854138</v>
      </c>
      <c r="J107" s="67">
        <f t="shared" si="18"/>
        <v>-15699.217575854134</v>
      </c>
      <c r="K107" s="67">
        <f t="shared" si="18"/>
        <v>-12999.217575854136</v>
      </c>
      <c r="L107" s="67">
        <f t="shared" si="18"/>
        <v>-15699.217575854136</v>
      </c>
      <c r="M107" s="67">
        <f t="shared" si="18"/>
        <v>-12999.217575854133</v>
      </c>
      <c r="N107" s="67">
        <f t="shared" si="18"/>
        <v>-12999.217575854136</v>
      </c>
      <c r="O107" s="67">
        <f t="shared" si="18"/>
        <v>-27837.177575854133</v>
      </c>
      <c r="P107" s="67">
        <f t="shared" si="18"/>
        <v>-27837.177575854133</v>
      </c>
      <c r="Q107" s="67">
        <f t="shared" si="18"/>
        <v>-27837.177575854133</v>
      </c>
      <c r="R107" s="67">
        <f t="shared" si="18"/>
        <v>-30204.537575854134</v>
      </c>
      <c r="S107" s="67">
        <f t="shared" si="18"/>
        <v>-30204.537575854134</v>
      </c>
      <c r="T107" s="67">
        <f t="shared" si="18"/>
        <v>-27837.177575854133</v>
      </c>
      <c r="U107" s="67">
        <f t="shared" si="18"/>
        <v>-27837.177575854133</v>
      </c>
      <c r="V107" s="67">
        <f t="shared" si="18"/>
        <v>-30204.537575854134</v>
      </c>
      <c r="W107" s="67">
        <f t="shared" si="18"/>
        <v>-27837.177575854137</v>
      </c>
      <c r="X107" s="67">
        <f t="shared" si="18"/>
        <v>-30204.537575854134</v>
      </c>
      <c r="Y107" s="67">
        <f t="shared" si="18"/>
        <v>-27837.177575854133</v>
      </c>
      <c r="Z107" s="67">
        <f t="shared" si="18"/>
        <v>-27837.17757585413</v>
      </c>
      <c r="AA107" s="67">
        <f t="shared" si="18"/>
        <v>-33611.825575854135</v>
      </c>
      <c r="AB107" s="67">
        <f t="shared" si="18"/>
        <v>-33611.825575854135</v>
      </c>
      <c r="AC107" s="67">
        <f t="shared" si="18"/>
        <v>-33611.825575854135</v>
      </c>
      <c r="AD107" s="67">
        <f t="shared" si="18"/>
        <v>-37075.601575854125</v>
      </c>
      <c r="AE107" s="67">
        <f t="shared" si="18"/>
        <v>-37075.601575854125</v>
      </c>
      <c r="AF107" s="67">
        <f t="shared" si="18"/>
        <v>-33611.825575854135</v>
      </c>
      <c r="AG107" s="67">
        <f t="shared" si="18"/>
        <v>-33611.825575854135</v>
      </c>
      <c r="AH107" s="67">
        <f t="shared" si="18"/>
        <v>-37075.601575854125</v>
      </c>
      <c r="AI107" s="67">
        <f t="shared" si="18"/>
        <v>-33611.825575854135</v>
      </c>
      <c r="AJ107" s="67">
        <f t="shared" si="18"/>
        <v>-37075.601575854125</v>
      </c>
      <c r="AK107" s="67">
        <f t="shared" si="18"/>
        <v>-33611.825575854135</v>
      </c>
      <c r="AL107" s="67">
        <f t="shared" si="18"/>
        <v>-33611.825575854135</v>
      </c>
      <c r="AM107" s="67">
        <f t="shared" si="18"/>
        <v>-34131.556375854132</v>
      </c>
      <c r="AN107" s="67">
        <f t="shared" si="18"/>
        <v>-34131.556375854132</v>
      </c>
    </row>
    <row r="108" spans="1:40" s="16" customFormat="1">
      <c r="A108" s="26"/>
      <c r="B108" s="1"/>
      <c r="C108" s="35" t="s">
        <v>57</v>
      </c>
      <c r="D108" s="67">
        <f>D107</f>
        <v>-137500</v>
      </c>
      <c r="E108" s="67">
        <f>D108+E107</f>
        <v>-150499.21757585413</v>
      </c>
      <c r="F108" s="67">
        <f t="shared" ref="F108:AN108" si="19">E108+F107</f>
        <v>-166198.43515170825</v>
      </c>
      <c r="G108" s="67">
        <f t="shared" si="19"/>
        <v>-181897.65272756238</v>
      </c>
      <c r="H108" s="67">
        <f t="shared" si="19"/>
        <v>-194896.87030341651</v>
      </c>
      <c r="I108" s="67">
        <f t="shared" si="19"/>
        <v>-207896.08787927064</v>
      </c>
      <c r="J108" s="67">
        <f t="shared" si="19"/>
        <v>-223595.30545512476</v>
      </c>
      <c r="K108" s="67">
        <f t="shared" si="19"/>
        <v>-236594.52303097889</v>
      </c>
      <c r="L108" s="67">
        <f t="shared" si="19"/>
        <v>-252293.74060683302</v>
      </c>
      <c r="M108" s="67">
        <f t="shared" si="19"/>
        <v>-265292.95818268717</v>
      </c>
      <c r="N108" s="67">
        <f t="shared" si="19"/>
        <v>-278292.17575854133</v>
      </c>
      <c r="O108" s="67">
        <f t="shared" si="19"/>
        <v>-306129.35333439545</v>
      </c>
      <c r="P108" s="67">
        <f t="shared" si="19"/>
        <v>-333966.53091024957</v>
      </c>
      <c r="Q108" s="67">
        <f t="shared" si="19"/>
        <v>-361803.70848610369</v>
      </c>
      <c r="R108" s="67">
        <f t="shared" si="19"/>
        <v>-392008.24606195779</v>
      </c>
      <c r="S108" s="67">
        <f t="shared" si="19"/>
        <v>-422212.7836378119</v>
      </c>
      <c r="T108" s="67">
        <f t="shared" si="19"/>
        <v>-450049.96121366601</v>
      </c>
      <c r="U108" s="67">
        <f t="shared" si="19"/>
        <v>-477887.13878952013</v>
      </c>
      <c r="V108" s="67">
        <f t="shared" si="19"/>
        <v>-508091.67636537424</v>
      </c>
      <c r="W108" s="67">
        <f t="shared" si="19"/>
        <v>-535928.85394122836</v>
      </c>
      <c r="X108" s="67">
        <f t="shared" si="19"/>
        <v>-566133.39151708246</v>
      </c>
      <c r="Y108" s="67">
        <f t="shared" si="19"/>
        <v>-593970.56909293658</v>
      </c>
      <c r="Z108" s="67">
        <f t="shared" si="19"/>
        <v>-621807.7466687907</v>
      </c>
      <c r="AA108" s="67">
        <f t="shared" si="19"/>
        <v>-655419.57224464486</v>
      </c>
      <c r="AB108" s="67">
        <f t="shared" si="19"/>
        <v>-689031.39782049903</v>
      </c>
      <c r="AC108" s="67">
        <f t="shared" si="19"/>
        <v>-722643.22339635319</v>
      </c>
      <c r="AD108" s="67">
        <f t="shared" si="19"/>
        <v>-759718.82497220731</v>
      </c>
      <c r="AE108" s="67">
        <f t="shared" si="19"/>
        <v>-796794.42654806143</v>
      </c>
      <c r="AF108" s="67">
        <f t="shared" si="19"/>
        <v>-830406.25212391559</v>
      </c>
      <c r="AG108" s="67">
        <f t="shared" si="19"/>
        <v>-864018.07769976975</v>
      </c>
      <c r="AH108" s="67">
        <f t="shared" si="19"/>
        <v>-901093.67927562387</v>
      </c>
      <c r="AI108" s="67">
        <f t="shared" si="19"/>
        <v>-934705.50485147804</v>
      </c>
      <c r="AJ108" s="67">
        <f t="shared" si="19"/>
        <v>-971781.10642733215</v>
      </c>
      <c r="AK108" s="67">
        <f t="shared" si="19"/>
        <v>-1005392.9320031863</v>
      </c>
      <c r="AL108" s="67">
        <f t="shared" si="19"/>
        <v>-1039004.7575790405</v>
      </c>
      <c r="AM108" s="67">
        <f t="shared" si="19"/>
        <v>-1073136.3139548947</v>
      </c>
      <c r="AN108" s="67">
        <f t="shared" si="19"/>
        <v>-1107267.8703307488</v>
      </c>
    </row>
    <row r="109" spans="1:40" s="16" customFormat="1">
      <c r="A109" s="1"/>
      <c r="B109" s="1"/>
      <c r="C109" s="32"/>
      <c r="D109" s="67"/>
      <c r="E109" s="67"/>
      <c r="F109" s="67"/>
      <c r="G109" s="67"/>
      <c r="H109" s="67"/>
      <c r="I109" s="67"/>
      <c r="J109" s="67"/>
      <c r="K109" s="67"/>
      <c r="L109" s="67"/>
      <c r="M109" s="67"/>
      <c r="N109" s="67"/>
      <c r="O109" s="67"/>
      <c r="P109" s="67"/>
      <c r="Q109" s="67"/>
      <c r="R109" s="67"/>
      <c r="S109" s="67"/>
      <c r="T109" s="67"/>
      <c r="U109" s="67"/>
      <c r="V109" s="67"/>
      <c r="W109" s="67"/>
      <c r="X109" s="67"/>
      <c r="Y109" s="67"/>
      <c r="Z109" s="67"/>
      <c r="AA109" s="67"/>
      <c r="AB109" s="67"/>
      <c r="AC109" s="67"/>
      <c r="AD109" s="67"/>
      <c r="AE109" s="67"/>
      <c r="AF109" s="67"/>
      <c r="AG109" s="67"/>
      <c r="AH109" s="67"/>
      <c r="AI109" s="67"/>
      <c r="AJ109" s="67"/>
      <c r="AK109" s="67"/>
      <c r="AL109" s="67"/>
      <c r="AM109" s="67"/>
      <c r="AN109" s="67"/>
    </row>
    <row r="110" spans="1:40" s="16" customFormat="1">
      <c r="A110" s="1"/>
      <c r="B110" s="1"/>
      <c r="C110" s="32"/>
    </row>
    <row r="111" spans="1:40" s="16" customFormat="1">
      <c r="A111" s="1"/>
      <c r="B111" s="1"/>
      <c r="C111" s="32"/>
    </row>
    <row r="112" spans="1:40" s="16" customFormat="1">
      <c r="A112" s="1"/>
      <c r="B112" s="1"/>
      <c r="C112" s="32"/>
    </row>
    <row r="113" spans="1:4" s="16" customFormat="1">
      <c r="A113" s="1"/>
      <c r="B113" s="1"/>
      <c r="C113" s="32"/>
    </row>
    <row r="114" spans="1:4" s="16" customFormat="1">
      <c r="A114" s="1"/>
      <c r="B114" s="1"/>
      <c r="C114" s="32"/>
    </row>
    <row r="115" spans="1:4" s="16" customFormat="1">
      <c r="A115" s="1"/>
      <c r="B115" s="1"/>
      <c r="C115" s="32"/>
      <c r="D115" s="15"/>
    </row>
    <row r="116" spans="1:4" s="16" customFormat="1">
      <c r="A116" s="1"/>
      <c r="B116" s="1"/>
      <c r="C116" s="32"/>
      <c r="D116" s="15"/>
    </row>
    <row r="117" spans="1:4" s="16" customFormat="1">
      <c r="A117" s="1"/>
      <c r="B117" s="1"/>
      <c r="C117" s="32"/>
      <c r="D117" s="15"/>
    </row>
    <row r="118" spans="1:4" s="16" customFormat="1">
      <c r="A118" s="1"/>
      <c r="B118" s="1"/>
      <c r="C118" s="32"/>
      <c r="D118" s="15"/>
    </row>
    <row r="119" spans="1:4" s="16" customFormat="1">
      <c r="A119" s="1"/>
      <c r="B119" s="1"/>
      <c r="C119" s="32"/>
      <c r="D119" s="15"/>
    </row>
    <row r="120" spans="1:4" s="16" customFormat="1">
      <c r="A120" s="1"/>
      <c r="B120" s="1"/>
      <c r="C120" s="32"/>
      <c r="D120" s="15"/>
    </row>
    <row r="121" spans="1:4" s="16" customFormat="1">
      <c r="A121" s="1"/>
      <c r="B121" s="1"/>
      <c r="C121" s="32"/>
      <c r="D121" s="15"/>
    </row>
    <row r="122" spans="1:4" s="16" customFormat="1">
      <c r="A122" s="1"/>
      <c r="B122" s="1"/>
      <c r="C122" s="32"/>
      <c r="D122" s="15"/>
    </row>
    <row r="123" spans="1:4" s="16" customFormat="1">
      <c r="A123" s="1"/>
      <c r="B123" s="1"/>
      <c r="C123" s="32"/>
      <c r="D123" s="15"/>
    </row>
    <row r="124" spans="1:4" s="16" customFormat="1">
      <c r="A124" s="1"/>
      <c r="B124" s="1"/>
      <c r="C124" s="32"/>
      <c r="D124" s="15"/>
    </row>
    <row r="125" spans="1:4" s="16" customFormat="1">
      <c r="A125" s="1"/>
      <c r="B125" s="1"/>
      <c r="C125" s="32"/>
      <c r="D125" s="15"/>
    </row>
    <row r="126" spans="1:4" s="16" customFormat="1">
      <c r="A126" s="1"/>
      <c r="B126" s="1"/>
      <c r="C126" s="32"/>
      <c r="D126" s="15"/>
    </row>
    <row r="127" spans="1:4" s="16" customFormat="1">
      <c r="A127" s="1"/>
      <c r="B127" s="1"/>
      <c r="C127" s="32"/>
      <c r="D127" s="15"/>
    </row>
    <row r="128" spans="1:4" s="16" customFormat="1">
      <c r="A128" s="1"/>
      <c r="B128" s="1"/>
      <c r="C128" s="32"/>
      <c r="D128" s="15"/>
    </row>
    <row r="129" spans="1:4" s="16" customFormat="1">
      <c r="A129" s="1"/>
      <c r="B129" s="1"/>
      <c r="C129" s="32"/>
      <c r="D129" s="15"/>
    </row>
    <row r="130" spans="1:4" s="16" customFormat="1">
      <c r="A130" s="1"/>
      <c r="B130" s="1"/>
      <c r="C130" s="32"/>
      <c r="D130" s="15"/>
    </row>
    <row r="131" spans="1:4" s="16" customFormat="1">
      <c r="A131" s="1"/>
      <c r="B131" s="1"/>
      <c r="C131" s="32"/>
      <c r="D131" s="15"/>
    </row>
  </sheetData>
  <sheetProtection algorithmName="SHA-512" hashValue="LngiKo6oqIeYUkO1KWM/13+T7esFHETqBuRY84d3EZ/4tD7zlYYjWANmtvlusKsgxRjhFUCLw4J21V2uMKqKGQ==" saltValue="/rXh+Do2XAVwPyKHxOn+BQ==" spinCount="100000" sheet="1" objects="1" scenarios="1"/>
  <mergeCells count="2">
    <mergeCell ref="A3:C3"/>
    <mergeCell ref="B26:C26"/>
  </mergeCells>
  <conditionalFormatting sqref="D10:Y10 D11:D12">
    <cfRule type="notContainsBlanks" dxfId="3" priority="3">
      <formula>LEN(TRIM(D10))&gt;0</formula>
    </cfRule>
  </conditionalFormatting>
  <conditionalFormatting sqref="D7:AN7">
    <cfRule type="expression" dxfId="2" priority="1" stopIfTrue="1">
      <formula>ISEVEN(YEAR(D7))</formula>
    </cfRule>
    <cfRule type="expression" dxfId="1" priority="2">
      <formula>ISODD(YEAR(D7))</formula>
    </cfRule>
  </conditionalFormatting>
  <conditionalFormatting sqref="AU13:AU108">
    <cfRule type="duplicateValues" dxfId="0" priority="4"/>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ACBFA-E81A-4C8B-A725-404B50868E0F}">
  <sheetPr>
    <tabColor theme="1"/>
  </sheetPr>
  <dimension ref="B1:AT371"/>
  <sheetViews>
    <sheetView showGridLines="0" zoomScaleNormal="100" workbookViewId="0">
      <selection activeCell="G3" sqref="G3"/>
    </sheetView>
  </sheetViews>
  <sheetFormatPr defaultColWidth="8.86328125" defaultRowHeight="12.4"/>
  <cols>
    <col min="1" max="1" width="2.6640625" style="1" customWidth="1"/>
    <col min="2" max="3" width="8.86328125" style="1"/>
    <col min="4" max="4" width="17.6640625" style="1" customWidth="1"/>
    <col min="5" max="5" width="16.46484375" style="1" bestFit="1" customWidth="1"/>
    <col min="6" max="7" width="16.33203125" style="1" customWidth="1"/>
    <col min="8" max="8" width="13.33203125" style="1" customWidth="1"/>
    <col min="9" max="9" width="12.6640625" style="1" customWidth="1"/>
    <col min="10" max="10" width="12.86328125" style="1" customWidth="1"/>
    <col min="11" max="11" width="4.33203125" style="1" customWidth="1"/>
    <col min="12" max="12" width="8.86328125" style="1"/>
    <col min="13" max="13" width="14.33203125" style="1" customWidth="1"/>
    <col min="14" max="14" width="11.6640625" style="1" customWidth="1"/>
    <col min="15" max="16" width="14.33203125" style="1" customWidth="1"/>
    <col min="17" max="17" width="13.1328125" style="1" bestFit="1" customWidth="1"/>
    <col min="18" max="18" width="12.6640625" style="1" customWidth="1"/>
    <col min="19" max="19" width="12.86328125" style="1" customWidth="1"/>
    <col min="20" max="20" width="5.53125" style="1" customWidth="1"/>
    <col min="21" max="21" width="8.86328125" style="1"/>
    <col min="22" max="22" width="14.6640625" style="1" customWidth="1"/>
    <col min="23" max="23" width="10.6640625" style="1" bestFit="1" customWidth="1"/>
    <col min="24" max="25" width="11.6640625" style="1" customWidth="1"/>
    <col min="26" max="27" width="12.6640625" style="1" customWidth="1"/>
    <col min="28" max="28" width="12.86328125" style="1" customWidth="1"/>
    <col min="29" max="29" width="8.86328125" style="1"/>
    <col min="30" max="30" width="8.86328125" style="1" customWidth="1"/>
    <col min="31" max="31" width="14.6640625" style="1" customWidth="1"/>
    <col min="32" max="32" width="10.6640625" style="1" customWidth="1"/>
    <col min="33" max="34" width="11.6640625" style="1" customWidth="1"/>
    <col min="35" max="36" width="12.6640625" style="1" customWidth="1"/>
    <col min="37" max="37" width="12.86328125" style="1" customWidth="1"/>
    <col min="38" max="38" width="8.86328125" style="1" customWidth="1"/>
    <col min="39" max="39" width="8.86328125" style="1"/>
    <col min="40" max="40" width="14.6640625" style="1" customWidth="1"/>
    <col min="41" max="41" width="10.6640625" style="1" bestFit="1" customWidth="1"/>
    <col min="42" max="43" width="11.6640625" style="1" customWidth="1"/>
    <col min="44" max="45" width="12.6640625" style="1" customWidth="1"/>
    <col min="46" max="46" width="12.86328125" style="1" customWidth="1"/>
    <col min="47" max="16384" width="8.86328125" style="1"/>
  </cols>
  <sheetData>
    <row r="1" spans="2:46" s="190" customFormat="1" ht="18.75" customHeight="1">
      <c r="B1" s="221" t="s">
        <v>319</v>
      </c>
    </row>
    <row r="2" spans="2:46" s="190" customFormat="1" ht="18.75" customHeight="1"/>
    <row r="3" spans="2:46">
      <c r="C3" s="3"/>
    </row>
    <row r="4" spans="2:46">
      <c r="B4" s="2" t="s">
        <v>257</v>
      </c>
      <c r="C4" s="3"/>
    </row>
    <row r="5" spans="2:46">
      <c r="B5" s="1" t="s">
        <v>258</v>
      </c>
      <c r="C5" s="3"/>
    </row>
    <row r="6" spans="2:46">
      <c r="C6" s="278" t="s">
        <v>51</v>
      </c>
      <c r="D6" s="279"/>
      <c r="E6" s="279"/>
      <c r="F6" s="279"/>
      <c r="G6" s="279"/>
      <c r="H6" s="279"/>
      <c r="I6" s="279"/>
      <c r="J6" s="280"/>
      <c r="L6" s="278" t="s">
        <v>266</v>
      </c>
      <c r="M6" s="279"/>
      <c r="N6" s="279"/>
      <c r="O6" s="279"/>
      <c r="P6" s="279"/>
      <c r="Q6" s="279"/>
      <c r="R6" s="279"/>
      <c r="S6" s="280"/>
      <c r="U6" s="278" t="s">
        <v>267</v>
      </c>
      <c r="V6" s="279"/>
      <c r="W6" s="279"/>
      <c r="X6" s="279"/>
      <c r="Y6" s="279"/>
      <c r="Z6" s="279"/>
      <c r="AA6" s="279"/>
      <c r="AB6" s="280"/>
      <c r="AD6" s="278" t="s">
        <v>268</v>
      </c>
      <c r="AE6" s="279"/>
      <c r="AF6" s="279"/>
      <c r="AG6" s="279"/>
      <c r="AH6" s="279"/>
      <c r="AI6" s="279"/>
      <c r="AJ6" s="279"/>
      <c r="AK6" s="280"/>
      <c r="AM6" s="278" t="s">
        <v>269</v>
      </c>
      <c r="AN6" s="279"/>
      <c r="AO6" s="279"/>
      <c r="AP6" s="279"/>
      <c r="AQ6" s="279"/>
      <c r="AR6" s="279"/>
      <c r="AS6" s="279"/>
      <c r="AT6" s="280"/>
    </row>
    <row r="7" spans="2:46">
      <c r="C7" s="8" t="s">
        <v>14</v>
      </c>
      <c r="D7" s="10"/>
      <c r="E7" s="12">
        <f>Inputs!D163*(1-Inputs!D164)</f>
        <v>225000</v>
      </c>
      <c r="F7" s="9" t="s">
        <v>16</v>
      </c>
      <c r="G7" s="9"/>
      <c r="H7" s="10"/>
      <c r="I7" s="10">
        <f>Inputs!D167*12</f>
        <v>300</v>
      </c>
      <c r="J7" s="11"/>
      <c r="L7" s="8" t="s">
        <v>14</v>
      </c>
      <c r="M7" s="10"/>
      <c r="N7" s="186">
        <f>Inputs!$D$170</f>
        <v>0</v>
      </c>
      <c r="O7" s="9" t="s">
        <v>16</v>
      </c>
      <c r="P7" s="9"/>
      <c r="Q7" s="10"/>
      <c r="R7" s="10">
        <f>Inputs!$D$173*12</f>
        <v>0</v>
      </c>
      <c r="S7" s="11"/>
      <c r="U7" s="8" t="s">
        <v>14</v>
      </c>
      <c r="V7" s="10"/>
      <c r="W7" s="186">
        <f>Inputs!$D$176</f>
        <v>0</v>
      </c>
      <c r="X7" s="9" t="s">
        <v>16</v>
      </c>
      <c r="Y7" s="9"/>
      <c r="Z7" s="10"/>
      <c r="AA7" s="10">
        <f>Inputs!$D$179*12</f>
        <v>0</v>
      </c>
      <c r="AB7" s="11"/>
      <c r="AD7" s="8" t="s">
        <v>14</v>
      </c>
      <c r="AE7" s="10"/>
      <c r="AF7" s="185">
        <f>Inputs!$D$182</f>
        <v>0</v>
      </c>
      <c r="AG7" s="9" t="s">
        <v>16</v>
      </c>
      <c r="AH7" s="9"/>
      <c r="AI7" s="10"/>
      <c r="AJ7" s="10">
        <f>Inputs!$D$185*12</f>
        <v>0</v>
      </c>
      <c r="AK7" s="11"/>
      <c r="AM7" s="8" t="s">
        <v>14</v>
      </c>
      <c r="AN7" s="10"/>
      <c r="AO7" s="186">
        <f>Inputs!$D$188</f>
        <v>0</v>
      </c>
      <c r="AP7" s="9" t="s">
        <v>16</v>
      </c>
      <c r="AQ7" s="9"/>
      <c r="AR7" s="10"/>
      <c r="AS7" s="10">
        <f>Inputs!$D$191*12</f>
        <v>0</v>
      </c>
      <c r="AT7" s="11"/>
    </row>
    <row r="8" spans="2:46">
      <c r="C8" s="8" t="s">
        <v>15</v>
      </c>
      <c r="D8" s="10"/>
      <c r="E8" s="27">
        <f>Inputs!D166</f>
        <v>0.08</v>
      </c>
      <c r="F8" s="9" t="s">
        <v>17</v>
      </c>
      <c r="G8" s="9"/>
      <c r="H8" s="10"/>
      <c r="I8" s="10">
        <f>IF(Inputs!D18&lt;&gt;Inputs!D15,IF(AND(Inputs!D13="Existing Business",Inputs!D14="Purchase"),-DATEDIF(Inputs!D18,DATE(Inputs!D15,1,1),"M"),0),0)</f>
        <v>0</v>
      </c>
      <c r="J8" s="11"/>
      <c r="L8" s="8" t="s">
        <v>15</v>
      </c>
      <c r="M8" s="10"/>
      <c r="N8" s="27">
        <f>Inputs!$D$172</f>
        <v>0</v>
      </c>
      <c r="O8" s="9" t="s">
        <v>17</v>
      </c>
      <c r="P8" s="9"/>
      <c r="Q8" s="10"/>
      <c r="R8" s="53">
        <f>Inputs!$D$171</f>
        <v>0</v>
      </c>
      <c r="S8" s="11"/>
      <c r="U8" s="8" t="s">
        <v>15</v>
      </c>
      <c r="V8" s="10"/>
      <c r="W8" s="27">
        <f>Inputs!$D$178</f>
        <v>0</v>
      </c>
      <c r="X8" s="9" t="s">
        <v>17</v>
      </c>
      <c r="Y8" s="9"/>
      <c r="Z8" s="10"/>
      <c r="AA8" s="53">
        <f>Inputs!$D$177</f>
        <v>0</v>
      </c>
      <c r="AB8" s="11"/>
      <c r="AD8" s="8" t="s">
        <v>15</v>
      </c>
      <c r="AE8" s="10"/>
      <c r="AF8" s="27">
        <f>Inputs!$D$184</f>
        <v>0</v>
      </c>
      <c r="AG8" s="9" t="s">
        <v>17</v>
      </c>
      <c r="AH8" s="9"/>
      <c r="AI8" s="10"/>
      <c r="AJ8" s="53">
        <f>Inputs!$D$183</f>
        <v>0</v>
      </c>
      <c r="AK8" s="11"/>
      <c r="AM8" s="8" t="s">
        <v>15</v>
      </c>
      <c r="AN8" s="10"/>
      <c r="AO8" s="27">
        <f>Inputs!$D$190</f>
        <v>0</v>
      </c>
      <c r="AP8" s="9" t="s">
        <v>17</v>
      </c>
      <c r="AQ8" s="9"/>
      <c r="AR8" s="10"/>
      <c r="AS8" s="53">
        <f>Inputs!$D$189</f>
        <v>0</v>
      </c>
      <c r="AT8" s="11"/>
    </row>
    <row r="9" spans="2:46">
      <c r="C9" s="7"/>
      <c r="D9" s="10"/>
      <c r="E9" s="10"/>
      <c r="F9" s="10"/>
      <c r="G9" s="10"/>
      <c r="H9" s="10"/>
      <c r="I9" s="10"/>
      <c r="J9" s="11"/>
      <c r="L9" s="7"/>
      <c r="M9" s="10"/>
      <c r="N9" s="10"/>
      <c r="O9" s="10"/>
      <c r="P9" s="10"/>
      <c r="Q9" s="10"/>
      <c r="R9" s="10"/>
      <c r="S9" s="11"/>
      <c r="U9" s="7"/>
      <c r="V9" s="10"/>
      <c r="W9" s="10"/>
      <c r="X9" s="10"/>
      <c r="Y9" s="10"/>
      <c r="Z9" s="10"/>
      <c r="AA9" s="10"/>
      <c r="AB9" s="11"/>
      <c r="AD9" s="7"/>
      <c r="AE9" s="10"/>
      <c r="AF9" s="10"/>
      <c r="AG9" s="10"/>
      <c r="AH9" s="10"/>
      <c r="AI9" s="10"/>
      <c r="AJ9" s="10"/>
      <c r="AK9" s="11"/>
      <c r="AM9" s="7"/>
      <c r="AN9" s="10"/>
      <c r="AO9" s="10"/>
      <c r="AP9" s="10"/>
      <c r="AQ9" s="10"/>
      <c r="AR9" s="10"/>
      <c r="AS9" s="10"/>
      <c r="AT9" s="11"/>
    </row>
    <row r="10" spans="2:46">
      <c r="C10" s="4" t="s">
        <v>2</v>
      </c>
      <c r="D10" s="4" t="s">
        <v>3</v>
      </c>
      <c r="E10" s="4" t="s">
        <v>4</v>
      </c>
      <c r="F10" s="4" t="s">
        <v>5</v>
      </c>
      <c r="G10" s="4" t="s">
        <v>26</v>
      </c>
      <c r="H10" s="4" t="s">
        <v>6</v>
      </c>
      <c r="I10" s="4" t="s">
        <v>7</v>
      </c>
      <c r="J10" s="4" t="s">
        <v>8</v>
      </c>
      <c r="L10" s="4" t="s">
        <v>2</v>
      </c>
      <c r="M10" s="4" t="s">
        <v>3</v>
      </c>
      <c r="N10" s="4" t="s">
        <v>4</v>
      </c>
      <c r="O10" s="4" t="s">
        <v>5</v>
      </c>
      <c r="P10" s="4" t="s">
        <v>26</v>
      </c>
      <c r="Q10" s="4" t="s">
        <v>6</v>
      </c>
      <c r="R10" s="4" t="s">
        <v>7</v>
      </c>
      <c r="S10" s="4" t="s">
        <v>8</v>
      </c>
      <c r="U10" s="4" t="s">
        <v>2</v>
      </c>
      <c r="V10" s="4" t="s">
        <v>3</v>
      </c>
      <c r="W10" s="4" t="s">
        <v>4</v>
      </c>
      <c r="X10" s="4" t="s">
        <v>5</v>
      </c>
      <c r="Y10" s="4" t="s">
        <v>26</v>
      </c>
      <c r="Z10" s="4" t="s">
        <v>6</v>
      </c>
      <c r="AA10" s="4" t="s">
        <v>7</v>
      </c>
      <c r="AB10" s="4" t="s">
        <v>8</v>
      </c>
      <c r="AD10" s="4" t="s">
        <v>2</v>
      </c>
      <c r="AE10" s="4" t="s">
        <v>3</v>
      </c>
      <c r="AF10" s="4" t="s">
        <v>4</v>
      </c>
      <c r="AG10" s="4" t="s">
        <v>5</v>
      </c>
      <c r="AH10" s="4" t="s">
        <v>26</v>
      </c>
      <c r="AI10" s="4" t="s">
        <v>6</v>
      </c>
      <c r="AJ10" s="4" t="s">
        <v>7</v>
      </c>
      <c r="AK10" s="4" t="s">
        <v>8</v>
      </c>
      <c r="AM10" s="4" t="s">
        <v>2</v>
      </c>
      <c r="AN10" s="4" t="s">
        <v>3</v>
      </c>
      <c r="AO10" s="4" t="s">
        <v>4</v>
      </c>
      <c r="AP10" s="4" t="s">
        <v>5</v>
      </c>
      <c r="AQ10" s="4" t="s">
        <v>26</v>
      </c>
      <c r="AR10" s="4" t="s">
        <v>6</v>
      </c>
      <c r="AS10" s="4" t="s">
        <v>7</v>
      </c>
      <c r="AT10" s="4" t="s">
        <v>8</v>
      </c>
    </row>
    <row r="11" spans="2:46">
      <c r="C11" s="22">
        <f>I8</f>
        <v>0</v>
      </c>
      <c r="D11" s="23"/>
      <c r="E11" s="5"/>
      <c r="F11" s="23"/>
      <c r="G11" s="5">
        <f>IF(MortgageAmortBASE[[#This Row],[Month]]=I$8,E$7,0)</f>
        <v>225000</v>
      </c>
      <c r="H11" s="13">
        <f>E7</f>
        <v>225000</v>
      </c>
      <c r="I11" s="24"/>
      <c r="J11" s="25"/>
      <c r="L11" s="76">
        <f>R8</f>
        <v>0</v>
      </c>
      <c r="M11" s="5"/>
      <c r="N11" s="5"/>
      <c r="O11" s="5"/>
      <c r="P11" s="5">
        <f>IF(CreditAmort1BASE[[#This Row],[Month]]=R$8,N$7,0)</f>
        <v>0</v>
      </c>
      <c r="Q11" s="28">
        <f>N7</f>
        <v>0</v>
      </c>
      <c r="R11" s="6"/>
      <c r="S11" s="21"/>
      <c r="U11" s="20">
        <f>AA8</f>
        <v>0</v>
      </c>
      <c r="V11" s="5"/>
      <c r="W11" s="5"/>
      <c r="X11" s="5"/>
      <c r="Y11" s="5">
        <f>IF(CreditAmort2BASE[[#This Row],[Month]]=AA$8,W$7,0)</f>
        <v>0</v>
      </c>
      <c r="Z11" s="28">
        <f>W7</f>
        <v>0</v>
      </c>
      <c r="AA11" s="6"/>
      <c r="AB11" s="21"/>
      <c r="AD11" s="20">
        <f>AJ8</f>
        <v>0</v>
      </c>
      <c r="AE11" s="5"/>
      <c r="AF11" s="5"/>
      <c r="AG11" s="5"/>
      <c r="AH11" s="5">
        <f>IF(CreditAmort3BASE[[#This Row],[Month]]=AJ$8,AF$7,0)</f>
        <v>0</v>
      </c>
      <c r="AI11" s="28">
        <f>AF7</f>
        <v>0</v>
      </c>
      <c r="AJ11" s="6"/>
      <c r="AK11" s="21"/>
      <c r="AM11" s="20">
        <f>AS8</f>
        <v>0</v>
      </c>
      <c r="AN11" s="5"/>
      <c r="AO11" s="5"/>
      <c r="AP11" s="5"/>
      <c r="AQ11" s="5">
        <f>IF(CreditAmort4BASE[[#This Row],[Month]]=AS$8,AO$7,0)</f>
        <v>0</v>
      </c>
      <c r="AR11" s="28">
        <f>AO7</f>
        <v>0</v>
      </c>
      <c r="AS11" s="6"/>
      <c r="AT11" s="21"/>
    </row>
    <row r="12" spans="2:46">
      <c r="C12" s="22">
        <f>C11+1</f>
        <v>1</v>
      </c>
      <c r="D12" s="23">
        <f>IF(AND(C12&gt;='Amort. Sched.-BASE'!$I$8, C12&lt;= ($I$7+$I$8)),PMT('Amort. Sched.-BASE'!$E$8/12, 'Amort. Sched.-BASE'!$I$7, 'Amort. Sched.-BASE'!$E$7), 0)</f>
        <v>-1736.5864935892569</v>
      </c>
      <c r="E12" s="5">
        <f>IF(AND(C12&gt;='Amort. Sched.-BASE'!$I$8, C12&lt;= ($I$7+$I$8)), (IPMT($E$8/12, (C12-$I$8), $I$7, $E$7)), 0)</f>
        <v>-1500</v>
      </c>
      <c r="F12" s="23">
        <f>IF(AND(C12&gt;='Amort. Sched.-BASE'!$I$8, C12&lt;= ($I$7+$I$8)), (PPMT($E$8/12, (C12-$I$8), $I$7, $E$7)), 0)</f>
        <v>-236.58649358925678</v>
      </c>
      <c r="G12" s="5">
        <f>IF(MortgageAmortBASE[[#This Row],[Month]]=I$8,E$7,0)</f>
        <v>0</v>
      </c>
      <c r="H12" s="13">
        <f>IF(AND(C12&gt;='Amort. Sched.-BASE'!$I$8, C12&lt;= ($I$7+$I$8)), H11+F12, 0)</f>
        <v>224763.41350641075</v>
      </c>
      <c r="I12" s="24">
        <f>IF(AND(C12&gt;='Amort. Sched.-BASE'!$I$8, C12&lt;= ($I$7+$I$8)), E12/D12, " ")</f>
        <v>0.86376348401727521</v>
      </c>
      <c r="J12" s="25">
        <f>IF(AND(C12&gt;='Amort. Sched.-BASE'!$I$8, C12&lt;= ($I$7+$I$8)), F12/D12, " ")</f>
        <v>0.13623651598272479</v>
      </c>
      <c r="L12" s="20">
        <f t="shared" ref="L12:L76" si="0">L11+1</f>
        <v>1</v>
      </c>
      <c r="M12" s="5">
        <f>IF(AND(L12&gt;='Amort. Sched.-BASE'!$R$8, L12&lt;= ($R$7+$R$8)), PMT('Amort. Sched.-BASE'!$N$8/12, 'Amort. Sched.-BASE'!$R$7, 'Amort. Sched.-BASE'!$N$7), 0)</f>
        <v>0</v>
      </c>
      <c r="N12" s="5">
        <f>IF(AND(L12&gt;='Amort. Sched.-BASE'!$R$8, L12&lt;= ($R$7+$R$8)), (IPMT($N$8/12, (L12-$R$8), $R$7, $N$7)), 0)</f>
        <v>0</v>
      </c>
      <c r="O12" s="5">
        <f>IF(AND(L12&gt;='Amort. Sched.-BASE'!$R$8, L12&lt;= ($R$7+$R$8)), (PPMT($N$8/12, (L12-$R$8), $R$7, $N$7)), 0)</f>
        <v>0</v>
      </c>
      <c r="P12" s="5">
        <f>IF(CreditAmort1BASE[[#This Row],[Month]]=R$8,N$7,0)</f>
        <v>0</v>
      </c>
      <c r="Q12" s="13">
        <f>IF(AND(L12&gt;='Amort. Sched.-BASE'!$R$8, L12&lt;= ($R$7+$R$8)), Q11+O12, 0)</f>
        <v>0</v>
      </c>
      <c r="R12" s="6" t="str">
        <f>IF(AND(L12&gt;='Amort. Sched.-BASE'!$R$8, L12&lt;= ($R$7+$R$8)), N12/M12, " ")</f>
        <v xml:space="preserve"> </v>
      </c>
      <c r="S12" s="21" t="str">
        <f>IF(AND(L12&gt;='Amort. Sched.-BASE'!$R$8, L12&lt;= ($R$7+$R$8)), O12/M12, " ")</f>
        <v xml:space="preserve"> </v>
      </c>
      <c r="U12" s="20">
        <f>U11+1</f>
        <v>1</v>
      </c>
      <c r="V12" s="5">
        <f>IF(AND(U12&gt;='Amort. Sched.-BASE'!$AA$8, U12&lt;= ($AA$7+$AA$8)), PMT('Amort. Sched.-BASE'!$W$8/12, 'Amort. Sched.-BASE'!$AA$7, 'Amort. Sched.-BASE'!$W$7), 0)</f>
        <v>0</v>
      </c>
      <c r="W12" s="5">
        <f>IF(AND(U12&gt;='Amort. Sched.-BASE'!$AA$8, U12&lt;= ($AA$7+$AA$8)), (IPMT($W$8/12, (U12-$AA$8), $AA$7, $W$7)), 0)</f>
        <v>0</v>
      </c>
      <c r="X12" s="5">
        <f>IF(AND(U12&gt;='Amort. Sched.-BASE'!$AA$8, U12&lt;= ($AA$7+$AA$8)), (PPMT($W$8/12, (U12-$AA$8), $AA$7, $W$7)), 0)</f>
        <v>0</v>
      </c>
      <c r="Y12" s="5">
        <f>IF(CreditAmort2BASE[[#This Row],[Month]]=AA$8,W$7,0)</f>
        <v>0</v>
      </c>
      <c r="Z12" s="13">
        <f>IF(AND(U12&gt;='Amort. Sched.-BASE'!$AA$8, U12&lt;= ($AA$7+$AA$8)), Z11+X12, 0)</f>
        <v>0</v>
      </c>
      <c r="AA12" s="6" t="str">
        <f>IF(AND(U12&gt;='Amort. Sched.-BASE'!$AA$8, U12&lt;= ($AA$7+$AA$8)), W12/V12, " ")</f>
        <v xml:space="preserve"> </v>
      </c>
      <c r="AB12" s="21" t="str">
        <f>IF(AND(U12&gt;='Amort. Sched.-BASE'!$AA$8, U12&lt;= ($AA$7+$AA$8)), X12/V12, " ")</f>
        <v xml:space="preserve"> </v>
      </c>
      <c r="AD12" s="20">
        <f>AD11+1</f>
        <v>1</v>
      </c>
      <c r="AE12" s="5">
        <f>IF(AND(AD12&gt;=$AJ$8, AD12&lt;= ($AJ$7+$AJ$8)), PMT($AF$8/12, $AJ$7, $AF$7), 0)</f>
        <v>0</v>
      </c>
      <c r="AF12" s="5">
        <f>IF(AND(AD12&gt;=$AJ$8, AD12&lt;= ($AJ$7+$AJ$8)), (IPMT($AF$8/12, (AD12-$AJ$8), $AJ$7, $AF$7)), 0)</f>
        <v>0</v>
      </c>
      <c r="AG12" s="5">
        <f>IF(AND(AD12&gt;=$AJ$8, AD12&lt;= ($AJ$7+$AJ$8)), (PPMT($AF$8/12, (AD12-$AJ$8), $AJ$7, $AF$7)), 0)</f>
        <v>0</v>
      </c>
      <c r="AH12" s="5">
        <f>IF(CreditAmort3BASE[[#This Row],[Month]]=AJ$8,AF$7,0)</f>
        <v>0</v>
      </c>
      <c r="AI12" s="13">
        <f>IF(AND(AD12&gt;=$AJ$8, AD12&lt;= ($AJ$7+$AJ$8)), AI11+AG12, 0)</f>
        <v>0</v>
      </c>
      <c r="AJ12" s="6" t="str">
        <f>IF(AND(AD12&gt;=$AJ$8, AD12&lt;= ($AJ$7+$AJ$8)), AF12/AE12, " ")</f>
        <v xml:space="preserve"> </v>
      </c>
      <c r="AK12" s="21" t="str">
        <f>IF(AND(AD12&gt;=$AJ$8, AD12&lt;= ($AJ$7+$AJ$8)), AG12/AE12, " ")</f>
        <v xml:space="preserve"> </v>
      </c>
      <c r="AM12" s="20">
        <f>AM11+1</f>
        <v>1</v>
      </c>
      <c r="AN12" s="5">
        <f>IF(AND(AM12&gt;=$AS$8, AM12&lt;= ($AS$7+$AS$8)), PMT($AO$8/12, $AS$7, $AO$7), 0)</f>
        <v>0</v>
      </c>
      <c r="AO12" s="5">
        <f>IF(AND(AM12&gt;=$AS$8, AM12&lt;= ($AS$7+$AS$8)), (IPMT($AO$8/12, (AM12-$AS$8), $AS$7, $AO$7)), 0)</f>
        <v>0</v>
      </c>
      <c r="AP12" s="5">
        <f>IF(AND(AM12&gt;=$AS$8, AM12&lt;= ($AS$7+$AS$8)), (PPMT($AO$8/12, (AM12-$AS$8), $AS$7, $AO$7)), 0)</f>
        <v>0</v>
      </c>
      <c r="AQ12" s="5">
        <f>IF(CreditAmort4BASE[[#This Row],[Month]]=AS$8,AO$7,0)</f>
        <v>0</v>
      </c>
      <c r="AR12" s="13">
        <f>IF(AND(AM12&gt;=$AS$8, AM12&lt;= ($AS$7+$AS$8)), AR11+AP12, 0)</f>
        <v>0</v>
      </c>
      <c r="AS12" s="6" t="str">
        <f>IF(AND(AM12&gt;=$AS$8, AM12&lt;= ($AS$7+$AS$8)), AO12/AN12, " ")</f>
        <v xml:space="preserve"> </v>
      </c>
      <c r="AT12" s="21" t="str">
        <f>IF(AND(AM12&gt;=$AS$8, AM12&lt;= ($AS$7+$AS$8)), AP12/AN12, " ")</f>
        <v xml:space="preserve"> </v>
      </c>
    </row>
    <row r="13" spans="2:46">
      <c r="C13" s="22">
        <f t="shared" ref="C13:C76" si="1">C12+1</f>
        <v>2</v>
      </c>
      <c r="D13" s="23">
        <f>IF(AND(C13&gt;='Amort. Sched.-BASE'!$I$8, C13&lt;= ($I$7+$I$8)), PMT('Amort. Sched.-BASE'!$E$8/12, 'Amort. Sched.-BASE'!$I$7, 'Amort. Sched.-BASE'!$E$7), 0)</f>
        <v>-1736.5864935892569</v>
      </c>
      <c r="E13" s="5">
        <f>IF(AND(C13&gt;='Amort. Sched.-BASE'!$I$8, C13&lt;= ($I$7+$I$8)), (IPMT($E$8/12, (C13-$I$8), $I$7, $E$7)), 0)</f>
        <v>-1498.4227567094051</v>
      </c>
      <c r="F13" s="23">
        <f>IF(AND(C13&gt;='Amort. Sched.-BASE'!$I$8, C13&lt;= ($I$7+$I$8)), (PPMT($E$8/12, (C13-$I$8), $I$7, $E$7)), 0)</f>
        <v>-238.1637368798518</v>
      </c>
      <c r="G13" s="5">
        <f>IF(MortgageAmortBASE[[#This Row],[Month]]=I$8,E$7,0)</f>
        <v>0</v>
      </c>
      <c r="H13" s="13">
        <f>IF(AND(C13&gt;='Amort. Sched.-BASE'!$I$8, C13&lt;= ($I$7+$I$8)), H12+F13, 0)</f>
        <v>224525.2497695309</v>
      </c>
      <c r="I13" s="24">
        <f>IF(AND(C13&gt;='Amort. Sched.-BASE'!$I$8, C13&lt;= ($I$7+$I$8)), E13/D13, " ")</f>
        <v>0.86285524057739038</v>
      </c>
      <c r="J13" s="25">
        <f>IF(AND(C13&gt;='Amort. Sched.-BASE'!$I$8, C13&lt;= ($I$7+$I$8)), F13/D13, " ")</f>
        <v>0.13714475942260959</v>
      </c>
      <c r="L13" s="20">
        <f t="shared" si="0"/>
        <v>2</v>
      </c>
      <c r="M13" s="5">
        <f>IF(AND(L13&gt;='Amort. Sched.-BASE'!$R$8, L13&lt;= ($R$7+$R$8)), PMT('Amort. Sched.-BASE'!$N$8/12, 'Amort. Sched.-BASE'!$R$7, 'Amort. Sched.-BASE'!$N$7), 0)</f>
        <v>0</v>
      </c>
      <c r="N13" s="5">
        <f>IF(AND(L13&gt;='Amort. Sched.-BASE'!$R$8, L13&lt;= ($R$7+$R$8)), (IPMT($N$8/12, (L13-$R$8), $R$7, $N$7)), 0)</f>
        <v>0</v>
      </c>
      <c r="O13" s="5">
        <f>IF(AND(L13&gt;='Amort. Sched.-BASE'!$R$8, L13&lt;= ($R$7+$R$8)), (PPMT($N$8/12, (L13-$R$8), $R$7, $N$7)), 0)</f>
        <v>0</v>
      </c>
      <c r="P13" s="5">
        <f>IF(CreditAmort1BASE[[#This Row],[Month]]=R$8,N$7,0)</f>
        <v>0</v>
      </c>
      <c r="Q13" s="13">
        <f>IF(AND(L13&gt;='Amort. Sched.-BASE'!$R$8, L13&lt;= ($R$7+$R$8)), Q12+O13, 0)</f>
        <v>0</v>
      </c>
      <c r="R13" s="6" t="str">
        <f>IF(AND(L13&gt;='Amort. Sched.-BASE'!$R$8, L13&lt;= ($R$7+$R$8)), N13/M13, " ")</f>
        <v xml:space="preserve"> </v>
      </c>
      <c r="S13" s="21" t="str">
        <f>IF(AND(L13&gt;='Amort. Sched.-BASE'!$R$8, L13&lt;= ($R$7+$R$8)), O13/M13, " ")</f>
        <v xml:space="preserve"> </v>
      </c>
      <c r="U13" s="20">
        <f t="shared" ref="U13:U76" si="2">U12+1</f>
        <v>2</v>
      </c>
      <c r="V13" s="5">
        <f>IF(AND(U13&gt;='Amort. Sched.-BASE'!$AA$8, U13&lt;= ($AA$7+$AA$8)), PMT('Amort. Sched.-BASE'!$W$8/12, 'Amort. Sched.-BASE'!$AA$7, 'Amort. Sched.-BASE'!$W$7), 0)</f>
        <v>0</v>
      </c>
      <c r="W13" s="5">
        <f>IF(AND(U13&gt;='Amort. Sched.-BASE'!$AA$8, U13&lt;= ($AA$7+$AA$8)), (IPMT($W$8/12, (U13-$AA$8), $AA$7, $W$7)), 0)</f>
        <v>0</v>
      </c>
      <c r="X13" s="5">
        <f>IF(AND(U13&gt;='Amort. Sched.-BASE'!$AA$8, U13&lt;= ($AA$7+$AA$8)), (PPMT($W$8/12, (U13-$AA$8), $AA$7, $W$7)), 0)</f>
        <v>0</v>
      </c>
      <c r="Y13" s="5">
        <f>IF(CreditAmort2BASE[[#This Row],[Month]]=AA$8,W$7,0)</f>
        <v>0</v>
      </c>
      <c r="Z13" s="13">
        <f>IF(AND(U13&gt;='Amort. Sched.-BASE'!$AA$8, U13&lt;= ($AA$7+$AA$8)), Z12+X13, 0)</f>
        <v>0</v>
      </c>
      <c r="AA13" s="6" t="str">
        <f>IF(AND(U13&gt;='Amort. Sched.-BASE'!$AA$8, U13&lt;= ($AA$7+$AA$8)), W13/V13, " ")</f>
        <v xml:space="preserve"> </v>
      </c>
      <c r="AB13" s="21" t="str">
        <f>IF(AND(U13&gt;='Amort. Sched.-BASE'!$AA$8, U13&lt;= ($AA$7+$AA$8)), X13/V13, " ")</f>
        <v xml:space="preserve"> </v>
      </c>
      <c r="AD13" s="20">
        <f t="shared" ref="AD13:AD76" si="3">AD12+1</f>
        <v>2</v>
      </c>
      <c r="AE13" s="5">
        <f t="shared" ref="AE13:AE76" si="4">IF(AND(AD13&gt;=$AJ$8, AD13&lt;= ($AJ$7+$AJ$8)), PMT($AF$8/12, $AJ$7, $AF$7), 0)</f>
        <v>0</v>
      </c>
      <c r="AF13" s="5">
        <f t="shared" ref="AF13:AF76" si="5">IF(AND(AD13&gt;=$AJ$8, AD13&lt;= ($AJ$7+$AJ$8)), (IPMT($AF$8/12, (AD13-$AJ$8), $AJ$7, $AF$7)), 0)</f>
        <v>0</v>
      </c>
      <c r="AG13" s="5">
        <f t="shared" ref="AG13:AG76" si="6">IF(AND(AD13&gt;=$AJ$8, AD13&lt;= ($AJ$7+$AJ$8)), (PPMT($AF$8/12, (AD13-$AJ$8), $AJ$7, $AF$7)), 0)</f>
        <v>0</v>
      </c>
      <c r="AH13" s="5">
        <f>IF(CreditAmort3BASE[[#This Row],[Month]]=AJ$8,AF$7,0)</f>
        <v>0</v>
      </c>
      <c r="AI13" s="13">
        <f t="shared" ref="AI13:AI76" si="7">IF(AND(AD13&gt;=$AJ$8, AD13&lt;= ($AJ$7+$AJ$8)), AI12+AG13, 0)</f>
        <v>0</v>
      </c>
      <c r="AJ13" s="6" t="str">
        <f t="shared" ref="AJ13:AJ76" si="8">IF(AND(AD13&gt;=$AJ$8, AD13&lt;= ($AJ$7+$AJ$8)), AF13/AE13, " ")</f>
        <v xml:space="preserve"> </v>
      </c>
      <c r="AK13" s="21" t="str">
        <f t="shared" ref="AK13:AK76" si="9">IF(AND(AD13&gt;=$AJ$8, AD13&lt;= ($AJ$7+$AJ$8)), AG13/AE13, " ")</f>
        <v xml:space="preserve"> </v>
      </c>
      <c r="AM13" s="20">
        <f t="shared" ref="AM13:AM76" si="10">AM12+1</f>
        <v>2</v>
      </c>
      <c r="AN13" s="5">
        <f t="shared" ref="AN13:AN76" si="11">IF(AND(AM13&gt;=$AS$8, AM13&lt;= ($AS$7+$AS$8)), PMT($AO$8/12, $AS$7, $AO$7), 0)</f>
        <v>0</v>
      </c>
      <c r="AO13" s="5">
        <f t="shared" ref="AO13:AO76" si="12">IF(AND(AM13&gt;=$AS$8, AM13&lt;= ($AS$7+$AS$8)), (IPMT($AO$8/12, (AM13-$AS$8), $AS$7, $AO$7)), 0)</f>
        <v>0</v>
      </c>
      <c r="AP13" s="5">
        <f t="shared" ref="AP13:AP76" si="13">IF(AND(AM13&gt;=$AS$8, AM13&lt;= ($AS$7+$AS$8)), (PPMT($AO$8/12, (AM13-$AS$8), $AS$7, $AO$7)), 0)</f>
        <v>0</v>
      </c>
      <c r="AQ13" s="5">
        <f>IF(CreditAmort4BASE[[#This Row],[Month]]=AS$8,AO$7,0)</f>
        <v>0</v>
      </c>
      <c r="AR13" s="13">
        <f t="shared" ref="AR13:AR76" si="14">IF(AND(AM13&gt;=$AS$8, AM13&lt;= ($AS$7+$AS$8)), AR12+AP13, 0)</f>
        <v>0</v>
      </c>
      <c r="AS13" s="6" t="str">
        <f t="shared" ref="AS13:AS76" si="15">IF(AND(AM13&gt;=$AS$8, AM13&lt;= ($AS$7+$AS$8)), AO13/AN13, " ")</f>
        <v xml:space="preserve"> </v>
      </c>
      <c r="AT13" s="21" t="str">
        <f t="shared" ref="AT13:AT76" si="16">IF(AND(AM13&gt;=$AS$8, AM13&lt;= ($AS$7+$AS$8)), AP13/AN13, " ")</f>
        <v xml:space="preserve"> </v>
      </c>
    </row>
    <row r="14" spans="2:46">
      <c r="C14" s="22">
        <f t="shared" si="1"/>
        <v>3</v>
      </c>
      <c r="D14" s="23">
        <f>IF(AND(C14&gt;='Amort. Sched.-BASE'!$I$8, C14&lt;= ($I$7+$I$8)), PMT('Amort. Sched.-BASE'!$E$8/12, 'Amort. Sched.-BASE'!$I$7, 'Amort. Sched.-BASE'!$E$7), 0)</f>
        <v>-1736.5864935892569</v>
      </c>
      <c r="E14" s="5">
        <f>IF(AND(C14&gt;='Amort. Sched.-BASE'!$I$8, C14&lt;= ($I$7+$I$8)), (IPMT($E$8/12, (C14-$I$8), $I$7, $E$7)), 0)</f>
        <v>-1496.8349984635395</v>
      </c>
      <c r="F14" s="23">
        <f>IF(AND(C14&gt;='Amort. Sched.-BASE'!$I$8, C14&lt;= ($I$7+$I$8)), (PPMT($E$8/12, (C14-$I$8), $I$7, $E$7)), 0)</f>
        <v>-239.75149512571744</v>
      </c>
      <c r="G14" s="5">
        <f>IF(MortgageAmortBASE[[#This Row],[Month]]=I$8,E$7,0)</f>
        <v>0</v>
      </c>
      <c r="H14" s="13">
        <f>IF(AND(C14&gt;='Amort. Sched.-BASE'!$I$8, C14&lt;= ($I$7+$I$8)), H13+F14, 0)</f>
        <v>224285.4982744052</v>
      </c>
      <c r="I14" s="24">
        <f>IF(AND(C14&gt;='Amort. Sched.-BASE'!$I$8, C14&lt;= ($I$7+$I$8)), E14/D14, " ")</f>
        <v>0.86194094218123973</v>
      </c>
      <c r="J14" s="25">
        <f>IF(AND(C14&gt;='Amort. Sched.-BASE'!$I$8, C14&lt;= ($I$7+$I$8)), F14/D14, " ")</f>
        <v>0.13805905781876029</v>
      </c>
      <c r="L14" s="20">
        <f t="shared" si="0"/>
        <v>3</v>
      </c>
      <c r="M14" s="5">
        <f>IF(AND(L14&gt;='Amort. Sched.-BASE'!$R$8, L14&lt;= ($R$7+$R$8)), PMT('Amort. Sched.-BASE'!$N$8/12, 'Amort. Sched.-BASE'!$R$7, 'Amort. Sched.-BASE'!$N$7), 0)</f>
        <v>0</v>
      </c>
      <c r="N14" s="5">
        <f>IF(AND(L14&gt;='Amort. Sched.-BASE'!$R$8, L14&lt;= ($R$7+$R$8)), (IPMT($N$8/12, (L14-$R$8), $R$7, $N$7)), 0)</f>
        <v>0</v>
      </c>
      <c r="O14" s="5">
        <f>IF(AND(L14&gt;='Amort. Sched.-BASE'!$R$8, L14&lt;= ($R$7+$R$8)), (PPMT($N$8/12, (L14-$R$8), $R$7, $N$7)), 0)</f>
        <v>0</v>
      </c>
      <c r="P14" s="5">
        <f>IF(CreditAmort1BASE[[#This Row],[Month]]=R$8,N$7,0)</f>
        <v>0</v>
      </c>
      <c r="Q14" s="13">
        <f>IF(AND(L14&gt;='Amort. Sched.-BASE'!$R$8, L14&lt;= ($R$7+$R$8)), Q13+O14, 0)</f>
        <v>0</v>
      </c>
      <c r="R14" s="6" t="str">
        <f>IF(AND(L14&gt;='Amort. Sched.-BASE'!$R$8, L14&lt;= ($R$7+$R$8)), N14/M14, " ")</f>
        <v xml:space="preserve"> </v>
      </c>
      <c r="S14" s="21" t="str">
        <f>IF(AND(L14&gt;='Amort. Sched.-BASE'!$R$8, L14&lt;= ($R$7+$R$8)), O14/M14, " ")</f>
        <v xml:space="preserve"> </v>
      </c>
      <c r="U14" s="20">
        <f t="shared" si="2"/>
        <v>3</v>
      </c>
      <c r="V14" s="5">
        <f>IF(AND(U14&gt;='Amort. Sched.-BASE'!$AA$8, U14&lt;= ($AA$7+$AA$8)), PMT('Amort. Sched.-BASE'!$W$8/12, 'Amort. Sched.-BASE'!$AA$7, 'Amort. Sched.-BASE'!$W$7), 0)</f>
        <v>0</v>
      </c>
      <c r="W14" s="5">
        <f>IF(AND(U14&gt;='Amort. Sched.-BASE'!$AA$8, U14&lt;= ($AA$7+$AA$8)), (IPMT($W$8/12, (U14-$AA$8), $AA$7, $W$7)), 0)</f>
        <v>0</v>
      </c>
      <c r="X14" s="5">
        <f>IF(AND(U14&gt;='Amort. Sched.-BASE'!$AA$8, U14&lt;= ($AA$7+$AA$8)), (PPMT($W$8/12, (U14-$AA$8), $AA$7, $W$7)), 0)</f>
        <v>0</v>
      </c>
      <c r="Y14" s="5">
        <f>IF(CreditAmort2BASE[[#This Row],[Month]]=AA$8,W$7,0)</f>
        <v>0</v>
      </c>
      <c r="Z14" s="13">
        <f>IF(AND(U14&gt;='Amort. Sched.-BASE'!$AA$8, U14&lt;= ($AA$7+$AA$8)), Z13+X14, 0)</f>
        <v>0</v>
      </c>
      <c r="AA14" s="6" t="str">
        <f>IF(AND(U14&gt;='Amort. Sched.-BASE'!$AA$8, U14&lt;= ($AA$7+$AA$8)), W14/V14, " ")</f>
        <v xml:space="preserve"> </v>
      </c>
      <c r="AB14" s="21" t="str">
        <f>IF(AND(U14&gt;='Amort. Sched.-BASE'!$AA$8, U14&lt;= ($AA$7+$AA$8)), X14/V14, " ")</f>
        <v xml:space="preserve"> </v>
      </c>
      <c r="AD14" s="20">
        <f t="shared" si="3"/>
        <v>3</v>
      </c>
      <c r="AE14" s="5">
        <f t="shared" si="4"/>
        <v>0</v>
      </c>
      <c r="AF14" s="5">
        <f t="shared" si="5"/>
        <v>0</v>
      </c>
      <c r="AG14" s="5">
        <f t="shared" si="6"/>
        <v>0</v>
      </c>
      <c r="AH14" s="5">
        <f>IF(CreditAmort3BASE[[#This Row],[Month]]=AJ$8,AF$7,0)</f>
        <v>0</v>
      </c>
      <c r="AI14" s="13">
        <f t="shared" si="7"/>
        <v>0</v>
      </c>
      <c r="AJ14" s="6" t="str">
        <f t="shared" si="8"/>
        <v xml:space="preserve"> </v>
      </c>
      <c r="AK14" s="21" t="str">
        <f t="shared" si="9"/>
        <v xml:space="preserve"> </v>
      </c>
      <c r="AM14" s="20">
        <f t="shared" si="10"/>
        <v>3</v>
      </c>
      <c r="AN14" s="5">
        <f t="shared" si="11"/>
        <v>0</v>
      </c>
      <c r="AO14" s="5">
        <f t="shared" si="12"/>
        <v>0</v>
      </c>
      <c r="AP14" s="5">
        <f t="shared" si="13"/>
        <v>0</v>
      </c>
      <c r="AQ14" s="5">
        <f>IF(CreditAmort4BASE[[#This Row],[Month]]=AS$8,AO$7,0)</f>
        <v>0</v>
      </c>
      <c r="AR14" s="13">
        <f t="shared" si="14"/>
        <v>0</v>
      </c>
      <c r="AS14" s="6" t="str">
        <f t="shared" si="15"/>
        <v xml:space="preserve"> </v>
      </c>
      <c r="AT14" s="21" t="str">
        <f t="shared" si="16"/>
        <v xml:space="preserve"> </v>
      </c>
    </row>
    <row r="15" spans="2:46">
      <c r="C15" s="22">
        <f t="shared" si="1"/>
        <v>4</v>
      </c>
      <c r="D15" s="23">
        <f>IF(AND(C15&gt;='Amort. Sched.-BASE'!$I$8, C15&lt;= ($I$7+$I$8)), PMT('Amort. Sched.-BASE'!$E$8/12, 'Amort. Sched.-BASE'!$I$7, 'Amort. Sched.-BASE'!$E$7), 0)</f>
        <v>-1736.5864935892569</v>
      </c>
      <c r="E15" s="5">
        <f>IF(AND(C15&gt;='Amort. Sched.-BASE'!$I$8, C15&lt;= ($I$7+$I$8)), (IPMT($E$8/12, (C15-$I$8), $I$7, $E$7)), 0)</f>
        <v>-1495.2366551627013</v>
      </c>
      <c r="F15" s="23">
        <f>IF(AND(C15&gt;='Amort. Sched.-BASE'!$I$8, C15&lt;= ($I$7+$I$8)), (PPMT($E$8/12, (C15-$I$8), $I$7, $E$7)), 0)</f>
        <v>-241.34983842655566</v>
      </c>
      <c r="G15" s="5">
        <f>IF(MortgageAmortBASE[[#This Row],[Month]]=I$8,E$7,0)</f>
        <v>0</v>
      </c>
      <c r="H15" s="13">
        <f>IF(AND(C15&gt;='Amort. Sched.-BASE'!$I$8, C15&lt;= ($I$7+$I$8)), H14+F15, 0)</f>
        <v>224044.14843597863</v>
      </c>
      <c r="I15" s="24">
        <f>IF(AND(C15&gt;='Amort. Sched.-BASE'!$I$8, C15&lt;= ($I$7+$I$8)), E15/D15, " ")</f>
        <v>0.86102054846244791</v>
      </c>
      <c r="J15" s="25">
        <f>IF(AND(C15&gt;='Amort. Sched.-BASE'!$I$8, C15&lt;= ($I$7+$I$8)), F15/D15, " ")</f>
        <v>0.13897945153755212</v>
      </c>
      <c r="L15" s="20">
        <f t="shared" si="0"/>
        <v>4</v>
      </c>
      <c r="M15" s="5">
        <f>IF(AND(L15&gt;='Amort. Sched.-BASE'!$R$8, L15&lt;= ($R$7+$R$8)), PMT('Amort. Sched.-BASE'!$N$8/12, 'Amort. Sched.-BASE'!$R$7, 'Amort. Sched.-BASE'!$N$7), 0)</f>
        <v>0</v>
      </c>
      <c r="N15" s="5">
        <f>IF(AND(L15&gt;='Amort. Sched.-BASE'!$R$8, L15&lt;= ($R$7+$R$8)), (IPMT($N$8/12, (L15-$R$8), $R$7, $N$7)), 0)</f>
        <v>0</v>
      </c>
      <c r="O15" s="5">
        <f>IF(AND(L15&gt;='Amort. Sched.-BASE'!$R$8, L15&lt;= ($R$7+$R$8)), (PPMT($N$8/12, (L15-$R$8), $R$7, $N$7)), 0)</f>
        <v>0</v>
      </c>
      <c r="P15" s="5">
        <f>IF(CreditAmort1BASE[[#This Row],[Month]]=R$8,N$7,0)</f>
        <v>0</v>
      </c>
      <c r="Q15" s="13">
        <f>IF(AND(L15&gt;='Amort. Sched.-BASE'!$R$8, L15&lt;= ($R$7+$R$8)), Q14+O15, 0)</f>
        <v>0</v>
      </c>
      <c r="R15" s="6" t="str">
        <f>IF(AND(L15&gt;='Amort. Sched.-BASE'!$R$8, L15&lt;= ($R$7+$R$8)), N15/M15, " ")</f>
        <v xml:space="preserve"> </v>
      </c>
      <c r="S15" s="21" t="str">
        <f>IF(AND(L15&gt;='Amort. Sched.-BASE'!$R$8, L15&lt;= ($R$7+$R$8)), O15/M15, " ")</f>
        <v xml:space="preserve"> </v>
      </c>
      <c r="U15" s="20">
        <f t="shared" si="2"/>
        <v>4</v>
      </c>
      <c r="V15" s="5">
        <f>IF(AND(U15&gt;='Amort. Sched.-BASE'!$AA$8, U15&lt;= ($AA$7+$AA$8)), PMT('Amort. Sched.-BASE'!$W$8/12, 'Amort. Sched.-BASE'!$AA$7, 'Amort. Sched.-BASE'!$W$7), 0)</f>
        <v>0</v>
      </c>
      <c r="W15" s="5">
        <f>IF(AND(U15&gt;='Amort. Sched.-BASE'!$AA$8, U15&lt;= ($AA$7+$AA$8)), (IPMT($W$8/12, (U15-$AA$8), $AA$7, $W$7)), 0)</f>
        <v>0</v>
      </c>
      <c r="X15" s="5">
        <f>IF(AND(U15&gt;='Amort. Sched.-BASE'!$AA$8, U15&lt;= ($AA$7+$AA$8)), (PPMT($W$8/12, (U15-$AA$8), $AA$7, $W$7)), 0)</f>
        <v>0</v>
      </c>
      <c r="Y15" s="5">
        <f>IF(CreditAmort2BASE[[#This Row],[Month]]=AA$8,W$7,0)</f>
        <v>0</v>
      </c>
      <c r="Z15" s="13">
        <f>IF(AND(U15&gt;='Amort. Sched.-BASE'!$AA$8, U15&lt;= ($AA$7+$AA$8)), Z14+X15, 0)</f>
        <v>0</v>
      </c>
      <c r="AA15" s="6" t="str">
        <f>IF(AND(U15&gt;='Amort. Sched.-BASE'!$AA$8, U15&lt;= ($AA$7+$AA$8)), W15/V15, " ")</f>
        <v xml:space="preserve"> </v>
      </c>
      <c r="AB15" s="21" t="str">
        <f>IF(AND(U15&gt;='Amort. Sched.-BASE'!$AA$8, U15&lt;= ($AA$7+$AA$8)), X15/V15, " ")</f>
        <v xml:space="preserve"> </v>
      </c>
      <c r="AD15" s="20">
        <f t="shared" si="3"/>
        <v>4</v>
      </c>
      <c r="AE15" s="5">
        <f t="shared" si="4"/>
        <v>0</v>
      </c>
      <c r="AF15" s="5">
        <f t="shared" si="5"/>
        <v>0</v>
      </c>
      <c r="AG15" s="5">
        <f t="shared" si="6"/>
        <v>0</v>
      </c>
      <c r="AH15" s="5">
        <f>IF(CreditAmort3BASE[[#This Row],[Month]]=AJ$8,AF$7,0)</f>
        <v>0</v>
      </c>
      <c r="AI15" s="13">
        <f t="shared" si="7"/>
        <v>0</v>
      </c>
      <c r="AJ15" s="6" t="str">
        <f t="shared" si="8"/>
        <v xml:space="preserve"> </v>
      </c>
      <c r="AK15" s="21" t="str">
        <f t="shared" si="9"/>
        <v xml:space="preserve"> </v>
      </c>
      <c r="AM15" s="20">
        <f t="shared" si="10"/>
        <v>4</v>
      </c>
      <c r="AN15" s="5">
        <f t="shared" si="11"/>
        <v>0</v>
      </c>
      <c r="AO15" s="5">
        <f t="shared" si="12"/>
        <v>0</v>
      </c>
      <c r="AP15" s="5">
        <f t="shared" si="13"/>
        <v>0</v>
      </c>
      <c r="AQ15" s="5">
        <f>IF(CreditAmort4BASE[[#This Row],[Month]]=AS$8,AO$7,0)</f>
        <v>0</v>
      </c>
      <c r="AR15" s="13">
        <f t="shared" si="14"/>
        <v>0</v>
      </c>
      <c r="AS15" s="6" t="str">
        <f t="shared" si="15"/>
        <v xml:space="preserve"> </v>
      </c>
      <c r="AT15" s="21" t="str">
        <f t="shared" si="16"/>
        <v xml:space="preserve"> </v>
      </c>
    </row>
    <row r="16" spans="2:46">
      <c r="C16" s="22">
        <f t="shared" si="1"/>
        <v>5</v>
      </c>
      <c r="D16" s="23">
        <f>IF(AND(C16&gt;='Amort. Sched.-BASE'!$I$8, C16&lt;= ($I$7+$I$8)), PMT('Amort. Sched.-BASE'!$E$8/12, 'Amort. Sched.-BASE'!$I$7, 'Amort. Sched.-BASE'!$E$7), 0)</f>
        <v>-1736.5864935892569</v>
      </c>
      <c r="E16" s="5">
        <f>IF(AND(C16&gt;='Amort. Sched.-BASE'!$I$8, C16&lt;= ($I$7+$I$8)), (IPMT($E$8/12, (C16-$I$8), $I$7, $E$7)), 0)</f>
        <v>-1493.6276562398575</v>
      </c>
      <c r="F16" s="23">
        <f>IF(AND(C16&gt;='Amort. Sched.-BASE'!$I$8, C16&lt;= ($I$7+$I$8)), (PPMT($E$8/12, (C16-$I$8), $I$7, $E$7)), 0)</f>
        <v>-242.95883734939932</v>
      </c>
      <c r="G16" s="5">
        <f>IF(MortgageAmortBASE[[#This Row],[Month]]=I$8,E$7,0)</f>
        <v>0</v>
      </c>
      <c r="H16" s="13">
        <f>IF(AND(C16&gt;='Amort. Sched.-BASE'!$I$8, C16&lt;= ($I$7+$I$8)), H15+F16, 0)</f>
        <v>223801.18959862922</v>
      </c>
      <c r="I16" s="24">
        <f>IF(AND(C16&gt;='Amort. Sched.-BASE'!$I$8, C16&lt;= ($I$7+$I$8)), E16/D16, " ")</f>
        <v>0.86009401878553093</v>
      </c>
      <c r="J16" s="25">
        <f>IF(AND(C16&gt;='Amort. Sched.-BASE'!$I$8, C16&lt;= ($I$7+$I$8)), F16/D16, " ")</f>
        <v>0.13990598121446909</v>
      </c>
      <c r="L16" s="20">
        <f t="shared" si="0"/>
        <v>5</v>
      </c>
      <c r="M16" s="5">
        <f>IF(AND(L16&gt;='Amort. Sched.-BASE'!$R$8, L16&lt;= ($R$7+$R$8)), PMT('Amort. Sched.-BASE'!$N$8/12, 'Amort. Sched.-BASE'!$R$7, 'Amort. Sched.-BASE'!$N$7), 0)</f>
        <v>0</v>
      </c>
      <c r="N16" s="5">
        <f>IF(AND(L16&gt;='Amort. Sched.-BASE'!$R$8, L16&lt;= ($R$7+$R$8)), (IPMT($N$8/12, (L16-$R$8), $R$7, $N$7)), 0)</f>
        <v>0</v>
      </c>
      <c r="O16" s="5">
        <f>IF(AND(L16&gt;='Amort. Sched.-BASE'!$R$8, L16&lt;= ($R$7+$R$8)), (PPMT($N$8/12, (L16-$R$8), $R$7, $N$7)), 0)</f>
        <v>0</v>
      </c>
      <c r="P16" s="5">
        <f>IF(CreditAmort1BASE[[#This Row],[Month]]=R$8,N$7,0)</f>
        <v>0</v>
      </c>
      <c r="Q16" s="13">
        <f>IF(AND(L16&gt;='Amort. Sched.-BASE'!$R$8, L16&lt;= ($R$7+$R$8)), Q15+O16, 0)</f>
        <v>0</v>
      </c>
      <c r="R16" s="6" t="str">
        <f>IF(AND(L16&gt;='Amort. Sched.-BASE'!$R$8, L16&lt;= ($R$7+$R$8)), N16/M16, " ")</f>
        <v xml:space="preserve"> </v>
      </c>
      <c r="S16" s="21" t="str">
        <f>IF(AND(L16&gt;='Amort. Sched.-BASE'!$R$8, L16&lt;= ($R$7+$R$8)), O16/M16, " ")</f>
        <v xml:space="preserve"> </v>
      </c>
      <c r="U16" s="20">
        <f t="shared" si="2"/>
        <v>5</v>
      </c>
      <c r="V16" s="5">
        <f>IF(AND(U16&gt;='Amort. Sched.-BASE'!$AA$8, U16&lt;= ($AA$7+$AA$8)), PMT('Amort. Sched.-BASE'!$W$8/12, 'Amort. Sched.-BASE'!$AA$7, 'Amort. Sched.-BASE'!$W$7), 0)</f>
        <v>0</v>
      </c>
      <c r="W16" s="5">
        <f>IF(AND(U16&gt;='Amort. Sched.-BASE'!$AA$8, U16&lt;= ($AA$7+$AA$8)), (IPMT($W$8/12, (U16-$AA$8), $AA$7, $W$7)), 0)</f>
        <v>0</v>
      </c>
      <c r="X16" s="5">
        <f>IF(AND(U16&gt;='Amort. Sched.-BASE'!$AA$8, U16&lt;= ($AA$7+$AA$8)), (PPMT($W$8/12, (U16-$AA$8), $AA$7, $W$7)), 0)</f>
        <v>0</v>
      </c>
      <c r="Y16" s="5">
        <f>IF(CreditAmort2BASE[[#This Row],[Month]]=AA$8,W$7,0)</f>
        <v>0</v>
      </c>
      <c r="Z16" s="13">
        <f>IF(AND(U16&gt;='Amort. Sched.-BASE'!$AA$8, U16&lt;= ($AA$7+$AA$8)), Z15+X16, 0)</f>
        <v>0</v>
      </c>
      <c r="AA16" s="6" t="str">
        <f>IF(AND(U16&gt;='Amort. Sched.-BASE'!$AA$8, U16&lt;= ($AA$7+$AA$8)), W16/V16, " ")</f>
        <v xml:space="preserve"> </v>
      </c>
      <c r="AB16" s="21" t="str">
        <f>IF(AND(U16&gt;='Amort. Sched.-BASE'!$AA$8, U16&lt;= ($AA$7+$AA$8)), X16/V16, " ")</f>
        <v xml:space="preserve"> </v>
      </c>
      <c r="AD16" s="20">
        <f t="shared" si="3"/>
        <v>5</v>
      </c>
      <c r="AE16" s="5">
        <f t="shared" si="4"/>
        <v>0</v>
      </c>
      <c r="AF16" s="5">
        <f t="shared" si="5"/>
        <v>0</v>
      </c>
      <c r="AG16" s="5">
        <f t="shared" si="6"/>
        <v>0</v>
      </c>
      <c r="AH16" s="5">
        <f>IF(CreditAmort3BASE[[#This Row],[Month]]=AJ$8,AF$7,0)</f>
        <v>0</v>
      </c>
      <c r="AI16" s="13">
        <f t="shared" si="7"/>
        <v>0</v>
      </c>
      <c r="AJ16" s="6" t="str">
        <f t="shared" si="8"/>
        <v xml:space="preserve"> </v>
      </c>
      <c r="AK16" s="21" t="str">
        <f t="shared" si="9"/>
        <v xml:space="preserve"> </v>
      </c>
      <c r="AM16" s="20">
        <f t="shared" si="10"/>
        <v>5</v>
      </c>
      <c r="AN16" s="5">
        <f t="shared" si="11"/>
        <v>0</v>
      </c>
      <c r="AO16" s="5">
        <f t="shared" si="12"/>
        <v>0</v>
      </c>
      <c r="AP16" s="5">
        <f t="shared" si="13"/>
        <v>0</v>
      </c>
      <c r="AQ16" s="5">
        <f>IF(CreditAmort4BASE[[#This Row],[Month]]=AS$8,AO$7,0)</f>
        <v>0</v>
      </c>
      <c r="AR16" s="13">
        <f t="shared" si="14"/>
        <v>0</v>
      </c>
      <c r="AS16" s="6" t="str">
        <f t="shared" si="15"/>
        <v xml:space="preserve"> </v>
      </c>
      <c r="AT16" s="21" t="str">
        <f t="shared" si="16"/>
        <v xml:space="preserve"> </v>
      </c>
    </row>
    <row r="17" spans="3:46">
      <c r="C17" s="22">
        <f t="shared" si="1"/>
        <v>6</v>
      </c>
      <c r="D17" s="23">
        <f>IF(AND(C17&gt;='Amort. Sched.-BASE'!$I$8, C17&lt;= ($I$7+$I$8)), PMT('Amort. Sched.-BASE'!$E$8/12, 'Amort. Sched.-BASE'!$I$7, 'Amort. Sched.-BASE'!$E$7), 0)</f>
        <v>-1736.5864935892569</v>
      </c>
      <c r="E17" s="5">
        <f>IF(AND(C17&gt;='Amort. Sched.-BASE'!$I$8, C17&lt;= ($I$7+$I$8)), (IPMT($E$8/12, (C17-$I$8), $I$7, $E$7)), 0)</f>
        <v>-1492.0079306575283</v>
      </c>
      <c r="F17" s="23">
        <f>IF(AND(C17&gt;='Amort. Sched.-BASE'!$I$8, C17&lt;= ($I$7+$I$8)), (PPMT($E$8/12, (C17-$I$8), $I$7, $E$7)), 0)</f>
        <v>-244.57856293172867</v>
      </c>
      <c r="G17" s="5">
        <f>IF(MortgageAmortBASE[[#This Row],[Month]]=I$8,E$7,0)</f>
        <v>0</v>
      </c>
      <c r="H17" s="13">
        <f>IF(AND(C17&gt;='Amort. Sched.-BASE'!$I$8, C17&lt;= ($I$7+$I$8)), H16+F17, 0)</f>
        <v>223556.61103569748</v>
      </c>
      <c r="I17" s="24">
        <f>IF(AND(C17&gt;='Amort. Sched.-BASE'!$I$8, C17&lt;= ($I$7+$I$8)), E17/D17, " ")</f>
        <v>0.85916131224410119</v>
      </c>
      <c r="J17" s="25">
        <f>IF(AND(C17&gt;='Amort. Sched.-BASE'!$I$8, C17&lt;= ($I$7+$I$8)), F17/D17, " ")</f>
        <v>0.14083868775589889</v>
      </c>
      <c r="L17" s="20">
        <f t="shared" si="0"/>
        <v>6</v>
      </c>
      <c r="M17" s="5">
        <f>IF(AND(L17&gt;='Amort. Sched.-BASE'!$R$8, L17&lt;= ($R$7+$R$8)), PMT('Amort. Sched.-BASE'!$N$8/12, 'Amort. Sched.-BASE'!$R$7, 'Amort. Sched.-BASE'!$N$7), 0)</f>
        <v>0</v>
      </c>
      <c r="N17" s="5">
        <f>IF(AND(L17&gt;='Amort. Sched.-BASE'!$R$8, L17&lt;= ($R$7+$R$8)), (IPMT($N$8/12, (L17-$R$8), $R$7, $N$7)), 0)</f>
        <v>0</v>
      </c>
      <c r="O17" s="5">
        <f>IF(AND(L17&gt;='Amort. Sched.-BASE'!$R$8, L17&lt;= ($R$7+$R$8)), (PPMT($N$8/12, (L17-$R$8), $R$7, $N$7)), 0)</f>
        <v>0</v>
      </c>
      <c r="P17" s="5">
        <f>IF(CreditAmort1BASE[[#This Row],[Month]]=R$8,N$7,0)</f>
        <v>0</v>
      </c>
      <c r="Q17" s="13">
        <f>IF(AND(L17&gt;='Amort. Sched.-BASE'!$R$8, L17&lt;= ($R$7+$R$8)), Q16+O17, 0)</f>
        <v>0</v>
      </c>
      <c r="R17" s="6" t="str">
        <f>IF(AND(L17&gt;='Amort. Sched.-BASE'!$R$8, L17&lt;= ($R$7+$R$8)), N17/M17, " ")</f>
        <v xml:space="preserve"> </v>
      </c>
      <c r="S17" s="21" t="str">
        <f>IF(AND(L17&gt;='Amort. Sched.-BASE'!$R$8, L17&lt;= ($R$7+$R$8)), O17/M17, " ")</f>
        <v xml:space="preserve"> </v>
      </c>
      <c r="U17" s="20">
        <f t="shared" si="2"/>
        <v>6</v>
      </c>
      <c r="V17" s="5">
        <f>IF(AND(U17&gt;='Amort. Sched.-BASE'!$AA$8, U17&lt;= ($AA$7+$AA$8)), PMT('Amort. Sched.-BASE'!$W$8/12, 'Amort. Sched.-BASE'!$AA$7, 'Amort. Sched.-BASE'!$W$7), 0)</f>
        <v>0</v>
      </c>
      <c r="W17" s="5">
        <f>IF(AND(U17&gt;='Amort. Sched.-BASE'!$AA$8, U17&lt;= ($AA$7+$AA$8)), (IPMT($W$8/12, (U17-$AA$8), $AA$7, $W$7)), 0)</f>
        <v>0</v>
      </c>
      <c r="X17" s="5">
        <f>IF(AND(U17&gt;='Amort. Sched.-BASE'!$AA$8, U17&lt;= ($AA$7+$AA$8)), (PPMT($W$8/12, (U17-$AA$8), $AA$7, $W$7)), 0)</f>
        <v>0</v>
      </c>
      <c r="Y17" s="5">
        <f>IF(CreditAmort2BASE[[#This Row],[Month]]=AA$8,W$7,0)</f>
        <v>0</v>
      </c>
      <c r="Z17" s="13">
        <f>IF(AND(U17&gt;='Amort. Sched.-BASE'!$AA$8, U17&lt;= ($AA$7+$AA$8)), Z16+X17, 0)</f>
        <v>0</v>
      </c>
      <c r="AA17" s="6" t="str">
        <f>IF(AND(U17&gt;='Amort. Sched.-BASE'!$AA$8, U17&lt;= ($AA$7+$AA$8)), W17/V17, " ")</f>
        <v xml:space="preserve"> </v>
      </c>
      <c r="AB17" s="21" t="str">
        <f>IF(AND(U17&gt;='Amort. Sched.-BASE'!$AA$8, U17&lt;= ($AA$7+$AA$8)), X17/V17, " ")</f>
        <v xml:space="preserve"> </v>
      </c>
      <c r="AD17" s="20">
        <f t="shared" si="3"/>
        <v>6</v>
      </c>
      <c r="AE17" s="5">
        <f t="shared" si="4"/>
        <v>0</v>
      </c>
      <c r="AF17" s="5">
        <f t="shared" si="5"/>
        <v>0</v>
      </c>
      <c r="AG17" s="5">
        <f t="shared" si="6"/>
        <v>0</v>
      </c>
      <c r="AH17" s="5">
        <f>IF(CreditAmort3BASE[[#This Row],[Month]]=AJ$8,AF$7,0)</f>
        <v>0</v>
      </c>
      <c r="AI17" s="13">
        <f t="shared" si="7"/>
        <v>0</v>
      </c>
      <c r="AJ17" s="6" t="str">
        <f t="shared" si="8"/>
        <v xml:space="preserve"> </v>
      </c>
      <c r="AK17" s="21" t="str">
        <f t="shared" si="9"/>
        <v xml:space="preserve"> </v>
      </c>
      <c r="AM17" s="20">
        <f t="shared" si="10"/>
        <v>6</v>
      </c>
      <c r="AN17" s="5">
        <f t="shared" si="11"/>
        <v>0</v>
      </c>
      <c r="AO17" s="5">
        <f t="shared" si="12"/>
        <v>0</v>
      </c>
      <c r="AP17" s="5">
        <f t="shared" si="13"/>
        <v>0</v>
      </c>
      <c r="AQ17" s="5">
        <f>IF(CreditAmort4BASE[[#This Row],[Month]]=AS$8,AO$7,0)</f>
        <v>0</v>
      </c>
      <c r="AR17" s="13">
        <f t="shared" si="14"/>
        <v>0</v>
      </c>
      <c r="AS17" s="6" t="str">
        <f t="shared" si="15"/>
        <v xml:space="preserve"> </v>
      </c>
      <c r="AT17" s="21" t="str">
        <f t="shared" si="16"/>
        <v xml:space="preserve"> </v>
      </c>
    </row>
    <row r="18" spans="3:46">
      <c r="C18" s="22">
        <f t="shared" si="1"/>
        <v>7</v>
      </c>
      <c r="D18" s="23">
        <f>IF(AND(C18&gt;='Amort. Sched.-BASE'!$I$8, C18&lt;= ($I$7+$I$8)), PMT('Amort. Sched.-BASE'!$E$8/12, 'Amort. Sched.-BASE'!$I$7, 'Amort. Sched.-BASE'!$E$7), 0)</f>
        <v>-1736.5864935892569</v>
      </c>
      <c r="E18" s="5">
        <f>IF(AND(C18&gt;='Amort. Sched.-BASE'!$I$8, C18&lt;= ($I$7+$I$8)), (IPMT($E$8/12, (C18-$I$8), $I$7, $E$7)), 0)</f>
        <v>-1490.3774069046499</v>
      </c>
      <c r="F18" s="23">
        <f>IF(AND(C18&gt;='Amort. Sched.-BASE'!$I$8, C18&lt;= ($I$7+$I$8)), (PPMT($E$8/12, (C18-$I$8), $I$7, $E$7)), 0)</f>
        <v>-246.20908668460686</v>
      </c>
      <c r="G18" s="5">
        <f>IF(MortgageAmortBASE[[#This Row],[Month]]=I$8,E$7,0)</f>
        <v>0</v>
      </c>
      <c r="H18" s="13">
        <f>IF(AND(C18&gt;='Amort. Sched.-BASE'!$I$8, C18&lt;= ($I$7+$I$8)), H17+F18, 0)</f>
        <v>223310.40194901288</v>
      </c>
      <c r="I18" s="24">
        <f>IF(AND(C18&gt;='Amort. Sched.-BASE'!$I$8, C18&lt;= ($I$7+$I$8)), E18/D18, " ")</f>
        <v>0.85822238765906167</v>
      </c>
      <c r="J18" s="25">
        <f>IF(AND(C18&gt;='Amort. Sched.-BASE'!$I$8, C18&lt;= ($I$7+$I$8)), F18/D18, " ")</f>
        <v>0.14177761234093822</v>
      </c>
      <c r="L18" s="20">
        <f t="shared" si="0"/>
        <v>7</v>
      </c>
      <c r="M18" s="5">
        <f>IF(AND(L18&gt;='Amort. Sched.-BASE'!$R$8, L18&lt;= ($R$7+$R$8)), PMT('Amort. Sched.-BASE'!$N$8/12, 'Amort. Sched.-BASE'!$R$7, 'Amort. Sched.-BASE'!$N$7), 0)</f>
        <v>0</v>
      </c>
      <c r="N18" s="5">
        <f>IF(AND(L18&gt;='Amort. Sched.-BASE'!$R$8, L18&lt;= ($R$7+$R$8)), (IPMT($N$8/12, (L18-$R$8), $R$7, $N$7)), 0)</f>
        <v>0</v>
      </c>
      <c r="O18" s="5">
        <f>IF(AND(L18&gt;='Amort. Sched.-BASE'!$R$8, L18&lt;= ($R$7+$R$8)), (PPMT($N$8/12, (L18-$R$8), $R$7, $N$7)), 0)</f>
        <v>0</v>
      </c>
      <c r="P18" s="5">
        <f>IF(CreditAmort1BASE[[#This Row],[Month]]=R$8,N$7,0)</f>
        <v>0</v>
      </c>
      <c r="Q18" s="13">
        <f>IF(AND(L18&gt;='Amort. Sched.-BASE'!$R$8, L18&lt;= ($R$7+$R$8)), Q17+O18, 0)</f>
        <v>0</v>
      </c>
      <c r="R18" s="6" t="str">
        <f>IF(AND(L18&gt;='Amort. Sched.-BASE'!$R$8, L18&lt;= ($R$7+$R$8)), N18/M18, " ")</f>
        <v xml:space="preserve"> </v>
      </c>
      <c r="S18" s="21" t="str">
        <f>IF(AND(L18&gt;='Amort. Sched.-BASE'!$R$8, L18&lt;= ($R$7+$R$8)), O18/M18, " ")</f>
        <v xml:space="preserve"> </v>
      </c>
      <c r="U18" s="20">
        <f t="shared" si="2"/>
        <v>7</v>
      </c>
      <c r="V18" s="5">
        <f>IF(AND(U18&gt;='Amort. Sched.-BASE'!$AA$8, U18&lt;= ($AA$7+$AA$8)), PMT('Amort. Sched.-BASE'!$W$8/12, 'Amort. Sched.-BASE'!$AA$7, 'Amort. Sched.-BASE'!$W$7), 0)</f>
        <v>0</v>
      </c>
      <c r="W18" s="5">
        <f>IF(AND(U18&gt;='Amort. Sched.-BASE'!$AA$8, U18&lt;= ($AA$7+$AA$8)), (IPMT($W$8/12, (U18-$AA$8), $AA$7, $W$7)), 0)</f>
        <v>0</v>
      </c>
      <c r="X18" s="5">
        <f>IF(AND(U18&gt;='Amort. Sched.-BASE'!$AA$8, U18&lt;= ($AA$7+$AA$8)), (PPMT($W$8/12, (U18-$AA$8), $AA$7, $W$7)), 0)</f>
        <v>0</v>
      </c>
      <c r="Y18" s="5">
        <f>IF(CreditAmort2BASE[[#This Row],[Month]]=AA$8,W$7,0)</f>
        <v>0</v>
      </c>
      <c r="Z18" s="13">
        <f>IF(AND(U18&gt;='Amort. Sched.-BASE'!$AA$8, U18&lt;= ($AA$7+$AA$8)), Z17+X18, 0)</f>
        <v>0</v>
      </c>
      <c r="AA18" s="6" t="str">
        <f>IF(AND(U18&gt;='Amort. Sched.-BASE'!$AA$8, U18&lt;= ($AA$7+$AA$8)), W18/V18, " ")</f>
        <v xml:space="preserve"> </v>
      </c>
      <c r="AB18" s="21" t="str">
        <f>IF(AND(U18&gt;='Amort. Sched.-BASE'!$AA$8, U18&lt;= ($AA$7+$AA$8)), X18/V18, " ")</f>
        <v xml:space="preserve"> </v>
      </c>
      <c r="AD18" s="20">
        <f t="shared" si="3"/>
        <v>7</v>
      </c>
      <c r="AE18" s="5">
        <f t="shared" si="4"/>
        <v>0</v>
      </c>
      <c r="AF18" s="5">
        <f t="shared" si="5"/>
        <v>0</v>
      </c>
      <c r="AG18" s="5">
        <f t="shared" si="6"/>
        <v>0</v>
      </c>
      <c r="AH18" s="5">
        <f>IF(CreditAmort3BASE[[#This Row],[Month]]=AJ$8,AF$7,0)</f>
        <v>0</v>
      </c>
      <c r="AI18" s="13">
        <f t="shared" si="7"/>
        <v>0</v>
      </c>
      <c r="AJ18" s="6" t="str">
        <f t="shared" si="8"/>
        <v xml:space="preserve"> </v>
      </c>
      <c r="AK18" s="21" t="str">
        <f t="shared" si="9"/>
        <v xml:space="preserve"> </v>
      </c>
      <c r="AM18" s="20">
        <f t="shared" si="10"/>
        <v>7</v>
      </c>
      <c r="AN18" s="5">
        <f t="shared" si="11"/>
        <v>0</v>
      </c>
      <c r="AO18" s="5">
        <f t="shared" si="12"/>
        <v>0</v>
      </c>
      <c r="AP18" s="5">
        <f t="shared" si="13"/>
        <v>0</v>
      </c>
      <c r="AQ18" s="5">
        <f>IF(CreditAmort4BASE[[#This Row],[Month]]=AS$8,AO$7,0)</f>
        <v>0</v>
      </c>
      <c r="AR18" s="13">
        <f t="shared" si="14"/>
        <v>0</v>
      </c>
      <c r="AS18" s="6" t="str">
        <f t="shared" si="15"/>
        <v xml:space="preserve"> </v>
      </c>
      <c r="AT18" s="21" t="str">
        <f t="shared" si="16"/>
        <v xml:space="preserve"> </v>
      </c>
    </row>
    <row r="19" spans="3:46">
      <c r="C19" s="22">
        <f t="shared" si="1"/>
        <v>8</v>
      </c>
      <c r="D19" s="23">
        <f>IF(AND(C19&gt;='Amort. Sched.-BASE'!$I$8, C19&lt;= ($I$7+$I$8)), PMT('Amort. Sched.-BASE'!$E$8/12, 'Amort. Sched.-BASE'!$I$7, 'Amort. Sched.-BASE'!$E$7), 0)</f>
        <v>-1736.5864935892569</v>
      </c>
      <c r="E19" s="5">
        <f>IF(AND(C19&gt;='Amort. Sched.-BASE'!$I$8, C19&lt;= ($I$7+$I$8)), (IPMT($E$8/12, (C19-$I$8), $I$7, $E$7)), 0)</f>
        <v>-1488.7360129934193</v>
      </c>
      <c r="F19" s="23">
        <f>IF(AND(C19&gt;='Amort. Sched.-BASE'!$I$8, C19&lt;= ($I$7+$I$8)), (PPMT($E$8/12, (C19-$I$8), $I$7, $E$7)), 0)</f>
        <v>-247.85048059583755</v>
      </c>
      <c r="G19" s="5">
        <f>IF(MortgageAmortBASE[[#This Row],[Month]]=I$8,E$7,0)</f>
        <v>0</v>
      </c>
      <c r="H19" s="13">
        <f>IF(AND(C19&gt;='Amort. Sched.-BASE'!$I$8, C19&lt;= ($I$7+$I$8)), H18+F19, 0)</f>
        <v>223062.55146841705</v>
      </c>
      <c r="I19" s="24">
        <f>IF(AND(C19&gt;='Amort. Sched.-BASE'!$I$8, C19&lt;= ($I$7+$I$8)), E19/D19, " ")</f>
        <v>0.85727720357678883</v>
      </c>
      <c r="J19" s="25">
        <f>IF(AND(C19&gt;='Amort. Sched.-BASE'!$I$8, C19&lt;= ($I$7+$I$8)), F19/D19, " ")</f>
        <v>0.14272279642321115</v>
      </c>
      <c r="L19" s="20">
        <f t="shared" si="0"/>
        <v>8</v>
      </c>
      <c r="M19" s="5">
        <f>IF(AND(L19&gt;='Amort. Sched.-BASE'!$R$8, L19&lt;= ($R$7+$R$8)), PMT('Amort. Sched.-BASE'!$N$8/12, 'Amort. Sched.-BASE'!$R$7, 'Amort. Sched.-BASE'!$N$7), 0)</f>
        <v>0</v>
      </c>
      <c r="N19" s="5">
        <f>IF(AND(L19&gt;='Amort. Sched.-BASE'!$R$8, L19&lt;= ($R$7+$R$8)), (IPMT($N$8/12, (L19-$R$8), $R$7, $N$7)), 0)</f>
        <v>0</v>
      </c>
      <c r="O19" s="5">
        <f>IF(AND(L19&gt;='Amort. Sched.-BASE'!$R$8, L19&lt;= ($R$7+$R$8)), (PPMT($N$8/12, (L19-$R$8), $R$7, $N$7)), 0)</f>
        <v>0</v>
      </c>
      <c r="P19" s="5">
        <f>IF(CreditAmort1BASE[[#This Row],[Month]]=R$8,N$7,0)</f>
        <v>0</v>
      </c>
      <c r="Q19" s="13">
        <f>IF(AND(L19&gt;='Amort. Sched.-BASE'!$R$8, L19&lt;= ($R$7+$R$8)), Q18+O19, 0)</f>
        <v>0</v>
      </c>
      <c r="R19" s="6" t="str">
        <f>IF(AND(L19&gt;='Amort. Sched.-BASE'!$R$8, L19&lt;= ($R$7+$R$8)), N19/M19, " ")</f>
        <v xml:space="preserve"> </v>
      </c>
      <c r="S19" s="21" t="str">
        <f>IF(AND(L19&gt;='Amort. Sched.-BASE'!$R$8, L19&lt;= ($R$7+$R$8)), O19/M19, " ")</f>
        <v xml:space="preserve"> </v>
      </c>
      <c r="U19" s="20">
        <f t="shared" si="2"/>
        <v>8</v>
      </c>
      <c r="V19" s="5">
        <f>IF(AND(U19&gt;='Amort. Sched.-BASE'!$AA$8, U19&lt;= ($AA$7+$AA$8)), PMT('Amort. Sched.-BASE'!$W$8/12, 'Amort. Sched.-BASE'!$AA$7, 'Amort. Sched.-BASE'!$W$7), 0)</f>
        <v>0</v>
      </c>
      <c r="W19" s="5">
        <f>IF(AND(U19&gt;='Amort. Sched.-BASE'!$AA$8, U19&lt;= ($AA$7+$AA$8)), (IPMT($W$8/12, (U19-$AA$8), $AA$7, $W$7)), 0)</f>
        <v>0</v>
      </c>
      <c r="X19" s="5">
        <f>IF(AND(U19&gt;='Amort. Sched.-BASE'!$AA$8, U19&lt;= ($AA$7+$AA$8)), (PPMT($W$8/12, (U19-$AA$8), $AA$7, $W$7)), 0)</f>
        <v>0</v>
      </c>
      <c r="Y19" s="5">
        <f>IF(CreditAmort2BASE[[#This Row],[Month]]=AA$8,W$7,0)</f>
        <v>0</v>
      </c>
      <c r="Z19" s="13">
        <f>IF(AND(U19&gt;='Amort. Sched.-BASE'!$AA$8, U19&lt;= ($AA$7+$AA$8)), Z18+X19, 0)</f>
        <v>0</v>
      </c>
      <c r="AA19" s="6" t="str">
        <f>IF(AND(U19&gt;='Amort. Sched.-BASE'!$AA$8, U19&lt;= ($AA$7+$AA$8)), W19/V19, " ")</f>
        <v xml:space="preserve"> </v>
      </c>
      <c r="AB19" s="21" t="str">
        <f>IF(AND(U19&gt;='Amort. Sched.-BASE'!$AA$8, U19&lt;= ($AA$7+$AA$8)), X19/V19, " ")</f>
        <v xml:space="preserve"> </v>
      </c>
      <c r="AD19" s="20">
        <f t="shared" si="3"/>
        <v>8</v>
      </c>
      <c r="AE19" s="5">
        <f t="shared" si="4"/>
        <v>0</v>
      </c>
      <c r="AF19" s="5">
        <f t="shared" si="5"/>
        <v>0</v>
      </c>
      <c r="AG19" s="5">
        <f t="shared" si="6"/>
        <v>0</v>
      </c>
      <c r="AH19" s="5">
        <f>IF(CreditAmort3BASE[[#This Row],[Month]]=AJ$8,AF$7,0)</f>
        <v>0</v>
      </c>
      <c r="AI19" s="13">
        <f t="shared" si="7"/>
        <v>0</v>
      </c>
      <c r="AJ19" s="6" t="str">
        <f t="shared" si="8"/>
        <v xml:space="preserve"> </v>
      </c>
      <c r="AK19" s="21" t="str">
        <f t="shared" si="9"/>
        <v xml:space="preserve"> </v>
      </c>
      <c r="AM19" s="20">
        <f t="shared" si="10"/>
        <v>8</v>
      </c>
      <c r="AN19" s="5">
        <f t="shared" si="11"/>
        <v>0</v>
      </c>
      <c r="AO19" s="5">
        <f t="shared" si="12"/>
        <v>0</v>
      </c>
      <c r="AP19" s="5">
        <f t="shared" si="13"/>
        <v>0</v>
      </c>
      <c r="AQ19" s="5">
        <f>IF(CreditAmort4BASE[[#This Row],[Month]]=AS$8,AO$7,0)</f>
        <v>0</v>
      </c>
      <c r="AR19" s="13">
        <f t="shared" si="14"/>
        <v>0</v>
      </c>
      <c r="AS19" s="6" t="str">
        <f t="shared" si="15"/>
        <v xml:space="preserve"> </v>
      </c>
      <c r="AT19" s="21" t="str">
        <f t="shared" si="16"/>
        <v xml:space="preserve"> </v>
      </c>
    </row>
    <row r="20" spans="3:46">
      <c r="C20" s="22">
        <f t="shared" si="1"/>
        <v>9</v>
      </c>
      <c r="D20" s="23">
        <f>IF(AND(C20&gt;='Amort. Sched.-BASE'!$I$8, C20&lt;= ($I$7+$I$8)), PMT('Amort. Sched.-BASE'!$E$8/12, 'Amort. Sched.-BASE'!$I$7, 'Amort. Sched.-BASE'!$E$7), 0)</f>
        <v>-1736.5864935892569</v>
      </c>
      <c r="E20" s="5">
        <f>IF(AND(C20&gt;='Amort. Sched.-BASE'!$I$8, C20&lt;= ($I$7+$I$8)), (IPMT($E$8/12, (C20-$I$8), $I$7, $E$7)), 0)</f>
        <v>-1487.0836764561138</v>
      </c>
      <c r="F20" s="23">
        <f>IF(AND(C20&gt;='Amort. Sched.-BASE'!$I$8, C20&lt;= ($I$7+$I$8)), (PPMT($E$8/12, (C20-$I$8), $I$7, $E$7)), 0)</f>
        <v>-249.50281713314311</v>
      </c>
      <c r="G20" s="5">
        <f>IF(MortgageAmortBASE[[#This Row],[Month]]=I$8,E$7,0)</f>
        <v>0</v>
      </c>
      <c r="H20" s="13">
        <f>IF(AND(C20&gt;='Amort. Sched.-BASE'!$I$8, C20&lt;= ($I$7+$I$8)), H19+F20, 0)</f>
        <v>222813.0486512839</v>
      </c>
      <c r="I20" s="24">
        <f>IF(AND(C20&gt;='Amort. Sched.-BASE'!$I$8, C20&lt;= ($I$7+$I$8)), E20/D20, " ")</f>
        <v>0.85632571826730086</v>
      </c>
      <c r="J20" s="25">
        <f>IF(AND(C20&gt;='Amort. Sched.-BASE'!$I$8, C20&lt;= ($I$7+$I$8)), F20/D20, " ")</f>
        <v>0.14367428173269919</v>
      </c>
      <c r="L20" s="20">
        <f t="shared" si="0"/>
        <v>9</v>
      </c>
      <c r="M20" s="5">
        <f>IF(AND(L20&gt;='Amort. Sched.-BASE'!$R$8, L20&lt;= ($R$7+$R$8)), PMT('Amort. Sched.-BASE'!$N$8/12, 'Amort. Sched.-BASE'!$R$7, 'Amort. Sched.-BASE'!$N$7), 0)</f>
        <v>0</v>
      </c>
      <c r="N20" s="5">
        <f>IF(AND(L20&gt;='Amort. Sched.-BASE'!$R$8, L20&lt;= ($R$7+$R$8)), (IPMT($N$8/12, (L20-$R$8), $R$7, $N$7)), 0)</f>
        <v>0</v>
      </c>
      <c r="O20" s="5">
        <f>IF(AND(L20&gt;='Amort. Sched.-BASE'!$R$8, L20&lt;= ($R$7+$R$8)), (PPMT($N$8/12, (L20-$R$8), $R$7, $N$7)), 0)</f>
        <v>0</v>
      </c>
      <c r="P20" s="5">
        <f>IF(CreditAmort1BASE[[#This Row],[Month]]=R$8,N$7,0)</f>
        <v>0</v>
      </c>
      <c r="Q20" s="13">
        <f>IF(AND(L20&gt;='Amort. Sched.-BASE'!$R$8, L20&lt;= ($R$7+$R$8)), Q19+O20, 0)</f>
        <v>0</v>
      </c>
      <c r="R20" s="6" t="str">
        <f>IF(AND(L20&gt;='Amort. Sched.-BASE'!$R$8, L20&lt;= ($R$7+$R$8)), N20/M20, " ")</f>
        <v xml:space="preserve"> </v>
      </c>
      <c r="S20" s="21" t="str">
        <f>IF(AND(L20&gt;='Amort. Sched.-BASE'!$R$8, L20&lt;= ($R$7+$R$8)), O20/M20, " ")</f>
        <v xml:space="preserve"> </v>
      </c>
      <c r="U20" s="20">
        <f t="shared" si="2"/>
        <v>9</v>
      </c>
      <c r="V20" s="5">
        <f>IF(AND(U20&gt;='Amort. Sched.-BASE'!$AA$8, U20&lt;= ($AA$7+$AA$8)), PMT('Amort. Sched.-BASE'!$W$8/12, 'Amort. Sched.-BASE'!$AA$7, 'Amort. Sched.-BASE'!$W$7), 0)</f>
        <v>0</v>
      </c>
      <c r="W20" s="5">
        <f>IF(AND(U20&gt;='Amort. Sched.-BASE'!$AA$8, U20&lt;= ($AA$7+$AA$8)), (IPMT($W$8/12, (U20-$AA$8), $AA$7, $W$7)), 0)</f>
        <v>0</v>
      </c>
      <c r="X20" s="5">
        <f>IF(AND(U20&gt;='Amort. Sched.-BASE'!$AA$8, U20&lt;= ($AA$7+$AA$8)), (PPMT($W$8/12, (U20-$AA$8), $AA$7, $W$7)), 0)</f>
        <v>0</v>
      </c>
      <c r="Y20" s="5">
        <f>IF(CreditAmort2BASE[[#This Row],[Month]]=AA$8,W$7,0)</f>
        <v>0</v>
      </c>
      <c r="Z20" s="13">
        <f>IF(AND(U20&gt;='Amort. Sched.-BASE'!$AA$8, U20&lt;= ($AA$7+$AA$8)), Z19+X20, 0)</f>
        <v>0</v>
      </c>
      <c r="AA20" s="6" t="str">
        <f>IF(AND(U20&gt;='Amort. Sched.-BASE'!$AA$8, U20&lt;= ($AA$7+$AA$8)), W20/V20, " ")</f>
        <v xml:space="preserve"> </v>
      </c>
      <c r="AB20" s="21" t="str">
        <f>IF(AND(U20&gt;='Amort. Sched.-BASE'!$AA$8, U20&lt;= ($AA$7+$AA$8)), X20/V20, " ")</f>
        <v xml:space="preserve"> </v>
      </c>
      <c r="AD20" s="20">
        <f t="shared" si="3"/>
        <v>9</v>
      </c>
      <c r="AE20" s="5">
        <f t="shared" si="4"/>
        <v>0</v>
      </c>
      <c r="AF20" s="5">
        <f t="shared" si="5"/>
        <v>0</v>
      </c>
      <c r="AG20" s="5">
        <f t="shared" si="6"/>
        <v>0</v>
      </c>
      <c r="AH20" s="5">
        <f>IF(CreditAmort3BASE[[#This Row],[Month]]=AJ$8,AF$7,0)</f>
        <v>0</v>
      </c>
      <c r="AI20" s="13">
        <f t="shared" si="7"/>
        <v>0</v>
      </c>
      <c r="AJ20" s="6" t="str">
        <f t="shared" si="8"/>
        <v xml:space="preserve"> </v>
      </c>
      <c r="AK20" s="21" t="str">
        <f t="shared" si="9"/>
        <v xml:space="preserve"> </v>
      </c>
      <c r="AM20" s="20">
        <f t="shared" si="10"/>
        <v>9</v>
      </c>
      <c r="AN20" s="5">
        <f t="shared" si="11"/>
        <v>0</v>
      </c>
      <c r="AO20" s="5">
        <f t="shared" si="12"/>
        <v>0</v>
      </c>
      <c r="AP20" s="5">
        <f t="shared" si="13"/>
        <v>0</v>
      </c>
      <c r="AQ20" s="5">
        <f>IF(CreditAmort4BASE[[#This Row],[Month]]=AS$8,AO$7,0)</f>
        <v>0</v>
      </c>
      <c r="AR20" s="13">
        <f t="shared" si="14"/>
        <v>0</v>
      </c>
      <c r="AS20" s="6" t="str">
        <f t="shared" si="15"/>
        <v xml:space="preserve"> </v>
      </c>
      <c r="AT20" s="21" t="str">
        <f t="shared" si="16"/>
        <v xml:space="preserve"> </v>
      </c>
    </row>
    <row r="21" spans="3:46">
      <c r="C21" s="22">
        <f t="shared" si="1"/>
        <v>10</v>
      </c>
      <c r="D21" s="23">
        <f>IF(AND(C21&gt;='Amort. Sched.-BASE'!$I$8, C21&lt;= ($I$7+$I$8)), PMT('Amort. Sched.-BASE'!$E$8/12, 'Amort. Sched.-BASE'!$I$7, 'Amort. Sched.-BASE'!$E$7), 0)</f>
        <v>-1736.5864935892569</v>
      </c>
      <c r="E21" s="5">
        <f>IF(AND(C21&gt;='Amort. Sched.-BASE'!$I$8, C21&lt;= ($I$7+$I$8)), (IPMT($E$8/12, (C21-$I$8), $I$7, $E$7)), 0)</f>
        <v>-1485.4203243418929</v>
      </c>
      <c r="F21" s="23">
        <f>IF(AND(C21&gt;='Amort. Sched.-BASE'!$I$8, C21&lt;= ($I$7+$I$8)), (PPMT($E$8/12, (C21-$I$8), $I$7, $E$7)), 0)</f>
        <v>-251.16616924736414</v>
      </c>
      <c r="G21" s="5">
        <f>IF(MortgageAmortBASE[[#This Row],[Month]]=I$8,E$7,0)</f>
        <v>0</v>
      </c>
      <c r="H21" s="13">
        <f>IF(AND(C21&gt;='Amort. Sched.-BASE'!$I$8, C21&lt;= ($I$7+$I$8)), H20+F21, 0)</f>
        <v>222561.88248203654</v>
      </c>
      <c r="I21" s="24">
        <f>IF(AND(C21&gt;='Amort. Sched.-BASE'!$I$8, C21&lt;= ($I$7+$I$8)), E21/D21, " ")</f>
        <v>0.85536788972241617</v>
      </c>
      <c r="J21" s="25">
        <f>IF(AND(C21&gt;='Amort. Sched.-BASE'!$I$8, C21&lt;= ($I$7+$I$8)), F21/D21, " ")</f>
        <v>0.14463211027758391</v>
      </c>
      <c r="L21" s="20">
        <f t="shared" si="0"/>
        <v>10</v>
      </c>
      <c r="M21" s="5">
        <f>IF(AND(L21&gt;='Amort. Sched.-BASE'!$R$8, L21&lt;= ($R$7+$R$8)), PMT('Amort. Sched.-BASE'!$N$8/12, 'Amort. Sched.-BASE'!$R$7, 'Amort. Sched.-BASE'!$N$7), 0)</f>
        <v>0</v>
      </c>
      <c r="N21" s="5">
        <f>IF(AND(L21&gt;='Amort. Sched.-BASE'!$R$8, L21&lt;= ($R$7+$R$8)), (IPMT($N$8/12, (L21-$R$8), $R$7, $N$7)), 0)</f>
        <v>0</v>
      </c>
      <c r="O21" s="5">
        <f>IF(AND(L21&gt;='Amort. Sched.-BASE'!$R$8, L21&lt;= ($R$7+$R$8)), (PPMT($N$8/12, (L21-$R$8), $R$7, $N$7)), 0)</f>
        <v>0</v>
      </c>
      <c r="P21" s="5">
        <f>IF(CreditAmort1BASE[[#This Row],[Month]]=R$8,N$7,0)</f>
        <v>0</v>
      </c>
      <c r="Q21" s="13">
        <f>IF(AND(L21&gt;='Amort. Sched.-BASE'!$R$8, L21&lt;= ($R$7+$R$8)), Q20+O21, 0)</f>
        <v>0</v>
      </c>
      <c r="R21" s="6" t="str">
        <f>IF(AND(L21&gt;='Amort. Sched.-BASE'!$R$8, L21&lt;= ($R$7+$R$8)), N21/M21, " ")</f>
        <v xml:space="preserve"> </v>
      </c>
      <c r="S21" s="21" t="str">
        <f>IF(AND(L21&gt;='Amort. Sched.-BASE'!$R$8, L21&lt;= ($R$7+$R$8)), O21/M21, " ")</f>
        <v xml:space="preserve"> </v>
      </c>
      <c r="U21" s="20">
        <f t="shared" si="2"/>
        <v>10</v>
      </c>
      <c r="V21" s="5">
        <f>IF(AND(U21&gt;='Amort. Sched.-BASE'!$AA$8, U21&lt;= ($AA$7+$AA$8)), PMT('Amort. Sched.-BASE'!$W$8/12, 'Amort. Sched.-BASE'!$AA$7, 'Amort. Sched.-BASE'!$W$7), 0)</f>
        <v>0</v>
      </c>
      <c r="W21" s="5">
        <f>IF(AND(U21&gt;='Amort. Sched.-BASE'!$AA$8, U21&lt;= ($AA$7+$AA$8)), (IPMT($W$8/12, (U21-$AA$8), $AA$7, $W$7)), 0)</f>
        <v>0</v>
      </c>
      <c r="X21" s="5">
        <f>IF(AND(U21&gt;='Amort. Sched.-BASE'!$AA$8, U21&lt;= ($AA$7+$AA$8)), (PPMT($W$8/12, (U21-$AA$8), $AA$7, $W$7)), 0)</f>
        <v>0</v>
      </c>
      <c r="Y21" s="5">
        <f>IF(CreditAmort2BASE[[#This Row],[Month]]=AA$8,W$7,0)</f>
        <v>0</v>
      </c>
      <c r="Z21" s="13">
        <f>IF(AND(U21&gt;='Amort. Sched.-BASE'!$AA$8, U21&lt;= ($AA$7+$AA$8)), Z20+X21, 0)</f>
        <v>0</v>
      </c>
      <c r="AA21" s="6" t="str">
        <f>IF(AND(U21&gt;='Amort. Sched.-BASE'!$AA$8, U21&lt;= ($AA$7+$AA$8)), W21/V21, " ")</f>
        <v xml:space="preserve"> </v>
      </c>
      <c r="AB21" s="21" t="str">
        <f>IF(AND(U21&gt;='Amort. Sched.-BASE'!$AA$8, U21&lt;= ($AA$7+$AA$8)), X21/V21, " ")</f>
        <v xml:space="preserve"> </v>
      </c>
      <c r="AD21" s="20">
        <f t="shared" si="3"/>
        <v>10</v>
      </c>
      <c r="AE21" s="5">
        <f t="shared" si="4"/>
        <v>0</v>
      </c>
      <c r="AF21" s="5">
        <f t="shared" si="5"/>
        <v>0</v>
      </c>
      <c r="AG21" s="5">
        <f t="shared" si="6"/>
        <v>0</v>
      </c>
      <c r="AH21" s="5">
        <f>IF(CreditAmort3BASE[[#This Row],[Month]]=AJ$8,AF$7,0)</f>
        <v>0</v>
      </c>
      <c r="AI21" s="13">
        <f t="shared" si="7"/>
        <v>0</v>
      </c>
      <c r="AJ21" s="6" t="str">
        <f t="shared" si="8"/>
        <v xml:space="preserve"> </v>
      </c>
      <c r="AK21" s="21" t="str">
        <f t="shared" si="9"/>
        <v xml:space="preserve"> </v>
      </c>
      <c r="AM21" s="20">
        <f t="shared" si="10"/>
        <v>10</v>
      </c>
      <c r="AN21" s="5">
        <f t="shared" si="11"/>
        <v>0</v>
      </c>
      <c r="AO21" s="5">
        <f t="shared" si="12"/>
        <v>0</v>
      </c>
      <c r="AP21" s="5">
        <f t="shared" si="13"/>
        <v>0</v>
      </c>
      <c r="AQ21" s="5">
        <f>IF(CreditAmort4BASE[[#This Row],[Month]]=AS$8,AO$7,0)</f>
        <v>0</v>
      </c>
      <c r="AR21" s="13">
        <f t="shared" si="14"/>
        <v>0</v>
      </c>
      <c r="AS21" s="6" t="str">
        <f t="shared" si="15"/>
        <v xml:space="preserve"> </v>
      </c>
      <c r="AT21" s="21" t="str">
        <f t="shared" si="16"/>
        <v xml:space="preserve"> </v>
      </c>
    </row>
    <row r="22" spans="3:46">
      <c r="C22" s="22">
        <f t="shared" si="1"/>
        <v>11</v>
      </c>
      <c r="D22" s="23">
        <f>IF(AND(C22&gt;='Amort. Sched.-BASE'!$I$8, C22&lt;= ($I$7+$I$8)), PMT('Amort. Sched.-BASE'!$E$8/12, 'Amort. Sched.-BASE'!$I$7, 'Amort. Sched.-BASE'!$E$7), 0)</f>
        <v>-1736.5864935892569</v>
      </c>
      <c r="E22" s="5">
        <f>IF(AND(C22&gt;='Amort. Sched.-BASE'!$I$8, C22&lt;= ($I$7+$I$8)), (IPMT($E$8/12, (C22-$I$8), $I$7, $E$7)), 0)</f>
        <v>-1483.7458832135771</v>
      </c>
      <c r="F22" s="23">
        <f>IF(AND(C22&gt;='Amort. Sched.-BASE'!$I$8, C22&lt;= ($I$7+$I$8)), (PPMT($E$8/12, (C22-$I$8), $I$7, $E$7)), 0)</f>
        <v>-252.84061037567983</v>
      </c>
      <c r="G22" s="5">
        <f>IF(MortgageAmortBASE[[#This Row],[Month]]=I$8,E$7,0)</f>
        <v>0</v>
      </c>
      <c r="H22" s="13">
        <f>IF(AND(C22&gt;='Amort. Sched.-BASE'!$I$8, C22&lt;= ($I$7+$I$8)), H21+F22, 0)</f>
        <v>222309.04187166085</v>
      </c>
      <c r="I22" s="24">
        <f>IF(AND(C22&gt;='Amort. Sched.-BASE'!$I$8, C22&lt;= ($I$7+$I$8)), E22/D22, " ")</f>
        <v>0.85440367565389896</v>
      </c>
      <c r="J22" s="25">
        <f>IF(AND(C22&gt;='Amort. Sched.-BASE'!$I$8, C22&lt;= ($I$7+$I$8)), F22/D22, " ")</f>
        <v>0.14559632434610109</v>
      </c>
      <c r="L22" s="20">
        <f t="shared" si="0"/>
        <v>11</v>
      </c>
      <c r="M22" s="5">
        <f>IF(AND(L22&gt;='Amort. Sched.-BASE'!$R$8, L22&lt;= ($R$7+$R$8)), PMT('Amort. Sched.-BASE'!$N$8/12, 'Amort. Sched.-BASE'!$R$7, 'Amort. Sched.-BASE'!$N$7), 0)</f>
        <v>0</v>
      </c>
      <c r="N22" s="5">
        <f>IF(AND(L22&gt;='Amort. Sched.-BASE'!$R$8, L22&lt;= ($R$7+$R$8)), (IPMT($N$8/12, (L22-$R$8), $R$7, $N$7)), 0)</f>
        <v>0</v>
      </c>
      <c r="O22" s="5">
        <f>IF(AND(L22&gt;='Amort. Sched.-BASE'!$R$8, L22&lt;= ($R$7+$R$8)), (PPMT($N$8/12, (L22-$R$8), $R$7, $N$7)), 0)</f>
        <v>0</v>
      </c>
      <c r="P22" s="5">
        <f>IF(CreditAmort1BASE[[#This Row],[Month]]=R$8,N$7,0)</f>
        <v>0</v>
      </c>
      <c r="Q22" s="13">
        <f>IF(AND(L22&gt;='Amort. Sched.-BASE'!$R$8, L22&lt;= ($R$7+$R$8)), Q21+O22, 0)</f>
        <v>0</v>
      </c>
      <c r="R22" s="6" t="str">
        <f>IF(AND(L22&gt;='Amort. Sched.-BASE'!$R$8, L22&lt;= ($R$7+$R$8)), N22/M22, " ")</f>
        <v xml:space="preserve"> </v>
      </c>
      <c r="S22" s="21" t="str">
        <f>IF(AND(L22&gt;='Amort. Sched.-BASE'!$R$8, L22&lt;= ($R$7+$R$8)), O22/M22, " ")</f>
        <v xml:space="preserve"> </v>
      </c>
      <c r="U22" s="20">
        <f t="shared" si="2"/>
        <v>11</v>
      </c>
      <c r="V22" s="5">
        <f>IF(AND(U22&gt;='Amort. Sched.-BASE'!$AA$8, U22&lt;= ($AA$7+$AA$8)), PMT('Amort. Sched.-BASE'!$W$8/12, 'Amort. Sched.-BASE'!$AA$7, 'Amort. Sched.-BASE'!$W$7), 0)</f>
        <v>0</v>
      </c>
      <c r="W22" s="5">
        <f>IF(AND(U22&gt;='Amort. Sched.-BASE'!$AA$8, U22&lt;= ($AA$7+$AA$8)), (IPMT($W$8/12, (U22-$AA$8), $AA$7, $W$7)), 0)</f>
        <v>0</v>
      </c>
      <c r="X22" s="5">
        <f>IF(AND(U22&gt;='Amort. Sched.-BASE'!$AA$8, U22&lt;= ($AA$7+$AA$8)), (PPMT($W$8/12, (U22-$AA$8), $AA$7, $W$7)), 0)</f>
        <v>0</v>
      </c>
      <c r="Y22" s="5">
        <f>IF(CreditAmort2BASE[[#This Row],[Month]]=AA$8,W$7,0)</f>
        <v>0</v>
      </c>
      <c r="Z22" s="13">
        <f>IF(AND(U22&gt;='Amort. Sched.-BASE'!$AA$8, U22&lt;= ($AA$7+$AA$8)), Z21+X22, 0)</f>
        <v>0</v>
      </c>
      <c r="AA22" s="6" t="str">
        <f>IF(AND(U22&gt;='Amort. Sched.-BASE'!$AA$8, U22&lt;= ($AA$7+$AA$8)), W22/V22, " ")</f>
        <v xml:space="preserve"> </v>
      </c>
      <c r="AB22" s="21" t="str">
        <f>IF(AND(U22&gt;='Amort. Sched.-BASE'!$AA$8, U22&lt;= ($AA$7+$AA$8)), X22/V22, " ")</f>
        <v xml:space="preserve"> </v>
      </c>
      <c r="AD22" s="20">
        <f t="shared" si="3"/>
        <v>11</v>
      </c>
      <c r="AE22" s="5">
        <f t="shared" si="4"/>
        <v>0</v>
      </c>
      <c r="AF22" s="5">
        <f t="shared" si="5"/>
        <v>0</v>
      </c>
      <c r="AG22" s="5">
        <f t="shared" si="6"/>
        <v>0</v>
      </c>
      <c r="AH22" s="5">
        <f>IF(CreditAmort3BASE[[#This Row],[Month]]=AJ$8,AF$7,0)</f>
        <v>0</v>
      </c>
      <c r="AI22" s="13">
        <f t="shared" si="7"/>
        <v>0</v>
      </c>
      <c r="AJ22" s="6" t="str">
        <f t="shared" si="8"/>
        <v xml:space="preserve"> </v>
      </c>
      <c r="AK22" s="21" t="str">
        <f t="shared" si="9"/>
        <v xml:space="preserve"> </v>
      </c>
      <c r="AM22" s="20">
        <f t="shared" si="10"/>
        <v>11</v>
      </c>
      <c r="AN22" s="5">
        <f t="shared" si="11"/>
        <v>0</v>
      </c>
      <c r="AO22" s="5">
        <f t="shared" si="12"/>
        <v>0</v>
      </c>
      <c r="AP22" s="5">
        <f t="shared" si="13"/>
        <v>0</v>
      </c>
      <c r="AQ22" s="5">
        <f>IF(CreditAmort4BASE[[#This Row],[Month]]=AS$8,AO$7,0)</f>
        <v>0</v>
      </c>
      <c r="AR22" s="13">
        <f t="shared" si="14"/>
        <v>0</v>
      </c>
      <c r="AS22" s="6" t="str">
        <f t="shared" si="15"/>
        <v xml:space="preserve"> </v>
      </c>
      <c r="AT22" s="21" t="str">
        <f t="shared" si="16"/>
        <v xml:space="preserve"> </v>
      </c>
    </row>
    <row r="23" spans="3:46">
      <c r="C23" s="22">
        <f t="shared" si="1"/>
        <v>12</v>
      </c>
      <c r="D23" s="23">
        <f>IF(AND(C23&gt;='Amort. Sched.-BASE'!$I$8, C23&lt;= ($I$7+$I$8)), PMT('Amort. Sched.-BASE'!$E$8/12, 'Amort. Sched.-BASE'!$I$7, 'Amort. Sched.-BASE'!$E$7), 0)</f>
        <v>-1736.5864935892569</v>
      </c>
      <c r="E23" s="5">
        <f>IF(AND(C23&gt;='Amort. Sched.-BASE'!$I$8, C23&lt;= ($I$7+$I$8)), (IPMT($E$8/12, (C23-$I$8), $I$7, $E$7)), 0)</f>
        <v>-1482.060279144406</v>
      </c>
      <c r="F23" s="23">
        <f>IF(AND(C23&gt;='Amort. Sched.-BASE'!$I$8, C23&lt;= ($I$7+$I$8)), (PPMT($E$8/12, (C23-$I$8), $I$7, $E$7)), 0)</f>
        <v>-254.52621444485109</v>
      </c>
      <c r="G23" s="5">
        <f>IF(MortgageAmortBASE[[#This Row],[Month]]=I$8,E$7,0)</f>
        <v>0</v>
      </c>
      <c r="H23" s="13">
        <f>IF(AND(C23&gt;='Amort. Sched.-BASE'!$I$8, C23&lt;= ($I$7+$I$8)), H22+F23, 0)</f>
        <v>222054.51565721599</v>
      </c>
      <c r="I23" s="24">
        <f>IF(AND(C23&gt;='Amort. Sched.-BASE'!$I$8, C23&lt;= ($I$7+$I$8)), E23/D23, " ")</f>
        <v>0.85343303349159161</v>
      </c>
      <c r="J23" s="25">
        <f>IF(AND(C23&gt;='Amort. Sched.-BASE'!$I$8, C23&lt;= ($I$7+$I$8)), F23/D23, " ")</f>
        <v>0.14656696650840845</v>
      </c>
      <c r="L23" s="20">
        <f t="shared" si="0"/>
        <v>12</v>
      </c>
      <c r="M23" s="5">
        <f>IF(AND(L23&gt;='Amort. Sched.-BASE'!$R$8, L23&lt;= ($R$7+$R$8)), PMT('Amort. Sched.-BASE'!$N$8/12, 'Amort. Sched.-BASE'!$R$7, 'Amort. Sched.-BASE'!$N$7), 0)</f>
        <v>0</v>
      </c>
      <c r="N23" s="5">
        <f>IF(AND(L23&gt;='Amort. Sched.-BASE'!$R$8, L23&lt;= ($R$7+$R$8)), (IPMT($N$8/12, (L23-$R$8), $R$7, $N$7)), 0)</f>
        <v>0</v>
      </c>
      <c r="O23" s="5">
        <f>IF(AND(L23&gt;='Amort. Sched.-BASE'!$R$8, L23&lt;= ($R$7+$R$8)), (PPMT($N$8/12, (L23-$R$8), $R$7, $N$7)), 0)</f>
        <v>0</v>
      </c>
      <c r="P23" s="5">
        <f>IF(CreditAmort1BASE[[#This Row],[Month]]=R$8,N$7,0)</f>
        <v>0</v>
      </c>
      <c r="Q23" s="13">
        <f>IF(AND(L23&gt;='Amort. Sched.-BASE'!$R$8, L23&lt;= ($R$7+$R$8)), Q22+O23, 0)</f>
        <v>0</v>
      </c>
      <c r="R23" s="6" t="str">
        <f>IF(AND(L23&gt;='Amort. Sched.-BASE'!$R$8, L23&lt;= ($R$7+$R$8)), N23/M23, " ")</f>
        <v xml:space="preserve"> </v>
      </c>
      <c r="S23" s="21" t="str">
        <f>IF(AND(L23&gt;='Amort. Sched.-BASE'!$R$8, L23&lt;= ($R$7+$R$8)), O23/M23, " ")</f>
        <v xml:space="preserve"> </v>
      </c>
      <c r="U23" s="20">
        <f t="shared" si="2"/>
        <v>12</v>
      </c>
      <c r="V23" s="5">
        <f>IF(AND(U23&gt;='Amort. Sched.-BASE'!$AA$8, U23&lt;= ($AA$7+$AA$8)), PMT('Amort. Sched.-BASE'!$W$8/12, 'Amort. Sched.-BASE'!$AA$7, 'Amort. Sched.-BASE'!$W$7), 0)</f>
        <v>0</v>
      </c>
      <c r="W23" s="5">
        <f>IF(AND(U23&gt;='Amort. Sched.-BASE'!$AA$8, U23&lt;= ($AA$7+$AA$8)), (IPMT($W$8/12, (U23-$AA$8), $AA$7, $W$7)), 0)</f>
        <v>0</v>
      </c>
      <c r="X23" s="5">
        <f>IF(AND(U23&gt;='Amort. Sched.-BASE'!$AA$8, U23&lt;= ($AA$7+$AA$8)), (PPMT($W$8/12, (U23-$AA$8), $AA$7, $W$7)), 0)</f>
        <v>0</v>
      </c>
      <c r="Y23" s="5">
        <f>IF(CreditAmort2BASE[[#This Row],[Month]]=AA$8,W$7,0)</f>
        <v>0</v>
      </c>
      <c r="Z23" s="13">
        <f>IF(AND(U23&gt;='Amort. Sched.-BASE'!$AA$8, U23&lt;= ($AA$7+$AA$8)), Z22+X23, 0)</f>
        <v>0</v>
      </c>
      <c r="AA23" s="6" t="str">
        <f>IF(AND(U23&gt;='Amort. Sched.-BASE'!$AA$8, U23&lt;= ($AA$7+$AA$8)), W23/V23, " ")</f>
        <v xml:space="preserve"> </v>
      </c>
      <c r="AB23" s="21" t="str">
        <f>IF(AND(U23&gt;='Amort. Sched.-BASE'!$AA$8, U23&lt;= ($AA$7+$AA$8)), X23/V23, " ")</f>
        <v xml:space="preserve"> </v>
      </c>
      <c r="AD23" s="20">
        <f t="shared" si="3"/>
        <v>12</v>
      </c>
      <c r="AE23" s="5">
        <f t="shared" si="4"/>
        <v>0</v>
      </c>
      <c r="AF23" s="5">
        <f t="shared" si="5"/>
        <v>0</v>
      </c>
      <c r="AG23" s="5">
        <f t="shared" si="6"/>
        <v>0</v>
      </c>
      <c r="AH23" s="5">
        <f>IF(CreditAmort3BASE[[#This Row],[Month]]=AJ$8,AF$7,0)</f>
        <v>0</v>
      </c>
      <c r="AI23" s="13">
        <f t="shared" si="7"/>
        <v>0</v>
      </c>
      <c r="AJ23" s="6" t="str">
        <f t="shared" si="8"/>
        <v xml:space="preserve"> </v>
      </c>
      <c r="AK23" s="21" t="str">
        <f t="shared" si="9"/>
        <v xml:space="preserve"> </v>
      </c>
      <c r="AM23" s="20">
        <f t="shared" si="10"/>
        <v>12</v>
      </c>
      <c r="AN23" s="5">
        <f t="shared" si="11"/>
        <v>0</v>
      </c>
      <c r="AO23" s="5">
        <f t="shared" si="12"/>
        <v>0</v>
      </c>
      <c r="AP23" s="5">
        <f t="shared" si="13"/>
        <v>0</v>
      </c>
      <c r="AQ23" s="5">
        <f>IF(CreditAmort4BASE[[#This Row],[Month]]=AS$8,AO$7,0)</f>
        <v>0</v>
      </c>
      <c r="AR23" s="13">
        <f t="shared" si="14"/>
        <v>0</v>
      </c>
      <c r="AS23" s="6" t="str">
        <f t="shared" si="15"/>
        <v xml:space="preserve"> </v>
      </c>
      <c r="AT23" s="21" t="str">
        <f t="shared" si="16"/>
        <v xml:space="preserve"> </v>
      </c>
    </row>
    <row r="24" spans="3:46">
      <c r="C24" s="22">
        <f t="shared" si="1"/>
        <v>13</v>
      </c>
      <c r="D24" s="23">
        <f>IF(AND(C24&gt;='Amort. Sched.-BASE'!$I$8, C24&lt;= ($I$7+$I$8)), PMT('Amort. Sched.-BASE'!$E$8/12, 'Amort. Sched.-BASE'!$I$7, 'Amort. Sched.-BASE'!$E$7), 0)</f>
        <v>-1736.5864935892569</v>
      </c>
      <c r="E24" s="5">
        <f>IF(AND(C24&gt;='Amort. Sched.-BASE'!$I$8, C24&lt;= ($I$7+$I$8)), (IPMT($E$8/12, (C24-$I$8), $I$7, $E$7)), 0)</f>
        <v>-1480.3634377147735</v>
      </c>
      <c r="F24" s="23">
        <f>IF(AND(C24&gt;='Amort. Sched.-BASE'!$I$8, C24&lt;= ($I$7+$I$8)), (PPMT($E$8/12, (C24-$I$8), $I$7, $E$7)), 0)</f>
        <v>-256.22305587448341</v>
      </c>
      <c r="G24" s="5">
        <f>IF(MortgageAmortBASE[[#This Row],[Month]]=I$8,E$7,0)</f>
        <v>0</v>
      </c>
      <c r="H24" s="13">
        <f>IF(AND(C24&gt;='Amort. Sched.-BASE'!$I$8, C24&lt;= ($I$7+$I$8)), H23+F24, 0)</f>
        <v>221798.2926013415</v>
      </c>
      <c r="I24" s="24">
        <f>IF(AND(C24&gt;='Amort. Sched.-BASE'!$I$8, C24&lt;= ($I$7+$I$8)), E24/D24, " ")</f>
        <v>0.8524559203815355</v>
      </c>
      <c r="J24" s="25">
        <f>IF(AND(C24&gt;='Amort. Sched.-BASE'!$I$8, C24&lt;= ($I$7+$I$8)), F24/D24, " ")</f>
        <v>0.1475440796184645</v>
      </c>
      <c r="L24" s="20">
        <f t="shared" si="0"/>
        <v>13</v>
      </c>
      <c r="M24" s="5">
        <f>IF(AND(L24&gt;='Amort. Sched.-BASE'!$R$8, L24&lt;= ($R$7+$R$8)), PMT('Amort. Sched.-BASE'!$N$8/12, 'Amort. Sched.-BASE'!$R$7, 'Amort. Sched.-BASE'!$N$7), 0)</f>
        <v>0</v>
      </c>
      <c r="N24" s="5">
        <f>IF(AND(L24&gt;='Amort. Sched.-BASE'!$R$8, L24&lt;= ($R$7+$R$8)), (IPMT($N$8/12, (L24-$R$8), $R$7, $N$7)), 0)</f>
        <v>0</v>
      </c>
      <c r="O24" s="5">
        <f>IF(AND(L24&gt;='Amort. Sched.-BASE'!$R$8, L24&lt;= ($R$7+$R$8)), (PPMT($N$8/12, (L24-$R$8), $R$7, $N$7)), 0)</f>
        <v>0</v>
      </c>
      <c r="P24" s="5">
        <f>IF(CreditAmort1BASE[[#This Row],[Month]]=R$8,N$7,0)</f>
        <v>0</v>
      </c>
      <c r="Q24" s="13">
        <f>IF(AND(L24&gt;='Amort. Sched.-BASE'!$R$8, L24&lt;= ($R$7+$R$8)), Q23+O24, 0)</f>
        <v>0</v>
      </c>
      <c r="R24" s="6" t="str">
        <f>IF(AND(L24&gt;='Amort. Sched.-BASE'!$R$8, L24&lt;= ($R$7+$R$8)), N24/M24, " ")</f>
        <v xml:space="preserve"> </v>
      </c>
      <c r="S24" s="21" t="str">
        <f>IF(AND(L24&gt;='Amort. Sched.-BASE'!$R$8, L24&lt;= ($R$7+$R$8)), O24/M24, " ")</f>
        <v xml:space="preserve"> </v>
      </c>
      <c r="U24" s="20">
        <f t="shared" si="2"/>
        <v>13</v>
      </c>
      <c r="V24" s="5">
        <f>IF(AND(U24&gt;='Amort. Sched.-BASE'!$AA$8, U24&lt;= ($AA$7+$AA$8)), PMT('Amort. Sched.-BASE'!$W$8/12, 'Amort. Sched.-BASE'!$AA$7, 'Amort. Sched.-BASE'!$W$7), 0)</f>
        <v>0</v>
      </c>
      <c r="W24" s="5">
        <f>IF(AND(U24&gt;='Amort. Sched.-BASE'!$AA$8, U24&lt;= ($AA$7+$AA$8)), (IPMT($W$8/12, (U24-$AA$8), $AA$7, $W$7)), 0)</f>
        <v>0</v>
      </c>
      <c r="X24" s="5">
        <f>IF(AND(U24&gt;='Amort. Sched.-BASE'!$AA$8, U24&lt;= ($AA$7+$AA$8)), (PPMT($W$8/12, (U24-$AA$8), $AA$7, $W$7)), 0)</f>
        <v>0</v>
      </c>
      <c r="Y24" s="5">
        <f>IF(CreditAmort2BASE[[#This Row],[Month]]=AA$8,W$7,0)</f>
        <v>0</v>
      </c>
      <c r="Z24" s="13">
        <f>IF(AND(U24&gt;='Amort. Sched.-BASE'!$AA$8, U24&lt;= ($AA$7+$AA$8)), Z23+X24, 0)</f>
        <v>0</v>
      </c>
      <c r="AA24" s="6" t="str">
        <f>IF(AND(U24&gt;='Amort. Sched.-BASE'!$AA$8, U24&lt;= ($AA$7+$AA$8)), W24/V24, " ")</f>
        <v xml:space="preserve"> </v>
      </c>
      <c r="AB24" s="21" t="str">
        <f>IF(AND(U24&gt;='Amort. Sched.-BASE'!$AA$8, U24&lt;= ($AA$7+$AA$8)), X24/V24, " ")</f>
        <v xml:space="preserve"> </v>
      </c>
      <c r="AD24" s="20">
        <f t="shared" si="3"/>
        <v>13</v>
      </c>
      <c r="AE24" s="5">
        <f t="shared" si="4"/>
        <v>0</v>
      </c>
      <c r="AF24" s="5">
        <f t="shared" si="5"/>
        <v>0</v>
      </c>
      <c r="AG24" s="5">
        <f t="shared" si="6"/>
        <v>0</v>
      </c>
      <c r="AH24" s="5">
        <f>IF(CreditAmort3BASE[[#This Row],[Month]]=AJ$8,AF$7,0)</f>
        <v>0</v>
      </c>
      <c r="AI24" s="13">
        <f t="shared" si="7"/>
        <v>0</v>
      </c>
      <c r="AJ24" s="6" t="str">
        <f t="shared" si="8"/>
        <v xml:space="preserve"> </v>
      </c>
      <c r="AK24" s="21" t="str">
        <f t="shared" si="9"/>
        <v xml:space="preserve"> </v>
      </c>
      <c r="AM24" s="20">
        <f t="shared" si="10"/>
        <v>13</v>
      </c>
      <c r="AN24" s="5">
        <f t="shared" si="11"/>
        <v>0</v>
      </c>
      <c r="AO24" s="5">
        <f t="shared" si="12"/>
        <v>0</v>
      </c>
      <c r="AP24" s="5">
        <f t="shared" si="13"/>
        <v>0</v>
      </c>
      <c r="AQ24" s="5">
        <f>IF(CreditAmort4BASE[[#This Row],[Month]]=AS$8,AO$7,0)</f>
        <v>0</v>
      </c>
      <c r="AR24" s="13">
        <f t="shared" si="14"/>
        <v>0</v>
      </c>
      <c r="AS24" s="6" t="str">
        <f t="shared" si="15"/>
        <v xml:space="preserve"> </v>
      </c>
      <c r="AT24" s="21" t="str">
        <f t="shared" si="16"/>
        <v xml:space="preserve"> </v>
      </c>
    </row>
    <row r="25" spans="3:46">
      <c r="C25" s="22">
        <f t="shared" si="1"/>
        <v>14</v>
      </c>
      <c r="D25" s="23">
        <f>IF(AND(C25&gt;='Amort. Sched.-BASE'!$I$8, C25&lt;= ($I$7+$I$8)), PMT('Amort. Sched.-BASE'!$E$8/12, 'Amort. Sched.-BASE'!$I$7, 'Amort. Sched.-BASE'!$E$7), 0)</f>
        <v>-1736.5864935892569</v>
      </c>
      <c r="E25" s="5">
        <f>IF(AND(C25&gt;='Amort. Sched.-BASE'!$I$8, C25&lt;= ($I$7+$I$8)), (IPMT($E$8/12, (C25-$I$8), $I$7, $E$7)), 0)</f>
        <v>-1478.6552840089437</v>
      </c>
      <c r="F25" s="23">
        <f>IF(AND(C25&gt;='Amort. Sched.-BASE'!$I$8, C25&lt;= ($I$7+$I$8)), (PPMT($E$8/12, (C25-$I$8), $I$7, $E$7)), 0)</f>
        <v>-257.93120958031329</v>
      </c>
      <c r="G25" s="5">
        <f>IF(MortgageAmortBASE[[#This Row],[Month]]=I$8,E$7,0)</f>
        <v>0</v>
      </c>
      <c r="H25" s="13">
        <f>IF(AND(C25&gt;='Amort. Sched.-BASE'!$I$8, C25&lt;= ($I$7+$I$8)), H24+F25, 0)</f>
        <v>221540.36139176119</v>
      </c>
      <c r="I25" s="24">
        <f>IF(AND(C25&gt;='Amort. Sched.-BASE'!$I$8, C25&lt;= ($I$7+$I$8)), E25/D25, " ")</f>
        <v>0.85147229318407913</v>
      </c>
      <c r="J25" s="25">
        <f>IF(AND(C25&gt;='Amort. Sched.-BASE'!$I$8, C25&lt;= ($I$7+$I$8)), F25/D25, " ")</f>
        <v>0.14852770681592092</v>
      </c>
      <c r="L25" s="20">
        <f t="shared" si="0"/>
        <v>14</v>
      </c>
      <c r="M25" s="5">
        <f>IF(AND(L25&gt;='Amort. Sched.-BASE'!$R$8, L25&lt;= ($R$7+$R$8)), PMT('Amort. Sched.-BASE'!$N$8/12, 'Amort. Sched.-BASE'!$R$7, 'Amort. Sched.-BASE'!$N$7), 0)</f>
        <v>0</v>
      </c>
      <c r="N25" s="5">
        <f>IF(AND(L25&gt;='Amort. Sched.-BASE'!$R$8, L25&lt;= ($R$7+$R$8)), (IPMT($N$8/12, (L25-$R$8), $R$7, $N$7)), 0)</f>
        <v>0</v>
      </c>
      <c r="O25" s="5">
        <f>IF(AND(L25&gt;='Amort. Sched.-BASE'!$R$8, L25&lt;= ($R$7+$R$8)), (PPMT($N$8/12, (L25-$R$8), $R$7, $N$7)), 0)</f>
        <v>0</v>
      </c>
      <c r="P25" s="5">
        <f>IF(CreditAmort1BASE[[#This Row],[Month]]=R$8,N$7,0)</f>
        <v>0</v>
      </c>
      <c r="Q25" s="13">
        <f>IF(AND(L25&gt;='Amort. Sched.-BASE'!$R$8, L25&lt;= ($R$7+$R$8)), Q24+O25, 0)</f>
        <v>0</v>
      </c>
      <c r="R25" s="6" t="str">
        <f>IF(AND(L25&gt;='Amort. Sched.-BASE'!$R$8, L25&lt;= ($R$7+$R$8)), N25/M25, " ")</f>
        <v xml:space="preserve"> </v>
      </c>
      <c r="S25" s="21" t="str">
        <f>IF(AND(L25&gt;='Amort. Sched.-BASE'!$R$8, L25&lt;= ($R$7+$R$8)), O25/M25, " ")</f>
        <v xml:space="preserve"> </v>
      </c>
      <c r="U25" s="20">
        <f t="shared" si="2"/>
        <v>14</v>
      </c>
      <c r="V25" s="5">
        <f>IF(AND(U25&gt;='Amort. Sched.-BASE'!$AA$8, U25&lt;= ($AA$7+$AA$8)), PMT('Amort. Sched.-BASE'!$W$8/12, 'Amort. Sched.-BASE'!$AA$7, 'Amort. Sched.-BASE'!$W$7), 0)</f>
        <v>0</v>
      </c>
      <c r="W25" s="5">
        <f>IF(AND(U25&gt;='Amort. Sched.-BASE'!$AA$8, U25&lt;= ($AA$7+$AA$8)), (IPMT($W$8/12, (U25-$AA$8), $AA$7, $W$7)), 0)</f>
        <v>0</v>
      </c>
      <c r="X25" s="5">
        <f>IF(AND(U25&gt;='Amort. Sched.-BASE'!$AA$8, U25&lt;= ($AA$7+$AA$8)), (PPMT($W$8/12, (U25-$AA$8), $AA$7, $W$7)), 0)</f>
        <v>0</v>
      </c>
      <c r="Y25" s="5">
        <f>IF(CreditAmort2BASE[[#This Row],[Month]]=AA$8,W$7,0)</f>
        <v>0</v>
      </c>
      <c r="Z25" s="13">
        <f>IF(AND(U25&gt;='Amort. Sched.-BASE'!$AA$8, U25&lt;= ($AA$7+$AA$8)), Z24+X25, 0)</f>
        <v>0</v>
      </c>
      <c r="AA25" s="6" t="str">
        <f>IF(AND(U25&gt;='Amort. Sched.-BASE'!$AA$8, U25&lt;= ($AA$7+$AA$8)), W25/V25, " ")</f>
        <v xml:space="preserve"> </v>
      </c>
      <c r="AB25" s="21" t="str">
        <f>IF(AND(U25&gt;='Amort. Sched.-BASE'!$AA$8, U25&lt;= ($AA$7+$AA$8)), X25/V25, " ")</f>
        <v xml:space="preserve"> </v>
      </c>
      <c r="AD25" s="20">
        <f t="shared" si="3"/>
        <v>14</v>
      </c>
      <c r="AE25" s="5">
        <f t="shared" si="4"/>
        <v>0</v>
      </c>
      <c r="AF25" s="5">
        <f t="shared" si="5"/>
        <v>0</v>
      </c>
      <c r="AG25" s="5">
        <f t="shared" si="6"/>
        <v>0</v>
      </c>
      <c r="AH25" s="5">
        <f>IF(CreditAmort3BASE[[#This Row],[Month]]=AJ$8,AF$7,0)</f>
        <v>0</v>
      </c>
      <c r="AI25" s="13">
        <f t="shared" si="7"/>
        <v>0</v>
      </c>
      <c r="AJ25" s="6" t="str">
        <f t="shared" si="8"/>
        <v xml:space="preserve"> </v>
      </c>
      <c r="AK25" s="21" t="str">
        <f t="shared" si="9"/>
        <v xml:space="preserve"> </v>
      </c>
      <c r="AM25" s="20">
        <f t="shared" si="10"/>
        <v>14</v>
      </c>
      <c r="AN25" s="5">
        <f t="shared" si="11"/>
        <v>0</v>
      </c>
      <c r="AO25" s="5">
        <f t="shared" si="12"/>
        <v>0</v>
      </c>
      <c r="AP25" s="5">
        <f t="shared" si="13"/>
        <v>0</v>
      </c>
      <c r="AQ25" s="5">
        <f>IF(CreditAmort4BASE[[#This Row],[Month]]=AS$8,AO$7,0)</f>
        <v>0</v>
      </c>
      <c r="AR25" s="13">
        <f t="shared" si="14"/>
        <v>0</v>
      </c>
      <c r="AS25" s="6" t="str">
        <f t="shared" si="15"/>
        <v xml:space="preserve"> </v>
      </c>
      <c r="AT25" s="21" t="str">
        <f t="shared" si="16"/>
        <v xml:space="preserve"> </v>
      </c>
    </row>
    <row r="26" spans="3:46">
      <c r="C26" s="22">
        <f t="shared" si="1"/>
        <v>15</v>
      </c>
      <c r="D26" s="23">
        <f>IF(AND(C26&gt;='Amort. Sched.-BASE'!$I$8, C26&lt;= ($I$7+$I$8)), PMT('Amort. Sched.-BASE'!$E$8/12, 'Amort. Sched.-BASE'!$I$7, 'Amort. Sched.-BASE'!$E$7), 0)</f>
        <v>-1736.5864935892569</v>
      </c>
      <c r="E26" s="5">
        <f>IF(AND(C26&gt;='Amort. Sched.-BASE'!$I$8, C26&lt;= ($I$7+$I$8)), (IPMT($E$8/12, (C26-$I$8), $I$7, $E$7)), 0)</f>
        <v>-1476.9357426117415</v>
      </c>
      <c r="F26" s="23">
        <f>IF(AND(C26&gt;='Amort. Sched.-BASE'!$I$8, C26&lt;= ($I$7+$I$8)), (PPMT($E$8/12, (C26-$I$8), $I$7, $E$7)), 0)</f>
        <v>-259.65075097751537</v>
      </c>
      <c r="G26" s="5">
        <f>IF(MortgageAmortBASE[[#This Row],[Month]]=I$8,E$7,0)</f>
        <v>0</v>
      </c>
      <c r="H26" s="13">
        <f>IF(AND(C26&gt;='Amort. Sched.-BASE'!$I$8, C26&lt;= ($I$7+$I$8)), H25+F26, 0)</f>
        <v>221280.71064078368</v>
      </c>
      <c r="I26" s="24">
        <f>IF(AND(C26&gt;='Amort. Sched.-BASE'!$I$8, C26&lt;= ($I$7+$I$8)), E26/D26, " ")</f>
        <v>0.85048210847197292</v>
      </c>
      <c r="J26" s="25">
        <f>IF(AND(C26&gt;='Amort. Sched.-BASE'!$I$8, C26&lt;= ($I$7+$I$8)), F26/D26, " ")</f>
        <v>0.14951789152802705</v>
      </c>
      <c r="L26" s="20">
        <f t="shared" si="0"/>
        <v>15</v>
      </c>
      <c r="M26" s="5">
        <f>IF(AND(L26&gt;='Amort. Sched.-BASE'!$R$8, L26&lt;= ($R$7+$R$8)), PMT('Amort. Sched.-BASE'!$N$8/12, 'Amort. Sched.-BASE'!$R$7, 'Amort. Sched.-BASE'!$N$7), 0)</f>
        <v>0</v>
      </c>
      <c r="N26" s="5">
        <f>IF(AND(L26&gt;='Amort. Sched.-BASE'!$R$8, L26&lt;= ($R$7+$R$8)), (IPMT($N$8/12, (L26-$R$8), $R$7, $N$7)), 0)</f>
        <v>0</v>
      </c>
      <c r="O26" s="5">
        <f>IF(AND(L26&gt;='Amort. Sched.-BASE'!$R$8, L26&lt;= ($R$7+$R$8)), (PPMT($N$8/12, (L26-$R$8), $R$7, $N$7)), 0)</f>
        <v>0</v>
      </c>
      <c r="P26" s="5">
        <f>IF(CreditAmort1BASE[[#This Row],[Month]]=R$8,N$7,0)</f>
        <v>0</v>
      </c>
      <c r="Q26" s="13">
        <f>IF(AND(L26&gt;='Amort. Sched.-BASE'!$R$8, L26&lt;= ($R$7+$R$8)), Q25+O26, 0)</f>
        <v>0</v>
      </c>
      <c r="R26" s="6" t="str">
        <f>IF(AND(L26&gt;='Amort. Sched.-BASE'!$R$8, L26&lt;= ($R$7+$R$8)), N26/M26, " ")</f>
        <v xml:space="preserve"> </v>
      </c>
      <c r="S26" s="21" t="str">
        <f>IF(AND(L26&gt;='Amort. Sched.-BASE'!$R$8, L26&lt;= ($R$7+$R$8)), O26/M26, " ")</f>
        <v xml:space="preserve"> </v>
      </c>
      <c r="U26" s="20">
        <f t="shared" si="2"/>
        <v>15</v>
      </c>
      <c r="V26" s="5">
        <f>IF(AND(U26&gt;='Amort. Sched.-BASE'!$AA$8, U26&lt;= ($AA$7+$AA$8)), PMT('Amort. Sched.-BASE'!$W$8/12, 'Amort. Sched.-BASE'!$AA$7, 'Amort. Sched.-BASE'!$W$7), 0)</f>
        <v>0</v>
      </c>
      <c r="W26" s="5">
        <f>IF(AND(U26&gt;='Amort. Sched.-BASE'!$AA$8, U26&lt;= ($AA$7+$AA$8)), (IPMT($W$8/12, (U26-$AA$8), $AA$7, $W$7)), 0)</f>
        <v>0</v>
      </c>
      <c r="X26" s="5">
        <f>IF(AND(U26&gt;='Amort. Sched.-BASE'!$AA$8, U26&lt;= ($AA$7+$AA$8)), (PPMT($W$8/12, (U26-$AA$8), $AA$7, $W$7)), 0)</f>
        <v>0</v>
      </c>
      <c r="Y26" s="5">
        <f>IF(CreditAmort2BASE[[#This Row],[Month]]=AA$8,W$7,0)</f>
        <v>0</v>
      </c>
      <c r="Z26" s="13">
        <f>IF(AND(U26&gt;='Amort. Sched.-BASE'!$AA$8, U26&lt;= ($AA$7+$AA$8)), Z25+X26, 0)</f>
        <v>0</v>
      </c>
      <c r="AA26" s="6" t="str">
        <f>IF(AND(U26&gt;='Amort. Sched.-BASE'!$AA$8, U26&lt;= ($AA$7+$AA$8)), W26/V26, " ")</f>
        <v xml:space="preserve"> </v>
      </c>
      <c r="AB26" s="21" t="str">
        <f>IF(AND(U26&gt;='Amort. Sched.-BASE'!$AA$8, U26&lt;= ($AA$7+$AA$8)), X26/V26, " ")</f>
        <v xml:space="preserve"> </v>
      </c>
      <c r="AD26" s="20">
        <f t="shared" si="3"/>
        <v>15</v>
      </c>
      <c r="AE26" s="5">
        <f t="shared" si="4"/>
        <v>0</v>
      </c>
      <c r="AF26" s="5">
        <f t="shared" si="5"/>
        <v>0</v>
      </c>
      <c r="AG26" s="5">
        <f t="shared" si="6"/>
        <v>0</v>
      </c>
      <c r="AH26" s="5">
        <f>IF(CreditAmort3BASE[[#This Row],[Month]]=AJ$8,AF$7,0)</f>
        <v>0</v>
      </c>
      <c r="AI26" s="13">
        <f t="shared" si="7"/>
        <v>0</v>
      </c>
      <c r="AJ26" s="6" t="str">
        <f t="shared" si="8"/>
        <v xml:space="preserve"> </v>
      </c>
      <c r="AK26" s="21" t="str">
        <f t="shared" si="9"/>
        <v xml:space="preserve"> </v>
      </c>
      <c r="AM26" s="20">
        <f t="shared" si="10"/>
        <v>15</v>
      </c>
      <c r="AN26" s="5">
        <f t="shared" si="11"/>
        <v>0</v>
      </c>
      <c r="AO26" s="5">
        <f t="shared" si="12"/>
        <v>0</v>
      </c>
      <c r="AP26" s="5">
        <f t="shared" si="13"/>
        <v>0</v>
      </c>
      <c r="AQ26" s="5">
        <f>IF(CreditAmort4BASE[[#This Row],[Month]]=AS$8,AO$7,0)</f>
        <v>0</v>
      </c>
      <c r="AR26" s="13">
        <f t="shared" si="14"/>
        <v>0</v>
      </c>
      <c r="AS26" s="6" t="str">
        <f t="shared" si="15"/>
        <v xml:space="preserve"> </v>
      </c>
      <c r="AT26" s="21" t="str">
        <f t="shared" si="16"/>
        <v xml:space="preserve"> </v>
      </c>
    </row>
    <row r="27" spans="3:46">
      <c r="C27" s="22">
        <f t="shared" si="1"/>
        <v>16</v>
      </c>
      <c r="D27" s="23">
        <f>IF(AND(C27&gt;='Amort. Sched.-BASE'!$I$8, C27&lt;= ($I$7+$I$8)), PMT('Amort. Sched.-BASE'!$E$8/12, 'Amort. Sched.-BASE'!$I$7, 'Amort. Sched.-BASE'!$E$7), 0)</f>
        <v>-1736.5864935892569</v>
      </c>
      <c r="E27" s="5">
        <f>IF(AND(C27&gt;='Amort. Sched.-BASE'!$I$8, C27&lt;= ($I$7+$I$8)), (IPMT($E$8/12, (C27-$I$8), $I$7, $E$7)), 0)</f>
        <v>-1475.2047376052249</v>
      </c>
      <c r="F27" s="23">
        <f>IF(AND(C27&gt;='Amort. Sched.-BASE'!$I$8, C27&lt;= ($I$7+$I$8)), (PPMT($E$8/12, (C27-$I$8), $I$7, $E$7)), 0)</f>
        <v>-261.38175598403211</v>
      </c>
      <c r="G27" s="5">
        <f>IF(MortgageAmortBASE[[#This Row],[Month]]=I$8,E$7,0)</f>
        <v>0</v>
      </c>
      <c r="H27" s="13">
        <f>IF(AND(C27&gt;='Amort. Sched.-BASE'!$I$8, C27&lt;= ($I$7+$I$8)), H26+F27, 0)</f>
        <v>221019.32888479964</v>
      </c>
      <c r="I27" s="24">
        <f>IF(AND(C27&gt;='Amort. Sched.-BASE'!$I$8, C27&lt;= ($I$7+$I$8)), E27/D27, " ")</f>
        <v>0.84948532252845288</v>
      </c>
      <c r="J27" s="25">
        <f>IF(AND(C27&gt;='Amort. Sched.-BASE'!$I$8, C27&lt;= ($I$7+$I$8)), F27/D27, " ")</f>
        <v>0.15051467747154723</v>
      </c>
      <c r="L27" s="20">
        <f t="shared" si="0"/>
        <v>16</v>
      </c>
      <c r="M27" s="5">
        <f>IF(AND(L27&gt;='Amort. Sched.-BASE'!$R$8, L27&lt;= ($R$7+$R$8)), PMT('Amort. Sched.-BASE'!$N$8/12, 'Amort. Sched.-BASE'!$R$7, 'Amort. Sched.-BASE'!$N$7), 0)</f>
        <v>0</v>
      </c>
      <c r="N27" s="5">
        <f>IF(AND(L27&gt;='Amort. Sched.-BASE'!$R$8, L27&lt;= ($R$7+$R$8)), (IPMT($N$8/12, (L27-$R$8), $R$7, $N$7)), 0)</f>
        <v>0</v>
      </c>
      <c r="O27" s="5">
        <f>IF(AND(L27&gt;='Amort. Sched.-BASE'!$R$8, L27&lt;= ($R$7+$R$8)), (PPMT($N$8/12, (L27-$R$8), $R$7, $N$7)), 0)</f>
        <v>0</v>
      </c>
      <c r="P27" s="5">
        <f>IF(CreditAmort1BASE[[#This Row],[Month]]=R$8,N$7,0)</f>
        <v>0</v>
      </c>
      <c r="Q27" s="13">
        <f>IF(AND(L27&gt;='Amort. Sched.-BASE'!$R$8, L27&lt;= ($R$7+$R$8)), Q26+O27, 0)</f>
        <v>0</v>
      </c>
      <c r="R27" s="6" t="str">
        <f>IF(AND(L27&gt;='Amort. Sched.-BASE'!$R$8, L27&lt;= ($R$7+$R$8)), N27/M27, " ")</f>
        <v xml:space="preserve"> </v>
      </c>
      <c r="S27" s="21" t="str">
        <f>IF(AND(L27&gt;='Amort. Sched.-BASE'!$R$8, L27&lt;= ($R$7+$R$8)), O27/M27, " ")</f>
        <v xml:space="preserve"> </v>
      </c>
      <c r="U27" s="20">
        <f t="shared" si="2"/>
        <v>16</v>
      </c>
      <c r="V27" s="5">
        <f>IF(AND(U27&gt;='Amort. Sched.-BASE'!$AA$8, U27&lt;= ($AA$7+$AA$8)), PMT('Amort. Sched.-BASE'!$W$8/12, 'Amort. Sched.-BASE'!$AA$7, 'Amort. Sched.-BASE'!$W$7), 0)</f>
        <v>0</v>
      </c>
      <c r="W27" s="5">
        <f>IF(AND(U27&gt;='Amort. Sched.-BASE'!$AA$8, U27&lt;= ($AA$7+$AA$8)), (IPMT($W$8/12, (U27-$AA$8), $AA$7, $W$7)), 0)</f>
        <v>0</v>
      </c>
      <c r="X27" s="5">
        <f>IF(AND(U27&gt;='Amort. Sched.-BASE'!$AA$8, U27&lt;= ($AA$7+$AA$8)), (PPMT($W$8/12, (U27-$AA$8), $AA$7, $W$7)), 0)</f>
        <v>0</v>
      </c>
      <c r="Y27" s="5">
        <f>IF(CreditAmort2BASE[[#This Row],[Month]]=AA$8,W$7,0)</f>
        <v>0</v>
      </c>
      <c r="Z27" s="13">
        <f>IF(AND(U27&gt;='Amort. Sched.-BASE'!$AA$8, U27&lt;= ($AA$7+$AA$8)), Z26+X27, 0)</f>
        <v>0</v>
      </c>
      <c r="AA27" s="6" t="str">
        <f>IF(AND(U27&gt;='Amort. Sched.-BASE'!$AA$8, U27&lt;= ($AA$7+$AA$8)), W27/V27, " ")</f>
        <v xml:space="preserve"> </v>
      </c>
      <c r="AB27" s="21" t="str">
        <f>IF(AND(U27&gt;='Amort. Sched.-BASE'!$AA$8, U27&lt;= ($AA$7+$AA$8)), X27/V27, " ")</f>
        <v xml:space="preserve"> </v>
      </c>
      <c r="AD27" s="20">
        <f t="shared" si="3"/>
        <v>16</v>
      </c>
      <c r="AE27" s="5">
        <f t="shared" si="4"/>
        <v>0</v>
      </c>
      <c r="AF27" s="5">
        <f t="shared" si="5"/>
        <v>0</v>
      </c>
      <c r="AG27" s="5">
        <f t="shared" si="6"/>
        <v>0</v>
      </c>
      <c r="AH27" s="5">
        <f>IF(CreditAmort3BASE[[#This Row],[Month]]=AJ$8,AF$7,0)</f>
        <v>0</v>
      </c>
      <c r="AI27" s="13">
        <f t="shared" si="7"/>
        <v>0</v>
      </c>
      <c r="AJ27" s="6" t="str">
        <f t="shared" si="8"/>
        <v xml:space="preserve"> </v>
      </c>
      <c r="AK27" s="21" t="str">
        <f t="shared" si="9"/>
        <v xml:space="preserve"> </v>
      </c>
      <c r="AM27" s="20">
        <f t="shared" si="10"/>
        <v>16</v>
      </c>
      <c r="AN27" s="5">
        <f t="shared" si="11"/>
        <v>0</v>
      </c>
      <c r="AO27" s="5">
        <f t="shared" si="12"/>
        <v>0</v>
      </c>
      <c r="AP27" s="5">
        <f t="shared" si="13"/>
        <v>0</v>
      </c>
      <c r="AQ27" s="5">
        <f>IF(CreditAmort4BASE[[#This Row],[Month]]=AS$8,AO$7,0)</f>
        <v>0</v>
      </c>
      <c r="AR27" s="13">
        <f t="shared" si="14"/>
        <v>0</v>
      </c>
      <c r="AS27" s="6" t="str">
        <f t="shared" si="15"/>
        <v xml:space="preserve"> </v>
      </c>
      <c r="AT27" s="21" t="str">
        <f t="shared" si="16"/>
        <v xml:space="preserve"> </v>
      </c>
    </row>
    <row r="28" spans="3:46">
      <c r="C28" s="22">
        <f t="shared" si="1"/>
        <v>17</v>
      </c>
      <c r="D28" s="23">
        <f>IF(AND(C28&gt;='Amort. Sched.-BASE'!$I$8, C28&lt;= ($I$7+$I$8)), PMT('Amort. Sched.-BASE'!$E$8/12, 'Amort. Sched.-BASE'!$I$7, 'Amort. Sched.-BASE'!$E$7), 0)</f>
        <v>-1736.5864935892569</v>
      </c>
      <c r="E28" s="5">
        <f>IF(AND(C28&gt;='Amort. Sched.-BASE'!$I$8, C28&lt;= ($I$7+$I$8)), (IPMT($E$8/12, (C28-$I$8), $I$7, $E$7)), 0)</f>
        <v>-1473.4621925653312</v>
      </c>
      <c r="F28" s="23">
        <f>IF(AND(C28&gt;='Amort. Sched.-BASE'!$I$8, C28&lt;= ($I$7+$I$8)), (PPMT($E$8/12, (C28-$I$8), $I$7, $E$7)), 0)</f>
        <v>-263.12430102392574</v>
      </c>
      <c r="G28" s="5">
        <f>IF(MortgageAmortBASE[[#This Row],[Month]]=I$8,E$7,0)</f>
        <v>0</v>
      </c>
      <c r="H28" s="13">
        <f>IF(AND(C28&gt;='Amort. Sched.-BASE'!$I$8, C28&lt;= ($I$7+$I$8)), H27+F28, 0)</f>
        <v>220756.20458377572</v>
      </c>
      <c r="I28" s="24">
        <f>IF(AND(C28&gt;='Amort. Sched.-BASE'!$I$8, C28&lt;= ($I$7+$I$8)), E28/D28, " ")</f>
        <v>0.84848189134530916</v>
      </c>
      <c r="J28" s="25">
        <f>IF(AND(C28&gt;='Amort. Sched.-BASE'!$I$8, C28&lt;= ($I$7+$I$8)), F28/D28, " ")</f>
        <v>0.15151810865469093</v>
      </c>
      <c r="L28" s="20">
        <f t="shared" si="0"/>
        <v>17</v>
      </c>
      <c r="M28" s="5">
        <f>IF(AND(L28&gt;='Amort. Sched.-BASE'!$R$8, L28&lt;= ($R$7+$R$8)), PMT('Amort. Sched.-BASE'!$N$8/12, 'Amort. Sched.-BASE'!$R$7, 'Amort. Sched.-BASE'!$N$7), 0)</f>
        <v>0</v>
      </c>
      <c r="N28" s="5">
        <f>IF(AND(L28&gt;='Amort. Sched.-BASE'!$R$8, L28&lt;= ($R$7+$R$8)), (IPMT($N$8/12, (L28-$R$8), $R$7, $N$7)), 0)</f>
        <v>0</v>
      </c>
      <c r="O28" s="5">
        <f>IF(AND(L28&gt;='Amort. Sched.-BASE'!$R$8, L28&lt;= ($R$7+$R$8)), (PPMT($N$8/12, (L28-$R$8), $R$7, $N$7)), 0)</f>
        <v>0</v>
      </c>
      <c r="P28" s="5">
        <f>IF(CreditAmort1BASE[[#This Row],[Month]]=R$8,N$7,0)</f>
        <v>0</v>
      </c>
      <c r="Q28" s="13">
        <f>IF(AND(L28&gt;='Amort. Sched.-BASE'!$R$8, L28&lt;= ($R$7+$R$8)), Q27+O28, 0)</f>
        <v>0</v>
      </c>
      <c r="R28" s="6" t="str">
        <f>IF(AND(L28&gt;='Amort. Sched.-BASE'!$R$8, L28&lt;= ($R$7+$R$8)), N28/M28, " ")</f>
        <v xml:space="preserve"> </v>
      </c>
      <c r="S28" s="21" t="str">
        <f>IF(AND(L28&gt;='Amort. Sched.-BASE'!$R$8, L28&lt;= ($R$7+$R$8)), O28/M28, " ")</f>
        <v xml:space="preserve"> </v>
      </c>
      <c r="U28" s="20">
        <f t="shared" si="2"/>
        <v>17</v>
      </c>
      <c r="V28" s="5">
        <f>IF(AND(U28&gt;='Amort. Sched.-BASE'!$AA$8, U28&lt;= ($AA$7+$AA$8)), PMT('Amort. Sched.-BASE'!$W$8/12, 'Amort. Sched.-BASE'!$AA$7, 'Amort. Sched.-BASE'!$W$7), 0)</f>
        <v>0</v>
      </c>
      <c r="W28" s="5">
        <f>IF(AND(U28&gt;='Amort. Sched.-BASE'!$AA$8, U28&lt;= ($AA$7+$AA$8)), (IPMT($W$8/12, (U28-$AA$8), $AA$7, $W$7)), 0)</f>
        <v>0</v>
      </c>
      <c r="X28" s="5">
        <f>IF(AND(U28&gt;='Amort. Sched.-BASE'!$AA$8, U28&lt;= ($AA$7+$AA$8)), (PPMT($W$8/12, (U28-$AA$8), $AA$7, $W$7)), 0)</f>
        <v>0</v>
      </c>
      <c r="Y28" s="5">
        <f>IF(CreditAmort2BASE[[#This Row],[Month]]=AA$8,W$7,0)</f>
        <v>0</v>
      </c>
      <c r="Z28" s="13">
        <f>IF(AND(U28&gt;='Amort. Sched.-BASE'!$AA$8, U28&lt;= ($AA$7+$AA$8)), Z27+X28, 0)</f>
        <v>0</v>
      </c>
      <c r="AA28" s="6" t="str">
        <f>IF(AND(U28&gt;='Amort. Sched.-BASE'!$AA$8, U28&lt;= ($AA$7+$AA$8)), W28/V28, " ")</f>
        <v xml:space="preserve"> </v>
      </c>
      <c r="AB28" s="21" t="str">
        <f>IF(AND(U28&gt;='Amort. Sched.-BASE'!$AA$8, U28&lt;= ($AA$7+$AA$8)), X28/V28, " ")</f>
        <v xml:space="preserve"> </v>
      </c>
      <c r="AD28" s="20">
        <f t="shared" si="3"/>
        <v>17</v>
      </c>
      <c r="AE28" s="5">
        <f t="shared" si="4"/>
        <v>0</v>
      </c>
      <c r="AF28" s="5">
        <f t="shared" si="5"/>
        <v>0</v>
      </c>
      <c r="AG28" s="5">
        <f t="shared" si="6"/>
        <v>0</v>
      </c>
      <c r="AH28" s="5">
        <f>IF(CreditAmort3BASE[[#This Row],[Month]]=AJ$8,AF$7,0)</f>
        <v>0</v>
      </c>
      <c r="AI28" s="13">
        <f t="shared" si="7"/>
        <v>0</v>
      </c>
      <c r="AJ28" s="6" t="str">
        <f t="shared" si="8"/>
        <v xml:space="preserve"> </v>
      </c>
      <c r="AK28" s="21" t="str">
        <f t="shared" si="9"/>
        <v xml:space="preserve"> </v>
      </c>
      <c r="AM28" s="20">
        <f t="shared" si="10"/>
        <v>17</v>
      </c>
      <c r="AN28" s="5">
        <f t="shared" si="11"/>
        <v>0</v>
      </c>
      <c r="AO28" s="5">
        <f t="shared" si="12"/>
        <v>0</v>
      </c>
      <c r="AP28" s="5">
        <f t="shared" si="13"/>
        <v>0</v>
      </c>
      <c r="AQ28" s="5">
        <f>IF(CreditAmort4BASE[[#This Row],[Month]]=AS$8,AO$7,0)</f>
        <v>0</v>
      </c>
      <c r="AR28" s="13">
        <f t="shared" si="14"/>
        <v>0</v>
      </c>
      <c r="AS28" s="6" t="str">
        <f t="shared" si="15"/>
        <v xml:space="preserve"> </v>
      </c>
      <c r="AT28" s="21" t="str">
        <f t="shared" si="16"/>
        <v xml:space="preserve"> </v>
      </c>
    </row>
    <row r="29" spans="3:46">
      <c r="C29" s="22">
        <f t="shared" si="1"/>
        <v>18</v>
      </c>
      <c r="D29" s="23">
        <f>IF(AND(C29&gt;='Amort. Sched.-BASE'!$I$8, C29&lt;= ($I$7+$I$8)), PMT('Amort. Sched.-BASE'!$E$8/12, 'Amort. Sched.-BASE'!$I$7, 'Amort. Sched.-BASE'!$E$7), 0)</f>
        <v>-1736.5864935892569</v>
      </c>
      <c r="E29" s="5">
        <f>IF(AND(C29&gt;='Amort. Sched.-BASE'!$I$8, C29&lt;= ($I$7+$I$8)), (IPMT($E$8/12, (C29-$I$8), $I$7, $E$7)), 0)</f>
        <v>-1471.708030558505</v>
      </c>
      <c r="F29" s="23">
        <f>IF(AND(C29&gt;='Amort. Sched.-BASE'!$I$8, C29&lt;= ($I$7+$I$8)), (PPMT($E$8/12, (C29-$I$8), $I$7, $E$7)), 0)</f>
        <v>-264.87846303075185</v>
      </c>
      <c r="G29" s="5">
        <f>IF(MortgageAmortBASE[[#This Row],[Month]]=I$8,E$7,0)</f>
        <v>0</v>
      </c>
      <c r="H29" s="13">
        <f>IF(AND(C29&gt;='Amort. Sched.-BASE'!$I$8, C29&lt;= ($I$7+$I$8)), H28+F29, 0)</f>
        <v>220491.32612074495</v>
      </c>
      <c r="I29" s="24">
        <f>IF(AND(C29&gt;='Amort. Sched.-BASE'!$I$8, C29&lt;= ($I$7+$I$8)), E29/D29, " ")</f>
        <v>0.84747177062094448</v>
      </c>
      <c r="J29" s="25">
        <f>IF(AND(C29&gt;='Amort. Sched.-BASE'!$I$8, C29&lt;= ($I$7+$I$8)), F29/D29, " ")</f>
        <v>0.1525282293790555</v>
      </c>
      <c r="L29" s="20">
        <f t="shared" si="0"/>
        <v>18</v>
      </c>
      <c r="M29" s="5">
        <f>IF(AND(L29&gt;='Amort. Sched.-BASE'!$R$8, L29&lt;= ($R$7+$R$8)), PMT('Amort. Sched.-BASE'!$N$8/12, 'Amort. Sched.-BASE'!$R$7, 'Amort. Sched.-BASE'!$N$7), 0)</f>
        <v>0</v>
      </c>
      <c r="N29" s="5">
        <f>IF(AND(L29&gt;='Amort. Sched.-BASE'!$R$8, L29&lt;= ($R$7+$R$8)), (IPMT($N$8/12, (L29-$R$8), $R$7, $N$7)), 0)</f>
        <v>0</v>
      </c>
      <c r="O29" s="5">
        <f>IF(AND(L29&gt;='Amort. Sched.-BASE'!$R$8, L29&lt;= ($R$7+$R$8)), (PPMT($N$8/12, (L29-$R$8), $R$7, $N$7)), 0)</f>
        <v>0</v>
      </c>
      <c r="P29" s="5">
        <f>IF(CreditAmort1BASE[[#This Row],[Month]]=R$8,N$7,0)</f>
        <v>0</v>
      </c>
      <c r="Q29" s="13">
        <f>IF(AND(L29&gt;='Amort. Sched.-BASE'!$R$8, L29&lt;= ($R$7+$R$8)), Q28+O29, 0)</f>
        <v>0</v>
      </c>
      <c r="R29" s="6" t="str">
        <f>IF(AND(L29&gt;='Amort. Sched.-BASE'!$R$8, L29&lt;= ($R$7+$R$8)), N29/M29, " ")</f>
        <v xml:space="preserve"> </v>
      </c>
      <c r="S29" s="21" t="str">
        <f>IF(AND(L29&gt;='Amort. Sched.-BASE'!$R$8, L29&lt;= ($R$7+$R$8)), O29/M29, " ")</f>
        <v xml:space="preserve"> </v>
      </c>
      <c r="U29" s="20">
        <f t="shared" si="2"/>
        <v>18</v>
      </c>
      <c r="V29" s="5">
        <f>IF(AND(U29&gt;='Amort. Sched.-BASE'!$AA$8, U29&lt;= ($AA$7+$AA$8)), PMT('Amort. Sched.-BASE'!$W$8/12, 'Amort. Sched.-BASE'!$AA$7, 'Amort. Sched.-BASE'!$W$7), 0)</f>
        <v>0</v>
      </c>
      <c r="W29" s="5">
        <f>IF(AND(U29&gt;='Amort. Sched.-BASE'!$AA$8, U29&lt;= ($AA$7+$AA$8)), (IPMT($W$8/12, (U29-$AA$8), $AA$7, $W$7)), 0)</f>
        <v>0</v>
      </c>
      <c r="X29" s="5">
        <f>IF(AND(U29&gt;='Amort. Sched.-BASE'!$AA$8, U29&lt;= ($AA$7+$AA$8)), (PPMT($W$8/12, (U29-$AA$8), $AA$7, $W$7)), 0)</f>
        <v>0</v>
      </c>
      <c r="Y29" s="5">
        <f>IF(CreditAmort2BASE[[#This Row],[Month]]=AA$8,W$7,0)</f>
        <v>0</v>
      </c>
      <c r="Z29" s="13">
        <f>IF(AND(U29&gt;='Amort. Sched.-BASE'!$AA$8, U29&lt;= ($AA$7+$AA$8)), Z28+X29, 0)</f>
        <v>0</v>
      </c>
      <c r="AA29" s="6" t="str">
        <f>IF(AND(U29&gt;='Amort. Sched.-BASE'!$AA$8, U29&lt;= ($AA$7+$AA$8)), W29/V29, " ")</f>
        <v xml:space="preserve"> </v>
      </c>
      <c r="AB29" s="21" t="str">
        <f>IF(AND(U29&gt;='Amort. Sched.-BASE'!$AA$8, U29&lt;= ($AA$7+$AA$8)), X29/V29, " ")</f>
        <v xml:space="preserve"> </v>
      </c>
      <c r="AD29" s="20">
        <f t="shared" si="3"/>
        <v>18</v>
      </c>
      <c r="AE29" s="5">
        <f t="shared" si="4"/>
        <v>0</v>
      </c>
      <c r="AF29" s="5">
        <f t="shared" si="5"/>
        <v>0</v>
      </c>
      <c r="AG29" s="5">
        <f t="shared" si="6"/>
        <v>0</v>
      </c>
      <c r="AH29" s="5">
        <f>IF(CreditAmort3BASE[[#This Row],[Month]]=AJ$8,AF$7,0)</f>
        <v>0</v>
      </c>
      <c r="AI29" s="13">
        <f t="shared" si="7"/>
        <v>0</v>
      </c>
      <c r="AJ29" s="6" t="str">
        <f t="shared" si="8"/>
        <v xml:space="preserve"> </v>
      </c>
      <c r="AK29" s="21" t="str">
        <f t="shared" si="9"/>
        <v xml:space="preserve"> </v>
      </c>
      <c r="AM29" s="20">
        <f t="shared" si="10"/>
        <v>18</v>
      </c>
      <c r="AN29" s="5">
        <f t="shared" si="11"/>
        <v>0</v>
      </c>
      <c r="AO29" s="5">
        <f t="shared" si="12"/>
        <v>0</v>
      </c>
      <c r="AP29" s="5">
        <f t="shared" si="13"/>
        <v>0</v>
      </c>
      <c r="AQ29" s="5">
        <f>IF(CreditAmort4BASE[[#This Row],[Month]]=AS$8,AO$7,0)</f>
        <v>0</v>
      </c>
      <c r="AR29" s="13">
        <f t="shared" si="14"/>
        <v>0</v>
      </c>
      <c r="AS29" s="6" t="str">
        <f t="shared" si="15"/>
        <v xml:space="preserve"> </v>
      </c>
      <c r="AT29" s="21" t="str">
        <f t="shared" si="16"/>
        <v xml:space="preserve"> </v>
      </c>
    </row>
    <row r="30" spans="3:46">
      <c r="C30" s="22">
        <f t="shared" si="1"/>
        <v>19</v>
      </c>
      <c r="D30" s="23">
        <f>IF(AND(C30&gt;='Amort. Sched.-BASE'!$I$8, C30&lt;= ($I$7+$I$8)), PMT('Amort. Sched.-BASE'!$E$8/12, 'Amort. Sched.-BASE'!$I$7, 'Amort. Sched.-BASE'!$E$7), 0)</f>
        <v>-1736.5864935892569</v>
      </c>
      <c r="E30" s="5">
        <f>IF(AND(C30&gt;='Amort. Sched.-BASE'!$I$8, C30&lt;= ($I$7+$I$8)), (IPMT($E$8/12, (C30-$I$8), $I$7, $E$7)), 0)</f>
        <v>-1469.9421741383001</v>
      </c>
      <c r="F30" s="23">
        <f>IF(AND(C30&gt;='Amort. Sched.-BASE'!$I$8, C30&lt;= ($I$7+$I$8)), (PPMT($E$8/12, (C30-$I$8), $I$7, $E$7)), 0)</f>
        <v>-266.64431945095691</v>
      </c>
      <c r="G30" s="5">
        <f>IF(MortgageAmortBASE[[#This Row],[Month]]=I$8,E$7,0)</f>
        <v>0</v>
      </c>
      <c r="H30" s="13">
        <f>IF(AND(C30&gt;='Amort. Sched.-BASE'!$I$8, C30&lt;= ($I$7+$I$8)), H29+F30, 0)</f>
        <v>220224.68180129401</v>
      </c>
      <c r="I30" s="24">
        <f>IF(AND(C30&gt;='Amort. Sched.-BASE'!$I$8, C30&lt;= ($I$7+$I$8)), E30/D30, " ")</f>
        <v>0.84645491575841747</v>
      </c>
      <c r="J30" s="25">
        <f>IF(AND(C30&gt;='Amort. Sched.-BASE'!$I$8, C30&lt;= ($I$7+$I$8)), F30/D30, " ")</f>
        <v>0.15354508424158256</v>
      </c>
      <c r="L30" s="20">
        <f t="shared" si="0"/>
        <v>19</v>
      </c>
      <c r="M30" s="5">
        <f>IF(AND(L30&gt;='Amort. Sched.-BASE'!$R$8, L30&lt;= ($R$7+$R$8)), PMT('Amort. Sched.-BASE'!$N$8/12, 'Amort. Sched.-BASE'!$R$7, 'Amort. Sched.-BASE'!$N$7), 0)</f>
        <v>0</v>
      </c>
      <c r="N30" s="5">
        <f>IF(AND(L30&gt;='Amort. Sched.-BASE'!$R$8, L30&lt;= ($R$7+$R$8)), (IPMT($N$8/12, (L30-$R$8), $R$7, $N$7)), 0)</f>
        <v>0</v>
      </c>
      <c r="O30" s="5">
        <f>IF(AND(L30&gt;='Amort. Sched.-BASE'!$R$8, L30&lt;= ($R$7+$R$8)), (PPMT($N$8/12, (L30-$R$8), $R$7, $N$7)), 0)</f>
        <v>0</v>
      </c>
      <c r="P30" s="5">
        <f>IF(CreditAmort1BASE[[#This Row],[Month]]=R$8,N$7,0)</f>
        <v>0</v>
      </c>
      <c r="Q30" s="13">
        <f>IF(AND(L30&gt;='Amort. Sched.-BASE'!$R$8, L30&lt;= ($R$7+$R$8)), Q29+O30, 0)</f>
        <v>0</v>
      </c>
      <c r="R30" s="6" t="str">
        <f>IF(AND(L30&gt;='Amort. Sched.-BASE'!$R$8, L30&lt;= ($R$7+$R$8)), N30/M30, " ")</f>
        <v xml:space="preserve"> </v>
      </c>
      <c r="S30" s="21" t="str">
        <f>IF(AND(L30&gt;='Amort. Sched.-BASE'!$R$8, L30&lt;= ($R$7+$R$8)), O30/M30, " ")</f>
        <v xml:space="preserve"> </v>
      </c>
      <c r="U30" s="20">
        <f t="shared" si="2"/>
        <v>19</v>
      </c>
      <c r="V30" s="5">
        <f>IF(AND(U30&gt;='Amort. Sched.-BASE'!$AA$8, U30&lt;= ($AA$7+$AA$8)), PMT('Amort. Sched.-BASE'!$W$8/12, 'Amort. Sched.-BASE'!$AA$7, 'Amort. Sched.-BASE'!$W$7), 0)</f>
        <v>0</v>
      </c>
      <c r="W30" s="5">
        <f>IF(AND(U30&gt;='Amort. Sched.-BASE'!$AA$8, U30&lt;= ($AA$7+$AA$8)), (IPMT($W$8/12, (U30-$AA$8), $AA$7, $W$7)), 0)</f>
        <v>0</v>
      </c>
      <c r="X30" s="5">
        <f>IF(AND(U30&gt;='Amort. Sched.-BASE'!$AA$8, U30&lt;= ($AA$7+$AA$8)), (PPMT($W$8/12, (U30-$AA$8), $AA$7, $W$7)), 0)</f>
        <v>0</v>
      </c>
      <c r="Y30" s="5">
        <f>IF(CreditAmort2BASE[[#This Row],[Month]]=AA$8,W$7,0)</f>
        <v>0</v>
      </c>
      <c r="Z30" s="13">
        <f>IF(AND(U30&gt;='Amort. Sched.-BASE'!$AA$8, U30&lt;= ($AA$7+$AA$8)), Z29+X30, 0)</f>
        <v>0</v>
      </c>
      <c r="AA30" s="6" t="str">
        <f>IF(AND(U30&gt;='Amort. Sched.-BASE'!$AA$8, U30&lt;= ($AA$7+$AA$8)), W30/V30, " ")</f>
        <v xml:space="preserve"> </v>
      </c>
      <c r="AB30" s="21" t="str">
        <f>IF(AND(U30&gt;='Amort. Sched.-BASE'!$AA$8, U30&lt;= ($AA$7+$AA$8)), X30/V30, " ")</f>
        <v xml:space="preserve"> </v>
      </c>
      <c r="AD30" s="20">
        <f t="shared" si="3"/>
        <v>19</v>
      </c>
      <c r="AE30" s="5">
        <f t="shared" si="4"/>
        <v>0</v>
      </c>
      <c r="AF30" s="5">
        <f t="shared" si="5"/>
        <v>0</v>
      </c>
      <c r="AG30" s="5">
        <f t="shared" si="6"/>
        <v>0</v>
      </c>
      <c r="AH30" s="5">
        <f>IF(CreditAmort3BASE[[#This Row],[Month]]=AJ$8,AF$7,0)</f>
        <v>0</v>
      </c>
      <c r="AI30" s="13">
        <f t="shared" si="7"/>
        <v>0</v>
      </c>
      <c r="AJ30" s="6" t="str">
        <f t="shared" si="8"/>
        <v xml:space="preserve"> </v>
      </c>
      <c r="AK30" s="21" t="str">
        <f t="shared" si="9"/>
        <v xml:space="preserve"> </v>
      </c>
      <c r="AM30" s="20">
        <f t="shared" si="10"/>
        <v>19</v>
      </c>
      <c r="AN30" s="5">
        <f t="shared" si="11"/>
        <v>0</v>
      </c>
      <c r="AO30" s="5">
        <f t="shared" si="12"/>
        <v>0</v>
      </c>
      <c r="AP30" s="5">
        <f t="shared" si="13"/>
        <v>0</v>
      </c>
      <c r="AQ30" s="5">
        <f>IF(CreditAmort4BASE[[#This Row],[Month]]=AS$8,AO$7,0)</f>
        <v>0</v>
      </c>
      <c r="AR30" s="13">
        <f t="shared" si="14"/>
        <v>0</v>
      </c>
      <c r="AS30" s="6" t="str">
        <f t="shared" si="15"/>
        <v xml:space="preserve"> </v>
      </c>
      <c r="AT30" s="21" t="str">
        <f t="shared" si="16"/>
        <v xml:space="preserve"> </v>
      </c>
    </row>
    <row r="31" spans="3:46">
      <c r="C31" s="22">
        <f t="shared" si="1"/>
        <v>20</v>
      </c>
      <c r="D31" s="23">
        <f>IF(AND(C31&gt;='Amort. Sched.-BASE'!$I$8, C31&lt;= ($I$7+$I$8)), PMT('Amort. Sched.-BASE'!$E$8/12, 'Amort. Sched.-BASE'!$I$7, 'Amort. Sched.-BASE'!$E$7), 0)</f>
        <v>-1736.5864935892569</v>
      </c>
      <c r="E31" s="5">
        <f>IF(AND(C31&gt;='Amort. Sched.-BASE'!$I$8, C31&lt;= ($I$7+$I$8)), (IPMT($E$8/12, (C31-$I$8), $I$7, $E$7)), 0)</f>
        <v>-1468.1645453419603</v>
      </c>
      <c r="F31" s="23">
        <f>IF(AND(C31&gt;='Amort. Sched.-BASE'!$I$8, C31&lt;= ($I$7+$I$8)), (PPMT($E$8/12, (C31-$I$8), $I$7, $E$7)), 0)</f>
        <v>-268.4219482472966</v>
      </c>
      <c r="G31" s="5">
        <f>IF(MortgageAmortBASE[[#This Row],[Month]]=I$8,E$7,0)</f>
        <v>0</v>
      </c>
      <c r="H31" s="13">
        <f>IF(AND(C31&gt;='Amort. Sched.-BASE'!$I$8, C31&lt;= ($I$7+$I$8)), H30+F31, 0)</f>
        <v>219956.25985304671</v>
      </c>
      <c r="I31" s="24">
        <f>IF(AND(C31&gt;='Amort. Sched.-BASE'!$I$8, C31&lt;= ($I$7+$I$8)), E31/D31, " ")</f>
        <v>0.8454312818634736</v>
      </c>
      <c r="J31" s="25">
        <f>IF(AND(C31&gt;='Amort. Sched.-BASE'!$I$8, C31&lt;= ($I$7+$I$8)), F31/D31, " ")</f>
        <v>0.15456871813652642</v>
      </c>
      <c r="L31" s="20">
        <f t="shared" si="0"/>
        <v>20</v>
      </c>
      <c r="M31" s="5">
        <f>IF(AND(L31&gt;='Amort. Sched.-BASE'!$R$8, L31&lt;= ($R$7+$R$8)), PMT('Amort. Sched.-BASE'!$N$8/12, 'Amort. Sched.-BASE'!$R$7, 'Amort. Sched.-BASE'!$N$7), 0)</f>
        <v>0</v>
      </c>
      <c r="N31" s="5">
        <f>IF(AND(L31&gt;='Amort. Sched.-BASE'!$R$8, L31&lt;= ($R$7+$R$8)), (IPMT($N$8/12, (L31-$R$8), $R$7, $N$7)), 0)</f>
        <v>0</v>
      </c>
      <c r="O31" s="5">
        <f>IF(AND(L31&gt;='Amort. Sched.-BASE'!$R$8, L31&lt;= ($R$7+$R$8)), (PPMT($N$8/12, (L31-$R$8), $R$7, $N$7)), 0)</f>
        <v>0</v>
      </c>
      <c r="P31" s="5">
        <f>IF(CreditAmort1BASE[[#This Row],[Month]]=R$8,N$7,0)</f>
        <v>0</v>
      </c>
      <c r="Q31" s="13">
        <f>IF(AND(L31&gt;='Amort. Sched.-BASE'!$R$8, L31&lt;= ($R$7+$R$8)), Q30+O31, 0)</f>
        <v>0</v>
      </c>
      <c r="R31" s="6" t="str">
        <f>IF(AND(L31&gt;='Amort. Sched.-BASE'!$R$8, L31&lt;= ($R$7+$R$8)), N31/M31, " ")</f>
        <v xml:space="preserve"> </v>
      </c>
      <c r="S31" s="21" t="str">
        <f>IF(AND(L31&gt;='Amort. Sched.-BASE'!$R$8, L31&lt;= ($R$7+$R$8)), O31/M31, " ")</f>
        <v xml:space="preserve"> </v>
      </c>
      <c r="U31" s="20">
        <f t="shared" si="2"/>
        <v>20</v>
      </c>
      <c r="V31" s="5">
        <f>IF(AND(U31&gt;='Amort. Sched.-BASE'!$AA$8, U31&lt;= ($AA$7+$AA$8)), PMT('Amort. Sched.-BASE'!$W$8/12, 'Amort. Sched.-BASE'!$AA$7, 'Amort. Sched.-BASE'!$W$7), 0)</f>
        <v>0</v>
      </c>
      <c r="W31" s="5">
        <f>IF(AND(U31&gt;='Amort. Sched.-BASE'!$AA$8, U31&lt;= ($AA$7+$AA$8)), (IPMT($W$8/12, (U31-$AA$8), $AA$7, $W$7)), 0)</f>
        <v>0</v>
      </c>
      <c r="X31" s="5">
        <f>IF(AND(U31&gt;='Amort. Sched.-BASE'!$AA$8, U31&lt;= ($AA$7+$AA$8)), (PPMT($W$8/12, (U31-$AA$8), $AA$7, $W$7)), 0)</f>
        <v>0</v>
      </c>
      <c r="Y31" s="5">
        <f>IF(CreditAmort2BASE[[#This Row],[Month]]=AA$8,W$7,0)</f>
        <v>0</v>
      </c>
      <c r="Z31" s="13">
        <f>IF(AND(U31&gt;='Amort. Sched.-BASE'!$AA$8, U31&lt;= ($AA$7+$AA$8)), Z30+X31, 0)</f>
        <v>0</v>
      </c>
      <c r="AA31" s="6" t="str">
        <f>IF(AND(U31&gt;='Amort. Sched.-BASE'!$AA$8, U31&lt;= ($AA$7+$AA$8)), W31/V31, " ")</f>
        <v xml:space="preserve"> </v>
      </c>
      <c r="AB31" s="21" t="str">
        <f>IF(AND(U31&gt;='Amort. Sched.-BASE'!$AA$8, U31&lt;= ($AA$7+$AA$8)), X31/V31, " ")</f>
        <v xml:space="preserve"> </v>
      </c>
      <c r="AD31" s="20">
        <f t="shared" si="3"/>
        <v>20</v>
      </c>
      <c r="AE31" s="5">
        <f t="shared" si="4"/>
        <v>0</v>
      </c>
      <c r="AF31" s="5">
        <f t="shared" si="5"/>
        <v>0</v>
      </c>
      <c r="AG31" s="5">
        <f t="shared" si="6"/>
        <v>0</v>
      </c>
      <c r="AH31" s="5">
        <f>IF(CreditAmort3BASE[[#This Row],[Month]]=AJ$8,AF$7,0)</f>
        <v>0</v>
      </c>
      <c r="AI31" s="13">
        <f t="shared" si="7"/>
        <v>0</v>
      </c>
      <c r="AJ31" s="6" t="str">
        <f t="shared" si="8"/>
        <v xml:space="preserve"> </v>
      </c>
      <c r="AK31" s="21" t="str">
        <f t="shared" si="9"/>
        <v xml:space="preserve"> </v>
      </c>
      <c r="AM31" s="20">
        <f t="shared" si="10"/>
        <v>20</v>
      </c>
      <c r="AN31" s="5">
        <f t="shared" si="11"/>
        <v>0</v>
      </c>
      <c r="AO31" s="5">
        <f t="shared" si="12"/>
        <v>0</v>
      </c>
      <c r="AP31" s="5">
        <f t="shared" si="13"/>
        <v>0</v>
      </c>
      <c r="AQ31" s="5">
        <f>IF(CreditAmort4BASE[[#This Row],[Month]]=AS$8,AO$7,0)</f>
        <v>0</v>
      </c>
      <c r="AR31" s="13">
        <f t="shared" si="14"/>
        <v>0</v>
      </c>
      <c r="AS31" s="6" t="str">
        <f t="shared" si="15"/>
        <v xml:space="preserve"> </v>
      </c>
      <c r="AT31" s="21" t="str">
        <f t="shared" si="16"/>
        <v xml:space="preserve"> </v>
      </c>
    </row>
    <row r="32" spans="3:46">
      <c r="C32" s="22">
        <f t="shared" si="1"/>
        <v>21</v>
      </c>
      <c r="D32" s="23">
        <f>IF(AND(C32&gt;='Amort. Sched.-BASE'!$I$8, C32&lt;= ($I$7+$I$8)), PMT('Amort. Sched.-BASE'!$E$8/12, 'Amort. Sched.-BASE'!$I$7, 'Amort. Sched.-BASE'!$E$7), 0)</f>
        <v>-1736.5864935892569</v>
      </c>
      <c r="E32" s="5">
        <f>IF(AND(C32&gt;='Amort. Sched.-BASE'!$I$8, C32&lt;= ($I$7+$I$8)), (IPMT($E$8/12, (C32-$I$8), $I$7, $E$7)), 0)</f>
        <v>-1466.3750656869784</v>
      </c>
      <c r="F32" s="23">
        <f>IF(AND(C32&gt;='Amort. Sched.-BASE'!$I$8, C32&lt;= ($I$7+$I$8)), (PPMT($E$8/12, (C32-$I$8), $I$7, $E$7)), 0)</f>
        <v>-270.21142790227856</v>
      </c>
      <c r="G32" s="5">
        <f>IF(MortgageAmortBASE[[#This Row],[Month]]=I$8,E$7,0)</f>
        <v>0</v>
      </c>
      <c r="H32" s="13">
        <f>IF(AND(C32&gt;='Amort. Sched.-BASE'!$I$8, C32&lt;= ($I$7+$I$8)), H31+F32, 0)</f>
        <v>219686.04842514443</v>
      </c>
      <c r="I32" s="24">
        <f>IF(AND(C32&gt;='Amort. Sched.-BASE'!$I$8, C32&lt;= ($I$7+$I$8)), E32/D32, " ")</f>
        <v>0.84440082374256342</v>
      </c>
      <c r="J32" s="25">
        <f>IF(AND(C32&gt;='Amort. Sched.-BASE'!$I$8, C32&lt;= ($I$7+$I$8)), F32/D32, " ")</f>
        <v>0.15559917625743661</v>
      </c>
      <c r="L32" s="20">
        <f t="shared" si="0"/>
        <v>21</v>
      </c>
      <c r="M32" s="5">
        <f>IF(AND(L32&gt;='Amort. Sched.-BASE'!$R$8, L32&lt;= ($R$7+$R$8)), PMT('Amort. Sched.-BASE'!$N$8/12, 'Amort. Sched.-BASE'!$R$7, 'Amort. Sched.-BASE'!$N$7), 0)</f>
        <v>0</v>
      </c>
      <c r="N32" s="5">
        <f>IF(AND(L32&gt;='Amort. Sched.-BASE'!$R$8, L32&lt;= ($R$7+$R$8)), (IPMT($N$8/12, (L32-$R$8), $R$7, $N$7)), 0)</f>
        <v>0</v>
      </c>
      <c r="O32" s="5">
        <f>IF(AND(L32&gt;='Amort. Sched.-BASE'!$R$8, L32&lt;= ($R$7+$R$8)), (PPMT($N$8/12, (L32-$R$8), $R$7, $N$7)), 0)</f>
        <v>0</v>
      </c>
      <c r="P32" s="5">
        <f>IF(CreditAmort1BASE[[#This Row],[Month]]=R$8,N$7,0)</f>
        <v>0</v>
      </c>
      <c r="Q32" s="13">
        <f>IF(AND(L32&gt;='Amort. Sched.-BASE'!$R$8, L32&lt;= ($R$7+$R$8)), Q31+O32, 0)</f>
        <v>0</v>
      </c>
      <c r="R32" s="6" t="str">
        <f>IF(AND(L32&gt;='Amort. Sched.-BASE'!$R$8, L32&lt;= ($R$7+$R$8)), N32/M32, " ")</f>
        <v xml:space="preserve"> </v>
      </c>
      <c r="S32" s="21" t="str">
        <f>IF(AND(L32&gt;='Amort. Sched.-BASE'!$R$8, L32&lt;= ($R$7+$R$8)), O32/M32, " ")</f>
        <v xml:space="preserve"> </v>
      </c>
      <c r="U32" s="20">
        <f t="shared" si="2"/>
        <v>21</v>
      </c>
      <c r="V32" s="5">
        <f>IF(AND(U32&gt;='Amort. Sched.-BASE'!$AA$8, U32&lt;= ($AA$7+$AA$8)), PMT('Amort. Sched.-BASE'!$W$8/12, 'Amort. Sched.-BASE'!$AA$7, 'Amort. Sched.-BASE'!$W$7), 0)</f>
        <v>0</v>
      </c>
      <c r="W32" s="5">
        <f>IF(AND(U32&gt;='Amort. Sched.-BASE'!$AA$8, U32&lt;= ($AA$7+$AA$8)), (IPMT($W$8/12, (U32-$AA$8), $AA$7, $W$7)), 0)</f>
        <v>0</v>
      </c>
      <c r="X32" s="5">
        <f>IF(AND(U32&gt;='Amort. Sched.-BASE'!$AA$8, U32&lt;= ($AA$7+$AA$8)), (PPMT($W$8/12, (U32-$AA$8), $AA$7, $W$7)), 0)</f>
        <v>0</v>
      </c>
      <c r="Y32" s="5">
        <f>IF(CreditAmort2BASE[[#This Row],[Month]]=AA$8,W$7,0)</f>
        <v>0</v>
      </c>
      <c r="Z32" s="13">
        <f>IF(AND(U32&gt;='Amort. Sched.-BASE'!$AA$8, U32&lt;= ($AA$7+$AA$8)), Z31+X32, 0)</f>
        <v>0</v>
      </c>
      <c r="AA32" s="6" t="str">
        <f>IF(AND(U32&gt;='Amort. Sched.-BASE'!$AA$8, U32&lt;= ($AA$7+$AA$8)), W32/V32, " ")</f>
        <v xml:space="preserve"> </v>
      </c>
      <c r="AB32" s="21" t="str">
        <f>IF(AND(U32&gt;='Amort. Sched.-BASE'!$AA$8, U32&lt;= ($AA$7+$AA$8)), X32/V32, " ")</f>
        <v xml:space="preserve"> </v>
      </c>
      <c r="AD32" s="20">
        <f t="shared" si="3"/>
        <v>21</v>
      </c>
      <c r="AE32" s="5">
        <f t="shared" si="4"/>
        <v>0</v>
      </c>
      <c r="AF32" s="5">
        <f t="shared" si="5"/>
        <v>0</v>
      </c>
      <c r="AG32" s="5">
        <f t="shared" si="6"/>
        <v>0</v>
      </c>
      <c r="AH32" s="5">
        <f>IF(CreditAmort3BASE[[#This Row],[Month]]=AJ$8,AF$7,0)</f>
        <v>0</v>
      </c>
      <c r="AI32" s="13">
        <f t="shared" si="7"/>
        <v>0</v>
      </c>
      <c r="AJ32" s="6" t="str">
        <f t="shared" si="8"/>
        <v xml:space="preserve"> </v>
      </c>
      <c r="AK32" s="21" t="str">
        <f t="shared" si="9"/>
        <v xml:space="preserve"> </v>
      </c>
      <c r="AM32" s="20">
        <f t="shared" si="10"/>
        <v>21</v>
      </c>
      <c r="AN32" s="5">
        <f t="shared" si="11"/>
        <v>0</v>
      </c>
      <c r="AO32" s="5">
        <f t="shared" si="12"/>
        <v>0</v>
      </c>
      <c r="AP32" s="5">
        <f t="shared" si="13"/>
        <v>0</v>
      </c>
      <c r="AQ32" s="5">
        <f>IF(CreditAmort4BASE[[#This Row],[Month]]=AS$8,AO$7,0)</f>
        <v>0</v>
      </c>
      <c r="AR32" s="13">
        <f t="shared" si="14"/>
        <v>0</v>
      </c>
      <c r="AS32" s="6" t="str">
        <f t="shared" si="15"/>
        <v xml:space="preserve"> </v>
      </c>
      <c r="AT32" s="21" t="str">
        <f t="shared" si="16"/>
        <v xml:space="preserve"> </v>
      </c>
    </row>
    <row r="33" spans="3:46">
      <c r="C33" s="22">
        <f t="shared" si="1"/>
        <v>22</v>
      </c>
      <c r="D33" s="23">
        <f>IF(AND(C33&gt;='Amort. Sched.-BASE'!$I$8, C33&lt;= ($I$7+$I$8)), PMT('Amort. Sched.-BASE'!$E$8/12, 'Amort. Sched.-BASE'!$I$7, 'Amort. Sched.-BASE'!$E$7), 0)</f>
        <v>-1736.5864935892569</v>
      </c>
      <c r="E33" s="5">
        <f>IF(AND(C33&gt;='Amort. Sched.-BASE'!$I$8, C33&lt;= ($I$7+$I$8)), (IPMT($E$8/12, (C33-$I$8), $I$7, $E$7)), 0)</f>
        <v>-1464.5736561676299</v>
      </c>
      <c r="F33" s="23">
        <f>IF(AND(C33&gt;='Amort. Sched.-BASE'!$I$8, C33&lt;= ($I$7+$I$8)), (PPMT($E$8/12, (C33-$I$8), $I$7, $E$7)), 0)</f>
        <v>-272.01283742162707</v>
      </c>
      <c r="G33" s="5">
        <f>IF(MortgageAmortBASE[[#This Row],[Month]]=I$8,E$7,0)</f>
        <v>0</v>
      </c>
      <c r="H33" s="13">
        <f>IF(AND(C33&gt;='Amort. Sched.-BASE'!$I$8, C33&lt;= ($I$7+$I$8)), H32+F33, 0)</f>
        <v>219414.03558772281</v>
      </c>
      <c r="I33" s="24">
        <f>IF(AND(C33&gt;='Amort. Sched.-BASE'!$I$8, C33&lt;= ($I$7+$I$8)), E33/D33, " ")</f>
        <v>0.84336349590084725</v>
      </c>
      <c r="J33" s="25">
        <f>IF(AND(C33&gt;='Amort. Sched.-BASE'!$I$8, C33&lt;= ($I$7+$I$8)), F33/D33, " ")</f>
        <v>0.15663650409915283</v>
      </c>
      <c r="L33" s="20">
        <f t="shared" si="0"/>
        <v>22</v>
      </c>
      <c r="M33" s="5">
        <f>IF(AND(L33&gt;='Amort. Sched.-BASE'!$R$8, L33&lt;= ($R$7+$R$8)), PMT('Amort. Sched.-BASE'!$N$8/12, 'Amort. Sched.-BASE'!$R$7, 'Amort. Sched.-BASE'!$N$7), 0)</f>
        <v>0</v>
      </c>
      <c r="N33" s="5">
        <f>IF(AND(L33&gt;='Amort. Sched.-BASE'!$R$8, L33&lt;= ($R$7+$R$8)), (IPMT($N$8/12, (L33-$R$8), $R$7, $N$7)), 0)</f>
        <v>0</v>
      </c>
      <c r="O33" s="5">
        <f>IF(AND(L33&gt;='Amort. Sched.-BASE'!$R$8, L33&lt;= ($R$7+$R$8)), (PPMT($N$8/12, (L33-$R$8), $R$7, $N$7)), 0)</f>
        <v>0</v>
      </c>
      <c r="P33" s="5">
        <f>IF(CreditAmort1BASE[[#This Row],[Month]]=R$8,N$7,0)</f>
        <v>0</v>
      </c>
      <c r="Q33" s="13">
        <f>IF(AND(L33&gt;='Amort. Sched.-BASE'!$R$8, L33&lt;= ($R$7+$R$8)), Q32+O33, 0)</f>
        <v>0</v>
      </c>
      <c r="R33" s="6" t="str">
        <f>IF(AND(L33&gt;='Amort. Sched.-BASE'!$R$8, L33&lt;= ($R$7+$R$8)), N33/M33, " ")</f>
        <v xml:space="preserve"> </v>
      </c>
      <c r="S33" s="21" t="str">
        <f>IF(AND(L33&gt;='Amort. Sched.-BASE'!$R$8, L33&lt;= ($R$7+$R$8)), O33/M33, " ")</f>
        <v xml:space="preserve"> </v>
      </c>
      <c r="U33" s="20">
        <f t="shared" si="2"/>
        <v>22</v>
      </c>
      <c r="V33" s="5">
        <f>IF(AND(U33&gt;='Amort. Sched.-BASE'!$AA$8, U33&lt;= ($AA$7+$AA$8)), PMT('Amort. Sched.-BASE'!$W$8/12, 'Amort. Sched.-BASE'!$AA$7, 'Amort. Sched.-BASE'!$W$7), 0)</f>
        <v>0</v>
      </c>
      <c r="W33" s="5">
        <f>IF(AND(U33&gt;='Amort. Sched.-BASE'!$AA$8, U33&lt;= ($AA$7+$AA$8)), (IPMT($W$8/12, (U33-$AA$8), $AA$7, $W$7)), 0)</f>
        <v>0</v>
      </c>
      <c r="X33" s="5">
        <f>IF(AND(U33&gt;='Amort. Sched.-BASE'!$AA$8, U33&lt;= ($AA$7+$AA$8)), (PPMT($W$8/12, (U33-$AA$8), $AA$7, $W$7)), 0)</f>
        <v>0</v>
      </c>
      <c r="Y33" s="5">
        <f>IF(CreditAmort2BASE[[#This Row],[Month]]=AA$8,W$7,0)</f>
        <v>0</v>
      </c>
      <c r="Z33" s="13">
        <f>IF(AND(U33&gt;='Amort. Sched.-BASE'!$AA$8, U33&lt;= ($AA$7+$AA$8)), Z32+X33, 0)</f>
        <v>0</v>
      </c>
      <c r="AA33" s="6" t="str">
        <f>IF(AND(U33&gt;='Amort. Sched.-BASE'!$AA$8, U33&lt;= ($AA$7+$AA$8)), W33/V33, " ")</f>
        <v xml:space="preserve"> </v>
      </c>
      <c r="AB33" s="21" t="str">
        <f>IF(AND(U33&gt;='Amort. Sched.-BASE'!$AA$8, U33&lt;= ($AA$7+$AA$8)), X33/V33, " ")</f>
        <v xml:space="preserve"> </v>
      </c>
      <c r="AD33" s="20">
        <f t="shared" si="3"/>
        <v>22</v>
      </c>
      <c r="AE33" s="5">
        <f t="shared" si="4"/>
        <v>0</v>
      </c>
      <c r="AF33" s="5">
        <f t="shared" si="5"/>
        <v>0</v>
      </c>
      <c r="AG33" s="5">
        <f t="shared" si="6"/>
        <v>0</v>
      </c>
      <c r="AH33" s="5">
        <f>IF(CreditAmort3BASE[[#This Row],[Month]]=AJ$8,AF$7,0)</f>
        <v>0</v>
      </c>
      <c r="AI33" s="13">
        <f t="shared" si="7"/>
        <v>0</v>
      </c>
      <c r="AJ33" s="6" t="str">
        <f t="shared" si="8"/>
        <v xml:space="preserve"> </v>
      </c>
      <c r="AK33" s="21" t="str">
        <f t="shared" si="9"/>
        <v xml:space="preserve"> </v>
      </c>
      <c r="AM33" s="20">
        <f t="shared" si="10"/>
        <v>22</v>
      </c>
      <c r="AN33" s="5">
        <f t="shared" si="11"/>
        <v>0</v>
      </c>
      <c r="AO33" s="5">
        <f t="shared" si="12"/>
        <v>0</v>
      </c>
      <c r="AP33" s="5">
        <f t="shared" si="13"/>
        <v>0</v>
      </c>
      <c r="AQ33" s="5">
        <f>IF(CreditAmort4BASE[[#This Row],[Month]]=AS$8,AO$7,0)</f>
        <v>0</v>
      </c>
      <c r="AR33" s="13">
        <f t="shared" si="14"/>
        <v>0</v>
      </c>
      <c r="AS33" s="6" t="str">
        <f t="shared" si="15"/>
        <v xml:space="preserve"> </v>
      </c>
      <c r="AT33" s="21" t="str">
        <f t="shared" si="16"/>
        <v xml:space="preserve"> </v>
      </c>
    </row>
    <row r="34" spans="3:46">
      <c r="C34" s="22">
        <f t="shared" si="1"/>
        <v>23</v>
      </c>
      <c r="D34" s="23">
        <f>IF(AND(C34&gt;='Amort. Sched.-BASE'!$I$8, C34&lt;= ($I$7+$I$8)), PMT('Amort. Sched.-BASE'!$E$8/12, 'Amort. Sched.-BASE'!$I$7, 'Amort. Sched.-BASE'!$E$7), 0)</f>
        <v>-1736.5864935892569</v>
      </c>
      <c r="E34" s="5">
        <f>IF(AND(C34&gt;='Amort. Sched.-BASE'!$I$8, C34&lt;= ($I$7+$I$8)), (IPMT($E$8/12, (C34-$I$8), $I$7, $E$7)), 0)</f>
        <v>-1462.7602372514857</v>
      </c>
      <c r="F34" s="23">
        <f>IF(AND(C34&gt;='Amort. Sched.-BASE'!$I$8, C34&lt;= ($I$7+$I$8)), (PPMT($E$8/12, (C34-$I$8), $I$7, $E$7)), 0)</f>
        <v>-273.82625633777133</v>
      </c>
      <c r="G34" s="5">
        <f>IF(MortgageAmortBASE[[#This Row],[Month]]=I$8,E$7,0)</f>
        <v>0</v>
      </c>
      <c r="H34" s="13">
        <f>IF(AND(C34&gt;='Amort. Sched.-BASE'!$I$8, C34&lt;= ($I$7+$I$8)), H33+F34, 0)</f>
        <v>219140.20933138503</v>
      </c>
      <c r="I34" s="24">
        <f>IF(AND(C34&gt;='Amort. Sched.-BASE'!$I$8, C34&lt;= ($I$7+$I$8)), E34/D34, " ")</f>
        <v>0.84231925254018625</v>
      </c>
      <c r="J34" s="25">
        <f>IF(AND(C34&gt;='Amort. Sched.-BASE'!$I$8, C34&lt;= ($I$7+$I$8)), F34/D34, " ")</f>
        <v>0.15768074745981389</v>
      </c>
      <c r="L34" s="20">
        <f t="shared" si="0"/>
        <v>23</v>
      </c>
      <c r="M34" s="5">
        <f>IF(AND(L34&gt;='Amort. Sched.-BASE'!$R$8, L34&lt;= ($R$7+$R$8)), PMT('Amort. Sched.-BASE'!$N$8/12, 'Amort. Sched.-BASE'!$R$7, 'Amort. Sched.-BASE'!$N$7), 0)</f>
        <v>0</v>
      </c>
      <c r="N34" s="5">
        <f>IF(AND(L34&gt;='Amort. Sched.-BASE'!$R$8, L34&lt;= ($R$7+$R$8)), (IPMT($N$8/12, (L34-$R$8), $R$7, $N$7)), 0)</f>
        <v>0</v>
      </c>
      <c r="O34" s="5">
        <f>IF(AND(L34&gt;='Amort. Sched.-BASE'!$R$8, L34&lt;= ($R$7+$R$8)), (PPMT($N$8/12, (L34-$R$8), $R$7, $N$7)), 0)</f>
        <v>0</v>
      </c>
      <c r="P34" s="5">
        <f>IF(CreditAmort1BASE[[#This Row],[Month]]=R$8,N$7,0)</f>
        <v>0</v>
      </c>
      <c r="Q34" s="13">
        <f>IF(AND(L34&gt;='Amort. Sched.-BASE'!$R$8, L34&lt;= ($R$7+$R$8)), Q33+O34, 0)</f>
        <v>0</v>
      </c>
      <c r="R34" s="6" t="str">
        <f>IF(AND(L34&gt;='Amort. Sched.-BASE'!$R$8, L34&lt;= ($R$7+$R$8)), N34/M34, " ")</f>
        <v xml:space="preserve"> </v>
      </c>
      <c r="S34" s="21" t="str">
        <f>IF(AND(L34&gt;='Amort. Sched.-BASE'!$R$8, L34&lt;= ($R$7+$R$8)), O34/M34, " ")</f>
        <v xml:space="preserve"> </v>
      </c>
      <c r="U34" s="20">
        <f t="shared" si="2"/>
        <v>23</v>
      </c>
      <c r="V34" s="5">
        <f>IF(AND(U34&gt;='Amort. Sched.-BASE'!$AA$8, U34&lt;= ($AA$7+$AA$8)), PMT('Amort. Sched.-BASE'!$W$8/12, 'Amort. Sched.-BASE'!$AA$7, 'Amort. Sched.-BASE'!$W$7), 0)</f>
        <v>0</v>
      </c>
      <c r="W34" s="5">
        <f>IF(AND(U34&gt;='Amort. Sched.-BASE'!$AA$8, U34&lt;= ($AA$7+$AA$8)), (IPMT($W$8/12, (U34-$AA$8), $AA$7, $W$7)), 0)</f>
        <v>0</v>
      </c>
      <c r="X34" s="5">
        <f>IF(AND(U34&gt;='Amort. Sched.-BASE'!$AA$8, U34&lt;= ($AA$7+$AA$8)), (PPMT($W$8/12, (U34-$AA$8), $AA$7, $W$7)), 0)</f>
        <v>0</v>
      </c>
      <c r="Y34" s="5">
        <f>IF(CreditAmort2BASE[[#This Row],[Month]]=AA$8,W$7,0)</f>
        <v>0</v>
      </c>
      <c r="Z34" s="13">
        <f>IF(AND(U34&gt;='Amort. Sched.-BASE'!$AA$8, U34&lt;= ($AA$7+$AA$8)), Z33+X34, 0)</f>
        <v>0</v>
      </c>
      <c r="AA34" s="6" t="str">
        <f>IF(AND(U34&gt;='Amort. Sched.-BASE'!$AA$8, U34&lt;= ($AA$7+$AA$8)), W34/V34, " ")</f>
        <v xml:space="preserve"> </v>
      </c>
      <c r="AB34" s="21" t="str">
        <f>IF(AND(U34&gt;='Amort. Sched.-BASE'!$AA$8, U34&lt;= ($AA$7+$AA$8)), X34/V34, " ")</f>
        <v xml:space="preserve"> </v>
      </c>
      <c r="AD34" s="20">
        <f t="shared" si="3"/>
        <v>23</v>
      </c>
      <c r="AE34" s="5">
        <f t="shared" si="4"/>
        <v>0</v>
      </c>
      <c r="AF34" s="5">
        <f t="shared" si="5"/>
        <v>0</v>
      </c>
      <c r="AG34" s="5">
        <f t="shared" si="6"/>
        <v>0</v>
      </c>
      <c r="AH34" s="5">
        <f>IF(CreditAmort3BASE[[#This Row],[Month]]=AJ$8,AF$7,0)</f>
        <v>0</v>
      </c>
      <c r="AI34" s="13">
        <f t="shared" si="7"/>
        <v>0</v>
      </c>
      <c r="AJ34" s="6" t="str">
        <f t="shared" si="8"/>
        <v xml:space="preserve"> </v>
      </c>
      <c r="AK34" s="21" t="str">
        <f t="shared" si="9"/>
        <v xml:space="preserve"> </v>
      </c>
      <c r="AM34" s="20">
        <f t="shared" si="10"/>
        <v>23</v>
      </c>
      <c r="AN34" s="5">
        <f t="shared" si="11"/>
        <v>0</v>
      </c>
      <c r="AO34" s="5">
        <f t="shared" si="12"/>
        <v>0</v>
      </c>
      <c r="AP34" s="5">
        <f t="shared" si="13"/>
        <v>0</v>
      </c>
      <c r="AQ34" s="5">
        <f>IF(CreditAmort4BASE[[#This Row],[Month]]=AS$8,AO$7,0)</f>
        <v>0</v>
      </c>
      <c r="AR34" s="13">
        <f t="shared" si="14"/>
        <v>0</v>
      </c>
      <c r="AS34" s="6" t="str">
        <f t="shared" si="15"/>
        <v xml:space="preserve"> </v>
      </c>
      <c r="AT34" s="21" t="str">
        <f t="shared" si="16"/>
        <v xml:space="preserve"> </v>
      </c>
    </row>
    <row r="35" spans="3:46">
      <c r="C35" s="22">
        <f t="shared" si="1"/>
        <v>24</v>
      </c>
      <c r="D35" s="23">
        <f>IF(AND(C35&gt;='Amort. Sched.-BASE'!$I$8, C35&lt;= ($I$7+$I$8)), PMT('Amort. Sched.-BASE'!$E$8/12, 'Amort. Sched.-BASE'!$I$7, 'Amort. Sched.-BASE'!$E$7), 0)</f>
        <v>-1736.5864935892569</v>
      </c>
      <c r="E35" s="5">
        <f>IF(AND(C35&gt;='Amort. Sched.-BASE'!$I$8, C35&lt;= ($I$7+$I$8)), (IPMT($E$8/12, (C35-$I$8), $I$7, $E$7)), 0)</f>
        <v>-1460.9347288759004</v>
      </c>
      <c r="F35" s="23">
        <f>IF(AND(C35&gt;='Amort. Sched.-BASE'!$I$8, C35&lt;= ($I$7+$I$8)), (PPMT($E$8/12, (C35-$I$8), $I$7, $E$7)), 0)</f>
        <v>-275.65176471335644</v>
      </c>
      <c r="G35" s="5">
        <f>IF(MortgageAmortBASE[[#This Row],[Month]]=I$8,E$7,0)</f>
        <v>0</v>
      </c>
      <c r="H35" s="13">
        <f>IF(AND(C35&gt;='Amort. Sched.-BASE'!$I$8, C35&lt;= ($I$7+$I$8)), H34+F35, 0)</f>
        <v>218864.55756667169</v>
      </c>
      <c r="I35" s="24">
        <f>IF(AND(C35&gt;='Amort. Sched.-BASE'!$I$8, C35&lt;= ($I$7+$I$8)), E35/D35, " ")</f>
        <v>0.8412680475571207</v>
      </c>
      <c r="J35" s="25">
        <f>IF(AND(C35&gt;='Amort. Sched.-BASE'!$I$8, C35&lt;= ($I$7+$I$8)), F35/D35, " ")</f>
        <v>0.1587319524428793</v>
      </c>
      <c r="L35" s="20">
        <f t="shared" si="0"/>
        <v>24</v>
      </c>
      <c r="M35" s="5">
        <f>IF(AND(L35&gt;='Amort. Sched.-BASE'!$R$8, L35&lt;= ($R$7+$R$8)), PMT('Amort. Sched.-BASE'!$N$8/12, 'Amort. Sched.-BASE'!$R$7, 'Amort. Sched.-BASE'!$N$7), 0)</f>
        <v>0</v>
      </c>
      <c r="N35" s="5">
        <f>IF(AND(L35&gt;='Amort. Sched.-BASE'!$R$8, L35&lt;= ($R$7+$R$8)), (IPMT($N$8/12, (L35-$R$8), $R$7, $N$7)), 0)</f>
        <v>0</v>
      </c>
      <c r="O35" s="5">
        <f>IF(AND(L35&gt;='Amort. Sched.-BASE'!$R$8, L35&lt;= ($R$7+$R$8)), (PPMT($N$8/12, (L35-$R$8), $R$7, $N$7)), 0)</f>
        <v>0</v>
      </c>
      <c r="P35" s="5">
        <f>IF(CreditAmort1BASE[[#This Row],[Month]]=R$8,N$7,0)</f>
        <v>0</v>
      </c>
      <c r="Q35" s="13">
        <f>IF(AND(L35&gt;='Amort. Sched.-BASE'!$R$8, L35&lt;= ($R$7+$R$8)), Q34+O35, 0)</f>
        <v>0</v>
      </c>
      <c r="R35" s="6" t="str">
        <f>IF(AND(L35&gt;='Amort. Sched.-BASE'!$R$8, L35&lt;= ($R$7+$R$8)), N35/M35, " ")</f>
        <v xml:space="preserve"> </v>
      </c>
      <c r="S35" s="21" t="str">
        <f>IF(AND(L35&gt;='Amort. Sched.-BASE'!$R$8, L35&lt;= ($R$7+$R$8)), O35/M35, " ")</f>
        <v xml:space="preserve"> </v>
      </c>
      <c r="U35" s="20">
        <f t="shared" si="2"/>
        <v>24</v>
      </c>
      <c r="V35" s="5">
        <f>IF(AND(U35&gt;='Amort. Sched.-BASE'!$AA$8, U35&lt;= ($AA$7+$AA$8)), PMT('Amort. Sched.-BASE'!$W$8/12, 'Amort. Sched.-BASE'!$AA$7, 'Amort. Sched.-BASE'!$W$7), 0)</f>
        <v>0</v>
      </c>
      <c r="W35" s="5">
        <f>IF(AND(U35&gt;='Amort. Sched.-BASE'!$AA$8, U35&lt;= ($AA$7+$AA$8)), (IPMT($W$8/12, (U35-$AA$8), $AA$7, $W$7)), 0)</f>
        <v>0</v>
      </c>
      <c r="X35" s="5">
        <f>IF(AND(U35&gt;='Amort. Sched.-BASE'!$AA$8, U35&lt;= ($AA$7+$AA$8)), (PPMT($W$8/12, (U35-$AA$8), $AA$7, $W$7)), 0)</f>
        <v>0</v>
      </c>
      <c r="Y35" s="5">
        <f>IF(CreditAmort2BASE[[#This Row],[Month]]=AA$8,W$7,0)</f>
        <v>0</v>
      </c>
      <c r="Z35" s="13">
        <f>IF(AND(U35&gt;='Amort. Sched.-BASE'!$AA$8, U35&lt;= ($AA$7+$AA$8)), Z34+X35, 0)</f>
        <v>0</v>
      </c>
      <c r="AA35" s="6" t="str">
        <f>IF(AND(U35&gt;='Amort. Sched.-BASE'!$AA$8, U35&lt;= ($AA$7+$AA$8)), W35/V35, " ")</f>
        <v xml:space="preserve"> </v>
      </c>
      <c r="AB35" s="21" t="str">
        <f>IF(AND(U35&gt;='Amort. Sched.-BASE'!$AA$8, U35&lt;= ($AA$7+$AA$8)), X35/V35, " ")</f>
        <v xml:space="preserve"> </v>
      </c>
      <c r="AD35" s="20">
        <f t="shared" si="3"/>
        <v>24</v>
      </c>
      <c r="AE35" s="5">
        <f t="shared" si="4"/>
        <v>0</v>
      </c>
      <c r="AF35" s="5">
        <f t="shared" si="5"/>
        <v>0</v>
      </c>
      <c r="AG35" s="5">
        <f t="shared" si="6"/>
        <v>0</v>
      </c>
      <c r="AH35" s="5">
        <f>IF(CreditAmort3BASE[[#This Row],[Month]]=AJ$8,AF$7,0)</f>
        <v>0</v>
      </c>
      <c r="AI35" s="13">
        <f t="shared" si="7"/>
        <v>0</v>
      </c>
      <c r="AJ35" s="6" t="str">
        <f t="shared" si="8"/>
        <v xml:space="preserve"> </v>
      </c>
      <c r="AK35" s="21" t="str">
        <f t="shared" si="9"/>
        <v xml:space="preserve"> </v>
      </c>
      <c r="AM35" s="20">
        <f t="shared" si="10"/>
        <v>24</v>
      </c>
      <c r="AN35" s="5">
        <f t="shared" si="11"/>
        <v>0</v>
      </c>
      <c r="AO35" s="5">
        <f t="shared" si="12"/>
        <v>0</v>
      </c>
      <c r="AP35" s="5">
        <f t="shared" si="13"/>
        <v>0</v>
      </c>
      <c r="AQ35" s="5">
        <f>IF(CreditAmort4BASE[[#This Row],[Month]]=AS$8,AO$7,0)</f>
        <v>0</v>
      </c>
      <c r="AR35" s="13">
        <f t="shared" si="14"/>
        <v>0</v>
      </c>
      <c r="AS35" s="6" t="str">
        <f t="shared" si="15"/>
        <v xml:space="preserve"> </v>
      </c>
      <c r="AT35" s="21" t="str">
        <f t="shared" si="16"/>
        <v xml:space="preserve"> </v>
      </c>
    </row>
    <row r="36" spans="3:46">
      <c r="C36" s="22">
        <f t="shared" si="1"/>
        <v>25</v>
      </c>
      <c r="D36" s="23">
        <f>IF(AND(C36&gt;='Amort. Sched.-BASE'!$I$8, C36&lt;= ($I$7+$I$8)), PMT('Amort. Sched.-BASE'!$E$8/12, 'Amort. Sched.-BASE'!$I$7, 'Amort. Sched.-BASE'!$E$7), 0)</f>
        <v>-1736.5864935892569</v>
      </c>
      <c r="E36" s="5">
        <f>IF(AND(C36&gt;='Amort. Sched.-BASE'!$I$8, C36&lt;= ($I$7+$I$8)), (IPMT($E$8/12, (C36-$I$8), $I$7, $E$7)), 0)</f>
        <v>-1459.0970504444783</v>
      </c>
      <c r="F36" s="23">
        <f>IF(AND(C36&gt;='Amort. Sched.-BASE'!$I$8, C36&lt;= ($I$7+$I$8)), (PPMT($E$8/12, (C36-$I$8), $I$7, $E$7)), 0)</f>
        <v>-277.48944314477882</v>
      </c>
      <c r="G36" s="5">
        <f>IF(MortgageAmortBASE[[#This Row],[Month]]=I$8,E$7,0)</f>
        <v>0</v>
      </c>
      <c r="H36" s="13">
        <f>IF(AND(C36&gt;='Amort. Sched.-BASE'!$I$8, C36&lt;= ($I$7+$I$8)), H35+F36, 0)</f>
        <v>218587.0681235269</v>
      </c>
      <c r="I36" s="24">
        <f>IF(AND(C36&gt;='Amort. Sched.-BASE'!$I$8, C36&lt;= ($I$7+$I$8)), E36/D36, " ")</f>
        <v>0.84020983454083498</v>
      </c>
      <c r="J36" s="25">
        <f>IF(AND(C36&gt;='Amort. Sched.-BASE'!$I$8, C36&lt;= ($I$7+$I$8)), F36/D36, " ")</f>
        <v>0.15979016545916516</v>
      </c>
      <c r="L36" s="20">
        <f t="shared" si="0"/>
        <v>25</v>
      </c>
      <c r="M36" s="5">
        <f>IF(AND(L36&gt;='Amort. Sched.-BASE'!$R$8, L36&lt;= ($R$7+$R$8)), PMT('Amort. Sched.-BASE'!$N$8/12, 'Amort. Sched.-BASE'!$R$7, 'Amort. Sched.-BASE'!$N$7), 0)</f>
        <v>0</v>
      </c>
      <c r="N36" s="5">
        <f>IF(AND(L36&gt;='Amort. Sched.-BASE'!$R$8, L36&lt;= ($R$7+$R$8)), (IPMT($N$8/12, (L36-$R$8), $R$7, $N$7)), 0)</f>
        <v>0</v>
      </c>
      <c r="O36" s="5">
        <f>IF(AND(L36&gt;='Amort. Sched.-BASE'!$R$8, L36&lt;= ($R$7+$R$8)), (PPMT($N$8/12, (L36-$R$8), $R$7, $N$7)), 0)</f>
        <v>0</v>
      </c>
      <c r="P36" s="5">
        <f>IF(CreditAmort1BASE[[#This Row],[Month]]=R$8,N$7,0)</f>
        <v>0</v>
      </c>
      <c r="Q36" s="13">
        <f>IF(AND(L36&gt;='Amort. Sched.-BASE'!$R$8, L36&lt;= ($R$7+$R$8)), Q35+O36, 0)</f>
        <v>0</v>
      </c>
      <c r="R36" s="6" t="str">
        <f>IF(AND(L36&gt;='Amort. Sched.-BASE'!$R$8, L36&lt;= ($R$7+$R$8)), N36/M36, " ")</f>
        <v xml:space="preserve"> </v>
      </c>
      <c r="S36" s="21" t="str">
        <f>IF(AND(L36&gt;='Amort. Sched.-BASE'!$R$8, L36&lt;= ($R$7+$R$8)), O36/M36, " ")</f>
        <v xml:space="preserve"> </v>
      </c>
      <c r="U36" s="20">
        <f t="shared" si="2"/>
        <v>25</v>
      </c>
      <c r="V36" s="5">
        <f>IF(AND(U36&gt;='Amort. Sched.-BASE'!$AA$8, U36&lt;= ($AA$7+$AA$8)), PMT('Amort. Sched.-BASE'!$W$8/12, 'Amort. Sched.-BASE'!$AA$7, 'Amort. Sched.-BASE'!$W$7), 0)</f>
        <v>0</v>
      </c>
      <c r="W36" s="5">
        <f>IF(AND(U36&gt;='Amort. Sched.-BASE'!$AA$8, U36&lt;= ($AA$7+$AA$8)), (IPMT($W$8/12, (U36-$AA$8), $AA$7, $W$7)), 0)</f>
        <v>0</v>
      </c>
      <c r="X36" s="5">
        <f>IF(AND(U36&gt;='Amort. Sched.-BASE'!$AA$8, U36&lt;= ($AA$7+$AA$8)), (PPMT($W$8/12, (U36-$AA$8), $AA$7, $W$7)), 0)</f>
        <v>0</v>
      </c>
      <c r="Y36" s="5">
        <f>IF(CreditAmort2BASE[[#This Row],[Month]]=AA$8,W$7,0)</f>
        <v>0</v>
      </c>
      <c r="Z36" s="13">
        <f>IF(AND(U36&gt;='Amort. Sched.-BASE'!$AA$8, U36&lt;= ($AA$7+$AA$8)), Z35+X36, 0)</f>
        <v>0</v>
      </c>
      <c r="AA36" s="6" t="str">
        <f>IF(AND(U36&gt;='Amort. Sched.-BASE'!$AA$8, U36&lt;= ($AA$7+$AA$8)), W36/V36, " ")</f>
        <v xml:space="preserve"> </v>
      </c>
      <c r="AB36" s="21" t="str">
        <f>IF(AND(U36&gt;='Amort. Sched.-BASE'!$AA$8, U36&lt;= ($AA$7+$AA$8)), X36/V36, " ")</f>
        <v xml:space="preserve"> </v>
      </c>
      <c r="AD36" s="20">
        <f t="shared" si="3"/>
        <v>25</v>
      </c>
      <c r="AE36" s="5">
        <f t="shared" si="4"/>
        <v>0</v>
      </c>
      <c r="AF36" s="5">
        <f t="shared" si="5"/>
        <v>0</v>
      </c>
      <c r="AG36" s="5">
        <f t="shared" si="6"/>
        <v>0</v>
      </c>
      <c r="AH36" s="5">
        <f>IF(CreditAmort3BASE[[#This Row],[Month]]=AJ$8,AF$7,0)</f>
        <v>0</v>
      </c>
      <c r="AI36" s="13">
        <f t="shared" si="7"/>
        <v>0</v>
      </c>
      <c r="AJ36" s="6" t="str">
        <f t="shared" si="8"/>
        <v xml:space="preserve"> </v>
      </c>
      <c r="AK36" s="21" t="str">
        <f t="shared" si="9"/>
        <v xml:space="preserve"> </v>
      </c>
      <c r="AM36" s="20">
        <f t="shared" si="10"/>
        <v>25</v>
      </c>
      <c r="AN36" s="5">
        <f t="shared" si="11"/>
        <v>0</v>
      </c>
      <c r="AO36" s="5">
        <f t="shared" si="12"/>
        <v>0</v>
      </c>
      <c r="AP36" s="5">
        <f t="shared" si="13"/>
        <v>0</v>
      </c>
      <c r="AQ36" s="5">
        <f>IF(CreditAmort4BASE[[#This Row],[Month]]=AS$8,AO$7,0)</f>
        <v>0</v>
      </c>
      <c r="AR36" s="13">
        <f t="shared" si="14"/>
        <v>0</v>
      </c>
      <c r="AS36" s="6" t="str">
        <f t="shared" si="15"/>
        <v xml:space="preserve"> </v>
      </c>
      <c r="AT36" s="21" t="str">
        <f t="shared" si="16"/>
        <v xml:space="preserve"> </v>
      </c>
    </row>
    <row r="37" spans="3:46">
      <c r="C37" s="22">
        <f t="shared" si="1"/>
        <v>26</v>
      </c>
      <c r="D37" s="23">
        <f>IF(AND(C37&gt;='Amort. Sched.-BASE'!$I$8, C37&lt;= ($I$7+$I$8)), PMT('Amort. Sched.-BASE'!$E$8/12, 'Amort. Sched.-BASE'!$I$7, 'Amort. Sched.-BASE'!$E$7), 0)</f>
        <v>-1736.5864935892569</v>
      </c>
      <c r="E37" s="5">
        <f>IF(AND(C37&gt;='Amort. Sched.-BASE'!$I$8, C37&lt;= ($I$7+$I$8)), (IPMT($E$8/12, (C37-$I$8), $I$7, $E$7)), 0)</f>
        <v>-1457.2471208235129</v>
      </c>
      <c r="F37" s="23">
        <f>IF(AND(C37&gt;='Amort. Sched.-BASE'!$I$8, C37&lt;= ($I$7+$I$8)), (PPMT($E$8/12, (C37-$I$8), $I$7, $E$7)), 0)</f>
        <v>-279.33937276574397</v>
      </c>
      <c r="G37" s="5">
        <f>IF(MortgageAmortBASE[[#This Row],[Month]]=I$8,E$7,0)</f>
        <v>0</v>
      </c>
      <c r="H37" s="13">
        <f>IF(AND(C37&gt;='Amort. Sched.-BASE'!$I$8, C37&lt;= ($I$7+$I$8)), H36+F37, 0)</f>
        <v>218307.72875076116</v>
      </c>
      <c r="I37" s="24">
        <f>IF(AND(C37&gt;='Amort. Sched.-BASE'!$I$8, C37&lt;= ($I$7+$I$8)), E37/D37, " ")</f>
        <v>0.83914456677110705</v>
      </c>
      <c r="J37" s="25">
        <f>IF(AND(C37&gt;='Amort. Sched.-BASE'!$I$8, C37&lt;= ($I$7+$I$8)), F37/D37, " ")</f>
        <v>0.16085543322889292</v>
      </c>
      <c r="L37" s="20">
        <f t="shared" si="0"/>
        <v>26</v>
      </c>
      <c r="M37" s="5">
        <f>IF(AND(L37&gt;='Amort. Sched.-BASE'!$R$8, L37&lt;= ($R$7+$R$8)), PMT('Amort. Sched.-BASE'!$N$8/12, 'Amort. Sched.-BASE'!$R$7, 'Amort. Sched.-BASE'!$N$7), 0)</f>
        <v>0</v>
      </c>
      <c r="N37" s="5">
        <f>IF(AND(L37&gt;='Amort. Sched.-BASE'!$R$8, L37&lt;= ($R$7+$R$8)), (IPMT($N$8/12, (L37-$R$8), $R$7, $N$7)), 0)</f>
        <v>0</v>
      </c>
      <c r="O37" s="5">
        <f>IF(AND(L37&gt;='Amort. Sched.-BASE'!$R$8, L37&lt;= ($R$7+$R$8)), (PPMT($N$8/12, (L37-$R$8), $R$7, $N$7)), 0)</f>
        <v>0</v>
      </c>
      <c r="P37" s="5">
        <f>IF(CreditAmort1BASE[[#This Row],[Month]]=R$8,N$7,0)</f>
        <v>0</v>
      </c>
      <c r="Q37" s="13">
        <f>IF(AND(L37&gt;='Amort. Sched.-BASE'!$R$8, L37&lt;= ($R$7+$R$8)), Q36+O37, 0)</f>
        <v>0</v>
      </c>
      <c r="R37" s="6" t="str">
        <f>IF(AND(L37&gt;='Amort. Sched.-BASE'!$R$8, L37&lt;= ($R$7+$R$8)), N37/M37, " ")</f>
        <v xml:space="preserve"> </v>
      </c>
      <c r="S37" s="21" t="str">
        <f>IF(AND(L37&gt;='Amort. Sched.-BASE'!$R$8, L37&lt;= ($R$7+$R$8)), O37/M37, " ")</f>
        <v xml:space="preserve"> </v>
      </c>
      <c r="U37" s="20">
        <f t="shared" si="2"/>
        <v>26</v>
      </c>
      <c r="V37" s="5">
        <f>IF(AND(U37&gt;='Amort. Sched.-BASE'!$AA$8, U37&lt;= ($AA$7+$AA$8)), PMT('Amort. Sched.-BASE'!$W$8/12, 'Amort. Sched.-BASE'!$AA$7, 'Amort. Sched.-BASE'!$W$7), 0)</f>
        <v>0</v>
      </c>
      <c r="W37" s="5">
        <f>IF(AND(U37&gt;='Amort. Sched.-BASE'!$AA$8, U37&lt;= ($AA$7+$AA$8)), (IPMT($W$8/12, (U37-$AA$8), $AA$7, $W$7)), 0)</f>
        <v>0</v>
      </c>
      <c r="X37" s="5">
        <f>IF(AND(U37&gt;='Amort. Sched.-BASE'!$AA$8, U37&lt;= ($AA$7+$AA$8)), (PPMT($W$8/12, (U37-$AA$8), $AA$7, $W$7)), 0)</f>
        <v>0</v>
      </c>
      <c r="Y37" s="5">
        <f>IF(CreditAmort2BASE[[#This Row],[Month]]=AA$8,W$7,0)</f>
        <v>0</v>
      </c>
      <c r="Z37" s="13">
        <f>IF(AND(U37&gt;='Amort. Sched.-BASE'!$AA$8, U37&lt;= ($AA$7+$AA$8)), Z36+X37, 0)</f>
        <v>0</v>
      </c>
      <c r="AA37" s="6" t="str">
        <f>IF(AND(U37&gt;='Amort. Sched.-BASE'!$AA$8, U37&lt;= ($AA$7+$AA$8)), W37/V37, " ")</f>
        <v xml:space="preserve"> </v>
      </c>
      <c r="AB37" s="21" t="str">
        <f>IF(AND(U37&gt;='Amort. Sched.-BASE'!$AA$8, U37&lt;= ($AA$7+$AA$8)), X37/V37, " ")</f>
        <v xml:space="preserve"> </v>
      </c>
      <c r="AD37" s="20">
        <f t="shared" si="3"/>
        <v>26</v>
      </c>
      <c r="AE37" s="5">
        <f t="shared" si="4"/>
        <v>0</v>
      </c>
      <c r="AF37" s="5">
        <f t="shared" si="5"/>
        <v>0</v>
      </c>
      <c r="AG37" s="5">
        <f t="shared" si="6"/>
        <v>0</v>
      </c>
      <c r="AH37" s="5">
        <f>IF(CreditAmort3BASE[[#This Row],[Month]]=AJ$8,AF$7,0)</f>
        <v>0</v>
      </c>
      <c r="AI37" s="13">
        <f t="shared" si="7"/>
        <v>0</v>
      </c>
      <c r="AJ37" s="6" t="str">
        <f t="shared" si="8"/>
        <v xml:space="preserve"> </v>
      </c>
      <c r="AK37" s="21" t="str">
        <f t="shared" si="9"/>
        <v xml:space="preserve"> </v>
      </c>
      <c r="AM37" s="20">
        <f t="shared" si="10"/>
        <v>26</v>
      </c>
      <c r="AN37" s="5">
        <f t="shared" si="11"/>
        <v>0</v>
      </c>
      <c r="AO37" s="5">
        <f t="shared" si="12"/>
        <v>0</v>
      </c>
      <c r="AP37" s="5">
        <f t="shared" si="13"/>
        <v>0</v>
      </c>
      <c r="AQ37" s="5">
        <f>IF(CreditAmort4BASE[[#This Row],[Month]]=AS$8,AO$7,0)</f>
        <v>0</v>
      </c>
      <c r="AR37" s="13">
        <f t="shared" si="14"/>
        <v>0</v>
      </c>
      <c r="AS37" s="6" t="str">
        <f t="shared" si="15"/>
        <v xml:space="preserve"> </v>
      </c>
      <c r="AT37" s="21" t="str">
        <f t="shared" si="16"/>
        <v xml:space="preserve"> </v>
      </c>
    </row>
    <row r="38" spans="3:46">
      <c r="C38" s="22">
        <f t="shared" si="1"/>
        <v>27</v>
      </c>
      <c r="D38" s="23">
        <f>IF(AND(C38&gt;='Amort. Sched.-BASE'!$I$8, C38&lt;= ($I$7+$I$8)), PMT('Amort. Sched.-BASE'!$E$8/12, 'Amort. Sched.-BASE'!$I$7, 'Amort. Sched.-BASE'!$E$7), 0)</f>
        <v>-1736.5864935892569</v>
      </c>
      <c r="E38" s="5">
        <f>IF(AND(C38&gt;='Amort. Sched.-BASE'!$I$8, C38&lt;= ($I$7+$I$8)), (IPMT($E$8/12, (C38-$I$8), $I$7, $E$7)), 0)</f>
        <v>-1455.3848583384081</v>
      </c>
      <c r="F38" s="23">
        <f>IF(AND(C38&gt;='Amort. Sched.-BASE'!$I$8, C38&lt;= ($I$7+$I$8)), (PPMT($E$8/12, (C38-$I$8), $I$7, $E$7)), 0)</f>
        <v>-281.20163525084894</v>
      </c>
      <c r="G38" s="5">
        <f>IF(MortgageAmortBASE[[#This Row],[Month]]=I$8,E$7,0)</f>
        <v>0</v>
      </c>
      <c r="H38" s="13">
        <f>IF(AND(C38&gt;='Amort. Sched.-BASE'!$I$8, C38&lt;= ($I$7+$I$8)), H37+F38, 0)</f>
        <v>218026.52711551031</v>
      </c>
      <c r="I38" s="24">
        <f>IF(AND(C38&gt;='Amort. Sched.-BASE'!$I$8, C38&lt;= ($I$7+$I$8)), E38/D38, " ")</f>
        <v>0.83807219721624793</v>
      </c>
      <c r="J38" s="25">
        <f>IF(AND(C38&gt;='Amort. Sched.-BASE'!$I$8, C38&lt;= ($I$7+$I$8)), F38/D38, " ")</f>
        <v>0.16192780278375221</v>
      </c>
      <c r="L38" s="20">
        <f t="shared" si="0"/>
        <v>27</v>
      </c>
      <c r="M38" s="5">
        <f>IF(AND(L38&gt;='Amort. Sched.-BASE'!$R$8, L38&lt;= ($R$7+$R$8)), PMT('Amort. Sched.-BASE'!$N$8/12, 'Amort. Sched.-BASE'!$R$7, 'Amort. Sched.-BASE'!$N$7), 0)</f>
        <v>0</v>
      </c>
      <c r="N38" s="5">
        <f>IF(AND(L38&gt;='Amort. Sched.-BASE'!$R$8, L38&lt;= ($R$7+$R$8)), (IPMT($N$8/12, (L38-$R$8), $R$7, $N$7)), 0)</f>
        <v>0</v>
      </c>
      <c r="O38" s="5">
        <f>IF(AND(L38&gt;='Amort. Sched.-BASE'!$R$8, L38&lt;= ($R$7+$R$8)), (PPMT($N$8/12, (L38-$R$8), $R$7, $N$7)), 0)</f>
        <v>0</v>
      </c>
      <c r="P38" s="5">
        <f>IF(CreditAmort1BASE[[#This Row],[Month]]=R$8,N$7,0)</f>
        <v>0</v>
      </c>
      <c r="Q38" s="13">
        <f>IF(AND(L38&gt;='Amort. Sched.-BASE'!$R$8, L38&lt;= ($R$7+$R$8)), Q37+O38, 0)</f>
        <v>0</v>
      </c>
      <c r="R38" s="6" t="str">
        <f>IF(AND(L38&gt;='Amort. Sched.-BASE'!$R$8, L38&lt;= ($R$7+$R$8)), N38/M38, " ")</f>
        <v xml:space="preserve"> </v>
      </c>
      <c r="S38" s="21" t="str">
        <f>IF(AND(L38&gt;='Amort. Sched.-BASE'!$R$8, L38&lt;= ($R$7+$R$8)), O38/M38, " ")</f>
        <v xml:space="preserve"> </v>
      </c>
      <c r="U38" s="20">
        <f t="shared" si="2"/>
        <v>27</v>
      </c>
      <c r="V38" s="5">
        <f>IF(AND(U38&gt;='Amort. Sched.-BASE'!$AA$8, U38&lt;= ($AA$7+$AA$8)), PMT('Amort. Sched.-BASE'!$W$8/12, 'Amort. Sched.-BASE'!$AA$7, 'Amort. Sched.-BASE'!$W$7), 0)</f>
        <v>0</v>
      </c>
      <c r="W38" s="5">
        <f>IF(AND(U38&gt;='Amort. Sched.-BASE'!$AA$8, U38&lt;= ($AA$7+$AA$8)), (IPMT($W$8/12, (U38-$AA$8), $AA$7, $W$7)), 0)</f>
        <v>0</v>
      </c>
      <c r="X38" s="5">
        <f>IF(AND(U38&gt;='Amort. Sched.-BASE'!$AA$8, U38&lt;= ($AA$7+$AA$8)), (PPMT($W$8/12, (U38-$AA$8), $AA$7, $W$7)), 0)</f>
        <v>0</v>
      </c>
      <c r="Y38" s="5">
        <f>IF(CreditAmort2BASE[[#This Row],[Month]]=AA$8,W$7,0)</f>
        <v>0</v>
      </c>
      <c r="Z38" s="13">
        <f>IF(AND(U38&gt;='Amort. Sched.-BASE'!$AA$8, U38&lt;= ($AA$7+$AA$8)), Z37+X38, 0)</f>
        <v>0</v>
      </c>
      <c r="AA38" s="6" t="str">
        <f>IF(AND(U38&gt;='Amort. Sched.-BASE'!$AA$8, U38&lt;= ($AA$7+$AA$8)), W38/V38, " ")</f>
        <v xml:space="preserve"> </v>
      </c>
      <c r="AB38" s="21" t="str">
        <f>IF(AND(U38&gt;='Amort. Sched.-BASE'!$AA$8, U38&lt;= ($AA$7+$AA$8)), X38/V38, " ")</f>
        <v xml:space="preserve"> </v>
      </c>
      <c r="AD38" s="20">
        <f t="shared" si="3"/>
        <v>27</v>
      </c>
      <c r="AE38" s="5">
        <f t="shared" si="4"/>
        <v>0</v>
      </c>
      <c r="AF38" s="5">
        <f t="shared" si="5"/>
        <v>0</v>
      </c>
      <c r="AG38" s="5">
        <f t="shared" si="6"/>
        <v>0</v>
      </c>
      <c r="AH38" s="5">
        <f>IF(CreditAmort3BASE[[#This Row],[Month]]=AJ$8,AF$7,0)</f>
        <v>0</v>
      </c>
      <c r="AI38" s="13">
        <f t="shared" si="7"/>
        <v>0</v>
      </c>
      <c r="AJ38" s="6" t="str">
        <f t="shared" si="8"/>
        <v xml:space="preserve"> </v>
      </c>
      <c r="AK38" s="21" t="str">
        <f t="shared" si="9"/>
        <v xml:space="preserve"> </v>
      </c>
      <c r="AM38" s="20">
        <f t="shared" si="10"/>
        <v>27</v>
      </c>
      <c r="AN38" s="5">
        <f t="shared" si="11"/>
        <v>0</v>
      </c>
      <c r="AO38" s="5">
        <f t="shared" si="12"/>
        <v>0</v>
      </c>
      <c r="AP38" s="5">
        <f t="shared" si="13"/>
        <v>0</v>
      </c>
      <c r="AQ38" s="5">
        <f>IF(CreditAmort4BASE[[#This Row],[Month]]=AS$8,AO$7,0)</f>
        <v>0</v>
      </c>
      <c r="AR38" s="13">
        <f t="shared" si="14"/>
        <v>0</v>
      </c>
      <c r="AS38" s="6" t="str">
        <f t="shared" si="15"/>
        <v xml:space="preserve"> </v>
      </c>
      <c r="AT38" s="21" t="str">
        <f t="shared" si="16"/>
        <v xml:space="preserve"> </v>
      </c>
    </row>
    <row r="39" spans="3:46">
      <c r="C39" s="22">
        <f t="shared" si="1"/>
        <v>28</v>
      </c>
      <c r="D39" s="23">
        <f>IF(AND(C39&gt;='Amort. Sched.-BASE'!$I$8, C39&lt;= ($I$7+$I$8)), PMT('Amort. Sched.-BASE'!$E$8/12, 'Amort. Sched.-BASE'!$I$7, 'Amort. Sched.-BASE'!$E$7), 0)</f>
        <v>-1736.5864935892569</v>
      </c>
      <c r="E39" s="5">
        <f>IF(AND(C39&gt;='Amort. Sched.-BASE'!$I$8, C39&lt;= ($I$7+$I$8)), (IPMT($E$8/12, (C39-$I$8), $I$7, $E$7)), 0)</f>
        <v>-1453.5101807700689</v>
      </c>
      <c r="F39" s="23">
        <f>IF(AND(C39&gt;='Amort. Sched.-BASE'!$I$8, C39&lt;= ($I$7+$I$8)), (PPMT($E$8/12, (C39-$I$8), $I$7, $E$7)), 0)</f>
        <v>-283.07631281918788</v>
      </c>
      <c r="G39" s="5">
        <f>IF(MortgageAmortBASE[[#This Row],[Month]]=I$8,E$7,0)</f>
        <v>0</v>
      </c>
      <c r="H39" s="13">
        <f>IF(AND(C39&gt;='Amort. Sched.-BASE'!$I$8, C39&lt;= ($I$7+$I$8)), H38+F39, 0)</f>
        <v>217743.45080269114</v>
      </c>
      <c r="I39" s="24">
        <f>IF(AND(C39&gt;='Amort. Sched.-BASE'!$I$8, C39&lt;= ($I$7+$I$8)), E39/D39, " ")</f>
        <v>0.83699267853102277</v>
      </c>
      <c r="J39" s="25">
        <f>IF(AND(C39&gt;='Amort. Sched.-BASE'!$I$8, C39&lt;= ($I$7+$I$8)), F39/D39, " ")</f>
        <v>0.16300732146897717</v>
      </c>
      <c r="L39" s="20">
        <f t="shared" si="0"/>
        <v>28</v>
      </c>
      <c r="M39" s="5">
        <f>IF(AND(L39&gt;='Amort. Sched.-BASE'!$R$8, L39&lt;= ($R$7+$R$8)), PMT('Amort. Sched.-BASE'!$N$8/12, 'Amort. Sched.-BASE'!$R$7, 'Amort. Sched.-BASE'!$N$7), 0)</f>
        <v>0</v>
      </c>
      <c r="N39" s="5">
        <f>IF(AND(L39&gt;='Amort. Sched.-BASE'!$R$8, L39&lt;= ($R$7+$R$8)), (IPMT($N$8/12, (L39-$R$8), $R$7, $N$7)), 0)</f>
        <v>0</v>
      </c>
      <c r="O39" s="5">
        <f>IF(AND(L39&gt;='Amort. Sched.-BASE'!$R$8, L39&lt;= ($R$7+$R$8)), (PPMT($N$8/12, (L39-$R$8), $R$7, $N$7)), 0)</f>
        <v>0</v>
      </c>
      <c r="P39" s="5">
        <f>IF(CreditAmort1BASE[[#This Row],[Month]]=R$8,N$7,0)</f>
        <v>0</v>
      </c>
      <c r="Q39" s="13">
        <f>IF(AND(L39&gt;='Amort. Sched.-BASE'!$R$8, L39&lt;= ($R$7+$R$8)), Q38+O39, 0)</f>
        <v>0</v>
      </c>
      <c r="R39" s="6" t="str">
        <f>IF(AND(L39&gt;='Amort. Sched.-BASE'!$R$8, L39&lt;= ($R$7+$R$8)), N39/M39, " ")</f>
        <v xml:space="preserve"> </v>
      </c>
      <c r="S39" s="21" t="str">
        <f>IF(AND(L39&gt;='Amort. Sched.-BASE'!$R$8, L39&lt;= ($R$7+$R$8)), O39/M39, " ")</f>
        <v xml:space="preserve"> </v>
      </c>
      <c r="U39" s="20">
        <f t="shared" si="2"/>
        <v>28</v>
      </c>
      <c r="V39" s="5">
        <f>IF(AND(U39&gt;='Amort. Sched.-BASE'!$AA$8, U39&lt;= ($AA$7+$AA$8)), PMT('Amort. Sched.-BASE'!$W$8/12, 'Amort. Sched.-BASE'!$AA$7, 'Amort. Sched.-BASE'!$W$7), 0)</f>
        <v>0</v>
      </c>
      <c r="W39" s="5">
        <f>IF(AND(U39&gt;='Amort. Sched.-BASE'!$AA$8, U39&lt;= ($AA$7+$AA$8)), (IPMT($W$8/12, (U39-$AA$8), $AA$7, $W$7)), 0)</f>
        <v>0</v>
      </c>
      <c r="X39" s="5">
        <f>IF(AND(U39&gt;='Amort. Sched.-BASE'!$AA$8, U39&lt;= ($AA$7+$AA$8)), (PPMT($W$8/12, (U39-$AA$8), $AA$7, $W$7)), 0)</f>
        <v>0</v>
      </c>
      <c r="Y39" s="5">
        <f>IF(CreditAmort2BASE[[#This Row],[Month]]=AA$8,W$7,0)</f>
        <v>0</v>
      </c>
      <c r="Z39" s="13">
        <f>IF(AND(U39&gt;='Amort. Sched.-BASE'!$AA$8, U39&lt;= ($AA$7+$AA$8)), Z38+X39, 0)</f>
        <v>0</v>
      </c>
      <c r="AA39" s="6" t="str">
        <f>IF(AND(U39&gt;='Amort. Sched.-BASE'!$AA$8, U39&lt;= ($AA$7+$AA$8)), W39/V39, " ")</f>
        <v xml:space="preserve"> </v>
      </c>
      <c r="AB39" s="21" t="str">
        <f>IF(AND(U39&gt;='Amort. Sched.-BASE'!$AA$8, U39&lt;= ($AA$7+$AA$8)), X39/V39, " ")</f>
        <v xml:space="preserve"> </v>
      </c>
      <c r="AD39" s="20">
        <f t="shared" si="3"/>
        <v>28</v>
      </c>
      <c r="AE39" s="5">
        <f t="shared" si="4"/>
        <v>0</v>
      </c>
      <c r="AF39" s="5">
        <f t="shared" si="5"/>
        <v>0</v>
      </c>
      <c r="AG39" s="5">
        <f t="shared" si="6"/>
        <v>0</v>
      </c>
      <c r="AH39" s="5">
        <f>IF(CreditAmort3BASE[[#This Row],[Month]]=AJ$8,AF$7,0)</f>
        <v>0</v>
      </c>
      <c r="AI39" s="13">
        <f t="shared" si="7"/>
        <v>0</v>
      </c>
      <c r="AJ39" s="6" t="str">
        <f t="shared" si="8"/>
        <v xml:space="preserve"> </v>
      </c>
      <c r="AK39" s="21" t="str">
        <f t="shared" si="9"/>
        <v xml:space="preserve"> </v>
      </c>
      <c r="AM39" s="20">
        <f t="shared" si="10"/>
        <v>28</v>
      </c>
      <c r="AN39" s="5">
        <f t="shared" si="11"/>
        <v>0</v>
      </c>
      <c r="AO39" s="5">
        <f t="shared" si="12"/>
        <v>0</v>
      </c>
      <c r="AP39" s="5">
        <f t="shared" si="13"/>
        <v>0</v>
      </c>
      <c r="AQ39" s="5">
        <f>IF(CreditAmort4BASE[[#This Row],[Month]]=AS$8,AO$7,0)</f>
        <v>0</v>
      </c>
      <c r="AR39" s="13">
        <f t="shared" si="14"/>
        <v>0</v>
      </c>
      <c r="AS39" s="6" t="str">
        <f t="shared" si="15"/>
        <v xml:space="preserve"> </v>
      </c>
      <c r="AT39" s="21" t="str">
        <f t="shared" si="16"/>
        <v xml:space="preserve"> </v>
      </c>
    </row>
    <row r="40" spans="3:46">
      <c r="C40" s="22">
        <f t="shared" si="1"/>
        <v>29</v>
      </c>
      <c r="D40" s="23">
        <f>IF(AND(C40&gt;='Amort. Sched.-BASE'!$I$8, C40&lt;= ($I$7+$I$8)), PMT('Amort. Sched.-BASE'!$E$8/12, 'Amort. Sched.-BASE'!$I$7, 'Amort. Sched.-BASE'!$E$7), 0)</f>
        <v>-1736.5864935892569</v>
      </c>
      <c r="E40" s="5">
        <f>IF(AND(C40&gt;='Amort. Sched.-BASE'!$I$8, C40&lt;= ($I$7+$I$8)), (IPMT($E$8/12, (C40-$I$8), $I$7, $E$7)), 0)</f>
        <v>-1451.6230053512743</v>
      </c>
      <c r="F40" s="23">
        <f>IF(AND(C40&gt;='Amort. Sched.-BASE'!$I$8, C40&lt;= ($I$7+$I$8)), (PPMT($E$8/12, (C40-$I$8), $I$7, $E$7)), 0)</f>
        <v>-284.96348823798257</v>
      </c>
      <c r="G40" s="5">
        <f>IF(MortgageAmortBASE[[#This Row],[Month]]=I$8,E$7,0)</f>
        <v>0</v>
      </c>
      <c r="H40" s="13">
        <f>IF(AND(C40&gt;='Amort. Sched.-BASE'!$I$8, C40&lt;= ($I$7+$I$8)), H39+F40, 0)</f>
        <v>217458.48731445314</v>
      </c>
      <c r="I40" s="24">
        <f>IF(AND(C40&gt;='Amort. Sched.-BASE'!$I$8, C40&lt;= ($I$7+$I$8)), E40/D40, " ")</f>
        <v>0.83590596305456288</v>
      </c>
      <c r="J40" s="25">
        <f>IF(AND(C40&gt;='Amort. Sched.-BASE'!$I$8, C40&lt;= ($I$7+$I$8)), F40/D40, " ")</f>
        <v>0.16409403694543709</v>
      </c>
      <c r="L40" s="20">
        <f t="shared" si="0"/>
        <v>29</v>
      </c>
      <c r="M40" s="5">
        <f>IF(AND(L40&gt;='Amort. Sched.-BASE'!$R$8, L40&lt;= ($R$7+$R$8)), PMT('Amort. Sched.-BASE'!$N$8/12, 'Amort. Sched.-BASE'!$R$7, 'Amort. Sched.-BASE'!$N$7), 0)</f>
        <v>0</v>
      </c>
      <c r="N40" s="5">
        <f>IF(AND(L40&gt;='Amort. Sched.-BASE'!$R$8, L40&lt;= ($R$7+$R$8)), (IPMT($N$8/12, (L40-$R$8), $R$7, $N$7)), 0)</f>
        <v>0</v>
      </c>
      <c r="O40" s="5">
        <f>IF(AND(L40&gt;='Amort. Sched.-BASE'!$R$8, L40&lt;= ($R$7+$R$8)), (PPMT($N$8/12, (L40-$R$8), $R$7, $N$7)), 0)</f>
        <v>0</v>
      </c>
      <c r="P40" s="5">
        <f>IF(CreditAmort1BASE[[#This Row],[Month]]=R$8,N$7,0)</f>
        <v>0</v>
      </c>
      <c r="Q40" s="13">
        <f>IF(AND(L40&gt;='Amort. Sched.-BASE'!$R$8, L40&lt;= ($R$7+$R$8)), Q39+O40, 0)</f>
        <v>0</v>
      </c>
      <c r="R40" s="6" t="str">
        <f>IF(AND(L40&gt;='Amort. Sched.-BASE'!$R$8, L40&lt;= ($R$7+$R$8)), N40/M40, " ")</f>
        <v xml:space="preserve"> </v>
      </c>
      <c r="S40" s="21" t="str">
        <f>IF(AND(L40&gt;='Amort. Sched.-BASE'!$R$8, L40&lt;= ($R$7+$R$8)), O40/M40, " ")</f>
        <v xml:space="preserve"> </v>
      </c>
      <c r="U40" s="20">
        <f t="shared" si="2"/>
        <v>29</v>
      </c>
      <c r="V40" s="5">
        <f>IF(AND(U40&gt;='Amort. Sched.-BASE'!$AA$8, U40&lt;= ($AA$7+$AA$8)), PMT('Amort. Sched.-BASE'!$W$8/12, 'Amort. Sched.-BASE'!$AA$7, 'Amort. Sched.-BASE'!$W$7), 0)</f>
        <v>0</v>
      </c>
      <c r="W40" s="5">
        <f>IF(AND(U40&gt;='Amort. Sched.-BASE'!$AA$8, U40&lt;= ($AA$7+$AA$8)), (IPMT($W$8/12, (U40-$AA$8), $AA$7, $W$7)), 0)</f>
        <v>0</v>
      </c>
      <c r="X40" s="5">
        <f>IF(AND(U40&gt;='Amort. Sched.-BASE'!$AA$8, U40&lt;= ($AA$7+$AA$8)), (PPMT($W$8/12, (U40-$AA$8), $AA$7, $W$7)), 0)</f>
        <v>0</v>
      </c>
      <c r="Y40" s="5">
        <f>IF(CreditAmort2BASE[[#This Row],[Month]]=AA$8,W$7,0)</f>
        <v>0</v>
      </c>
      <c r="Z40" s="13">
        <f>IF(AND(U40&gt;='Amort. Sched.-BASE'!$AA$8, U40&lt;= ($AA$7+$AA$8)), Z39+X40, 0)</f>
        <v>0</v>
      </c>
      <c r="AA40" s="6" t="str">
        <f>IF(AND(U40&gt;='Amort. Sched.-BASE'!$AA$8, U40&lt;= ($AA$7+$AA$8)), W40/V40, " ")</f>
        <v xml:space="preserve"> </v>
      </c>
      <c r="AB40" s="21" t="str">
        <f>IF(AND(U40&gt;='Amort. Sched.-BASE'!$AA$8, U40&lt;= ($AA$7+$AA$8)), X40/V40, " ")</f>
        <v xml:space="preserve"> </v>
      </c>
      <c r="AD40" s="20">
        <f t="shared" si="3"/>
        <v>29</v>
      </c>
      <c r="AE40" s="5">
        <f t="shared" si="4"/>
        <v>0</v>
      </c>
      <c r="AF40" s="5">
        <f t="shared" si="5"/>
        <v>0</v>
      </c>
      <c r="AG40" s="5">
        <f t="shared" si="6"/>
        <v>0</v>
      </c>
      <c r="AH40" s="5">
        <f>IF(CreditAmort3BASE[[#This Row],[Month]]=AJ$8,AF$7,0)</f>
        <v>0</v>
      </c>
      <c r="AI40" s="13">
        <f t="shared" si="7"/>
        <v>0</v>
      </c>
      <c r="AJ40" s="6" t="str">
        <f t="shared" si="8"/>
        <v xml:space="preserve"> </v>
      </c>
      <c r="AK40" s="21" t="str">
        <f t="shared" si="9"/>
        <v xml:space="preserve"> </v>
      </c>
      <c r="AM40" s="20">
        <f t="shared" si="10"/>
        <v>29</v>
      </c>
      <c r="AN40" s="5">
        <f t="shared" si="11"/>
        <v>0</v>
      </c>
      <c r="AO40" s="5">
        <f t="shared" si="12"/>
        <v>0</v>
      </c>
      <c r="AP40" s="5">
        <f t="shared" si="13"/>
        <v>0</v>
      </c>
      <c r="AQ40" s="5">
        <f>IF(CreditAmort4BASE[[#This Row],[Month]]=AS$8,AO$7,0)</f>
        <v>0</v>
      </c>
      <c r="AR40" s="13">
        <f t="shared" si="14"/>
        <v>0</v>
      </c>
      <c r="AS40" s="6" t="str">
        <f t="shared" si="15"/>
        <v xml:space="preserve"> </v>
      </c>
      <c r="AT40" s="21" t="str">
        <f t="shared" si="16"/>
        <v xml:space="preserve"> </v>
      </c>
    </row>
    <row r="41" spans="3:46">
      <c r="C41" s="22">
        <f t="shared" si="1"/>
        <v>30</v>
      </c>
      <c r="D41" s="23">
        <f>IF(AND(C41&gt;='Amort. Sched.-BASE'!$I$8, C41&lt;= ($I$7+$I$8)), PMT('Amort. Sched.-BASE'!$E$8/12, 'Amort. Sched.-BASE'!$I$7, 'Amort. Sched.-BASE'!$E$7), 0)</f>
        <v>-1736.5864935892569</v>
      </c>
      <c r="E41" s="5">
        <f>IF(AND(C41&gt;='Amort. Sched.-BASE'!$I$8, C41&lt;= ($I$7+$I$8)), (IPMT($E$8/12, (C41-$I$8), $I$7, $E$7)), 0)</f>
        <v>-1449.723248763021</v>
      </c>
      <c r="F41" s="23">
        <f>IF(AND(C41&gt;='Amort. Sched.-BASE'!$I$8, C41&lt;= ($I$7+$I$8)), (PPMT($E$8/12, (C41-$I$8), $I$7, $E$7)), 0)</f>
        <v>-286.86324482623576</v>
      </c>
      <c r="G41" s="5">
        <f>IF(MortgageAmortBASE[[#This Row],[Month]]=I$8,E$7,0)</f>
        <v>0</v>
      </c>
      <c r="H41" s="13">
        <f>IF(AND(C41&gt;='Amort. Sched.-BASE'!$I$8, C41&lt;= ($I$7+$I$8)), H40+F41, 0)</f>
        <v>217171.62406962691</v>
      </c>
      <c r="I41" s="24">
        <f>IF(AND(C41&gt;='Amort. Sched.-BASE'!$I$8, C41&lt;= ($I$7+$I$8)), E41/D41, " ")</f>
        <v>0.83481200280825996</v>
      </c>
      <c r="J41" s="25">
        <f>IF(AND(C41&gt;='Amort. Sched.-BASE'!$I$8, C41&lt;= ($I$7+$I$8)), F41/D41, " ")</f>
        <v>0.16518799719173999</v>
      </c>
      <c r="L41" s="20">
        <f t="shared" si="0"/>
        <v>30</v>
      </c>
      <c r="M41" s="5">
        <f>IF(AND(L41&gt;='Amort. Sched.-BASE'!$R$8, L41&lt;= ($R$7+$R$8)), PMT('Amort. Sched.-BASE'!$N$8/12, 'Amort. Sched.-BASE'!$R$7, 'Amort. Sched.-BASE'!$N$7), 0)</f>
        <v>0</v>
      </c>
      <c r="N41" s="5">
        <f>IF(AND(L41&gt;='Amort. Sched.-BASE'!$R$8, L41&lt;= ($R$7+$R$8)), (IPMT($N$8/12, (L41-$R$8), $R$7, $N$7)), 0)</f>
        <v>0</v>
      </c>
      <c r="O41" s="5">
        <f>IF(AND(L41&gt;='Amort. Sched.-BASE'!$R$8, L41&lt;= ($R$7+$R$8)), (PPMT($N$8/12, (L41-$R$8), $R$7, $N$7)), 0)</f>
        <v>0</v>
      </c>
      <c r="P41" s="5">
        <f>IF(CreditAmort1BASE[[#This Row],[Month]]=R$8,N$7,0)</f>
        <v>0</v>
      </c>
      <c r="Q41" s="13">
        <f>IF(AND(L41&gt;='Amort. Sched.-BASE'!$R$8, L41&lt;= ($R$7+$R$8)), Q40+O41, 0)</f>
        <v>0</v>
      </c>
      <c r="R41" s="6" t="str">
        <f>IF(AND(L41&gt;='Amort. Sched.-BASE'!$R$8, L41&lt;= ($R$7+$R$8)), N41/M41, " ")</f>
        <v xml:space="preserve"> </v>
      </c>
      <c r="S41" s="21" t="str">
        <f>IF(AND(L41&gt;='Amort. Sched.-BASE'!$R$8, L41&lt;= ($R$7+$R$8)), O41/M41, " ")</f>
        <v xml:space="preserve"> </v>
      </c>
      <c r="U41" s="20">
        <f t="shared" si="2"/>
        <v>30</v>
      </c>
      <c r="V41" s="5">
        <f>IF(AND(U41&gt;='Amort. Sched.-BASE'!$AA$8, U41&lt;= ($AA$7+$AA$8)), PMT('Amort. Sched.-BASE'!$W$8/12, 'Amort. Sched.-BASE'!$AA$7, 'Amort. Sched.-BASE'!$W$7), 0)</f>
        <v>0</v>
      </c>
      <c r="W41" s="5">
        <f>IF(AND(U41&gt;='Amort. Sched.-BASE'!$AA$8, U41&lt;= ($AA$7+$AA$8)), (IPMT($W$8/12, (U41-$AA$8), $AA$7, $W$7)), 0)</f>
        <v>0</v>
      </c>
      <c r="X41" s="5">
        <f>IF(AND(U41&gt;='Amort. Sched.-BASE'!$AA$8, U41&lt;= ($AA$7+$AA$8)), (PPMT($W$8/12, (U41-$AA$8), $AA$7, $W$7)), 0)</f>
        <v>0</v>
      </c>
      <c r="Y41" s="5">
        <f>IF(CreditAmort2BASE[[#This Row],[Month]]=AA$8,W$7,0)</f>
        <v>0</v>
      </c>
      <c r="Z41" s="13">
        <f>IF(AND(U41&gt;='Amort. Sched.-BASE'!$AA$8, U41&lt;= ($AA$7+$AA$8)), Z40+X41, 0)</f>
        <v>0</v>
      </c>
      <c r="AA41" s="6" t="str">
        <f>IF(AND(U41&gt;='Amort. Sched.-BASE'!$AA$8, U41&lt;= ($AA$7+$AA$8)), W41/V41, " ")</f>
        <v xml:space="preserve"> </v>
      </c>
      <c r="AB41" s="21" t="str">
        <f>IF(AND(U41&gt;='Amort. Sched.-BASE'!$AA$8, U41&lt;= ($AA$7+$AA$8)), X41/V41, " ")</f>
        <v xml:space="preserve"> </v>
      </c>
      <c r="AD41" s="20">
        <f t="shared" si="3"/>
        <v>30</v>
      </c>
      <c r="AE41" s="5">
        <f t="shared" si="4"/>
        <v>0</v>
      </c>
      <c r="AF41" s="5">
        <f t="shared" si="5"/>
        <v>0</v>
      </c>
      <c r="AG41" s="5">
        <f t="shared" si="6"/>
        <v>0</v>
      </c>
      <c r="AH41" s="5">
        <f>IF(CreditAmort3BASE[[#This Row],[Month]]=AJ$8,AF$7,0)</f>
        <v>0</v>
      </c>
      <c r="AI41" s="13">
        <f t="shared" si="7"/>
        <v>0</v>
      </c>
      <c r="AJ41" s="6" t="str">
        <f t="shared" si="8"/>
        <v xml:space="preserve"> </v>
      </c>
      <c r="AK41" s="21" t="str">
        <f t="shared" si="9"/>
        <v xml:space="preserve"> </v>
      </c>
      <c r="AM41" s="20">
        <f t="shared" si="10"/>
        <v>30</v>
      </c>
      <c r="AN41" s="5">
        <f t="shared" si="11"/>
        <v>0</v>
      </c>
      <c r="AO41" s="5">
        <f t="shared" si="12"/>
        <v>0</v>
      </c>
      <c r="AP41" s="5">
        <f t="shared" si="13"/>
        <v>0</v>
      </c>
      <c r="AQ41" s="5">
        <f>IF(CreditAmort4BASE[[#This Row],[Month]]=AS$8,AO$7,0)</f>
        <v>0</v>
      </c>
      <c r="AR41" s="13">
        <f t="shared" si="14"/>
        <v>0</v>
      </c>
      <c r="AS41" s="6" t="str">
        <f t="shared" si="15"/>
        <v xml:space="preserve"> </v>
      </c>
      <c r="AT41" s="21" t="str">
        <f t="shared" si="16"/>
        <v xml:space="preserve"> </v>
      </c>
    </row>
    <row r="42" spans="3:46">
      <c r="C42" s="22">
        <f t="shared" si="1"/>
        <v>31</v>
      </c>
      <c r="D42" s="23">
        <f>IF(AND(C42&gt;='Amort. Sched.-BASE'!$I$8, C42&lt;= ($I$7+$I$8)), PMT('Amort. Sched.-BASE'!$E$8/12, 'Amort. Sched.-BASE'!$I$7, 'Amort. Sched.-BASE'!$E$7), 0)</f>
        <v>-1736.5864935892569</v>
      </c>
      <c r="E42" s="5">
        <f>IF(AND(C42&gt;='Amort. Sched.-BASE'!$I$8, C42&lt;= ($I$7+$I$8)), (IPMT($E$8/12, (C42-$I$8), $I$7, $E$7)), 0)</f>
        <v>-1447.8108271308463</v>
      </c>
      <c r="F42" s="23">
        <f>IF(AND(C42&gt;='Amort. Sched.-BASE'!$I$8, C42&lt;= ($I$7+$I$8)), (PPMT($E$8/12, (C42-$I$8), $I$7, $E$7)), 0)</f>
        <v>-288.77566645841063</v>
      </c>
      <c r="G42" s="5">
        <f>IF(MortgageAmortBASE[[#This Row],[Month]]=I$8,E$7,0)</f>
        <v>0</v>
      </c>
      <c r="H42" s="13">
        <f>IF(AND(C42&gt;='Amort. Sched.-BASE'!$I$8, C42&lt;= ($I$7+$I$8)), H41+F42, 0)</f>
        <v>216882.84840316849</v>
      </c>
      <c r="I42" s="24">
        <f>IF(AND(C42&gt;='Amort. Sched.-BASE'!$I$8, C42&lt;= ($I$7+$I$8)), E42/D42, " ")</f>
        <v>0.83371074949364843</v>
      </c>
      <c r="J42" s="25">
        <f>IF(AND(C42&gt;='Amort. Sched.-BASE'!$I$8, C42&lt;= ($I$7+$I$8)), F42/D42, " ")</f>
        <v>0.16628925050635157</v>
      </c>
      <c r="L42" s="20">
        <f t="shared" si="0"/>
        <v>31</v>
      </c>
      <c r="M42" s="5">
        <f>IF(AND(L42&gt;='Amort. Sched.-BASE'!$R$8, L42&lt;= ($R$7+$R$8)), PMT('Amort. Sched.-BASE'!$N$8/12, 'Amort. Sched.-BASE'!$R$7, 'Amort. Sched.-BASE'!$N$7), 0)</f>
        <v>0</v>
      </c>
      <c r="N42" s="5">
        <f>IF(AND(L42&gt;='Amort. Sched.-BASE'!$R$8, L42&lt;= ($R$7+$R$8)), (IPMT($N$8/12, (L42-$R$8), $R$7, $N$7)), 0)</f>
        <v>0</v>
      </c>
      <c r="O42" s="5">
        <f>IF(AND(L42&gt;='Amort. Sched.-BASE'!$R$8, L42&lt;= ($R$7+$R$8)), (PPMT($N$8/12, (L42-$R$8), $R$7, $N$7)), 0)</f>
        <v>0</v>
      </c>
      <c r="P42" s="5">
        <f>IF(CreditAmort1BASE[[#This Row],[Month]]=R$8,N$7,0)</f>
        <v>0</v>
      </c>
      <c r="Q42" s="13">
        <f>IF(AND(L42&gt;='Amort. Sched.-BASE'!$R$8, L42&lt;= ($R$7+$R$8)), Q41+O42, 0)</f>
        <v>0</v>
      </c>
      <c r="R42" s="6" t="str">
        <f>IF(AND(L42&gt;='Amort. Sched.-BASE'!$R$8, L42&lt;= ($R$7+$R$8)), N42/M42, " ")</f>
        <v xml:space="preserve"> </v>
      </c>
      <c r="S42" s="21" t="str">
        <f>IF(AND(L42&gt;='Amort. Sched.-BASE'!$R$8, L42&lt;= ($R$7+$R$8)), O42/M42, " ")</f>
        <v xml:space="preserve"> </v>
      </c>
      <c r="U42" s="20">
        <f t="shared" si="2"/>
        <v>31</v>
      </c>
      <c r="V42" s="5">
        <f>IF(AND(U42&gt;='Amort. Sched.-BASE'!$AA$8, U42&lt;= ($AA$7+$AA$8)), PMT('Amort. Sched.-BASE'!$W$8/12, 'Amort. Sched.-BASE'!$AA$7, 'Amort. Sched.-BASE'!$W$7), 0)</f>
        <v>0</v>
      </c>
      <c r="W42" s="5">
        <f>IF(AND(U42&gt;='Amort. Sched.-BASE'!$AA$8, U42&lt;= ($AA$7+$AA$8)), (IPMT($W$8/12, (U42-$AA$8), $AA$7, $W$7)), 0)</f>
        <v>0</v>
      </c>
      <c r="X42" s="5">
        <f>IF(AND(U42&gt;='Amort. Sched.-BASE'!$AA$8, U42&lt;= ($AA$7+$AA$8)), (PPMT($W$8/12, (U42-$AA$8), $AA$7, $W$7)), 0)</f>
        <v>0</v>
      </c>
      <c r="Y42" s="5">
        <f>IF(CreditAmort2BASE[[#This Row],[Month]]=AA$8,W$7,0)</f>
        <v>0</v>
      </c>
      <c r="Z42" s="13">
        <f>IF(AND(U42&gt;='Amort. Sched.-BASE'!$AA$8, U42&lt;= ($AA$7+$AA$8)), Z41+X42, 0)</f>
        <v>0</v>
      </c>
      <c r="AA42" s="6" t="str">
        <f>IF(AND(U42&gt;='Amort. Sched.-BASE'!$AA$8, U42&lt;= ($AA$7+$AA$8)), W42/V42, " ")</f>
        <v xml:space="preserve"> </v>
      </c>
      <c r="AB42" s="21" t="str">
        <f>IF(AND(U42&gt;='Amort. Sched.-BASE'!$AA$8, U42&lt;= ($AA$7+$AA$8)), X42/V42, " ")</f>
        <v xml:space="preserve"> </v>
      </c>
      <c r="AD42" s="20">
        <f t="shared" si="3"/>
        <v>31</v>
      </c>
      <c r="AE42" s="5">
        <f t="shared" si="4"/>
        <v>0</v>
      </c>
      <c r="AF42" s="5">
        <f t="shared" si="5"/>
        <v>0</v>
      </c>
      <c r="AG42" s="5">
        <f t="shared" si="6"/>
        <v>0</v>
      </c>
      <c r="AH42" s="5">
        <f>IF(CreditAmort3BASE[[#This Row],[Month]]=AJ$8,AF$7,0)</f>
        <v>0</v>
      </c>
      <c r="AI42" s="13">
        <f t="shared" si="7"/>
        <v>0</v>
      </c>
      <c r="AJ42" s="6" t="str">
        <f t="shared" si="8"/>
        <v xml:space="preserve"> </v>
      </c>
      <c r="AK42" s="21" t="str">
        <f t="shared" si="9"/>
        <v xml:space="preserve"> </v>
      </c>
      <c r="AM42" s="20">
        <f t="shared" si="10"/>
        <v>31</v>
      </c>
      <c r="AN42" s="5">
        <f t="shared" si="11"/>
        <v>0</v>
      </c>
      <c r="AO42" s="5">
        <f t="shared" si="12"/>
        <v>0</v>
      </c>
      <c r="AP42" s="5">
        <f t="shared" si="13"/>
        <v>0</v>
      </c>
      <c r="AQ42" s="5">
        <f>IF(CreditAmort4BASE[[#This Row],[Month]]=AS$8,AO$7,0)</f>
        <v>0</v>
      </c>
      <c r="AR42" s="13">
        <f t="shared" si="14"/>
        <v>0</v>
      </c>
      <c r="AS42" s="6" t="str">
        <f t="shared" si="15"/>
        <v xml:space="preserve"> </v>
      </c>
      <c r="AT42" s="21" t="str">
        <f t="shared" si="16"/>
        <v xml:space="preserve"> </v>
      </c>
    </row>
    <row r="43" spans="3:46">
      <c r="C43" s="22">
        <f t="shared" si="1"/>
        <v>32</v>
      </c>
      <c r="D43" s="23">
        <f>IF(AND(C43&gt;='Amort. Sched.-BASE'!$I$8, C43&lt;= ($I$7+$I$8)), PMT('Amort. Sched.-BASE'!$E$8/12, 'Amort. Sched.-BASE'!$I$7, 'Amort. Sched.-BASE'!$E$7), 0)</f>
        <v>-1736.5864935892569</v>
      </c>
      <c r="E43" s="5">
        <f>IF(AND(C43&gt;='Amort. Sched.-BASE'!$I$8, C43&lt;= ($I$7+$I$8)), (IPMT($E$8/12, (C43-$I$8), $I$7, $E$7)), 0)</f>
        <v>-1445.8856560211236</v>
      </c>
      <c r="F43" s="23">
        <f>IF(AND(C43&gt;='Amort. Sched.-BASE'!$I$8, C43&lt;= ($I$7+$I$8)), (PPMT($E$8/12, (C43-$I$8), $I$7, $E$7)), 0)</f>
        <v>-290.70083756813341</v>
      </c>
      <c r="G43" s="5">
        <f>IF(MortgageAmortBASE[[#This Row],[Month]]=I$8,E$7,0)</f>
        <v>0</v>
      </c>
      <c r="H43" s="13">
        <f>IF(AND(C43&gt;='Amort. Sched.-BASE'!$I$8, C43&lt;= ($I$7+$I$8)), H42+F43, 0)</f>
        <v>216592.14756560035</v>
      </c>
      <c r="I43" s="24">
        <f>IF(AND(C43&gt;='Amort. Sched.-BASE'!$I$8, C43&lt;= ($I$7+$I$8)), E43/D43, " ")</f>
        <v>0.83260215449027286</v>
      </c>
      <c r="J43" s="25">
        <f>IF(AND(C43&gt;='Amort. Sched.-BASE'!$I$8, C43&lt;= ($I$7+$I$8)), F43/D43, " ")</f>
        <v>0.16739784550972728</v>
      </c>
      <c r="L43" s="20">
        <f t="shared" si="0"/>
        <v>32</v>
      </c>
      <c r="M43" s="5">
        <f>IF(AND(L43&gt;='Amort. Sched.-BASE'!$R$8, L43&lt;= ($R$7+$R$8)), PMT('Amort. Sched.-BASE'!$N$8/12, 'Amort. Sched.-BASE'!$R$7, 'Amort. Sched.-BASE'!$N$7), 0)</f>
        <v>0</v>
      </c>
      <c r="N43" s="5">
        <f>IF(AND(L43&gt;='Amort. Sched.-BASE'!$R$8, L43&lt;= ($R$7+$R$8)), (IPMT($N$8/12, (L43-$R$8), $R$7, $N$7)), 0)</f>
        <v>0</v>
      </c>
      <c r="O43" s="5">
        <f>IF(AND(L43&gt;='Amort. Sched.-BASE'!$R$8, L43&lt;= ($R$7+$R$8)), (PPMT($N$8/12, (L43-$R$8), $R$7, $N$7)), 0)</f>
        <v>0</v>
      </c>
      <c r="P43" s="5">
        <f>IF(CreditAmort1BASE[[#This Row],[Month]]=R$8,N$7,0)</f>
        <v>0</v>
      </c>
      <c r="Q43" s="13">
        <f>IF(AND(L43&gt;='Amort. Sched.-BASE'!$R$8, L43&lt;= ($R$7+$R$8)), Q42+O43, 0)</f>
        <v>0</v>
      </c>
      <c r="R43" s="6" t="str">
        <f>IF(AND(L43&gt;='Amort. Sched.-BASE'!$R$8, L43&lt;= ($R$7+$R$8)), N43/M43, " ")</f>
        <v xml:space="preserve"> </v>
      </c>
      <c r="S43" s="21" t="str">
        <f>IF(AND(L43&gt;='Amort. Sched.-BASE'!$R$8, L43&lt;= ($R$7+$R$8)), O43/M43, " ")</f>
        <v xml:space="preserve"> </v>
      </c>
      <c r="U43" s="20">
        <f t="shared" si="2"/>
        <v>32</v>
      </c>
      <c r="V43" s="5">
        <f>IF(AND(U43&gt;='Amort. Sched.-BASE'!$AA$8, U43&lt;= ($AA$7+$AA$8)), PMT('Amort. Sched.-BASE'!$W$8/12, 'Amort. Sched.-BASE'!$AA$7, 'Amort. Sched.-BASE'!$W$7), 0)</f>
        <v>0</v>
      </c>
      <c r="W43" s="5">
        <f>IF(AND(U43&gt;='Amort. Sched.-BASE'!$AA$8, U43&lt;= ($AA$7+$AA$8)), (IPMT($W$8/12, (U43-$AA$8), $AA$7, $W$7)), 0)</f>
        <v>0</v>
      </c>
      <c r="X43" s="5">
        <f>IF(AND(U43&gt;='Amort. Sched.-BASE'!$AA$8, U43&lt;= ($AA$7+$AA$8)), (PPMT($W$8/12, (U43-$AA$8), $AA$7, $W$7)), 0)</f>
        <v>0</v>
      </c>
      <c r="Y43" s="5">
        <f>IF(CreditAmort2BASE[[#This Row],[Month]]=AA$8,W$7,0)</f>
        <v>0</v>
      </c>
      <c r="Z43" s="13">
        <f>IF(AND(U43&gt;='Amort. Sched.-BASE'!$AA$8, U43&lt;= ($AA$7+$AA$8)), Z42+X43, 0)</f>
        <v>0</v>
      </c>
      <c r="AA43" s="6" t="str">
        <f>IF(AND(U43&gt;='Amort. Sched.-BASE'!$AA$8, U43&lt;= ($AA$7+$AA$8)), W43/V43, " ")</f>
        <v xml:space="preserve"> </v>
      </c>
      <c r="AB43" s="21" t="str">
        <f>IF(AND(U43&gt;='Amort. Sched.-BASE'!$AA$8, U43&lt;= ($AA$7+$AA$8)), X43/V43, " ")</f>
        <v xml:space="preserve"> </v>
      </c>
      <c r="AD43" s="20">
        <f t="shared" si="3"/>
        <v>32</v>
      </c>
      <c r="AE43" s="5">
        <f t="shared" si="4"/>
        <v>0</v>
      </c>
      <c r="AF43" s="5">
        <f t="shared" si="5"/>
        <v>0</v>
      </c>
      <c r="AG43" s="5">
        <f t="shared" si="6"/>
        <v>0</v>
      </c>
      <c r="AH43" s="5">
        <f>IF(CreditAmort3BASE[[#This Row],[Month]]=AJ$8,AF$7,0)</f>
        <v>0</v>
      </c>
      <c r="AI43" s="13">
        <f t="shared" si="7"/>
        <v>0</v>
      </c>
      <c r="AJ43" s="6" t="str">
        <f t="shared" si="8"/>
        <v xml:space="preserve"> </v>
      </c>
      <c r="AK43" s="21" t="str">
        <f t="shared" si="9"/>
        <v xml:space="preserve"> </v>
      </c>
      <c r="AM43" s="20">
        <f t="shared" si="10"/>
        <v>32</v>
      </c>
      <c r="AN43" s="5">
        <f t="shared" si="11"/>
        <v>0</v>
      </c>
      <c r="AO43" s="5">
        <f t="shared" si="12"/>
        <v>0</v>
      </c>
      <c r="AP43" s="5">
        <f t="shared" si="13"/>
        <v>0</v>
      </c>
      <c r="AQ43" s="5">
        <f>IF(CreditAmort4BASE[[#This Row],[Month]]=AS$8,AO$7,0)</f>
        <v>0</v>
      </c>
      <c r="AR43" s="13">
        <f t="shared" si="14"/>
        <v>0</v>
      </c>
      <c r="AS43" s="6" t="str">
        <f t="shared" si="15"/>
        <v xml:space="preserve"> </v>
      </c>
      <c r="AT43" s="21" t="str">
        <f t="shared" si="16"/>
        <v xml:space="preserve"> </v>
      </c>
    </row>
    <row r="44" spans="3:46">
      <c r="C44" s="22">
        <f t="shared" si="1"/>
        <v>33</v>
      </c>
      <c r="D44" s="23">
        <f>IF(AND(C44&gt;='Amort. Sched.-BASE'!$I$8, C44&lt;= ($I$7+$I$8)), PMT('Amort. Sched.-BASE'!$E$8/12, 'Amort. Sched.-BASE'!$I$7, 'Amort. Sched.-BASE'!$E$7), 0)</f>
        <v>-1736.5864935892569</v>
      </c>
      <c r="E44" s="5">
        <f>IF(AND(C44&gt;='Amort. Sched.-BASE'!$I$8, C44&lt;= ($I$7+$I$8)), (IPMT($E$8/12, (C44-$I$8), $I$7, $E$7)), 0)</f>
        <v>-1443.9476504373358</v>
      </c>
      <c r="F44" s="23">
        <f>IF(AND(C44&gt;='Amort. Sched.-BASE'!$I$8, C44&lt;= ($I$7+$I$8)), (PPMT($E$8/12, (C44-$I$8), $I$7, $E$7)), 0)</f>
        <v>-292.63884315192092</v>
      </c>
      <c r="G44" s="5">
        <f>IF(MortgageAmortBASE[[#This Row],[Month]]=I$8,E$7,0)</f>
        <v>0</v>
      </c>
      <c r="H44" s="13">
        <f>IF(AND(C44&gt;='Amort. Sched.-BASE'!$I$8, C44&lt;= ($I$7+$I$8)), H43+F44, 0)</f>
        <v>216299.50872244843</v>
      </c>
      <c r="I44" s="24">
        <f>IF(AND(C44&gt;='Amort. Sched.-BASE'!$I$8, C44&lt;= ($I$7+$I$8)), E44/D44, " ")</f>
        <v>0.83148616885354121</v>
      </c>
      <c r="J44" s="25">
        <f>IF(AND(C44&gt;='Amort. Sched.-BASE'!$I$8, C44&lt;= ($I$7+$I$8)), F44/D44, " ")</f>
        <v>0.16851383114645876</v>
      </c>
      <c r="L44" s="20">
        <f t="shared" si="0"/>
        <v>33</v>
      </c>
      <c r="M44" s="5">
        <f>IF(AND(L44&gt;='Amort. Sched.-BASE'!$R$8, L44&lt;= ($R$7+$R$8)), PMT('Amort. Sched.-BASE'!$N$8/12, 'Amort. Sched.-BASE'!$R$7, 'Amort. Sched.-BASE'!$N$7), 0)</f>
        <v>0</v>
      </c>
      <c r="N44" s="5">
        <f>IF(AND(L44&gt;='Amort. Sched.-BASE'!$R$8, L44&lt;= ($R$7+$R$8)), (IPMT($N$8/12, (L44-$R$8), $R$7, $N$7)), 0)</f>
        <v>0</v>
      </c>
      <c r="O44" s="5">
        <f>IF(AND(L44&gt;='Amort. Sched.-BASE'!$R$8, L44&lt;= ($R$7+$R$8)), (PPMT($N$8/12, (L44-$R$8), $R$7, $N$7)), 0)</f>
        <v>0</v>
      </c>
      <c r="P44" s="5">
        <f>IF(CreditAmort1BASE[[#This Row],[Month]]=R$8,N$7,0)</f>
        <v>0</v>
      </c>
      <c r="Q44" s="13">
        <f>IF(AND(L44&gt;='Amort. Sched.-BASE'!$R$8, L44&lt;= ($R$7+$R$8)), Q43+O44, 0)</f>
        <v>0</v>
      </c>
      <c r="R44" s="6" t="str">
        <f>IF(AND(L44&gt;='Amort. Sched.-BASE'!$R$8, L44&lt;= ($R$7+$R$8)), N44/M44, " ")</f>
        <v xml:space="preserve"> </v>
      </c>
      <c r="S44" s="21" t="str">
        <f>IF(AND(L44&gt;='Amort. Sched.-BASE'!$R$8, L44&lt;= ($R$7+$R$8)), O44/M44, " ")</f>
        <v xml:space="preserve"> </v>
      </c>
      <c r="U44" s="20">
        <f t="shared" si="2"/>
        <v>33</v>
      </c>
      <c r="V44" s="5">
        <f>IF(AND(U44&gt;='Amort. Sched.-BASE'!$AA$8, U44&lt;= ($AA$7+$AA$8)), PMT('Amort. Sched.-BASE'!$W$8/12, 'Amort. Sched.-BASE'!$AA$7, 'Amort. Sched.-BASE'!$W$7), 0)</f>
        <v>0</v>
      </c>
      <c r="W44" s="5">
        <f>IF(AND(U44&gt;='Amort. Sched.-BASE'!$AA$8, U44&lt;= ($AA$7+$AA$8)), (IPMT($W$8/12, (U44-$AA$8), $AA$7, $W$7)), 0)</f>
        <v>0</v>
      </c>
      <c r="X44" s="5">
        <f>IF(AND(U44&gt;='Amort. Sched.-BASE'!$AA$8, U44&lt;= ($AA$7+$AA$8)), (PPMT($W$8/12, (U44-$AA$8), $AA$7, $W$7)), 0)</f>
        <v>0</v>
      </c>
      <c r="Y44" s="5">
        <f>IF(CreditAmort2BASE[[#This Row],[Month]]=AA$8,W$7,0)</f>
        <v>0</v>
      </c>
      <c r="Z44" s="13">
        <f>IF(AND(U44&gt;='Amort. Sched.-BASE'!$AA$8, U44&lt;= ($AA$7+$AA$8)), Z43+X44, 0)</f>
        <v>0</v>
      </c>
      <c r="AA44" s="6" t="str">
        <f>IF(AND(U44&gt;='Amort. Sched.-BASE'!$AA$8, U44&lt;= ($AA$7+$AA$8)), W44/V44, " ")</f>
        <v xml:space="preserve"> </v>
      </c>
      <c r="AB44" s="21" t="str">
        <f>IF(AND(U44&gt;='Amort. Sched.-BASE'!$AA$8, U44&lt;= ($AA$7+$AA$8)), X44/V44, " ")</f>
        <v xml:space="preserve"> </v>
      </c>
      <c r="AD44" s="20">
        <f t="shared" si="3"/>
        <v>33</v>
      </c>
      <c r="AE44" s="5">
        <f t="shared" si="4"/>
        <v>0</v>
      </c>
      <c r="AF44" s="5">
        <f t="shared" si="5"/>
        <v>0</v>
      </c>
      <c r="AG44" s="5">
        <f t="shared" si="6"/>
        <v>0</v>
      </c>
      <c r="AH44" s="5">
        <f>IF(CreditAmort3BASE[[#This Row],[Month]]=AJ$8,AF$7,0)</f>
        <v>0</v>
      </c>
      <c r="AI44" s="13">
        <f t="shared" si="7"/>
        <v>0</v>
      </c>
      <c r="AJ44" s="6" t="str">
        <f t="shared" si="8"/>
        <v xml:space="preserve"> </v>
      </c>
      <c r="AK44" s="21" t="str">
        <f t="shared" si="9"/>
        <v xml:space="preserve"> </v>
      </c>
      <c r="AM44" s="20">
        <f t="shared" si="10"/>
        <v>33</v>
      </c>
      <c r="AN44" s="5">
        <f t="shared" si="11"/>
        <v>0</v>
      </c>
      <c r="AO44" s="5">
        <f t="shared" si="12"/>
        <v>0</v>
      </c>
      <c r="AP44" s="5">
        <f t="shared" si="13"/>
        <v>0</v>
      </c>
      <c r="AQ44" s="5">
        <f>IF(CreditAmort4BASE[[#This Row],[Month]]=AS$8,AO$7,0)</f>
        <v>0</v>
      </c>
      <c r="AR44" s="13">
        <f t="shared" si="14"/>
        <v>0</v>
      </c>
      <c r="AS44" s="6" t="str">
        <f t="shared" si="15"/>
        <v xml:space="preserve"> </v>
      </c>
      <c r="AT44" s="21" t="str">
        <f t="shared" si="16"/>
        <v xml:space="preserve"> </v>
      </c>
    </row>
    <row r="45" spans="3:46">
      <c r="C45" s="22">
        <f t="shared" si="1"/>
        <v>34</v>
      </c>
      <c r="D45" s="23">
        <f>IF(AND(C45&gt;='Amort. Sched.-BASE'!$I$8, C45&lt;= ($I$7+$I$8)), PMT('Amort. Sched.-BASE'!$E$8/12, 'Amort. Sched.-BASE'!$I$7, 'Amort. Sched.-BASE'!$E$7), 0)</f>
        <v>-1736.5864935892569</v>
      </c>
      <c r="E45" s="5">
        <f>IF(AND(C45&gt;='Amort. Sched.-BASE'!$I$8, C45&lt;= ($I$7+$I$8)), (IPMT($E$8/12, (C45-$I$8), $I$7, $E$7)), 0)</f>
        <v>-1441.9967248163232</v>
      </c>
      <c r="F45" s="23">
        <f>IF(AND(C45&gt;='Amort. Sched.-BASE'!$I$8, C45&lt;= ($I$7+$I$8)), (PPMT($E$8/12, (C45-$I$8), $I$7, $E$7)), 0)</f>
        <v>-294.58976877293372</v>
      </c>
      <c r="G45" s="5">
        <f>IF(MortgageAmortBASE[[#This Row],[Month]]=I$8,E$7,0)</f>
        <v>0</v>
      </c>
      <c r="H45" s="13">
        <f>IF(AND(C45&gt;='Amort. Sched.-BASE'!$I$8, C45&lt;= ($I$7+$I$8)), H44+F45, 0)</f>
        <v>216004.91895367549</v>
      </c>
      <c r="I45" s="24">
        <f>IF(AND(C45&gt;='Amort. Sched.-BASE'!$I$8, C45&lt;= ($I$7+$I$8)), E45/D45, " ")</f>
        <v>0.83036274331256488</v>
      </c>
      <c r="J45" s="25">
        <f>IF(AND(C45&gt;='Amort. Sched.-BASE'!$I$8, C45&lt;= ($I$7+$I$8)), F45/D45, " ")</f>
        <v>0.16963725668743515</v>
      </c>
      <c r="L45" s="20">
        <f t="shared" si="0"/>
        <v>34</v>
      </c>
      <c r="M45" s="5">
        <f>IF(AND(L45&gt;='Amort. Sched.-BASE'!$R$8, L45&lt;= ($R$7+$R$8)), PMT('Amort. Sched.-BASE'!$N$8/12, 'Amort. Sched.-BASE'!$R$7, 'Amort. Sched.-BASE'!$N$7), 0)</f>
        <v>0</v>
      </c>
      <c r="N45" s="5">
        <f>IF(AND(L45&gt;='Amort. Sched.-BASE'!$R$8, L45&lt;= ($R$7+$R$8)), (IPMT($N$8/12, (L45-$R$8), $R$7, $N$7)), 0)</f>
        <v>0</v>
      </c>
      <c r="O45" s="5">
        <f>IF(AND(L45&gt;='Amort. Sched.-BASE'!$R$8, L45&lt;= ($R$7+$R$8)), (PPMT($N$8/12, (L45-$R$8), $R$7, $N$7)), 0)</f>
        <v>0</v>
      </c>
      <c r="P45" s="5">
        <f>IF(CreditAmort1BASE[[#This Row],[Month]]=R$8,N$7,0)</f>
        <v>0</v>
      </c>
      <c r="Q45" s="13">
        <f>IF(AND(L45&gt;='Amort. Sched.-BASE'!$R$8, L45&lt;= ($R$7+$R$8)), Q44+O45, 0)</f>
        <v>0</v>
      </c>
      <c r="R45" s="6" t="str">
        <f>IF(AND(L45&gt;='Amort. Sched.-BASE'!$R$8, L45&lt;= ($R$7+$R$8)), N45/M45, " ")</f>
        <v xml:space="preserve"> </v>
      </c>
      <c r="S45" s="21" t="str">
        <f>IF(AND(L45&gt;='Amort. Sched.-BASE'!$R$8, L45&lt;= ($R$7+$R$8)), O45/M45, " ")</f>
        <v xml:space="preserve"> </v>
      </c>
      <c r="U45" s="20">
        <f t="shared" si="2"/>
        <v>34</v>
      </c>
      <c r="V45" s="5">
        <f>IF(AND(U45&gt;='Amort. Sched.-BASE'!$AA$8, U45&lt;= ($AA$7+$AA$8)), PMT('Amort. Sched.-BASE'!$W$8/12, 'Amort. Sched.-BASE'!$AA$7, 'Amort. Sched.-BASE'!$W$7), 0)</f>
        <v>0</v>
      </c>
      <c r="W45" s="5">
        <f>IF(AND(U45&gt;='Amort. Sched.-BASE'!$AA$8, U45&lt;= ($AA$7+$AA$8)), (IPMT($W$8/12, (U45-$AA$8), $AA$7, $W$7)), 0)</f>
        <v>0</v>
      </c>
      <c r="X45" s="5">
        <f>IF(AND(U45&gt;='Amort. Sched.-BASE'!$AA$8, U45&lt;= ($AA$7+$AA$8)), (PPMT($W$8/12, (U45-$AA$8), $AA$7, $W$7)), 0)</f>
        <v>0</v>
      </c>
      <c r="Y45" s="5">
        <f>IF(CreditAmort2BASE[[#This Row],[Month]]=AA$8,W$7,0)</f>
        <v>0</v>
      </c>
      <c r="Z45" s="13">
        <f>IF(AND(U45&gt;='Amort. Sched.-BASE'!$AA$8, U45&lt;= ($AA$7+$AA$8)), Z44+X45, 0)</f>
        <v>0</v>
      </c>
      <c r="AA45" s="6" t="str">
        <f>IF(AND(U45&gt;='Amort. Sched.-BASE'!$AA$8, U45&lt;= ($AA$7+$AA$8)), W45/V45, " ")</f>
        <v xml:space="preserve"> </v>
      </c>
      <c r="AB45" s="21" t="str">
        <f>IF(AND(U45&gt;='Amort. Sched.-BASE'!$AA$8, U45&lt;= ($AA$7+$AA$8)), X45/V45, " ")</f>
        <v xml:space="preserve"> </v>
      </c>
      <c r="AD45" s="20">
        <f t="shared" si="3"/>
        <v>34</v>
      </c>
      <c r="AE45" s="5">
        <f t="shared" si="4"/>
        <v>0</v>
      </c>
      <c r="AF45" s="5">
        <f t="shared" si="5"/>
        <v>0</v>
      </c>
      <c r="AG45" s="5">
        <f t="shared" si="6"/>
        <v>0</v>
      </c>
      <c r="AH45" s="5">
        <f>IF(CreditAmort3BASE[[#This Row],[Month]]=AJ$8,AF$7,0)</f>
        <v>0</v>
      </c>
      <c r="AI45" s="13">
        <f t="shared" si="7"/>
        <v>0</v>
      </c>
      <c r="AJ45" s="6" t="str">
        <f t="shared" si="8"/>
        <v xml:space="preserve"> </v>
      </c>
      <c r="AK45" s="21" t="str">
        <f t="shared" si="9"/>
        <v xml:space="preserve"> </v>
      </c>
      <c r="AM45" s="20">
        <f t="shared" si="10"/>
        <v>34</v>
      </c>
      <c r="AN45" s="5">
        <f t="shared" si="11"/>
        <v>0</v>
      </c>
      <c r="AO45" s="5">
        <f t="shared" si="12"/>
        <v>0</v>
      </c>
      <c r="AP45" s="5">
        <f t="shared" si="13"/>
        <v>0</v>
      </c>
      <c r="AQ45" s="5">
        <f>IF(CreditAmort4BASE[[#This Row],[Month]]=AS$8,AO$7,0)</f>
        <v>0</v>
      </c>
      <c r="AR45" s="13">
        <f t="shared" si="14"/>
        <v>0</v>
      </c>
      <c r="AS45" s="6" t="str">
        <f t="shared" si="15"/>
        <v xml:space="preserve"> </v>
      </c>
      <c r="AT45" s="21" t="str">
        <f t="shared" si="16"/>
        <v xml:space="preserve"> </v>
      </c>
    </row>
    <row r="46" spans="3:46">
      <c r="C46" s="22">
        <f t="shared" si="1"/>
        <v>35</v>
      </c>
      <c r="D46" s="23">
        <f>IF(AND(C46&gt;='Amort. Sched.-BASE'!$I$8, C46&lt;= ($I$7+$I$8)), PMT('Amort. Sched.-BASE'!$E$8/12, 'Amort. Sched.-BASE'!$I$7, 'Amort. Sched.-BASE'!$E$7), 0)</f>
        <v>-1736.5864935892569</v>
      </c>
      <c r="E46" s="5">
        <f>IF(AND(C46&gt;='Amort. Sched.-BASE'!$I$8, C46&lt;= ($I$7+$I$8)), (IPMT($E$8/12, (C46-$I$8), $I$7, $E$7)), 0)</f>
        <v>-1440.0327930245035</v>
      </c>
      <c r="F46" s="23">
        <f>IF(AND(C46&gt;='Amort. Sched.-BASE'!$I$8, C46&lt;= ($I$7+$I$8)), (PPMT($E$8/12, (C46-$I$8), $I$7, $E$7)), 0)</f>
        <v>-296.55370056475329</v>
      </c>
      <c r="G46" s="5">
        <f>IF(MortgageAmortBASE[[#This Row],[Month]]=I$8,E$7,0)</f>
        <v>0</v>
      </c>
      <c r="H46" s="13">
        <f>IF(AND(C46&gt;='Amort. Sched.-BASE'!$I$8, C46&lt;= ($I$7+$I$8)), H45+F46, 0)</f>
        <v>215708.36525311074</v>
      </c>
      <c r="I46" s="24">
        <f>IF(AND(C46&gt;='Amort. Sched.-BASE'!$I$8, C46&lt;= ($I$7+$I$8)), E46/D46, " ")</f>
        <v>0.82923182826798192</v>
      </c>
      <c r="J46" s="25">
        <f>IF(AND(C46&gt;='Amort. Sched.-BASE'!$I$8, C46&lt;= ($I$7+$I$8)), F46/D46, " ")</f>
        <v>0.17076817173201805</v>
      </c>
      <c r="L46" s="20">
        <f t="shared" si="0"/>
        <v>35</v>
      </c>
      <c r="M46" s="5">
        <f>IF(AND(L46&gt;='Amort. Sched.-BASE'!$R$8, L46&lt;= ($R$7+$R$8)), PMT('Amort. Sched.-BASE'!$N$8/12, 'Amort. Sched.-BASE'!$R$7, 'Amort. Sched.-BASE'!$N$7), 0)</f>
        <v>0</v>
      </c>
      <c r="N46" s="5">
        <f>IF(AND(L46&gt;='Amort. Sched.-BASE'!$R$8, L46&lt;= ($R$7+$R$8)), (IPMT($N$8/12, (L46-$R$8), $R$7, $N$7)), 0)</f>
        <v>0</v>
      </c>
      <c r="O46" s="5">
        <f>IF(AND(L46&gt;='Amort. Sched.-BASE'!$R$8, L46&lt;= ($R$7+$R$8)), (PPMT($N$8/12, (L46-$R$8), $R$7, $N$7)), 0)</f>
        <v>0</v>
      </c>
      <c r="P46" s="5">
        <f>IF(CreditAmort1BASE[[#This Row],[Month]]=R$8,N$7,0)</f>
        <v>0</v>
      </c>
      <c r="Q46" s="13">
        <f>IF(AND(L46&gt;='Amort. Sched.-BASE'!$R$8, L46&lt;= ($R$7+$R$8)), Q45+O46, 0)</f>
        <v>0</v>
      </c>
      <c r="R46" s="6" t="str">
        <f>IF(AND(L46&gt;='Amort. Sched.-BASE'!$R$8, L46&lt;= ($R$7+$R$8)), N46/M46, " ")</f>
        <v xml:space="preserve"> </v>
      </c>
      <c r="S46" s="21" t="str">
        <f>IF(AND(L46&gt;='Amort. Sched.-BASE'!$R$8, L46&lt;= ($R$7+$R$8)), O46/M46, " ")</f>
        <v xml:space="preserve"> </v>
      </c>
      <c r="U46" s="20">
        <f t="shared" si="2"/>
        <v>35</v>
      </c>
      <c r="V46" s="5">
        <f>IF(AND(U46&gt;='Amort. Sched.-BASE'!$AA$8, U46&lt;= ($AA$7+$AA$8)), PMT('Amort. Sched.-BASE'!$W$8/12, 'Amort. Sched.-BASE'!$AA$7, 'Amort. Sched.-BASE'!$W$7), 0)</f>
        <v>0</v>
      </c>
      <c r="W46" s="5">
        <f>IF(AND(U46&gt;='Amort. Sched.-BASE'!$AA$8, U46&lt;= ($AA$7+$AA$8)), (IPMT($W$8/12, (U46-$AA$8), $AA$7, $W$7)), 0)</f>
        <v>0</v>
      </c>
      <c r="X46" s="5">
        <f>IF(AND(U46&gt;='Amort. Sched.-BASE'!$AA$8, U46&lt;= ($AA$7+$AA$8)), (PPMT($W$8/12, (U46-$AA$8), $AA$7, $W$7)), 0)</f>
        <v>0</v>
      </c>
      <c r="Y46" s="5">
        <f>IF(CreditAmort2BASE[[#This Row],[Month]]=AA$8,W$7,0)</f>
        <v>0</v>
      </c>
      <c r="Z46" s="13">
        <f>IF(AND(U46&gt;='Amort. Sched.-BASE'!$AA$8, U46&lt;= ($AA$7+$AA$8)), Z45+X46, 0)</f>
        <v>0</v>
      </c>
      <c r="AA46" s="6" t="str">
        <f>IF(AND(U46&gt;='Amort. Sched.-BASE'!$AA$8, U46&lt;= ($AA$7+$AA$8)), W46/V46, " ")</f>
        <v xml:space="preserve"> </v>
      </c>
      <c r="AB46" s="21" t="str">
        <f>IF(AND(U46&gt;='Amort. Sched.-BASE'!$AA$8, U46&lt;= ($AA$7+$AA$8)), X46/V46, " ")</f>
        <v xml:space="preserve"> </v>
      </c>
      <c r="AD46" s="20">
        <f t="shared" si="3"/>
        <v>35</v>
      </c>
      <c r="AE46" s="5">
        <f t="shared" si="4"/>
        <v>0</v>
      </c>
      <c r="AF46" s="5">
        <f t="shared" si="5"/>
        <v>0</v>
      </c>
      <c r="AG46" s="5">
        <f t="shared" si="6"/>
        <v>0</v>
      </c>
      <c r="AH46" s="5">
        <f>IF(CreditAmort3BASE[[#This Row],[Month]]=AJ$8,AF$7,0)</f>
        <v>0</v>
      </c>
      <c r="AI46" s="13">
        <f t="shared" si="7"/>
        <v>0</v>
      </c>
      <c r="AJ46" s="6" t="str">
        <f t="shared" si="8"/>
        <v xml:space="preserve"> </v>
      </c>
      <c r="AK46" s="21" t="str">
        <f t="shared" si="9"/>
        <v xml:space="preserve"> </v>
      </c>
      <c r="AM46" s="20">
        <f t="shared" si="10"/>
        <v>35</v>
      </c>
      <c r="AN46" s="5">
        <f t="shared" si="11"/>
        <v>0</v>
      </c>
      <c r="AO46" s="5">
        <f t="shared" si="12"/>
        <v>0</v>
      </c>
      <c r="AP46" s="5">
        <f t="shared" si="13"/>
        <v>0</v>
      </c>
      <c r="AQ46" s="5">
        <f>IF(CreditAmort4BASE[[#This Row],[Month]]=AS$8,AO$7,0)</f>
        <v>0</v>
      </c>
      <c r="AR46" s="13">
        <f t="shared" si="14"/>
        <v>0</v>
      </c>
      <c r="AS46" s="6" t="str">
        <f t="shared" si="15"/>
        <v xml:space="preserve"> </v>
      </c>
      <c r="AT46" s="21" t="str">
        <f t="shared" si="16"/>
        <v xml:space="preserve"> </v>
      </c>
    </row>
    <row r="47" spans="3:46">
      <c r="C47" s="22">
        <f t="shared" si="1"/>
        <v>36</v>
      </c>
      <c r="D47" s="23">
        <f>IF(AND(C47&gt;='Amort. Sched.-BASE'!$I$8, C47&lt;= ($I$7+$I$8)), PMT('Amort. Sched.-BASE'!$E$8/12, 'Amort. Sched.-BASE'!$I$7, 'Amort. Sched.-BASE'!$E$7), 0)</f>
        <v>-1736.5864935892569</v>
      </c>
      <c r="E47" s="5">
        <f>IF(AND(C47&gt;='Amort. Sched.-BASE'!$I$8, C47&lt;= ($I$7+$I$8)), (IPMT($E$8/12, (C47-$I$8), $I$7, $E$7)), 0)</f>
        <v>-1438.0557683540719</v>
      </c>
      <c r="F47" s="23">
        <f>IF(AND(C47&gt;='Amort. Sched.-BASE'!$I$8, C47&lt;= ($I$7+$I$8)), (PPMT($E$8/12, (C47-$I$8), $I$7, $E$7)), 0)</f>
        <v>-298.530725235185</v>
      </c>
      <c r="G47" s="5">
        <f>IF(MortgageAmortBASE[[#This Row],[Month]]=I$8,E$7,0)</f>
        <v>0</v>
      </c>
      <c r="H47" s="13">
        <f>IF(AND(C47&gt;='Amort. Sched.-BASE'!$I$8, C47&lt;= ($I$7+$I$8)), H46+F47, 0)</f>
        <v>215409.83452787556</v>
      </c>
      <c r="I47" s="24">
        <f>IF(AND(C47&gt;='Amort. Sched.-BASE'!$I$8, C47&lt;= ($I$7+$I$8)), E47/D47, " ")</f>
        <v>0.82809337378976855</v>
      </c>
      <c r="J47" s="25">
        <f>IF(AND(C47&gt;='Amort. Sched.-BASE'!$I$8, C47&lt;= ($I$7+$I$8)), F47/D47, " ")</f>
        <v>0.17190662621023153</v>
      </c>
      <c r="L47" s="20">
        <f t="shared" si="0"/>
        <v>36</v>
      </c>
      <c r="M47" s="5">
        <f>IF(AND(L47&gt;='Amort. Sched.-BASE'!$R$8, L47&lt;= ($R$7+$R$8)), PMT('Amort. Sched.-BASE'!$N$8/12, 'Amort. Sched.-BASE'!$R$7, 'Amort. Sched.-BASE'!$N$7), 0)</f>
        <v>0</v>
      </c>
      <c r="N47" s="5">
        <f>IF(AND(L47&gt;='Amort. Sched.-BASE'!$R$8, L47&lt;= ($R$7+$R$8)), (IPMT($N$8/12, (L47-$R$8), $R$7, $N$7)), 0)</f>
        <v>0</v>
      </c>
      <c r="O47" s="5">
        <f>IF(AND(L47&gt;='Amort. Sched.-BASE'!$R$8, L47&lt;= ($R$7+$R$8)), (PPMT($N$8/12, (L47-$R$8), $R$7, $N$7)), 0)</f>
        <v>0</v>
      </c>
      <c r="P47" s="5">
        <f>IF(CreditAmort1BASE[[#This Row],[Month]]=R$8,N$7,0)</f>
        <v>0</v>
      </c>
      <c r="Q47" s="13">
        <f>IF(AND(L47&gt;='Amort. Sched.-BASE'!$R$8, L47&lt;= ($R$7+$R$8)), Q46+O47, 0)</f>
        <v>0</v>
      </c>
      <c r="R47" s="6" t="str">
        <f>IF(AND(L47&gt;='Amort. Sched.-BASE'!$R$8, L47&lt;= ($R$7+$R$8)), N47/M47, " ")</f>
        <v xml:space="preserve"> </v>
      </c>
      <c r="S47" s="21" t="str">
        <f>IF(AND(L47&gt;='Amort. Sched.-BASE'!$R$8, L47&lt;= ($R$7+$R$8)), O47/M47, " ")</f>
        <v xml:space="preserve"> </v>
      </c>
      <c r="U47" s="20">
        <f t="shared" si="2"/>
        <v>36</v>
      </c>
      <c r="V47" s="5">
        <f>IF(AND(U47&gt;='Amort. Sched.-BASE'!$AA$8, U47&lt;= ($AA$7+$AA$8)), PMT('Amort. Sched.-BASE'!$W$8/12, 'Amort. Sched.-BASE'!$AA$7, 'Amort. Sched.-BASE'!$W$7), 0)</f>
        <v>0</v>
      </c>
      <c r="W47" s="5">
        <f>IF(AND(U47&gt;='Amort. Sched.-BASE'!$AA$8, U47&lt;= ($AA$7+$AA$8)), (IPMT($W$8/12, (U47-$AA$8), $AA$7, $W$7)), 0)</f>
        <v>0</v>
      </c>
      <c r="X47" s="5">
        <f>IF(AND(U47&gt;='Amort. Sched.-BASE'!$AA$8, U47&lt;= ($AA$7+$AA$8)), (PPMT($W$8/12, (U47-$AA$8), $AA$7, $W$7)), 0)</f>
        <v>0</v>
      </c>
      <c r="Y47" s="5">
        <f>IF(CreditAmort2BASE[[#This Row],[Month]]=AA$8,W$7,0)</f>
        <v>0</v>
      </c>
      <c r="Z47" s="13">
        <f>IF(AND(U47&gt;='Amort. Sched.-BASE'!$AA$8, U47&lt;= ($AA$7+$AA$8)), Z46+X47, 0)</f>
        <v>0</v>
      </c>
      <c r="AA47" s="6" t="str">
        <f>IF(AND(U47&gt;='Amort. Sched.-BASE'!$AA$8, U47&lt;= ($AA$7+$AA$8)), W47/V47, " ")</f>
        <v xml:space="preserve"> </v>
      </c>
      <c r="AB47" s="21" t="str">
        <f>IF(AND(U47&gt;='Amort. Sched.-BASE'!$AA$8, U47&lt;= ($AA$7+$AA$8)), X47/V47, " ")</f>
        <v xml:space="preserve"> </v>
      </c>
      <c r="AD47" s="20">
        <f t="shared" si="3"/>
        <v>36</v>
      </c>
      <c r="AE47" s="5">
        <f t="shared" si="4"/>
        <v>0</v>
      </c>
      <c r="AF47" s="5">
        <f t="shared" si="5"/>
        <v>0</v>
      </c>
      <c r="AG47" s="5">
        <f t="shared" si="6"/>
        <v>0</v>
      </c>
      <c r="AH47" s="5">
        <f>IF(CreditAmort3BASE[[#This Row],[Month]]=AJ$8,AF$7,0)</f>
        <v>0</v>
      </c>
      <c r="AI47" s="13">
        <f t="shared" si="7"/>
        <v>0</v>
      </c>
      <c r="AJ47" s="6" t="str">
        <f t="shared" si="8"/>
        <v xml:space="preserve"> </v>
      </c>
      <c r="AK47" s="21" t="str">
        <f t="shared" si="9"/>
        <v xml:space="preserve"> </v>
      </c>
      <c r="AM47" s="20">
        <f t="shared" si="10"/>
        <v>36</v>
      </c>
      <c r="AN47" s="5">
        <f t="shared" si="11"/>
        <v>0</v>
      </c>
      <c r="AO47" s="5">
        <f t="shared" si="12"/>
        <v>0</v>
      </c>
      <c r="AP47" s="5">
        <f t="shared" si="13"/>
        <v>0</v>
      </c>
      <c r="AQ47" s="5">
        <f>IF(CreditAmort4BASE[[#This Row],[Month]]=AS$8,AO$7,0)</f>
        <v>0</v>
      </c>
      <c r="AR47" s="13">
        <f t="shared" si="14"/>
        <v>0</v>
      </c>
      <c r="AS47" s="6" t="str">
        <f t="shared" si="15"/>
        <v xml:space="preserve"> </v>
      </c>
      <c r="AT47" s="21" t="str">
        <f t="shared" si="16"/>
        <v xml:space="preserve"> </v>
      </c>
    </row>
    <row r="48" spans="3:46">
      <c r="C48" s="22">
        <f t="shared" si="1"/>
        <v>37</v>
      </c>
      <c r="D48" s="23">
        <f>IF(AND(C48&gt;='Amort. Sched.-BASE'!$I$8, C48&lt;= ($I$7+$I$8)), PMT('Amort. Sched.-BASE'!$E$8/12, 'Amort. Sched.-BASE'!$I$7, 'Amort. Sched.-BASE'!$E$7), 0)</f>
        <v>-1736.5864935892569</v>
      </c>
      <c r="E48" s="5">
        <f>IF(AND(C48&gt;='Amort. Sched.-BASE'!$I$8, C48&lt;= ($I$7+$I$8)), (IPMT($E$8/12, (C48-$I$8), $I$7, $E$7)), 0)</f>
        <v>-1436.0655635191706</v>
      </c>
      <c r="F48" s="23">
        <f>IF(AND(C48&gt;='Amort. Sched.-BASE'!$I$8, C48&lt;= ($I$7+$I$8)), (PPMT($E$8/12, (C48-$I$8), $I$7, $E$7)), 0)</f>
        <v>-300.52093007008619</v>
      </c>
      <c r="G48" s="5">
        <f>IF(MortgageAmortBASE[[#This Row],[Month]]=I$8,E$7,0)</f>
        <v>0</v>
      </c>
      <c r="H48" s="13">
        <f>IF(AND(C48&gt;='Amort. Sched.-BASE'!$I$8, C48&lt;= ($I$7+$I$8)), H47+F48, 0)</f>
        <v>215109.31359780548</v>
      </c>
      <c r="I48" s="24">
        <f>IF(AND(C48&gt;='Amort. Sched.-BASE'!$I$8, C48&lt;= ($I$7+$I$8)), E48/D48, " ")</f>
        <v>0.82694732961503359</v>
      </c>
      <c r="J48" s="25">
        <f>IF(AND(C48&gt;='Amort. Sched.-BASE'!$I$8, C48&lt;= ($I$7+$I$8)), F48/D48, " ")</f>
        <v>0.17305267038496638</v>
      </c>
      <c r="L48" s="20">
        <f t="shared" si="0"/>
        <v>37</v>
      </c>
      <c r="M48" s="5">
        <f>IF(AND(L48&gt;='Amort. Sched.-BASE'!$R$8, L48&lt;= ($R$7+$R$8)), PMT('Amort. Sched.-BASE'!$N$8/12, 'Amort. Sched.-BASE'!$R$7, 'Amort. Sched.-BASE'!$N$7), 0)</f>
        <v>0</v>
      </c>
      <c r="N48" s="5">
        <f>IF(AND(L48&gt;='Amort. Sched.-BASE'!$R$8, L48&lt;= ($R$7+$R$8)), (IPMT($N$8/12, (L48-$R$8), $R$7, $N$7)), 0)</f>
        <v>0</v>
      </c>
      <c r="O48" s="5">
        <f>IF(AND(L48&gt;='Amort. Sched.-BASE'!$R$8, L48&lt;= ($R$7+$R$8)), (PPMT($N$8/12, (L48-$R$8), $R$7, $N$7)), 0)</f>
        <v>0</v>
      </c>
      <c r="P48" s="5">
        <f>IF(CreditAmort1BASE[[#This Row],[Month]]=R$8,N$7,0)</f>
        <v>0</v>
      </c>
      <c r="Q48" s="13">
        <f>IF(AND(L48&gt;='Amort. Sched.-BASE'!$R$8, L48&lt;= ($R$7+$R$8)), Q47+O48, 0)</f>
        <v>0</v>
      </c>
      <c r="R48" s="6" t="str">
        <f>IF(AND(L48&gt;='Amort. Sched.-BASE'!$R$8, L48&lt;= ($R$7+$R$8)), N48/M48, " ")</f>
        <v xml:space="preserve"> </v>
      </c>
      <c r="S48" s="21" t="str">
        <f>IF(AND(L48&gt;='Amort. Sched.-BASE'!$R$8, L48&lt;= ($R$7+$R$8)), O48/M48, " ")</f>
        <v xml:space="preserve"> </v>
      </c>
      <c r="U48" s="20">
        <f t="shared" si="2"/>
        <v>37</v>
      </c>
      <c r="V48" s="5">
        <f>IF(AND(U48&gt;='Amort. Sched.-BASE'!$AA$8, U48&lt;= ($AA$7+$AA$8)), PMT('Amort. Sched.-BASE'!$W$8/12, 'Amort. Sched.-BASE'!$AA$7, 'Amort. Sched.-BASE'!$W$7), 0)</f>
        <v>0</v>
      </c>
      <c r="W48" s="5">
        <f>IF(AND(U48&gt;='Amort. Sched.-BASE'!$AA$8, U48&lt;= ($AA$7+$AA$8)), (IPMT($W$8/12, (U48-$AA$8), $AA$7, $W$7)), 0)</f>
        <v>0</v>
      </c>
      <c r="X48" s="5">
        <f>IF(AND(U48&gt;='Amort. Sched.-BASE'!$AA$8, U48&lt;= ($AA$7+$AA$8)), (PPMT($W$8/12, (U48-$AA$8), $AA$7, $W$7)), 0)</f>
        <v>0</v>
      </c>
      <c r="Y48" s="5">
        <f>IF(CreditAmort2BASE[[#This Row],[Month]]=AA$8,W$7,0)</f>
        <v>0</v>
      </c>
      <c r="Z48" s="13">
        <f>IF(AND(U48&gt;='Amort. Sched.-BASE'!$AA$8, U48&lt;= ($AA$7+$AA$8)), Z47+X48, 0)</f>
        <v>0</v>
      </c>
      <c r="AA48" s="6" t="str">
        <f>IF(AND(U48&gt;='Amort. Sched.-BASE'!$AA$8, U48&lt;= ($AA$7+$AA$8)), W48/V48, " ")</f>
        <v xml:space="preserve"> </v>
      </c>
      <c r="AB48" s="21" t="str">
        <f>IF(AND(U48&gt;='Amort. Sched.-BASE'!$AA$8, U48&lt;= ($AA$7+$AA$8)), X48/V48, " ")</f>
        <v xml:space="preserve"> </v>
      </c>
      <c r="AD48" s="20">
        <f t="shared" si="3"/>
        <v>37</v>
      </c>
      <c r="AE48" s="5">
        <f t="shared" si="4"/>
        <v>0</v>
      </c>
      <c r="AF48" s="5">
        <f t="shared" si="5"/>
        <v>0</v>
      </c>
      <c r="AG48" s="5">
        <f t="shared" si="6"/>
        <v>0</v>
      </c>
      <c r="AH48" s="5">
        <f>IF(CreditAmort3BASE[[#This Row],[Month]]=AJ$8,AF$7,0)</f>
        <v>0</v>
      </c>
      <c r="AI48" s="13">
        <f t="shared" si="7"/>
        <v>0</v>
      </c>
      <c r="AJ48" s="6" t="str">
        <f t="shared" si="8"/>
        <v xml:space="preserve"> </v>
      </c>
      <c r="AK48" s="21" t="str">
        <f t="shared" si="9"/>
        <v xml:space="preserve"> </v>
      </c>
      <c r="AM48" s="20">
        <f t="shared" si="10"/>
        <v>37</v>
      </c>
      <c r="AN48" s="5">
        <f t="shared" si="11"/>
        <v>0</v>
      </c>
      <c r="AO48" s="5">
        <f t="shared" si="12"/>
        <v>0</v>
      </c>
      <c r="AP48" s="5">
        <f t="shared" si="13"/>
        <v>0</v>
      </c>
      <c r="AQ48" s="5">
        <f>IF(CreditAmort4BASE[[#This Row],[Month]]=AS$8,AO$7,0)</f>
        <v>0</v>
      </c>
      <c r="AR48" s="13">
        <f t="shared" si="14"/>
        <v>0</v>
      </c>
      <c r="AS48" s="6" t="str">
        <f t="shared" si="15"/>
        <v xml:space="preserve"> </v>
      </c>
      <c r="AT48" s="21" t="str">
        <f t="shared" si="16"/>
        <v xml:space="preserve"> </v>
      </c>
    </row>
    <row r="49" spans="3:46">
      <c r="C49" s="22">
        <f t="shared" si="1"/>
        <v>38</v>
      </c>
      <c r="D49" s="23">
        <f>IF(AND(C49&gt;='Amort. Sched.-BASE'!$I$8, C49&lt;= ($I$7+$I$8)), PMT('Amort. Sched.-BASE'!$E$8/12, 'Amort. Sched.-BASE'!$I$7, 'Amort. Sched.-BASE'!$E$7), 0)</f>
        <v>-1736.5864935892569</v>
      </c>
      <c r="E49" s="5">
        <f>IF(AND(C49&gt;='Amort. Sched.-BASE'!$I$8, C49&lt;= ($I$7+$I$8)), (IPMT($E$8/12, (C49-$I$8), $I$7, $E$7)), 0)</f>
        <v>-1434.0620906520369</v>
      </c>
      <c r="F49" s="23">
        <f>IF(AND(C49&gt;='Amort. Sched.-BASE'!$I$8, C49&lt;= ($I$7+$I$8)), (PPMT($E$8/12, (C49-$I$8), $I$7, $E$7)), 0)</f>
        <v>-302.52440293722015</v>
      </c>
      <c r="G49" s="5">
        <f>IF(MortgageAmortBASE[[#This Row],[Month]]=I$8,E$7,0)</f>
        <v>0</v>
      </c>
      <c r="H49" s="13">
        <f>IF(AND(C49&gt;='Amort. Sched.-BASE'!$I$8, C49&lt;= ($I$7+$I$8)), H48+F49, 0)</f>
        <v>214806.78919486827</v>
      </c>
      <c r="I49" s="24">
        <f>IF(AND(C49&gt;='Amort. Sched.-BASE'!$I$8, C49&lt;= ($I$7+$I$8)), E49/D49, " ")</f>
        <v>0.82579364514580056</v>
      </c>
      <c r="J49" s="25">
        <f>IF(AND(C49&gt;='Amort. Sched.-BASE'!$I$8, C49&lt;= ($I$7+$I$8)), F49/D49, " ")</f>
        <v>0.17420635485419952</v>
      </c>
      <c r="L49" s="20">
        <f t="shared" si="0"/>
        <v>38</v>
      </c>
      <c r="M49" s="5">
        <f>IF(AND(L49&gt;='Amort. Sched.-BASE'!$R$8, L49&lt;= ($R$7+$R$8)), PMT('Amort. Sched.-BASE'!$N$8/12, 'Amort. Sched.-BASE'!$R$7, 'Amort. Sched.-BASE'!$N$7), 0)</f>
        <v>0</v>
      </c>
      <c r="N49" s="5">
        <f>IF(AND(L49&gt;='Amort. Sched.-BASE'!$R$8, L49&lt;= ($R$7+$R$8)), (IPMT($N$8/12, (L49-$R$8), $R$7, $N$7)), 0)</f>
        <v>0</v>
      </c>
      <c r="O49" s="5">
        <f>IF(AND(L49&gt;='Amort. Sched.-BASE'!$R$8, L49&lt;= ($R$7+$R$8)), (PPMT($N$8/12, (L49-$R$8), $R$7, $N$7)), 0)</f>
        <v>0</v>
      </c>
      <c r="P49" s="5">
        <f>IF(CreditAmort1BASE[[#This Row],[Month]]=R$8,N$7,0)</f>
        <v>0</v>
      </c>
      <c r="Q49" s="13">
        <f>IF(AND(L49&gt;='Amort. Sched.-BASE'!$R$8, L49&lt;= ($R$7+$R$8)), Q48+O49, 0)</f>
        <v>0</v>
      </c>
      <c r="R49" s="6" t="str">
        <f>IF(AND(L49&gt;='Amort. Sched.-BASE'!$R$8, L49&lt;= ($R$7+$R$8)), N49/M49, " ")</f>
        <v xml:space="preserve"> </v>
      </c>
      <c r="S49" s="21" t="str">
        <f>IF(AND(L49&gt;='Amort. Sched.-BASE'!$R$8, L49&lt;= ($R$7+$R$8)), O49/M49, " ")</f>
        <v xml:space="preserve"> </v>
      </c>
      <c r="U49" s="20">
        <f t="shared" si="2"/>
        <v>38</v>
      </c>
      <c r="V49" s="5">
        <f>IF(AND(U49&gt;='Amort. Sched.-BASE'!$AA$8, U49&lt;= ($AA$7+$AA$8)), PMT('Amort. Sched.-BASE'!$W$8/12, 'Amort. Sched.-BASE'!$AA$7, 'Amort. Sched.-BASE'!$W$7), 0)</f>
        <v>0</v>
      </c>
      <c r="W49" s="5">
        <f>IF(AND(U49&gt;='Amort. Sched.-BASE'!$AA$8, U49&lt;= ($AA$7+$AA$8)), (IPMT($W$8/12, (U49-$AA$8), $AA$7, $W$7)), 0)</f>
        <v>0</v>
      </c>
      <c r="X49" s="5">
        <f>IF(AND(U49&gt;='Amort. Sched.-BASE'!$AA$8, U49&lt;= ($AA$7+$AA$8)), (PPMT($W$8/12, (U49-$AA$8), $AA$7, $W$7)), 0)</f>
        <v>0</v>
      </c>
      <c r="Y49" s="5">
        <f>IF(CreditAmort2BASE[[#This Row],[Month]]=AA$8,W$7,0)</f>
        <v>0</v>
      </c>
      <c r="Z49" s="13">
        <f>IF(AND(U49&gt;='Amort. Sched.-BASE'!$AA$8, U49&lt;= ($AA$7+$AA$8)), Z48+X49, 0)</f>
        <v>0</v>
      </c>
      <c r="AA49" s="6" t="str">
        <f>IF(AND(U49&gt;='Amort. Sched.-BASE'!$AA$8, U49&lt;= ($AA$7+$AA$8)), W49/V49, " ")</f>
        <v xml:space="preserve"> </v>
      </c>
      <c r="AB49" s="21" t="str">
        <f>IF(AND(U49&gt;='Amort. Sched.-BASE'!$AA$8, U49&lt;= ($AA$7+$AA$8)), X49/V49, " ")</f>
        <v xml:space="preserve"> </v>
      </c>
      <c r="AD49" s="20">
        <f t="shared" si="3"/>
        <v>38</v>
      </c>
      <c r="AE49" s="5">
        <f t="shared" si="4"/>
        <v>0</v>
      </c>
      <c r="AF49" s="5">
        <f t="shared" si="5"/>
        <v>0</v>
      </c>
      <c r="AG49" s="5">
        <f t="shared" si="6"/>
        <v>0</v>
      </c>
      <c r="AH49" s="5">
        <f>IF(CreditAmort3BASE[[#This Row],[Month]]=AJ$8,AF$7,0)</f>
        <v>0</v>
      </c>
      <c r="AI49" s="13">
        <f t="shared" si="7"/>
        <v>0</v>
      </c>
      <c r="AJ49" s="6" t="str">
        <f t="shared" si="8"/>
        <v xml:space="preserve"> </v>
      </c>
      <c r="AK49" s="21" t="str">
        <f t="shared" si="9"/>
        <v xml:space="preserve"> </v>
      </c>
      <c r="AM49" s="20">
        <f t="shared" si="10"/>
        <v>38</v>
      </c>
      <c r="AN49" s="5">
        <f t="shared" si="11"/>
        <v>0</v>
      </c>
      <c r="AO49" s="5">
        <f t="shared" si="12"/>
        <v>0</v>
      </c>
      <c r="AP49" s="5">
        <f t="shared" si="13"/>
        <v>0</v>
      </c>
      <c r="AQ49" s="5">
        <f>IF(CreditAmort4BASE[[#This Row],[Month]]=AS$8,AO$7,0)</f>
        <v>0</v>
      </c>
      <c r="AR49" s="13">
        <f t="shared" si="14"/>
        <v>0</v>
      </c>
      <c r="AS49" s="6" t="str">
        <f t="shared" si="15"/>
        <v xml:space="preserve"> </v>
      </c>
      <c r="AT49" s="21" t="str">
        <f t="shared" si="16"/>
        <v xml:space="preserve"> </v>
      </c>
    </row>
    <row r="50" spans="3:46">
      <c r="C50" s="22">
        <f t="shared" si="1"/>
        <v>39</v>
      </c>
      <c r="D50" s="23">
        <f>IF(AND(C50&gt;='Amort. Sched.-BASE'!$I$8, C50&lt;= ($I$7+$I$8)), PMT('Amort. Sched.-BASE'!$E$8/12, 'Amort. Sched.-BASE'!$I$7, 'Amort. Sched.-BASE'!$E$7), 0)</f>
        <v>-1736.5864935892569</v>
      </c>
      <c r="E50" s="5">
        <f>IF(AND(C50&gt;='Amort. Sched.-BASE'!$I$8, C50&lt;= ($I$7+$I$8)), (IPMT($E$8/12, (C50-$I$8), $I$7, $E$7)), 0)</f>
        <v>-1432.0452612991219</v>
      </c>
      <c r="F50" s="23">
        <f>IF(AND(C50&gt;='Amort. Sched.-BASE'!$I$8, C50&lt;= ($I$7+$I$8)), (PPMT($E$8/12, (C50-$I$8), $I$7, $E$7)), 0)</f>
        <v>-304.54123229013493</v>
      </c>
      <c r="G50" s="5">
        <f>IF(MortgageAmortBASE[[#This Row],[Month]]=I$8,E$7,0)</f>
        <v>0</v>
      </c>
      <c r="H50" s="13">
        <f>IF(AND(C50&gt;='Amort. Sched.-BASE'!$I$8, C50&lt;= ($I$7+$I$8)), H49+F50, 0)</f>
        <v>214502.24796257814</v>
      </c>
      <c r="I50" s="24">
        <f>IF(AND(C50&gt;='Amort. Sched.-BASE'!$I$8, C50&lt;= ($I$7+$I$8)), E50/D50, " ")</f>
        <v>0.82463226944677248</v>
      </c>
      <c r="J50" s="25">
        <f>IF(AND(C50&gt;='Amort. Sched.-BASE'!$I$8, C50&lt;= ($I$7+$I$8)), F50/D50, " ")</f>
        <v>0.17536773055322749</v>
      </c>
      <c r="L50" s="20">
        <f t="shared" si="0"/>
        <v>39</v>
      </c>
      <c r="M50" s="5">
        <f>IF(AND(L50&gt;='Amort. Sched.-BASE'!$R$8, L50&lt;= ($R$7+$R$8)), PMT('Amort. Sched.-BASE'!$N$8/12, 'Amort. Sched.-BASE'!$R$7, 'Amort. Sched.-BASE'!$N$7), 0)</f>
        <v>0</v>
      </c>
      <c r="N50" s="5">
        <f>IF(AND(L50&gt;='Amort. Sched.-BASE'!$R$8, L50&lt;= ($R$7+$R$8)), (IPMT($N$8/12, (L50-$R$8), $R$7, $N$7)), 0)</f>
        <v>0</v>
      </c>
      <c r="O50" s="5">
        <f>IF(AND(L50&gt;='Amort. Sched.-BASE'!$R$8, L50&lt;= ($R$7+$R$8)), (PPMT($N$8/12, (L50-$R$8), $R$7, $N$7)), 0)</f>
        <v>0</v>
      </c>
      <c r="P50" s="5">
        <f>IF(CreditAmort1BASE[[#This Row],[Month]]=R$8,N$7,0)</f>
        <v>0</v>
      </c>
      <c r="Q50" s="13">
        <f>IF(AND(L50&gt;='Amort. Sched.-BASE'!$R$8, L50&lt;= ($R$7+$R$8)), Q49+O50, 0)</f>
        <v>0</v>
      </c>
      <c r="R50" s="6" t="str">
        <f>IF(AND(L50&gt;='Amort. Sched.-BASE'!$R$8, L50&lt;= ($R$7+$R$8)), N50/M50, " ")</f>
        <v xml:space="preserve"> </v>
      </c>
      <c r="S50" s="21" t="str">
        <f>IF(AND(L50&gt;='Amort. Sched.-BASE'!$R$8, L50&lt;= ($R$7+$R$8)), O50/M50, " ")</f>
        <v xml:space="preserve"> </v>
      </c>
      <c r="U50" s="20">
        <f t="shared" si="2"/>
        <v>39</v>
      </c>
      <c r="V50" s="5">
        <f>IF(AND(U50&gt;='Amort. Sched.-BASE'!$AA$8, U50&lt;= ($AA$7+$AA$8)), PMT('Amort. Sched.-BASE'!$W$8/12, 'Amort. Sched.-BASE'!$AA$7, 'Amort. Sched.-BASE'!$W$7), 0)</f>
        <v>0</v>
      </c>
      <c r="W50" s="5">
        <f>IF(AND(U50&gt;='Amort. Sched.-BASE'!$AA$8, U50&lt;= ($AA$7+$AA$8)), (IPMT($W$8/12, (U50-$AA$8), $AA$7, $W$7)), 0)</f>
        <v>0</v>
      </c>
      <c r="X50" s="5">
        <f>IF(AND(U50&gt;='Amort. Sched.-BASE'!$AA$8, U50&lt;= ($AA$7+$AA$8)), (PPMT($W$8/12, (U50-$AA$8), $AA$7, $W$7)), 0)</f>
        <v>0</v>
      </c>
      <c r="Y50" s="5">
        <f>IF(CreditAmort2BASE[[#This Row],[Month]]=AA$8,W$7,0)</f>
        <v>0</v>
      </c>
      <c r="Z50" s="13">
        <f>IF(AND(U50&gt;='Amort. Sched.-BASE'!$AA$8, U50&lt;= ($AA$7+$AA$8)), Z49+X50, 0)</f>
        <v>0</v>
      </c>
      <c r="AA50" s="6" t="str">
        <f>IF(AND(U50&gt;='Amort. Sched.-BASE'!$AA$8, U50&lt;= ($AA$7+$AA$8)), W50/V50, " ")</f>
        <v xml:space="preserve"> </v>
      </c>
      <c r="AB50" s="21" t="str">
        <f>IF(AND(U50&gt;='Amort. Sched.-BASE'!$AA$8, U50&lt;= ($AA$7+$AA$8)), X50/V50, " ")</f>
        <v xml:space="preserve"> </v>
      </c>
      <c r="AD50" s="20">
        <f t="shared" si="3"/>
        <v>39</v>
      </c>
      <c r="AE50" s="5">
        <f t="shared" si="4"/>
        <v>0</v>
      </c>
      <c r="AF50" s="5">
        <f t="shared" si="5"/>
        <v>0</v>
      </c>
      <c r="AG50" s="5">
        <f t="shared" si="6"/>
        <v>0</v>
      </c>
      <c r="AH50" s="5">
        <f>IF(CreditAmort3BASE[[#This Row],[Month]]=AJ$8,AF$7,0)</f>
        <v>0</v>
      </c>
      <c r="AI50" s="13">
        <f t="shared" si="7"/>
        <v>0</v>
      </c>
      <c r="AJ50" s="6" t="str">
        <f t="shared" si="8"/>
        <v xml:space="preserve"> </v>
      </c>
      <c r="AK50" s="21" t="str">
        <f t="shared" si="9"/>
        <v xml:space="preserve"> </v>
      </c>
      <c r="AM50" s="20">
        <f t="shared" si="10"/>
        <v>39</v>
      </c>
      <c r="AN50" s="5">
        <f t="shared" si="11"/>
        <v>0</v>
      </c>
      <c r="AO50" s="5">
        <f t="shared" si="12"/>
        <v>0</v>
      </c>
      <c r="AP50" s="5">
        <f t="shared" si="13"/>
        <v>0</v>
      </c>
      <c r="AQ50" s="5">
        <f>IF(CreditAmort4BASE[[#This Row],[Month]]=AS$8,AO$7,0)</f>
        <v>0</v>
      </c>
      <c r="AR50" s="13">
        <f t="shared" si="14"/>
        <v>0</v>
      </c>
      <c r="AS50" s="6" t="str">
        <f t="shared" si="15"/>
        <v xml:space="preserve"> </v>
      </c>
      <c r="AT50" s="21" t="str">
        <f t="shared" si="16"/>
        <v xml:space="preserve"> </v>
      </c>
    </row>
    <row r="51" spans="3:46">
      <c r="C51" s="22">
        <f t="shared" si="1"/>
        <v>40</v>
      </c>
      <c r="D51" s="23">
        <f>IF(AND(C51&gt;='Amort. Sched.-BASE'!$I$8, C51&lt;= ($I$7+$I$8)), PMT('Amort. Sched.-BASE'!$E$8/12, 'Amort. Sched.-BASE'!$I$7, 'Amort. Sched.-BASE'!$E$7), 0)</f>
        <v>-1736.5864935892569</v>
      </c>
      <c r="E51" s="5">
        <f>IF(AND(C51&gt;='Amort. Sched.-BASE'!$I$8, C51&lt;= ($I$7+$I$8)), (IPMT($E$8/12, (C51-$I$8), $I$7, $E$7)), 0)</f>
        <v>-1430.0149864171876</v>
      </c>
      <c r="F51" s="23">
        <f>IF(AND(C51&gt;='Amort. Sched.-BASE'!$I$8, C51&lt;= ($I$7+$I$8)), (PPMT($E$8/12, (C51-$I$8), $I$7, $E$7)), 0)</f>
        <v>-306.57150717206912</v>
      </c>
      <c r="G51" s="5">
        <f>IF(MortgageAmortBASE[[#This Row],[Month]]=I$8,E$7,0)</f>
        <v>0</v>
      </c>
      <c r="H51" s="13">
        <f>IF(AND(C51&gt;='Amort. Sched.-BASE'!$I$8, C51&lt;= ($I$7+$I$8)), H50+F51, 0)</f>
        <v>214195.67645540606</v>
      </c>
      <c r="I51" s="24">
        <f>IF(AND(C51&gt;='Amort. Sched.-BASE'!$I$8, C51&lt;= ($I$7+$I$8)), E51/D51, " ")</f>
        <v>0.82346315124308422</v>
      </c>
      <c r="J51" s="25">
        <f>IF(AND(C51&gt;='Amort. Sched.-BASE'!$I$8, C51&lt;= ($I$7+$I$8)), F51/D51, " ")</f>
        <v>0.17653684875691567</v>
      </c>
      <c r="L51" s="20">
        <f t="shared" si="0"/>
        <v>40</v>
      </c>
      <c r="M51" s="5">
        <f>IF(AND(L51&gt;='Amort. Sched.-BASE'!$R$8, L51&lt;= ($R$7+$R$8)), PMT('Amort. Sched.-BASE'!$N$8/12, 'Amort. Sched.-BASE'!$R$7, 'Amort. Sched.-BASE'!$N$7), 0)</f>
        <v>0</v>
      </c>
      <c r="N51" s="5">
        <f>IF(AND(L51&gt;='Amort. Sched.-BASE'!$R$8, L51&lt;= ($R$7+$R$8)), (IPMT($N$8/12, (L51-$R$8), $R$7, $N$7)), 0)</f>
        <v>0</v>
      </c>
      <c r="O51" s="5">
        <f>IF(AND(L51&gt;='Amort. Sched.-BASE'!$R$8, L51&lt;= ($R$7+$R$8)), (PPMT($N$8/12, (L51-$R$8), $R$7, $N$7)), 0)</f>
        <v>0</v>
      </c>
      <c r="P51" s="5">
        <f>IF(CreditAmort1BASE[[#This Row],[Month]]=R$8,N$7,0)</f>
        <v>0</v>
      </c>
      <c r="Q51" s="13">
        <f>IF(AND(L51&gt;='Amort. Sched.-BASE'!$R$8, L51&lt;= ($R$7+$R$8)), Q50+O51, 0)</f>
        <v>0</v>
      </c>
      <c r="R51" s="6" t="str">
        <f>IF(AND(L51&gt;='Amort. Sched.-BASE'!$R$8, L51&lt;= ($R$7+$R$8)), N51/M51, " ")</f>
        <v xml:space="preserve"> </v>
      </c>
      <c r="S51" s="21" t="str">
        <f>IF(AND(L51&gt;='Amort. Sched.-BASE'!$R$8, L51&lt;= ($R$7+$R$8)), O51/M51, " ")</f>
        <v xml:space="preserve"> </v>
      </c>
      <c r="U51" s="20">
        <f t="shared" si="2"/>
        <v>40</v>
      </c>
      <c r="V51" s="5">
        <f>IF(AND(U51&gt;='Amort. Sched.-BASE'!$AA$8, U51&lt;= ($AA$7+$AA$8)), PMT('Amort. Sched.-BASE'!$W$8/12, 'Amort. Sched.-BASE'!$AA$7, 'Amort. Sched.-BASE'!$W$7), 0)</f>
        <v>0</v>
      </c>
      <c r="W51" s="5">
        <f>IF(AND(U51&gt;='Amort. Sched.-BASE'!$AA$8, U51&lt;= ($AA$7+$AA$8)), (IPMT($W$8/12, (U51-$AA$8), $AA$7, $W$7)), 0)</f>
        <v>0</v>
      </c>
      <c r="X51" s="5">
        <f>IF(AND(U51&gt;='Amort. Sched.-BASE'!$AA$8, U51&lt;= ($AA$7+$AA$8)), (PPMT($W$8/12, (U51-$AA$8), $AA$7, $W$7)), 0)</f>
        <v>0</v>
      </c>
      <c r="Y51" s="5">
        <f>IF(CreditAmort2BASE[[#This Row],[Month]]=AA$8,W$7,0)</f>
        <v>0</v>
      </c>
      <c r="Z51" s="13">
        <f>IF(AND(U51&gt;='Amort. Sched.-BASE'!$AA$8, U51&lt;= ($AA$7+$AA$8)), Z50+X51, 0)</f>
        <v>0</v>
      </c>
      <c r="AA51" s="6" t="str">
        <f>IF(AND(U51&gt;='Amort. Sched.-BASE'!$AA$8, U51&lt;= ($AA$7+$AA$8)), W51/V51, " ")</f>
        <v xml:space="preserve"> </v>
      </c>
      <c r="AB51" s="21" t="str">
        <f>IF(AND(U51&gt;='Amort. Sched.-BASE'!$AA$8, U51&lt;= ($AA$7+$AA$8)), X51/V51, " ")</f>
        <v xml:space="preserve"> </v>
      </c>
      <c r="AD51" s="20">
        <f t="shared" si="3"/>
        <v>40</v>
      </c>
      <c r="AE51" s="5">
        <f t="shared" si="4"/>
        <v>0</v>
      </c>
      <c r="AF51" s="5">
        <f t="shared" si="5"/>
        <v>0</v>
      </c>
      <c r="AG51" s="5">
        <f t="shared" si="6"/>
        <v>0</v>
      </c>
      <c r="AH51" s="5">
        <f>IF(CreditAmort3BASE[[#This Row],[Month]]=AJ$8,AF$7,0)</f>
        <v>0</v>
      </c>
      <c r="AI51" s="13">
        <f t="shared" si="7"/>
        <v>0</v>
      </c>
      <c r="AJ51" s="6" t="str">
        <f t="shared" si="8"/>
        <v xml:space="preserve"> </v>
      </c>
      <c r="AK51" s="21" t="str">
        <f t="shared" si="9"/>
        <v xml:space="preserve"> </v>
      </c>
      <c r="AM51" s="20">
        <f t="shared" si="10"/>
        <v>40</v>
      </c>
      <c r="AN51" s="5">
        <f t="shared" si="11"/>
        <v>0</v>
      </c>
      <c r="AO51" s="5">
        <f t="shared" si="12"/>
        <v>0</v>
      </c>
      <c r="AP51" s="5">
        <f t="shared" si="13"/>
        <v>0</v>
      </c>
      <c r="AQ51" s="5">
        <f>IF(CreditAmort4BASE[[#This Row],[Month]]=AS$8,AO$7,0)</f>
        <v>0</v>
      </c>
      <c r="AR51" s="13">
        <f t="shared" si="14"/>
        <v>0</v>
      </c>
      <c r="AS51" s="6" t="str">
        <f t="shared" si="15"/>
        <v xml:space="preserve"> </v>
      </c>
      <c r="AT51" s="21" t="str">
        <f t="shared" si="16"/>
        <v xml:space="preserve"> </v>
      </c>
    </row>
    <row r="52" spans="3:46">
      <c r="C52" s="22">
        <f t="shared" si="1"/>
        <v>41</v>
      </c>
      <c r="D52" s="23">
        <f>IF(AND(C52&gt;='Amort. Sched.-BASE'!$I$8, C52&lt;= ($I$7+$I$8)), PMT('Amort. Sched.-BASE'!$E$8/12, 'Amort. Sched.-BASE'!$I$7, 'Amort. Sched.-BASE'!$E$7), 0)</f>
        <v>-1736.5864935892569</v>
      </c>
      <c r="E52" s="5">
        <f>IF(AND(C52&gt;='Amort. Sched.-BASE'!$I$8, C52&lt;= ($I$7+$I$8)), (IPMT($E$8/12, (C52-$I$8), $I$7, $E$7)), 0)</f>
        <v>-1427.9711763693738</v>
      </c>
      <c r="F52" s="23">
        <f>IF(AND(C52&gt;='Amort. Sched.-BASE'!$I$8, C52&lt;= ($I$7+$I$8)), (PPMT($E$8/12, (C52-$I$8), $I$7, $E$7)), 0)</f>
        <v>-308.61531721988291</v>
      </c>
      <c r="G52" s="5">
        <f>IF(MortgageAmortBASE[[#This Row],[Month]]=I$8,E$7,0)</f>
        <v>0</v>
      </c>
      <c r="H52" s="13">
        <f>IF(AND(C52&gt;='Amort. Sched.-BASE'!$I$8, C52&lt;= ($I$7+$I$8)), H51+F52, 0)</f>
        <v>213887.06113818617</v>
      </c>
      <c r="I52" s="24">
        <f>IF(AND(C52&gt;='Amort. Sched.-BASE'!$I$8, C52&lt;= ($I$7+$I$8)), E52/D52, " ")</f>
        <v>0.82228623891803809</v>
      </c>
      <c r="J52" s="25">
        <f>IF(AND(C52&gt;='Amort. Sched.-BASE'!$I$8, C52&lt;= ($I$7+$I$8)), F52/D52, " ")</f>
        <v>0.17771376108196177</v>
      </c>
      <c r="L52" s="20">
        <f t="shared" si="0"/>
        <v>41</v>
      </c>
      <c r="M52" s="5">
        <f>IF(AND(L52&gt;='Amort. Sched.-BASE'!$R$8, L52&lt;= ($R$7+$R$8)), PMT('Amort. Sched.-BASE'!$N$8/12, 'Amort. Sched.-BASE'!$R$7, 'Amort. Sched.-BASE'!$N$7), 0)</f>
        <v>0</v>
      </c>
      <c r="N52" s="5">
        <f>IF(AND(L52&gt;='Amort. Sched.-BASE'!$R$8, L52&lt;= ($R$7+$R$8)), (IPMT($N$8/12, (L52-$R$8), $R$7, $N$7)), 0)</f>
        <v>0</v>
      </c>
      <c r="O52" s="5">
        <f>IF(AND(L52&gt;='Amort. Sched.-BASE'!$R$8, L52&lt;= ($R$7+$R$8)), (PPMT($N$8/12, (L52-$R$8), $R$7, $N$7)), 0)</f>
        <v>0</v>
      </c>
      <c r="P52" s="5">
        <f>IF(CreditAmort1BASE[[#This Row],[Month]]=R$8,N$7,0)</f>
        <v>0</v>
      </c>
      <c r="Q52" s="13">
        <f>IF(AND(L52&gt;='Amort. Sched.-BASE'!$R$8, L52&lt;= ($R$7+$R$8)), Q51+O52, 0)</f>
        <v>0</v>
      </c>
      <c r="R52" s="6" t="str">
        <f>IF(AND(L52&gt;='Amort. Sched.-BASE'!$R$8, L52&lt;= ($R$7+$R$8)), N52/M52, " ")</f>
        <v xml:space="preserve"> </v>
      </c>
      <c r="S52" s="21" t="str">
        <f>IF(AND(L52&gt;='Amort. Sched.-BASE'!$R$8, L52&lt;= ($R$7+$R$8)), O52/M52, " ")</f>
        <v xml:space="preserve"> </v>
      </c>
      <c r="U52" s="20">
        <f t="shared" si="2"/>
        <v>41</v>
      </c>
      <c r="V52" s="5">
        <f>IF(AND(U52&gt;='Amort. Sched.-BASE'!$AA$8, U52&lt;= ($AA$7+$AA$8)), PMT('Amort. Sched.-BASE'!$W$8/12, 'Amort. Sched.-BASE'!$AA$7, 'Amort. Sched.-BASE'!$W$7), 0)</f>
        <v>0</v>
      </c>
      <c r="W52" s="5">
        <f>IF(AND(U52&gt;='Amort. Sched.-BASE'!$AA$8, U52&lt;= ($AA$7+$AA$8)), (IPMT($W$8/12, (U52-$AA$8), $AA$7, $W$7)), 0)</f>
        <v>0</v>
      </c>
      <c r="X52" s="5">
        <f>IF(AND(U52&gt;='Amort. Sched.-BASE'!$AA$8, U52&lt;= ($AA$7+$AA$8)), (PPMT($W$8/12, (U52-$AA$8), $AA$7, $W$7)), 0)</f>
        <v>0</v>
      </c>
      <c r="Y52" s="5">
        <f>IF(CreditAmort2BASE[[#This Row],[Month]]=AA$8,W$7,0)</f>
        <v>0</v>
      </c>
      <c r="Z52" s="13">
        <f>IF(AND(U52&gt;='Amort. Sched.-BASE'!$AA$8, U52&lt;= ($AA$7+$AA$8)), Z51+X52, 0)</f>
        <v>0</v>
      </c>
      <c r="AA52" s="6" t="str">
        <f>IF(AND(U52&gt;='Amort. Sched.-BASE'!$AA$8, U52&lt;= ($AA$7+$AA$8)), W52/V52, " ")</f>
        <v xml:space="preserve"> </v>
      </c>
      <c r="AB52" s="21" t="str">
        <f>IF(AND(U52&gt;='Amort. Sched.-BASE'!$AA$8, U52&lt;= ($AA$7+$AA$8)), X52/V52, " ")</f>
        <v xml:space="preserve"> </v>
      </c>
      <c r="AD52" s="20">
        <f t="shared" si="3"/>
        <v>41</v>
      </c>
      <c r="AE52" s="5">
        <f t="shared" si="4"/>
        <v>0</v>
      </c>
      <c r="AF52" s="5">
        <f t="shared" si="5"/>
        <v>0</v>
      </c>
      <c r="AG52" s="5">
        <f t="shared" si="6"/>
        <v>0</v>
      </c>
      <c r="AH52" s="5">
        <f>IF(CreditAmort3BASE[[#This Row],[Month]]=AJ$8,AF$7,0)</f>
        <v>0</v>
      </c>
      <c r="AI52" s="13">
        <f t="shared" si="7"/>
        <v>0</v>
      </c>
      <c r="AJ52" s="6" t="str">
        <f t="shared" si="8"/>
        <v xml:space="preserve"> </v>
      </c>
      <c r="AK52" s="21" t="str">
        <f t="shared" si="9"/>
        <v xml:space="preserve"> </v>
      </c>
      <c r="AM52" s="20">
        <f t="shared" si="10"/>
        <v>41</v>
      </c>
      <c r="AN52" s="5">
        <f t="shared" si="11"/>
        <v>0</v>
      </c>
      <c r="AO52" s="5">
        <f t="shared" si="12"/>
        <v>0</v>
      </c>
      <c r="AP52" s="5">
        <f t="shared" si="13"/>
        <v>0</v>
      </c>
      <c r="AQ52" s="5">
        <f>IF(CreditAmort4BASE[[#This Row],[Month]]=AS$8,AO$7,0)</f>
        <v>0</v>
      </c>
      <c r="AR52" s="13">
        <f t="shared" si="14"/>
        <v>0</v>
      </c>
      <c r="AS52" s="6" t="str">
        <f t="shared" si="15"/>
        <v xml:space="preserve"> </v>
      </c>
      <c r="AT52" s="21" t="str">
        <f t="shared" si="16"/>
        <v xml:space="preserve"> </v>
      </c>
    </row>
    <row r="53" spans="3:46">
      <c r="C53" s="22">
        <f t="shared" si="1"/>
        <v>42</v>
      </c>
      <c r="D53" s="23">
        <f>IF(AND(C53&gt;='Amort. Sched.-BASE'!$I$8, C53&lt;= ($I$7+$I$8)), PMT('Amort. Sched.-BASE'!$E$8/12, 'Amort. Sched.-BASE'!$I$7, 'Amort. Sched.-BASE'!$E$7), 0)</f>
        <v>-1736.5864935892569</v>
      </c>
      <c r="E53" s="5">
        <f>IF(AND(C53&gt;='Amort. Sched.-BASE'!$I$8, C53&lt;= ($I$7+$I$8)), (IPMT($E$8/12, (C53-$I$8), $I$7, $E$7)), 0)</f>
        <v>-1425.9137409212415</v>
      </c>
      <c r="F53" s="23">
        <f>IF(AND(C53&gt;='Amort. Sched.-BASE'!$I$8, C53&lt;= ($I$7+$I$8)), (PPMT($E$8/12, (C53-$I$8), $I$7, $E$7)), 0)</f>
        <v>-310.67275266801551</v>
      </c>
      <c r="G53" s="5">
        <f>IF(MortgageAmortBASE[[#This Row],[Month]]=I$8,E$7,0)</f>
        <v>0</v>
      </c>
      <c r="H53" s="13">
        <f>IF(AND(C53&gt;='Amort. Sched.-BASE'!$I$8, C53&lt;= ($I$7+$I$8)), H52+F53, 0)</f>
        <v>213576.38838551816</v>
      </c>
      <c r="I53" s="24">
        <f>IF(AND(C53&gt;='Amort. Sched.-BASE'!$I$8, C53&lt;= ($I$7+$I$8)), E53/D53, " ")</f>
        <v>0.82110148051082521</v>
      </c>
      <c r="J53" s="25">
        <f>IF(AND(C53&gt;='Amort. Sched.-BASE'!$I$8, C53&lt;= ($I$7+$I$8)), F53/D53, " ")</f>
        <v>0.17889851948917487</v>
      </c>
      <c r="L53" s="20">
        <f t="shared" si="0"/>
        <v>42</v>
      </c>
      <c r="M53" s="5">
        <f>IF(AND(L53&gt;='Amort. Sched.-BASE'!$R$8, L53&lt;= ($R$7+$R$8)), PMT('Amort. Sched.-BASE'!$N$8/12, 'Amort. Sched.-BASE'!$R$7, 'Amort. Sched.-BASE'!$N$7), 0)</f>
        <v>0</v>
      </c>
      <c r="N53" s="5">
        <f>IF(AND(L53&gt;='Amort. Sched.-BASE'!$R$8, L53&lt;= ($R$7+$R$8)), (IPMT($N$8/12, (L53-$R$8), $R$7, $N$7)), 0)</f>
        <v>0</v>
      </c>
      <c r="O53" s="5">
        <f>IF(AND(L53&gt;='Amort. Sched.-BASE'!$R$8, L53&lt;= ($R$7+$R$8)), (PPMT($N$8/12, (L53-$R$8), $R$7, $N$7)), 0)</f>
        <v>0</v>
      </c>
      <c r="P53" s="5">
        <f>IF(CreditAmort1BASE[[#This Row],[Month]]=R$8,N$7,0)</f>
        <v>0</v>
      </c>
      <c r="Q53" s="13">
        <f>IF(AND(L53&gt;='Amort. Sched.-BASE'!$R$8, L53&lt;= ($R$7+$R$8)), Q52+O53, 0)</f>
        <v>0</v>
      </c>
      <c r="R53" s="6" t="str">
        <f>IF(AND(L53&gt;='Amort. Sched.-BASE'!$R$8, L53&lt;= ($R$7+$R$8)), N53/M53, " ")</f>
        <v xml:space="preserve"> </v>
      </c>
      <c r="S53" s="21" t="str">
        <f>IF(AND(L53&gt;='Amort. Sched.-BASE'!$R$8, L53&lt;= ($R$7+$R$8)), O53/M53, " ")</f>
        <v xml:space="preserve"> </v>
      </c>
      <c r="U53" s="20">
        <f t="shared" si="2"/>
        <v>42</v>
      </c>
      <c r="V53" s="5">
        <f>IF(AND(U53&gt;='Amort. Sched.-BASE'!$AA$8, U53&lt;= ($AA$7+$AA$8)), PMT('Amort. Sched.-BASE'!$W$8/12, 'Amort. Sched.-BASE'!$AA$7, 'Amort. Sched.-BASE'!$W$7), 0)</f>
        <v>0</v>
      </c>
      <c r="W53" s="5">
        <f>IF(AND(U53&gt;='Amort. Sched.-BASE'!$AA$8, U53&lt;= ($AA$7+$AA$8)), (IPMT($W$8/12, (U53-$AA$8), $AA$7, $W$7)), 0)</f>
        <v>0</v>
      </c>
      <c r="X53" s="5">
        <f>IF(AND(U53&gt;='Amort. Sched.-BASE'!$AA$8, U53&lt;= ($AA$7+$AA$8)), (PPMT($W$8/12, (U53-$AA$8), $AA$7, $W$7)), 0)</f>
        <v>0</v>
      </c>
      <c r="Y53" s="5">
        <f>IF(CreditAmort2BASE[[#This Row],[Month]]=AA$8,W$7,0)</f>
        <v>0</v>
      </c>
      <c r="Z53" s="13">
        <f>IF(AND(U53&gt;='Amort. Sched.-BASE'!$AA$8, U53&lt;= ($AA$7+$AA$8)), Z52+X53, 0)</f>
        <v>0</v>
      </c>
      <c r="AA53" s="6" t="str">
        <f>IF(AND(U53&gt;='Amort. Sched.-BASE'!$AA$8, U53&lt;= ($AA$7+$AA$8)), W53/V53, " ")</f>
        <v xml:space="preserve"> </v>
      </c>
      <c r="AB53" s="21" t="str">
        <f>IF(AND(U53&gt;='Amort. Sched.-BASE'!$AA$8, U53&lt;= ($AA$7+$AA$8)), X53/V53, " ")</f>
        <v xml:space="preserve"> </v>
      </c>
      <c r="AD53" s="20">
        <f t="shared" si="3"/>
        <v>42</v>
      </c>
      <c r="AE53" s="5">
        <f t="shared" si="4"/>
        <v>0</v>
      </c>
      <c r="AF53" s="5">
        <f t="shared" si="5"/>
        <v>0</v>
      </c>
      <c r="AG53" s="5">
        <f t="shared" si="6"/>
        <v>0</v>
      </c>
      <c r="AH53" s="5">
        <f>IF(CreditAmort3BASE[[#This Row],[Month]]=AJ$8,AF$7,0)</f>
        <v>0</v>
      </c>
      <c r="AI53" s="13">
        <f t="shared" si="7"/>
        <v>0</v>
      </c>
      <c r="AJ53" s="6" t="str">
        <f t="shared" si="8"/>
        <v xml:space="preserve"> </v>
      </c>
      <c r="AK53" s="21" t="str">
        <f t="shared" si="9"/>
        <v xml:space="preserve"> </v>
      </c>
      <c r="AM53" s="20">
        <f t="shared" si="10"/>
        <v>42</v>
      </c>
      <c r="AN53" s="5">
        <f t="shared" si="11"/>
        <v>0</v>
      </c>
      <c r="AO53" s="5">
        <f t="shared" si="12"/>
        <v>0</v>
      </c>
      <c r="AP53" s="5">
        <f t="shared" si="13"/>
        <v>0</v>
      </c>
      <c r="AQ53" s="5">
        <f>IF(CreditAmort4BASE[[#This Row],[Month]]=AS$8,AO$7,0)</f>
        <v>0</v>
      </c>
      <c r="AR53" s="13">
        <f t="shared" si="14"/>
        <v>0</v>
      </c>
      <c r="AS53" s="6" t="str">
        <f t="shared" si="15"/>
        <v xml:space="preserve"> </v>
      </c>
      <c r="AT53" s="21" t="str">
        <f t="shared" si="16"/>
        <v xml:space="preserve"> </v>
      </c>
    </row>
    <row r="54" spans="3:46">
      <c r="C54" s="22">
        <f t="shared" si="1"/>
        <v>43</v>
      </c>
      <c r="D54" s="23">
        <f>IF(AND(C54&gt;='Amort. Sched.-BASE'!$I$8, C54&lt;= ($I$7+$I$8)), PMT('Amort. Sched.-BASE'!$E$8/12, 'Amort. Sched.-BASE'!$I$7, 'Amort. Sched.-BASE'!$E$7), 0)</f>
        <v>-1736.5864935892569</v>
      </c>
      <c r="E54" s="5">
        <f>IF(AND(C54&gt;='Amort. Sched.-BASE'!$I$8, C54&lt;= ($I$7+$I$8)), (IPMT($E$8/12, (C54-$I$8), $I$7, $E$7)), 0)</f>
        <v>-1423.8425892367879</v>
      </c>
      <c r="F54" s="23">
        <f>IF(AND(C54&gt;='Amort. Sched.-BASE'!$I$8, C54&lt;= ($I$7+$I$8)), (PPMT($E$8/12, (C54-$I$8), $I$7, $E$7)), 0)</f>
        <v>-312.74390435246897</v>
      </c>
      <c r="G54" s="5">
        <f>IF(MortgageAmortBASE[[#This Row],[Month]]=I$8,E$7,0)</f>
        <v>0</v>
      </c>
      <c r="H54" s="13">
        <f>IF(AND(C54&gt;='Amort. Sched.-BASE'!$I$8, C54&lt;= ($I$7+$I$8)), H53+F54, 0)</f>
        <v>213263.64448116568</v>
      </c>
      <c r="I54" s="24">
        <f>IF(AND(C54&gt;='Amort. Sched.-BASE'!$I$8, C54&lt;= ($I$7+$I$8)), E54/D54, " ")</f>
        <v>0.81990882371423068</v>
      </c>
      <c r="J54" s="25">
        <f>IF(AND(C54&gt;='Amort. Sched.-BASE'!$I$8, C54&lt;= ($I$7+$I$8)), F54/D54, " ")</f>
        <v>0.18009117628576937</v>
      </c>
      <c r="L54" s="20">
        <f t="shared" si="0"/>
        <v>43</v>
      </c>
      <c r="M54" s="5">
        <f>IF(AND(L54&gt;='Amort. Sched.-BASE'!$R$8, L54&lt;= ($R$7+$R$8)), PMT('Amort. Sched.-BASE'!$N$8/12, 'Amort. Sched.-BASE'!$R$7, 'Amort. Sched.-BASE'!$N$7), 0)</f>
        <v>0</v>
      </c>
      <c r="N54" s="5">
        <f>IF(AND(L54&gt;='Amort. Sched.-BASE'!$R$8, L54&lt;= ($R$7+$R$8)), (IPMT($N$8/12, (L54-$R$8), $R$7, $N$7)), 0)</f>
        <v>0</v>
      </c>
      <c r="O54" s="5">
        <f>IF(AND(L54&gt;='Amort. Sched.-BASE'!$R$8, L54&lt;= ($R$7+$R$8)), (PPMT($N$8/12, (L54-$R$8), $R$7, $N$7)), 0)</f>
        <v>0</v>
      </c>
      <c r="P54" s="5">
        <f>IF(CreditAmort1BASE[[#This Row],[Month]]=R$8,N$7,0)</f>
        <v>0</v>
      </c>
      <c r="Q54" s="13">
        <f>IF(AND(L54&gt;='Amort. Sched.-BASE'!$R$8, L54&lt;= ($R$7+$R$8)), Q53+O54, 0)</f>
        <v>0</v>
      </c>
      <c r="R54" s="6" t="str">
        <f>IF(AND(L54&gt;='Amort. Sched.-BASE'!$R$8, L54&lt;= ($R$7+$R$8)), N54/M54, " ")</f>
        <v xml:space="preserve"> </v>
      </c>
      <c r="S54" s="21" t="str">
        <f>IF(AND(L54&gt;='Amort. Sched.-BASE'!$R$8, L54&lt;= ($R$7+$R$8)), O54/M54, " ")</f>
        <v xml:space="preserve"> </v>
      </c>
      <c r="U54" s="20">
        <f t="shared" si="2"/>
        <v>43</v>
      </c>
      <c r="V54" s="5">
        <f>IF(AND(U54&gt;='Amort. Sched.-BASE'!$AA$8, U54&lt;= ($AA$7+$AA$8)), PMT('Amort. Sched.-BASE'!$W$8/12, 'Amort. Sched.-BASE'!$AA$7, 'Amort. Sched.-BASE'!$W$7), 0)</f>
        <v>0</v>
      </c>
      <c r="W54" s="5">
        <f>IF(AND(U54&gt;='Amort. Sched.-BASE'!$AA$8, U54&lt;= ($AA$7+$AA$8)), (IPMT($W$8/12, (U54-$AA$8), $AA$7, $W$7)), 0)</f>
        <v>0</v>
      </c>
      <c r="X54" s="5">
        <f>IF(AND(U54&gt;='Amort. Sched.-BASE'!$AA$8, U54&lt;= ($AA$7+$AA$8)), (PPMT($W$8/12, (U54-$AA$8), $AA$7, $W$7)), 0)</f>
        <v>0</v>
      </c>
      <c r="Y54" s="5">
        <f>IF(CreditAmort2BASE[[#This Row],[Month]]=AA$8,W$7,0)</f>
        <v>0</v>
      </c>
      <c r="Z54" s="13">
        <f>IF(AND(U54&gt;='Amort. Sched.-BASE'!$AA$8, U54&lt;= ($AA$7+$AA$8)), Z53+X54, 0)</f>
        <v>0</v>
      </c>
      <c r="AA54" s="6" t="str">
        <f>IF(AND(U54&gt;='Amort. Sched.-BASE'!$AA$8, U54&lt;= ($AA$7+$AA$8)), W54/V54, " ")</f>
        <v xml:space="preserve"> </v>
      </c>
      <c r="AB54" s="21" t="str">
        <f>IF(AND(U54&gt;='Amort. Sched.-BASE'!$AA$8, U54&lt;= ($AA$7+$AA$8)), X54/V54, " ")</f>
        <v xml:space="preserve"> </v>
      </c>
      <c r="AD54" s="20">
        <f t="shared" si="3"/>
        <v>43</v>
      </c>
      <c r="AE54" s="5">
        <f t="shared" si="4"/>
        <v>0</v>
      </c>
      <c r="AF54" s="5">
        <f t="shared" si="5"/>
        <v>0</v>
      </c>
      <c r="AG54" s="5">
        <f t="shared" si="6"/>
        <v>0</v>
      </c>
      <c r="AH54" s="5">
        <f>IF(CreditAmort3BASE[[#This Row],[Month]]=AJ$8,AF$7,0)</f>
        <v>0</v>
      </c>
      <c r="AI54" s="13">
        <f t="shared" si="7"/>
        <v>0</v>
      </c>
      <c r="AJ54" s="6" t="str">
        <f t="shared" si="8"/>
        <v xml:space="preserve"> </v>
      </c>
      <c r="AK54" s="21" t="str">
        <f t="shared" si="9"/>
        <v xml:space="preserve"> </v>
      </c>
      <c r="AM54" s="20">
        <f t="shared" si="10"/>
        <v>43</v>
      </c>
      <c r="AN54" s="5">
        <f t="shared" si="11"/>
        <v>0</v>
      </c>
      <c r="AO54" s="5">
        <f t="shared" si="12"/>
        <v>0</v>
      </c>
      <c r="AP54" s="5">
        <f t="shared" si="13"/>
        <v>0</v>
      </c>
      <c r="AQ54" s="5">
        <f>IF(CreditAmort4BASE[[#This Row],[Month]]=AS$8,AO$7,0)</f>
        <v>0</v>
      </c>
      <c r="AR54" s="13">
        <f t="shared" si="14"/>
        <v>0</v>
      </c>
      <c r="AS54" s="6" t="str">
        <f t="shared" si="15"/>
        <v xml:space="preserve"> </v>
      </c>
      <c r="AT54" s="21" t="str">
        <f t="shared" si="16"/>
        <v xml:space="preserve"> </v>
      </c>
    </row>
    <row r="55" spans="3:46">
      <c r="C55" s="22">
        <f t="shared" si="1"/>
        <v>44</v>
      </c>
      <c r="D55" s="23">
        <f>IF(AND(C55&gt;='Amort. Sched.-BASE'!$I$8, C55&lt;= ($I$7+$I$8)), PMT('Amort. Sched.-BASE'!$E$8/12, 'Amort. Sched.-BASE'!$I$7, 'Amort. Sched.-BASE'!$E$7), 0)</f>
        <v>-1736.5864935892569</v>
      </c>
      <c r="E55" s="5">
        <f>IF(AND(C55&gt;='Amort. Sched.-BASE'!$I$8, C55&lt;= ($I$7+$I$8)), (IPMT($E$8/12, (C55-$I$8), $I$7, $E$7)), 0)</f>
        <v>-1421.7576298744382</v>
      </c>
      <c r="F55" s="23">
        <f>IF(AND(C55&gt;='Amort. Sched.-BASE'!$I$8, C55&lt;= ($I$7+$I$8)), (PPMT($E$8/12, (C55-$I$8), $I$7, $E$7)), 0)</f>
        <v>-314.82886371481874</v>
      </c>
      <c r="G55" s="5">
        <f>IF(MortgageAmortBASE[[#This Row],[Month]]=I$8,E$7,0)</f>
        <v>0</v>
      </c>
      <c r="H55" s="13">
        <f>IF(AND(C55&gt;='Amort. Sched.-BASE'!$I$8, C55&lt;= ($I$7+$I$8)), H54+F55, 0)</f>
        <v>212948.81561745086</v>
      </c>
      <c r="I55" s="24">
        <f>IF(AND(C55&gt;='Amort. Sched.-BASE'!$I$8, C55&lt;= ($I$7+$I$8)), E55/D55, " ")</f>
        <v>0.81870821587232556</v>
      </c>
      <c r="J55" s="25">
        <f>IF(AND(C55&gt;='Amort. Sched.-BASE'!$I$8, C55&lt;= ($I$7+$I$8)), F55/D55, " ")</f>
        <v>0.18129178412767449</v>
      </c>
      <c r="L55" s="20">
        <f t="shared" si="0"/>
        <v>44</v>
      </c>
      <c r="M55" s="5">
        <f>IF(AND(L55&gt;='Amort. Sched.-BASE'!$R$8, L55&lt;= ($R$7+$R$8)), PMT('Amort. Sched.-BASE'!$N$8/12, 'Amort. Sched.-BASE'!$R$7, 'Amort. Sched.-BASE'!$N$7), 0)</f>
        <v>0</v>
      </c>
      <c r="N55" s="5">
        <f>IF(AND(L55&gt;='Amort. Sched.-BASE'!$R$8, L55&lt;= ($R$7+$R$8)), (IPMT($N$8/12, (L55-$R$8), $R$7, $N$7)), 0)</f>
        <v>0</v>
      </c>
      <c r="O55" s="5">
        <f>IF(AND(L55&gt;='Amort. Sched.-BASE'!$R$8, L55&lt;= ($R$7+$R$8)), (PPMT($N$8/12, (L55-$R$8), $R$7, $N$7)), 0)</f>
        <v>0</v>
      </c>
      <c r="P55" s="5">
        <f>IF(CreditAmort1BASE[[#This Row],[Month]]=R$8,N$7,0)</f>
        <v>0</v>
      </c>
      <c r="Q55" s="13">
        <f>IF(AND(L55&gt;='Amort. Sched.-BASE'!$R$8, L55&lt;= ($R$7+$R$8)), Q54+O55, 0)</f>
        <v>0</v>
      </c>
      <c r="R55" s="6" t="str">
        <f>IF(AND(L55&gt;='Amort. Sched.-BASE'!$R$8, L55&lt;= ($R$7+$R$8)), N55/M55, " ")</f>
        <v xml:space="preserve"> </v>
      </c>
      <c r="S55" s="21" t="str">
        <f>IF(AND(L55&gt;='Amort. Sched.-BASE'!$R$8, L55&lt;= ($R$7+$R$8)), O55/M55, " ")</f>
        <v xml:space="preserve"> </v>
      </c>
      <c r="U55" s="20">
        <f t="shared" si="2"/>
        <v>44</v>
      </c>
      <c r="V55" s="5">
        <f>IF(AND(U55&gt;='Amort. Sched.-BASE'!$AA$8, U55&lt;= ($AA$7+$AA$8)), PMT('Amort. Sched.-BASE'!$W$8/12, 'Amort. Sched.-BASE'!$AA$7, 'Amort. Sched.-BASE'!$W$7), 0)</f>
        <v>0</v>
      </c>
      <c r="W55" s="5">
        <f>IF(AND(U55&gt;='Amort. Sched.-BASE'!$AA$8, U55&lt;= ($AA$7+$AA$8)), (IPMT($W$8/12, (U55-$AA$8), $AA$7, $W$7)), 0)</f>
        <v>0</v>
      </c>
      <c r="X55" s="5">
        <f>IF(AND(U55&gt;='Amort. Sched.-BASE'!$AA$8, U55&lt;= ($AA$7+$AA$8)), (PPMT($W$8/12, (U55-$AA$8), $AA$7, $W$7)), 0)</f>
        <v>0</v>
      </c>
      <c r="Y55" s="5">
        <f>IF(CreditAmort2BASE[[#This Row],[Month]]=AA$8,W$7,0)</f>
        <v>0</v>
      </c>
      <c r="Z55" s="13">
        <f>IF(AND(U55&gt;='Amort. Sched.-BASE'!$AA$8, U55&lt;= ($AA$7+$AA$8)), Z54+X55, 0)</f>
        <v>0</v>
      </c>
      <c r="AA55" s="6" t="str">
        <f>IF(AND(U55&gt;='Amort. Sched.-BASE'!$AA$8, U55&lt;= ($AA$7+$AA$8)), W55/V55, " ")</f>
        <v xml:space="preserve"> </v>
      </c>
      <c r="AB55" s="21" t="str">
        <f>IF(AND(U55&gt;='Amort. Sched.-BASE'!$AA$8, U55&lt;= ($AA$7+$AA$8)), X55/V55, " ")</f>
        <v xml:space="preserve"> </v>
      </c>
      <c r="AD55" s="20">
        <f t="shared" si="3"/>
        <v>44</v>
      </c>
      <c r="AE55" s="5">
        <f t="shared" si="4"/>
        <v>0</v>
      </c>
      <c r="AF55" s="5">
        <f t="shared" si="5"/>
        <v>0</v>
      </c>
      <c r="AG55" s="5">
        <f t="shared" si="6"/>
        <v>0</v>
      </c>
      <c r="AH55" s="5">
        <f>IF(CreditAmort3BASE[[#This Row],[Month]]=AJ$8,AF$7,0)</f>
        <v>0</v>
      </c>
      <c r="AI55" s="13">
        <f t="shared" si="7"/>
        <v>0</v>
      </c>
      <c r="AJ55" s="6" t="str">
        <f t="shared" si="8"/>
        <v xml:space="preserve"> </v>
      </c>
      <c r="AK55" s="21" t="str">
        <f t="shared" si="9"/>
        <v xml:space="preserve"> </v>
      </c>
      <c r="AM55" s="20">
        <f t="shared" si="10"/>
        <v>44</v>
      </c>
      <c r="AN55" s="5">
        <f t="shared" si="11"/>
        <v>0</v>
      </c>
      <c r="AO55" s="5">
        <f t="shared" si="12"/>
        <v>0</v>
      </c>
      <c r="AP55" s="5">
        <f t="shared" si="13"/>
        <v>0</v>
      </c>
      <c r="AQ55" s="5">
        <f>IF(CreditAmort4BASE[[#This Row],[Month]]=AS$8,AO$7,0)</f>
        <v>0</v>
      </c>
      <c r="AR55" s="13">
        <f t="shared" si="14"/>
        <v>0</v>
      </c>
      <c r="AS55" s="6" t="str">
        <f t="shared" si="15"/>
        <v xml:space="preserve"> </v>
      </c>
      <c r="AT55" s="21" t="str">
        <f t="shared" si="16"/>
        <v xml:space="preserve"> </v>
      </c>
    </row>
    <row r="56" spans="3:46">
      <c r="C56" s="22">
        <f t="shared" si="1"/>
        <v>45</v>
      </c>
      <c r="D56" s="23">
        <f>IF(AND(C56&gt;='Amort. Sched.-BASE'!$I$8, C56&lt;= ($I$7+$I$8)), PMT('Amort. Sched.-BASE'!$E$8/12, 'Amort. Sched.-BASE'!$I$7, 'Amort. Sched.-BASE'!$E$7), 0)</f>
        <v>-1736.5864935892569</v>
      </c>
      <c r="E56" s="5">
        <f>IF(AND(C56&gt;='Amort. Sched.-BASE'!$I$8, C56&lt;= ($I$7+$I$8)), (IPMT($E$8/12, (C56-$I$8), $I$7, $E$7)), 0)</f>
        <v>-1419.658770783006</v>
      </c>
      <c r="F56" s="23">
        <f>IF(AND(C56&gt;='Amort. Sched.-BASE'!$I$8, C56&lt;= ($I$7+$I$8)), (PPMT($E$8/12, (C56-$I$8), $I$7, $E$7)), 0)</f>
        <v>-316.92772280625087</v>
      </c>
      <c r="G56" s="5">
        <f>IF(MortgageAmortBASE[[#This Row],[Month]]=I$8,E$7,0)</f>
        <v>0</v>
      </c>
      <c r="H56" s="13">
        <f>IF(AND(C56&gt;='Amort. Sched.-BASE'!$I$8, C56&lt;= ($I$7+$I$8)), H55+F56, 0)</f>
        <v>212631.88789464461</v>
      </c>
      <c r="I56" s="24">
        <f>IF(AND(C56&gt;='Amort. Sched.-BASE'!$I$8, C56&lt;= ($I$7+$I$8)), E56/D56, " ")</f>
        <v>0.81749960397814103</v>
      </c>
      <c r="J56" s="25">
        <f>IF(AND(C56&gt;='Amort. Sched.-BASE'!$I$8, C56&lt;= ($I$7+$I$8)), F56/D56, " ")</f>
        <v>0.182500396021859</v>
      </c>
      <c r="L56" s="20">
        <f t="shared" si="0"/>
        <v>45</v>
      </c>
      <c r="M56" s="5">
        <f>IF(AND(L56&gt;='Amort. Sched.-BASE'!$R$8, L56&lt;= ($R$7+$R$8)), PMT('Amort. Sched.-BASE'!$N$8/12, 'Amort. Sched.-BASE'!$R$7, 'Amort. Sched.-BASE'!$N$7), 0)</f>
        <v>0</v>
      </c>
      <c r="N56" s="5">
        <f>IF(AND(L56&gt;='Amort. Sched.-BASE'!$R$8, L56&lt;= ($R$7+$R$8)), (IPMT($N$8/12, (L56-$R$8), $R$7, $N$7)), 0)</f>
        <v>0</v>
      </c>
      <c r="O56" s="5">
        <f>IF(AND(L56&gt;='Amort. Sched.-BASE'!$R$8, L56&lt;= ($R$7+$R$8)), (PPMT($N$8/12, (L56-$R$8), $R$7, $N$7)), 0)</f>
        <v>0</v>
      </c>
      <c r="P56" s="5">
        <f>IF(CreditAmort1BASE[[#This Row],[Month]]=R$8,N$7,0)</f>
        <v>0</v>
      </c>
      <c r="Q56" s="13">
        <f>IF(AND(L56&gt;='Amort. Sched.-BASE'!$R$8, L56&lt;= ($R$7+$R$8)), Q55+O56, 0)</f>
        <v>0</v>
      </c>
      <c r="R56" s="6" t="str">
        <f>IF(AND(L56&gt;='Amort. Sched.-BASE'!$R$8, L56&lt;= ($R$7+$R$8)), N56/M56, " ")</f>
        <v xml:space="preserve"> </v>
      </c>
      <c r="S56" s="21" t="str">
        <f>IF(AND(L56&gt;='Amort. Sched.-BASE'!$R$8, L56&lt;= ($R$7+$R$8)), O56/M56, " ")</f>
        <v xml:space="preserve"> </v>
      </c>
      <c r="U56" s="20">
        <f t="shared" si="2"/>
        <v>45</v>
      </c>
      <c r="V56" s="5">
        <f>IF(AND(U56&gt;='Amort. Sched.-BASE'!$AA$8, U56&lt;= ($AA$7+$AA$8)), PMT('Amort. Sched.-BASE'!$W$8/12, 'Amort. Sched.-BASE'!$AA$7, 'Amort. Sched.-BASE'!$W$7), 0)</f>
        <v>0</v>
      </c>
      <c r="W56" s="5">
        <f>IF(AND(U56&gt;='Amort. Sched.-BASE'!$AA$8, U56&lt;= ($AA$7+$AA$8)), (IPMT($W$8/12, (U56-$AA$8), $AA$7, $W$7)), 0)</f>
        <v>0</v>
      </c>
      <c r="X56" s="5">
        <f>IF(AND(U56&gt;='Amort. Sched.-BASE'!$AA$8, U56&lt;= ($AA$7+$AA$8)), (PPMT($W$8/12, (U56-$AA$8), $AA$7, $W$7)), 0)</f>
        <v>0</v>
      </c>
      <c r="Y56" s="5">
        <f>IF(CreditAmort2BASE[[#This Row],[Month]]=AA$8,W$7,0)</f>
        <v>0</v>
      </c>
      <c r="Z56" s="13">
        <f>IF(AND(U56&gt;='Amort. Sched.-BASE'!$AA$8, U56&lt;= ($AA$7+$AA$8)), Z55+X56, 0)</f>
        <v>0</v>
      </c>
      <c r="AA56" s="6" t="str">
        <f>IF(AND(U56&gt;='Amort. Sched.-BASE'!$AA$8, U56&lt;= ($AA$7+$AA$8)), W56/V56, " ")</f>
        <v xml:space="preserve"> </v>
      </c>
      <c r="AB56" s="21" t="str">
        <f>IF(AND(U56&gt;='Amort. Sched.-BASE'!$AA$8, U56&lt;= ($AA$7+$AA$8)), X56/V56, " ")</f>
        <v xml:space="preserve"> </v>
      </c>
      <c r="AD56" s="20">
        <f t="shared" si="3"/>
        <v>45</v>
      </c>
      <c r="AE56" s="5">
        <f t="shared" si="4"/>
        <v>0</v>
      </c>
      <c r="AF56" s="5">
        <f t="shared" si="5"/>
        <v>0</v>
      </c>
      <c r="AG56" s="5">
        <f t="shared" si="6"/>
        <v>0</v>
      </c>
      <c r="AH56" s="5">
        <f>IF(CreditAmort3BASE[[#This Row],[Month]]=AJ$8,AF$7,0)</f>
        <v>0</v>
      </c>
      <c r="AI56" s="13">
        <f t="shared" si="7"/>
        <v>0</v>
      </c>
      <c r="AJ56" s="6" t="str">
        <f t="shared" si="8"/>
        <v xml:space="preserve"> </v>
      </c>
      <c r="AK56" s="21" t="str">
        <f t="shared" si="9"/>
        <v xml:space="preserve"> </v>
      </c>
      <c r="AM56" s="20">
        <f t="shared" si="10"/>
        <v>45</v>
      </c>
      <c r="AN56" s="5">
        <f t="shared" si="11"/>
        <v>0</v>
      </c>
      <c r="AO56" s="5">
        <f t="shared" si="12"/>
        <v>0</v>
      </c>
      <c r="AP56" s="5">
        <f t="shared" si="13"/>
        <v>0</v>
      </c>
      <c r="AQ56" s="5">
        <f>IF(CreditAmort4BASE[[#This Row],[Month]]=AS$8,AO$7,0)</f>
        <v>0</v>
      </c>
      <c r="AR56" s="13">
        <f t="shared" si="14"/>
        <v>0</v>
      </c>
      <c r="AS56" s="6" t="str">
        <f t="shared" si="15"/>
        <v xml:space="preserve"> </v>
      </c>
      <c r="AT56" s="21" t="str">
        <f t="shared" si="16"/>
        <v xml:space="preserve"> </v>
      </c>
    </row>
    <row r="57" spans="3:46">
      <c r="C57" s="22">
        <f t="shared" si="1"/>
        <v>46</v>
      </c>
      <c r="D57" s="23">
        <f>IF(AND(C57&gt;='Amort. Sched.-BASE'!$I$8, C57&lt;= ($I$7+$I$8)), PMT('Amort. Sched.-BASE'!$E$8/12, 'Amort. Sched.-BASE'!$I$7, 'Amort. Sched.-BASE'!$E$7), 0)</f>
        <v>-1736.5864935892569</v>
      </c>
      <c r="E57" s="5">
        <f>IF(AND(C57&gt;='Amort. Sched.-BASE'!$I$8, C57&lt;= ($I$7+$I$8)), (IPMT($E$8/12, (C57-$I$8), $I$7, $E$7)), 0)</f>
        <v>-1417.5459192976309</v>
      </c>
      <c r="F57" s="23">
        <f>IF(AND(C57&gt;='Amort. Sched.-BASE'!$I$8, C57&lt;= ($I$7+$I$8)), (PPMT($E$8/12, (C57-$I$8), $I$7, $E$7)), 0)</f>
        <v>-319.04057429162589</v>
      </c>
      <c r="G57" s="5">
        <f>IF(MortgageAmortBASE[[#This Row],[Month]]=I$8,E$7,0)</f>
        <v>0</v>
      </c>
      <c r="H57" s="13">
        <f>IF(AND(C57&gt;='Amort. Sched.-BASE'!$I$8, C57&lt;= ($I$7+$I$8)), H56+F57, 0)</f>
        <v>212312.84732035297</v>
      </c>
      <c r="I57" s="24">
        <f>IF(AND(C57&gt;='Amort. Sched.-BASE'!$I$8, C57&lt;= ($I$7+$I$8)), E57/D57, " ")</f>
        <v>0.81628293467132862</v>
      </c>
      <c r="J57" s="25">
        <f>IF(AND(C57&gt;='Amort. Sched.-BASE'!$I$8, C57&lt;= ($I$7+$I$8)), F57/D57, " ")</f>
        <v>0.18371706532867138</v>
      </c>
      <c r="L57" s="20">
        <f t="shared" si="0"/>
        <v>46</v>
      </c>
      <c r="M57" s="5">
        <f>IF(AND(L57&gt;='Amort. Sched.-BASE'!$R$8, L57&lt;= ($R$7+$R$8)), PMT('Amort. Sched.-BASE'!$N$8/12, 'Amort. Sched.-BASE'!$R$7, 'Amort. Sched.-BASE'!$N$7), 0)</f>
        <v>0</v>
      </c>
      <c r="N57" s="5">
        <f>IF(AND(L57&gt;='Amort. Sched.-BASE'!$R$8, L57&lt;= ($R$7+$R$8)), (IPMT($N$8/12, (L57-$R$8), $R$7, $N$7)), 0)</f>
        <v>0</v>
      </c>
      <c r="O57" s="5">
        <f>IF(AND(L57&gt;='Amort. Sched.-BASE'!$R$8, L57&lt;= ($R$7+$R$8)), (PPMT($N$8/12, (L57-$R$8), $R$7, $N$7)), 0)</f>
        <v>0</v>
      </c>
      <c r="P57" s="5">
        <f>IF(CreditAmort1BASE[[#This Row],[Month]]=R$8,N$7,0)</f>
        <v>0</v>
      </c>
      <c r="Q57" s="13">
        <f>IF(AND(L57&gt;='Amort. Sched.-BASE'!$R$8, L57&lt;= ($R$7+$R$8)), Q56+O57, 0)</f>
        <v>0</v>
      </c>
      <c r="R57" s="6" t="str">
        <f>IF(AND(L57&gt;='Amort. Sched.-BASE'!$R$8, L57&lt;= ($R$7+$R$8)), N57/M57, " ")</f>
        <v xml:space="preserve"> </v>
      </c>
      <c r="S57" s="21" t="str">
        <f>IF(AND(L57&gt;='Amort. Sched.-BASE'!$R$8, L57&lt;= ($R$7+$R$8)), O57/M57, " ")</f>
        <v xml:space="preserve"> </v>
      </c>
      <c r="U57" s="20">
        <f t="shared" si="2"/>
        <v>46</v>
      </c>
      <c r="V57" s="5">
        <f>IF(AND(U57&gt;='Amort. Sched.-BASE'!$AA$8, U57&lt;= ($AA$7+$AA$8)), PMT('Amort. Sched.-BASE'!$W$8/12, 'Amort. Sched.-BASE'!$AA$7, 'Amort. Sched.-BASE'!$W$7), 0)</f>
        <v>0</v>
      </c>
      <c r="W57" s="5">
        <f>IF(AND(U57&gt;='Amort. Sched.-BASE'!$AA$8, U57&lt;= ($AA$7+$AA$8)), (IPMT($W$8/12, (U57-$AA$8), $AA$7, $W$7)), 0)</f>
        <v>0</v>
      </c>
      <c r="X57" s="5">
        <f>IF(AND(U57&gt;='Amort. Sched.-BASE'!$AA$8, U57&lt;= ($AA$7+$AA$8)), (PPMT($W$8/12, (U57-$AA$8), $AA$7, $W$7)), 0)</f>
        <v>0</v>
      </c>
      <c r="Y57" s="5">
        <f>IF(CreditAmort2BASE[[#This Row],[Month]]=AA$8,W$7,0)</f>
        <v>0</v>
      </c>
      <c r="Z57" s="13">
        <f>IF(AND(U57&gt;='Amort. Sched.-BASE'!$AA$8, U57&lt;= ($AA$7+$AA$8)), Z56+X57, 0)</f>
        <v>0</v>
      </c>
      <c r="AA57" s="6" t="str">
        <f>IF(AND(U57&gt;='Amort. Sched.-BASE'!$AA$8, U57&lt;= ($AA$7+$AA$8)), W57/V57, " ")</f>
        <v xml:space="preserve"> </v>
      </c>
      <c r="AB57" s="21" t="str">
        <f>IF(AND(U57&gt;='Amort. Sched.-BASE'!$AA$8, U57&lt;= ($AA$7+$AA$8)), X57/V57, " ")</f>
        <v xml:space="preserve"> </v>
      </c>
      <c r="AD57" s="20">
        <f t="shared" si="3"/>
        <v>46</v>
      </c>
      <c r="AE57" s="5">
        <f t="shared" si="4"/>
        <v>0</v>
      </c>
      <c r="AF57" s="5">
        <f t="shared" si="5"/>
        <v>0</v>
      </c>
      <c r="AG57" s="5">
        <f t="shared" si="6"/>
        <v>0</v>
      </c>
      <c r="AH57" s="5">
        <f>IF(CreditAmort3BASE[[#This Row],[Month]]=AJ$8,AF$7,0)</f>
        <v>0</v>
      </c>
      <c r="AI57" s="13">
        <f t="shared" si="7"/>
        <v>0</v>
      </c>
      <c r="AJ57" s="6" t="str">
        <f t="shared" si="8"/>
        <v xml:space="preserve"> </v>
      </c>
      <c r="AK57" s="21" t="str">
        <f t="shared" si="9"/>
        <v xml:space="preserve"> </v>
      </c>
      <c r="AM57" s="20">
        <f t="shared" si="10"/>
        <v>46</v>
      </c>
      <c r="AN57" s="5">
        <f t="shared" si="11"/>
        <v>0</v>
      </c>
      <c r="AO57" s="5">
        <f t="shared" si="12"/>
        <v>0</v>
      </c>
      <c r="AP57" s="5">
        <f t="shared" si="13"/>
        <v>0</v>
      </c>
      <c r="AQ57" s="5">
        <f>IF(CreditAmort4BASE[[#This Row],[Month]]=AS$8,AO$7,0)</f>
        <v>0</v>
      </c>
      <c r="AR57" s="13">
        <f t="shared" si="14"/>
        <v>0</v>
      </c>
      <c r="AS57" s="6" t="str">
        <f t="shared" si="15"/>
        <v xml:space="preserve"> </v>
      </c>
      <c r="AT57" s="21" t="str">
        <f t="shared" si="16"/>
        <v xml:space="preserve"> </v>
      </c>
    </row>
    <row r="58" spans="3:46">
      <c r="C58" s="22">
        <f t="shared" si="1"/>
        <v>47</v>
      </c>
      <c r="D58" s="23">
        <f>IF(AND(C58&gt;='Amort. Sched.-BASE'!$I$8, C58&lt;= ($I$7+$I$8)), PMT('Amort. Sched.-BASE'!$E$8/12, 'Amort. Sched.-BASE'!$I$7, 'Amort. Sched.-BASE'!$E$7), 0)</f>
        <v>-1736.5864935892569</v>
      </c>
      <c r="E58" s="5">
        <f>IF(AND(C58&gt;='Amort. Sched.-BASE'!$I$8, C58&lt;= ($I$7+$I$8)), (IPMT($E$8/12, (C58-$I$8), $I$7, $E$7)), 0)</f>
        <v>-1415.418982135687</v>
      </c>
      <c r="F58" s="23">
        <f>IF(AND(C58&gt;='Amort. Sched.-BASE'!$I$8, C58&lt;= ($I$7+$I$8)), (PPMT($E$8/12, (C58-$I$8), $I$7, $E$7)), 0)</f>
        <v>-321.16751145357</v>
      </c>
      <c r="G58" s="5">
        <f>IF(MortgageAmortBASE[[#This Row],[Month]]=I$8,E$7,0)</f>
        <v>0</v>
      </c>
      <c r="H58" s="13">
        <f>IF(AND(C58&gt;='Amort. Sched.-BASE'!$I$8, C58&lt;= ($I$7+$I$8)), H57+F58, 0)</f>
        <v>211991.67980889941</v>
      </c>
      <c r="I58" s="24">
        <f>IF(AND(C58&gt;='Amort. Sched.-BASE'!$I$8, C58&lt;= ($I$7+$I$8)), E58/D58, " ")</f>
        <v>0.81505815423580419</v>
      </c>
      <c r="J58" s="25">
        <f>IF(AND(C58&gt;='Amort. Sched.-BASE'!$I$8, C58&lt;= ($I$7+$I$8)), F58/D58, " ")</f>
        <v>0.18494184576419584</v>
      </c>
      <c r="L58" s="20">
        <f t="shared" si="0"/>
        <v>47</v>
      </c>
      <c r="M58" s="5">
        <f>IF(AND(L58&gt;='Amort. Sched.-BASE'!$R$8, L58&lt;= ($R$7+$R$8)), PMT('Amort. Sched.-BASE'!$N$8/12, 'Amort. Sched.-BASE'!$R$7, 'Amort. Sched.-BASE'!$N$7), 0)</f>
        <v>0</v>
      </c>
      <c r="N58" s="5">
        <f>IF(AND(L58&gt;='Amort. Sched.-BASE'!$R$8, L58&lt;= ($R$7+$R$8)), (IPMT($N$8/12, (L58-$R$8), $R$7, $N$7)), 0)</f>
        <v>0</v>
      </c>
      <c r="O58" s="5">
        <f>IF(AND(L58&gt;='Amort. Sched.-BASE'!$R$8, L58&lt;= ($R$7+$R$8)), (PPMT($N$8/12, (L58-$R$8), $R$7, $N$7)), 0)</f>
        <v>0</v>
      </c>
      <c r="P58" s="5">
        <f>IF(CreditAmort1BASE[[#This Row],[Month]]=R$8,N$7,0)</f>
        <v>0</v>
      </c>
      <c r="Q58" s="13">
        <f>IF(AND(L58&gt;='Amort. Sched.-BASE'!$R$8, L58&lt;= ($R$7+$R$8)), Q57+O58, 0)</f>
        <v>0</v>
      </c>
      <c r="R58" s="6" t="str">
        <f>IF(AND(L58&gt;='Amort. Sched.-BASE'!$R$8, L58&lt;= ($R$7+$R$8)), N58/M58, " ")</f>
        <v xml:space="preserve"> </v>
      </c>
      <c r="S58" s="21" t="str">
        <f>IF(AND(L58&gt;='Amort. Sched.-BASE'!$R$8, L58&lt;= ($R$7+$R$8)), O58/M58, " ")</f>
        <v xml:space="preserve"> </v>
      </c>
      <c r="U58" s="20">
        <f t="shared" si="2"/>
        <v>47</v>
      </c>
      <c r="V58" s="5">
        <f>IF(AND(U58&gt;='Amort. Sched.-BASE'!$AA$8, U58&lt;= ($AA$7+$AA$8)), PMT('Amort. Sched.-BASE'!$W$8/12, 'Amort. Sched.-BASE'!$AA$7, 'Amort. Sched.-BASE'!$W$7), 0)</f>
        <v>0</v>
      </c>
      <c r="W58" s="5">
        <f>IF(AND(U58&gt;='Amort. Sched.-BASE'!$AA$8, U58&lt;= ($AA$7+$AA$8)), (IPMT($W$8/12, (U58-$AA$8), $AA$7, $W$7)), 0)</f>
        <v>0</v>
      </c>
      <c r="X58" s="5">
        <f>IF(AND(U58&gt;='Amort. Sched.-BASE'!$AA$8, U58&lt;= ($AA$7+$AA$8)), (PPMT($W$8/12, (U58-$AA$8), $AA$7, $W$7)), 0)</f>
        <v>0</v>
      </c>
      <c r="Y58" s="5">
        <f>IF(CreditAmort2BASE[[#This Row],[Month]]=AA$8,W$7,0)</f>
        <v>0</v>
      </c>
      <c r="Z58" s="13">
        <f>IF(AND(U58&gt;='Amort. Sched.-BASE'!$AA$8, U58&lt;= ($AA$7+$AA$8)), Z57+X58, 0)</f>
        <v>0</v>
      </c>
      <c r="AA58" s="6" t="str">
        <f>IF(AND(U58&gt;='Amort. Sched.-BASE'!$AA$8, U58&lt;= ($AA$7+$AA$8)), W58/V58, " ")</f>
        <v xml:space="preserve"> </v>
      </c>
      <c r="AB58" s="21" t="str">
        <f>IF(AND(U58&gt;='Amort. Sched.-BASE'!$AA$8, U58&lt;= ($AA$7+$AA$8)), X58/V58, " ")</f>
        <v xml:space="preserve"> </v>
      </c>
      <c r="AD58" s="20">
        <f t="shared" si="3"/>
        <v>47</v>
      </c>
      <c r="AE58" s="5">
        <f t="shared" si="4"/>
        <v>0</v>
      </c>
      <c r="AF58" s="5">
        <f t="shared" si="5"/>
        <v>0</v>
      </c>
      <c r="AG58" s="5">
        <f t="shared" si="6"/>
        <v>0</v>
      </c>
      <c r="AH58" s="5">
        <f>IF(CreditAmort3BASE[[#This Row],[Month]]=AJ$8,AF$7,0)</f>
        <v>0</v>
      </c>
      <c r="AI58" s="13">
        <f t="shared" si="7"/>
        <v>0</v>
      </c>
      <c r="AJ58" s="6" t="str">
        <f t="shared" si="8"/>
        <v xml:space="preserve"> </v>
      </c>
      <c r="AK58" s="21" t="str">
        <f t="shared" si="9"/>
        <v xml:space="preserve"> </v>
      </c>
      <c r="AM58" s="20">
        <f t="shared" si="10"/>
        <v>47</v>
      </c>
      <c r="AN58" s="5">
        <f t="shared" si="11"/>
        <v>0</v>
      </c>
      <c r="AO58" s="5">
        <f t="shared" si="12"/>
        <v>0</v>
      </c>
      <c r="AP58" s="5">
        <f t="shared" si="13"/>
        <v>0</v>
      </c>
      <c r="AQ58" s="5">
        <f>IF(CreditAmort4BASE[[#This Row],[Month]]=AS$8,AO$7,0)</f>
        <v>0</v>
      </c>
      <c r="AR58" s="13">
        <f t="shared" si="14"/>
        <v>0</v>
      </c>
      <c r="AS58" s="6" t="str">
        <f t="shared" si="15"/>
        <v xml:space="preserve"> </v>
      </c>
      <c r="AT58" s="21" t="str">
        <f t="shared" si="16"/>
        <v xml:space="preserve"> </v>
      </c>
    </row>
    <row r="59" spans="3:46">
      <c r="C59" s="22">
        <f t="shared" si="1"/>
        <v>48</v>
      </c>
      <c r="D59" s="23">
        <f>IF(AND(C59&gt;='Amort. Sched.-BASE'!$I$8, C59&lt;= ($I$7+$I$8)), PMT('Amort. Sched.-BASE'!$E$8/12, 'Amort. Sched.-BASE'!$I$7, 'Amort. Sched.-BASE'!$E$7), 0)</f>
        <v>-1736.5864935892569</v>
      </c>
      <c r="E59" s="5">
        <f>IF(AND(C59&gt;='Amort. Sched.-BASE'!$I$8, C59&lt;= ($I$7+$I$8)), (IPMT($E$8/12, (C59-$I$8), $I$7, $E$7)), 0)</f>
        <v>-1413.277865392663</v>
      </c>
      <c r="F59" s="23">
        <f>IF(AND(C59&gt;='Amort. Sched.-BASE'!$I$8, C59&lt;= ($I$7+$I$8)), (PPMT($E$8/12, (C59-$I$8), $I$7, $E$7)), 0)</f>
        <v>-323.30862819659382</v>
      </c>
      <c r="G59" s="5">
        <f>IF(MortgageAmortBASE[[#This Row],[Month]]=I$8,E$7,0)</f>
        <v>0</v>
      </c>
      <c r="H59" s="13">
        <f>IF(AND(C59&gt;='Amort. Sched.-BASE'!$I$8, C59&lt;= ($I$7+$I$8)), H58+F59, 0)</f>
        <v>211668.37118070282</v>
      </c>
      <c r="I59" s="24">
        <f>IF(AND(C59&gt;='Amort. Sched.-BASE'!$I$8, C59&lt;= ($I$7+$I$8)), E59/D59, " ")</f>
        <v>0.81382520859737617</v>
      </c>
      <c r="J59" s="25">
        <f>IF(AND(C59&gt;='Amort. Sched.-BASE'!$I$8, C59&lt;= ($I$7+$I$8)), F59/D59, " ")</f>
        <v>0.1861747914026238</v>
      </c>
      <c r="L59" s="20">
        <f t="shared" si="0"/>
        <v>48</v>
      </c>
      <c r="M59" s="5">
        <f>IF(AND(L59&gt;='Amort. Sched.-BASE'!$R$8, L59&lt;= ($R$7+$R$8)), PMT('Amort. Sched.-BASE'!$N$8/12, 'Amort. Sched.-BASE'!$R$7, 'Amort. Sched.-BASE'!$N$7), 0)</f>
        <v>0</v>
      </c>
      <c r="N59" s="5">
        <f>IF(AND(L59&gt;='Amort. Sched.-BASE'!$R$8, L59&lt;= ($R$7+$R$8)), (IPMT($N$8/12, (L59-$R$8), $R$7, $N$7)), 0)</f>
        <v>0</v>
      </c>
      <c r="O59" s="5">
        <f>IF(AND(L59&gt;='Amort. Sched.-BASE'!$R$8, L59&lt;= ($R$7+$R$8)), (PPMT($N$8/12, (L59-$R$8), $R$7, $N$7)), 0)</f>
        <v>0</v>
      </c>
      <c r="P59" s="5">
        <f>IF(CreditAmort1BASE[[#This Row],[Month]]=R$8,N$7,0)</f>
        <v>0</v>
      </c>
      <c r="Q59" s="13">
        <f>IF(AND(L59&gt;='Amort. Sched.-BASE'!$R$8, L59&lt;= ($R$7+$R$8)), Q58+O59, 0)</f>
        <v>0</v>
      </c>
      <c r="R59" s="6" t="str">
        <f>IF(AND(L59&gt;='Amort. Sched.-BASE'!$R$8, L59&lt;= ($R$7+$R$8)), N59/M59, " ")</f>
        <v xml:space="preserve"> </v>
      </c>
      <c r="S59" s="21" t="str">
        <f>IF(AND(L59&gt;='Amort. Sched.-BASE'!$R$8, L59&lt;= ($R$7+$R$8)), O59/M59, " ")</f>
        <v xml:space="preserve"> </v>
      </c>
      <c r="U59" s="20">
        <f t="shared" si="2"/>
        <v>48</v>
      </c>
      <c r="V59" s="5">
        <f>IF(AND(U59&gt;='Amort. Sched.-BASE'!$AA$8, U59&lt;= ($AA$7+$AA$8)), PMT('Amort. Sched.-BASE'!$W$8/12, 'Amort. Sched.-BASE'!$AA$7, 'Amort. Sched.-BASE'!$W$7), 0)</f>
        <v>0</v>
      </c>
      <c r="W59" s="5">
        <f>IF(AND(U59&gt;='Amort. Sched.-BASE'!$AA$8, U59&lt;= ($AA$7+$AA$8)), (IPMT($W$8/12, (U59-$AA$8), $AA$7, $W$7)), 0)</f>
        <v>0</v>
      </c>
      <c r="X59" s="5">
        <f>IF(AND(U59&gt;='Amort. Sched.-BASE'!$AA$8, U59&lt;= ($AA$7+$AA$8)), (PPMT($W$8/12, (U59-$AA$8), $AA$7, $W$7)), 0)</f>
        <v>0</v>
      </c>
      <c r="Y59" s="5">
        <f>IF(CreditAmort2BASE[[#This Row],[Month]]=AA$8,W$7,0)</f>
        <v>0</v>
      </c>
      <c r="Z59" s="13">
        <f>IF(AND(U59&gt;='Amort. Sched.-BASE'!$AA$8, U59&lt;= ($AA$7+$AA$8)), Z58+X59, 0)</f>
        <v>0</v>
      </c>
      <c r="AA59" s="6" t="str">
        <f>IF(AND(U59&gt;='Amort. Sched.-BASE'!$AA$8, U59&lt;= ($AA$7+$AA$8)), W59/V59, " ")</f>
        <v xml:space="preserve"> </v>
      </c>
      <c r="AB59" s="21" t="str">
        <f>IF(AND(U59&gt;='Amort. Sched.-BASE'!$AA$8, U59&lt;= ($AA$7+$AA$8)), X59/V59, " ")</f>
        <v xml:space="preserve"> </v>
      </c>
      <c r="AD59" s="20">
        <f t="shared" si="3"/>
        <v>48</v>
      </c>
      <c r="AE59" s="5">
        <f t="shared" si="4"/>
        <v>0</v>
      </c>
      <c r="AF59" s="5">
        <f t="shared" si="5"/>
        <v>0</v>
      </c>
      <c r="AG59" s="5">
        <f t="shared" si="6"/>
        <v>0</v>
      </c>
      <c r="AH59" s="5">
        <f>IF(CreditAmort3BASE[[#This Row],[Month]]=AJ$8,AF$7,0)</f>
        <v>0</v>
      </c>
      <c r="AI59" s="13">
        <f t="shared" si="7"/>
        <v>0</v>
      </c>
      <c r="AJ59" s="6" t="str">
        <f t="shared" si="8"/>
        <v xml:space="preserve"> </v>
      </c>
      <c r="AK59" s="21" t="str">
        <f t="shared" si="9"/>
        <v xml:space="preserve"> </v>
      </c>
      <c r="AM59" s="20">
        <f t="shared" si="10"/>
        <v>48</v>
      </c>
      <c r="AN59" s="5">
        <f t="shared" si="11"/>
        <v>0</v>
      </c>
      <c r="AO59" s="5">
        <f t="shared" si="12"/>
        <v>0</v>
      </c>
      <c r="AP59" s="5">
        <f t="shared" si="13"/>
        <v>0</v>
      </c>
      <c r="AQ59" s="5">
        <f>IF(CreditAmort4BASE[[#This Row],[Month]]=AS$8,AO$7,0)</f>
        <v>0</v>
      </c>
      <c r="AR59" s="13">
        <f t="shared" si="14"/>
        <v>0</v>
      </c>
      <c r="AS59" s="6" t="str">
        <f t="shared" si="15"/>
        <v xml:space="preserve"> </v>
      </c>
      <c r="AT59" s="21" t="str">
        <f t="shared" si="16"/>
        <v xml:space="preserve"> </v>
      </c>
    </row>
    <row r="60" spans="3:46">
      <c r="C60" s="22">
        <f t="shared" si="1"/>
        <v>49</v>
      </c>
      <c r="D60" s="23">
        <f>IF(AND(C60&gt;='Amort. Sched.-BASE'!$I$8, C60&lt;= ($I$7+$I$8)), PMT('Amort. Sched.-BASE'!$E$8/12, 'Amort. Sched.-BASE'!$I$7, 'Amort. Sched.-BASE'!$E$7), 0)</f>
        <v>-1736.5864935892569</v>
      </c>
      <c r="E60" s="5">
        <f>IF(AND(C60&gt;='Amort. Sched.-BASE'!$I$8, C60&lt;= ($I$7+$I$8)), (IPMT($E$8/12, (C60-$I$8), $I$7, $E$7)), 0)</f>
        <v>-1411.1224745380191</v>
      </c>
      <c r="F60" s="23">
        <f>IF(AND(C60&gt;='Amort. Sched.-BASE'!$I$8, C60&lt;= ($I$7+$I$8)), (PPMT($E$8/12, (C60-$I$8), $I$7, $E$7)), 0)</f>
        <v>-325.46401905123781</v>
      </c>
      <c r="G60" s="5">
        <f>IF(MortgageAmortBASE[[#This Row],[Month]]=I$8,E$7,0)</f>
        <v>0</v>
      </c>
      <c r="H60" s="13">
        <f>IF(AND(C60&gt;='Amort. Sched.-BASE'!$I$8, C60&lt;= ($I$7+$I$8)), H59+F60, 0)</f>
        <v>211342.90716165159</v>
      </c>
      <c r="I60" s="24">
        <f>IF(AND(C60&gt;='Amort. Sched.-BASE'!$I$8, C60&lt;= ($I$7+$I$8)), E60/D60, " ")</f>
        <v>0.8125840433213587</v>
      </c>
      <c r="J60" s="25">
        <f>IF(AND(C60&gt;='Amort. Sched.-BASE'!$I$8, C60&lt;= ($I$7+$I$8)), F60/D60, " ")</f>
        <v>0.18741595667864133</v>
      </c>
      <c r="L60" s="20">
        <f t="shared" si="0"/>
        <v>49</v>
      </c>
      <c r="M60" s="5">
        <f>IF(AND(L60&gt;='Amort. Sched.-BASE'!$R$8, L60&lt;= ($R$7+$R$8)), PMT('Amort. Sched.-BASE'!$N$8/12, 'Amort. Sched.-BASE'!$R$7, 'Amort. Sched.-BASE'!$N$7), 0)</f>
        <v>0</v>
      </c>
      <c r="N60" s="5">
        <f>IF(AND(L60&gt;='Amort. Sched.-BASE'!$R$8, L60&lt;= ($R$7+$R$8)), (IPMT($N$8/12, (L60-$R$8), $R$7, $N$7)), 0)</f>
        <v>0</v>
      </c>
      <c r="O60" s="5">
        <f>IF(AND(L60&gt;='Amort. Sched.-BASE'!$R$8, L60&lt;= ($R$7+$R$8)), (PPMT($N$8/12, (L60-$R$8), $R$7, $N$7)), 0)</f>
        <v>0</v>
      </c>
      <c r="P60" s="5">
        <f>IF(CreditAmort1BASE[[#This Row],[Month]]=R$8,N$7,0)</f>
        <v>0</v>
      </c>
      <c r="Q60" s="13">
        <f>IF(AND(L60&gt;='Amort. Sched.-BASE'!$R$8, L60&lt;= ($R$7+$R$8)), Q59+O60, 0)</f>
        <v>0</v>
      </c>
      <c r="R60" s="6" t="str">
        <f>IF(AND(L60&gt;='Amort. Sched.-BASE'!$R$8, L60&lt;= ($R$7+$R$8)), N60/M60, " ")</f>
        <v xml:space="preserve"> </v>
      </c>
      <c r="S60" s="21" t="str">
        <f>IF(AND(L60&gt;='Amort. Sched.-BASE'!$R$8, L60&lt;= ($R$7+$R$8)), O60/M60, " ")</f>
        <v xml:space="preserve"> </v>
      </c>
      <c r="U60" s="20">
        <f t="shared" si="2"/>
        <v>49</v>
      </c>
      <c r="V60" s="5">
        <f>IF(AND(U60&gt;='Amort. Sched.-BASE'!$AA$8, U60&lt;= ($AA$7+$AA$8)), PMT('Amort. Sched.-BASE'!$W$8/12, 'Amort. Sched.-BASE'!$AA$7, 'Amort. Sched.-BASE'!$W$7), 0)</f>
        <v>0</v>
      </c>
      <c r="W60" s="5">
        <f>IF(AND(U60&gt;='Amort. Sched.-BASE'!$AA$8, U60&lt;= ($AA$7+$AA$8)), (IPMT($W$8/12, (U60-$AA$8), $AA$7, $W$7)), 0)</f>
        <v>0</v>
      </c>
      <c r="X60" s="5">
        <f>IF(AND(U60&gt;='Amort. Sched.-BASE'!$AA$8, U60&lt;= ($AA$7+$AA$8)), (PPMT($W$8/12, (U60-$AA$8), $AA$7, $W$7)), 0)</f>
        <v>0</v>
      </c>
      <c r="Y60" s="5">
        <f>IF(CreditAmort2BASE[[#This Row],[Month]]=AA$8,W$7,0)</f>
        <v>0</v>
      </c>
      <c r="Z60" s="13">
        <f>IF(AND(U60&gt;='Amort. Sched.-BASE'!$AA$8, U60&lt;= ($AA$7+$AA$8)), Z59+X60, 0)</f>
        <v>0</v>
      </c>
      <c r="AA60" s="6" t="str">
        <f>IF(AND(U60&gt;='Amort. Sched.-BASE'!$AA$8, U60&lt;= ($AA$7+$AA$8)), W60/V60, " ")</f>
        <v xml:space="preserve"> </v>
      </c>
      <c r="AB60" s="21" t="str">
        <f>IF(AND(U60&gt;='Amort. Sched.-BASE'!$AA$8, U60&lt;= ($AA$7+$AA$8)), X60/V60, " ")</f>
        <v xml:space="preserve"> </v>
      </c>
      <c r="AD60" s="20">
        <f t="shared" si="3"/>
        <v>49</v>
      </c>
      <c r="AE60" s="5">
        <f t="shared" si="4"/>
        <v>0</v>
      </c>
      <c r="AF60" s="5">
        <f t="shared" si="5"/>
        <v>0</v>
      </c>
      <c r="AG60" s="5">
        <f t="shared" si="6"/>
        <v>0</v>
      </c>
      <c r="AH60" s="5">
        <f>IF(CreditAmort3BASE[[#This Row],[Month]]=AJ$8,AF$7,0)</f>
        <v>0</v>
      </c>
      <c r="AI60" s="13">
        <f t="shared" si="7"/>
        <v>0</v>
      </c>
      <c r="AJ60" s="6" t="str">
        <f t="shared" si="8"/>
        <v xml:space="preserve"> </v>
      </c>
      <c r="AK60" s="21" t="str">
        <f t="shared" si="9"/>
        <v xml:space="preserve"> </v>
      </c>
      <c r="AM60" s="20">
        <f t="shared" si="10"/>
        <v>49</v>
      </c>
      <c r="AN60" s="5">
        <f t="shared" si="11"/>
        <v>0</v>
      </c>
      <c r="AO60" s="5">
        <f t="shared" si="12"/>
        <v>0</v>
      </c>
      <c r="AP60" s="5">
        <f t="shared" si="13"/>
        <v>0</v>
      </c>
      <c r="AQ60" s="5">
        <f>IF(CreditAmort4BASE[[#This Row],[Month]]=AS$8,AO$7,0)</f>
        <v>0</v>
      </c>
      <c r="AR60" s="13">
        <f t="shared" si="14"/>
        <v>0</v>
      </c>
      <c r="AS60" s="6" t="str">
        <f t="shared" si="15"/>
        <v xml:space="preserve"> </v>
      </c>
      <c r="AT60" s="21" t="str">
        <f t="shared" si="16"/>
        <v xml:space="preserve"> </v>
      </c>
    </row>
    <row r="61" spans="3:46">
      <c r="C61" s="22">
        <f t="shared" si="1"/>
        <v>50</v>
      </c>
      <c r="D61" s="23">
        <f>IF(AND(C61&gt;='Amort. Sched.-BASE'!$I$8, C61&lt;= ($I$7+$I$8)), PMT('Amort. Sched.-BASE'!$E$8/12, 'Amort. Sched.-BASE'!$I$7, 'Amort. Sched.-BASE'!$E$7), 0)</f>
        <v>-1736.5864935892569</v>
      </c>
      <c r="E61" s="5">
        <f>IF(AND(C61&gt;='Amort. Sched.-BASE'!$I$8, C61&lt;= ($I$7+$I$8)), (IPMT($E$8/12, (C61-$I$8), $I$7, $E$7)), 0)</f>
        <v>-1408.9527144110109</v>
      </c>
      <c r="F61" s="23">
        <f>IF(AND(C61&gt;='Amort. Sched.-BASE'!$I$8, C61&lt;= ($I$7+$I$8)), (PPMT($E$8/12, (C61-$I$8), $I$7, $E$7)), 0)</f>
        <v>-327.63377917824607</v>
      </c>
      <c r="G61" s="5">
        <f>IF(MortgageAmortBASE[[#This Row],[Month]]=I$8,E$7,0)</f>
        <v>0</v>
      </c>
      <c r="H61" s="13">
        <f>IF(AND(C61&gt;='Amort. Sched.-BASE'!$I$8, C61&lt;= ($I$7+$I$8)), H60+F61, 0)</f>
        <v>211015.27338247333</v>
      </c>
      <c r="I61" s="24">
        <f>IF(AND(C61&gt;='Amort. Sched.-BASE'!$I$8, C61&lt;= ($I$7+$I$8)), E61/D61, " ")</f>
        <v>0.81133460361016774</v>
      </c>
      <c r="J61" s="25">
        <f>IF(AND(C61&gt;='Amort. Sched.-BASE'!$I$8, C61&lt;= ($I$7+$I$8)), F61/D61, " ")</f>
        <v>0.18866539638983226</v>
      </c>
      <c r="L61" s="20">
        <f t="shared" si="0"/>
        <v>50</v>
      </c>
      <c r="M61" s="5">
        <f>IF(AND(L61&gt;='Amort. Sched.-BASE'!$R$8, L61&lt;= ($R$7+$R$8)), PMT('Amort. Sched.-BASE'!$N$8/12, 'Amort. Sched.-BASE'!$R$7, 'Amort. Sched.-BASE'!$N$7), 0)</f>
        <v>0</v>
      </c>
      <c r="N61" s="5">
        <f>IF(AND(L61&gt;='Amort. Sched.-BASE'!$R$8, L61&lt;= ($R$7+$R$8)), (IPMT($N$8/12, (L61-$R$8), $R$7, $N$7)), 0)</f>
        <v>0</v>
      </c>
      <c r="O61" s="5">
        <f>IF(AND(L61&gt;='Amort. Sched.-BASE'!$R$8, L61&lt;= ($R$7+$R$8)), (PPMT($N$8/12, (L61-$R$8), $R$7, $N$7)), 0)</f>
        <v>0</v>
      </c>
      <c r="P61" s="5">
        <f>IF(CreditAmort1BASE[[#This Row],[Month]]=R$8,N$7,0)</f>
        <v>0</v>
      </c>
      <c r="Q61" s="13">
        <f>IF(AND(L61&gt;='Amort. Sched.-BASE'!$R$8, L61&lt;= ($R$7+$R$8)), Q60+O61, 0)</f>
        <v>0</v>
      </c>
      <c r="R61" s="6" t="str">
        <f>IF(AND(L61&gt;='Amort. Sched.-BASE'!$R$8, L61&lt;= ($R$7+$R$8)), N61/M61, " ")</f>
        <v xml:space="preserve"> </v>
      </c>
      <c r="S61" s="21" t="str">
        <f>IF(AND(L61&gt;='Amort. Sched.-BASE'!$R$8, L61&lt;= ($R$7+$R$8)), O61/M61, " ")</f>
        <v xml:space="preserve"> </v>
      </c>
      <c r="U61" s="20">
        <f t="shared" si="2"/>
        <v>50</v>
      </c>
      <c r="V61" s="5">
        <f>IF(AND(U61&gt;='Amort. Sched.-BASE'!$AA$8, U61&lt;= ($AA$7+$AA$8)), PMT('Amort. Sched.-BASE'!$W$8/12, 'Amort. Sched.-BASE'!$AA$7, 'Amort. Sched.-BASE'!$W$7), 0)</f>
        <v>0</v>
      </c>
      <c r="W61" s="5">
        <f>IF(AND(U61&gt;='Amort. Sched.-BASE'!$AA$8, U61&lt;= ($AA$7+$AA$8)), (IPMT($W$8/12, (U61-$AA$8), $AA$7, $W$7)), 0)</f>
        <v>0</v>
      </c>
      <c r="X61" s="5">
        <f>IF(AND(U61&gt;='Amort. Sched.-BASE'!$AA$8, U61&lt;= ($AA$7+$AA$8)), (PPMT($W$8/12, (U61-$AA$8), $AA$7, $W$7)), 0)</f>
        <v>0</v>
      </c>
      <c r="Y61" s="5">
        <f>IF(CreditAmort2BASE[[#This Row],[Month]]=AA$8,W$7,0)</f>
        <v>0</v>
      </c>
      <c r="Z61" s="13">
        <f>IF(AND(U61&gt;='Amort. Sched.-BASE'!$AA$8, U61&lt;= ($AA$7+$AA$8)), Z60+X61, 0)</f>
        <v>0</v>
      </c>
      <c r="AA61" s="6" t="str">
        <f>IF(AND(U61&gt;='Amort. Sched.-BASE'!$AA$8, U61&lt;= ($AA$7+$AA$8)), W61/V61, " ")</f>
        <v xml:space="preserve"> </v>
      </c>
      <c r="AB61" s="21" t="str">
        <f>IF(AND(U61&gt;='Amort. Sched.-BASE'!$AA$8, U61&lt;= ($AA$7+$AA$8)), X61/V61, " ")</f>
        <v xml:space="preserve"> </v>
      </c>
      <c r="AD61" s="20">
        <f t="shared" si="3"/>
        <v>50</v>
      </c>
      <c r="AE61" s="5">
        <f t="shared" si="4"/>
        <v>0</v>
      </c>
      <c r="AF61" s="5">
        <f t="shared" si="5"/>
        <v>0</v>
      </c>
      <c r="AG61" s="5">
        <f t="shared" si="6"/>
        <v>0</v>
      </c>
      <c r="AH61" s="5">
        <f>IF(CreditAmort3BASE[[#This Row],[Month]]=AJ$8,AF$7,0)</f>
        <v>0</v>
      </c>
      <c r="AI61" s="13">
        <f t="shared" si="7"/>
        <v>0</v>
      </c>
      <c r="AJ61" s="6" t="str">
        <f t="shared" si="8"/>
        <v xml:space="preserve"> </v>
      </c>
      <c r="AK61" s="21" t="str">
        <f t="shared" si="9"/>
        <v xml:space="preserve"> </v>
      </c>
      <c r="AM61" s="20">
        <f t="shared" si="10"/>
        <v>50</v>
      </c>
      <c r="AN61" s="5">
        <f t="shared" si="11"/>
        <v>0</v>
      </c>
      <c r="AO61" s="5">
        <f t="shared" si="12"/>
        <v>0</v>
      </c>
      <c r="AP61" s="5">
        <f t="shared" si="13"/>
        <v>0</v>
      </c>
      <c r="AQ61" s="5">
        <f>IF(CreditAmort4BASE[[#This Row],[Month]]=AS$8,AO$7,0)</f>
        <v>0</v>
      </c>
      <c r="AR61" s="13">
        <f t="shared" si="14"/>
        <v>0</v>
      </c>
      <c r="AS61" s="6" t="str">
        <f t="shared" si="15"/>
        <v xml:space="preserve"> </v>
      </c>
      <c r="AT61" s="21" t="str">
        <f t="shared" si="16"/>
        <v xml:space="preserve"> </v>
      </c>
    </row>
    <row r="62" spans="3:46">
      <c r="C62" s="22">
        <f t="shared" si="1"/>
        <v>51</v>
      </c>
      <c r="D62" s="23">
        <f>IF(AND(C62&gt;='Amort. Sched.-BASE'!$I$8, C62&lt;= ($I$7+$I$8)), PMT('Amort. Sched.-BASE'!$E$8/12, 'Amort. Sched.-BASE'!$I$7, 'Amort. Sched.-BASE'!$E$7), 0)</f>
        <v>-1736.5864935892569</v>
      </c>
      <c r="E62" s="5">
        <f>IF(AND(C62&gt;='Amort. Sched.-BASE'!$I$8, C62&lt;= ($I$7+$I$8)), (IPMT($E$8/12, (C62-$I$8), $I$7, $E$7)), 0)</f>
        <v>-1406.7684892164891</v>
      </c>
      <c r="F62" s="23">
        <f>IF(AND(C62&gt;='Amort. Sched.-BASE'!$I$8, C62&lt;= ($I$7+$I$8)), (PPMT($E$8/12, (C62-$I$8), $I$7, $E$7)), 0)</f>
        <v>-329.81800437276775</v>
      </c>
      <c r="G62" s="5">
        <f>IF(MortgageAmortBASE[[#This Row],[Month]]=I$8,E$7,0)</f>
        <v>0</v>
      </c>
      <c r="H62" s="13">
        <f>IF(AND(C62&gt;='Amort. Sched.-BASE'!$I$8, C62&lt;= ($I$7+$I$8)), H61+F62, 0)</f>
        <v>210685.45537810057</v>
      </c>
      <c r="I62" s="24">
        <f>IF(AND(C62&gt;='Amort. Sched.-BASE'!$I$8, C62&lt;= ($I$7+$I$8)), E62/D62, " ")</f>
        <v>0.81007683430090216</v>
      </c>
      <c r="J62" s="25">
        <f>IF(AND(C62&gt;='Amort. Sched.-BASE'!$I$8, C62&lt;= ($I$7+$I$8)), F62/D62, " ")</f>
        <v>0.18992316569909784</v>
      </c>
      <c r="L62" s="20">
        <f t="shared" si="0"/>
        <v>51</v>
      </c>
      <c r="M62" s="5">
        <f>IF(AND(L62&gt;='Amort. Sched.-BASE'!$R$8, L62&lt;= ($R$7+$R$8)), PMT('Amort. Sched.-BASE'!$N$8/12, 'Amort. Sched.-BASE'!$R$7, 'Amort. Sched.-BASE'!$N$7), 0)</f>
        <v>0</v>
      </c>
      <c r="N62" s="5">
        <f>IF(AND(L62&gt;='Amort. Sched.-BASE'!$R$8, L62&lt;= ($R$7+$R$8)), (IPMT($N$8/12, (L62-$R$8), $R$7, $N$7)), 0)</f>
        <v>0</v>
      </c>
      <c r="O62" s="5">
        <f>IF(AND(L62&gt;='Amort. Sched.-BASE'!$R$8, L62&lt;= ($R$7+$R$8)), (PPMT($N$8/12, (L62-$R$8), $R$7, $N$7)), 0)</f>
        <v>0</v>
      </c>
      <c r="P62" s="5">
        <f>IF(CreditAmort1BASE[[#This Row],[Month]]=R$8,N$7,0)</f>
        <v>0</v>
      </c>
      <c r="Q62" s="13">
        <f>IF(AND(L62&gt;='Amort. Sched.-BASE'!$R$8, L62&lt;= ($R$7+$R$8)), Q61+O62, 0)</f>
        <v>0</v>
      </c>
      <c r="R62" s="6" t="str">
        <f>IF(AND(L62&gt;='Amort. Sched.-BASE'!$R$8, L62&lt;= ($R$7+$R$8)), N62/M62, " ")</f>
        <v xml:space="preserve"> </v>
      </c>
      <c r="S62" s="21" t="str">
        <f>IF(AND(L62&gt;='Amort. Sched.-BASE'!$R$8, L62&lt;= ($R$7+$R$8)), O62/M62, " ")</f>
        <v xml:space="preserve"> </v>
      </c>
      <c r="U62" s="20">
        <f t="shared" si="2"/>
        <v>51</v>
      </c>
      <c r="V62" s="5">
        <f>IF(AND(U62&gt;='Amort. Sched.-BASE'!$AA$8, U62&lt;= ($AA$7+$AA$8)), PMT('Amort. Sched.-BASE'!$W$8/12, 'Amort. Sched.-BASE'!$AA$7, 'Amort. Sched.-BASE'!$W$7), 0)</f>
        <v>0</v>
      </c>
      <c r="W62" s="5">
        <f>IF(AND(U62&gt;='Amort. Sched.-BASE'!$AA$8, U62&lt;= ($AA$7+$AA$8)), (IPMT($W$8/12, (U62-$AA$8), $AA$7, $W$7)), 0)</f>
        <v>0</v>
      </c>
      <c r="X62" s="5">
        <f>IF(AND(U62&gt;='Amort. Sched.-BASE'!$AA$8, U62&lt;= ($AA$7+$AA$8)), (PPMT($W$8/12, (U62-$AA$8), $AA$7, $W$7)), 0)</f>
        <v>0</v>
      </c>
      <c r="Y62" s="5">
        <f>IF(CreditAmort2BASE[[#This Row],[Month]]=AA$8,W$7,0)</f>
        <v>0</v>
      </c>
      <c r="Z62" s="13">
        <f>IF(AND(U62&gt;='Amort. Sched.-BASE'!$AA$8, U62&lt;= ($AA$7+$AA$8)), Z61+X62, 0)</f>
        <v>0</v>
      </c>
      <c r="AA62" s="6" t="str">
        <f>IF(AND(U62&gt;='Amort. Sched.-BASE'!$AA$8, U62&lt;= ($AA$7+$AA$8)), W62/V62, " ")</f>
        <v xml:space="preserve"> </v>
      </c>
      <c r="AB62" s="21" t="str">
        <f>IF(AND(U62&gt;='Amort. Sched.-BASE'!$AA$8, U62&lt;= ($AA$7+$AA$8)), X62/V62, " ")</f>
        <v xml:space="preserve"> </v>
      </c>
      <c r="AD62" s="20">
        <f t="shared" si="3"/>
        <v>51</v>
      </c>
      <c r="AE62" s="5">
        <f t="shared" si="4"/>
        <v>0</v>
      </c>
      <c r="AF62" s="5">
        <f t="shared" si="5"/>
        <v>0</v>
      </c>
      <c r="AG62" s="5">
        <f t="shared" si="6"/>
        <v>0</v>
      </c>
      <c r="AH62" s="5">
        <f>IF(CreditAmort3BASE[[#This Row],[Month]]=AJ$8,AF$7,0)</f>
        <v>0</v>
      </c>
      <c r="AI62" s="13">
        <f t="shared" si="7"/>
        <v>0</v>
      </c>
      <c r="AJ62" s="6" t="str">
        <f t="shared" si="8"/>
        <v xml:space="preserve"> </v>
      </c>
      <c r="AK62" s="21" t="str">
        <f t="shared" si="9"/>
        <v xml:space="preserve"> </v>
      </c>
      <c r="AM62" s="20">
        <f t="shared" si="10"/>
        <v>51</v>
      </c>
      <c r="AN62" s="5">
        <f t="shared" si="11"/>
        <v>0</v>
      </c>
      <c r="AO62" s="5">
        <f t="shared" si="12"/>
        <v>0</v>
      </c>
      <c r="AP62" s="5">
        <f t="shared" si="13"/>
        <v>0</v>
      </c>
      <c r="AQ62" s="5">
        <f>IF(CreditAmort4BASE[[#This Row],[Month]]=AS$8,AO$7,0)</f>
        <v>0</v>
      </c>
      <c r="AR62" s="13">
        <f t="shared" si="14"/>
        <v>0</v>
      </c>
      <c r="AS62" s="6" t="str">
        <f t="shared" si="15"/>
        <v xml:space="preserve"> </v>
      </c>
      <c r="AT62" s="21" t="str">
        <f t="shared" si="16"/>
        <v xml:space="preserve"> </v>
      </c>
    </row>
    <row r="63" spans="3:46">
      <c r="C63" s="22">
        <f t="shared" si="1"/>
        <v>52</v>
      </c>
      <c r="D63" s="23">
        <f>IF(AND(C63&gt;='Amort. Sched.-BASE'!$I$8, C63&lt;= ($I$7+$I$8)), PMT('Amort. Sched.-BASE'!$E$8/12, 'Amort. Sched.-BASE'!$I$7, 'Amort. Sched.-BASE'!$E$7), 0)</f>
        <v>-1736.5864935892569</v>
      </c>
      <c r="E63" s="5">
        <f>IF(AND(C63&gt;='Amort. Sched.-BASE'!$I$8, C63&lt;= ($I$7+$I$8)), (IPMT($E$8/12, (C63-$I$8), $I$7, $E$7)), 0)</f>
        <v>-1404.5697025206707</v>
      </c>
      <c r="F63" s="23">
        <f>IF(AND(C63&gt;='Amort. Sched.-BASE'!$I$8, C63&lt;= ($I$7+$I$8)), (PPMT($E$8/12, (C63-$I$8), $I$7, $E$7)), 0)</f>
        <v>-332.01679106858614</v>
      </c>
      <c r="G63" s="5">
        <f>IF(MortgageAmortBASE[[#This Row],[Month]]=I$8,E$7,0)</f>
        <v>0</v>
      </c>
      <c r="H63" s="13">
        <f>IF(AND(C63&gt;='Amort. Sched.-BASE'!$I$8, C63&lt;= ($I$7+$I$8)), H62+F63, 0)</f>
        <v>210353.43858703197</v>
      </c>
      <c r="I63" s="24">
        <f>IF(AND(C63&gt;='Amort. Sched.-BASE'!$I$8, C63&lt;= ($I$7+$I$8)), E63/D63, " ")</f>
        <v>0.80881067986290822</v>
      </c>
      <c r="J63" s="25">
        <f>IF(AND(C63&gt;='Amort. Sched.-BASE'!$I$8, C63&lt;= ($I$7+$I$8)), F63/D63, " ")</f>
        <v>0.19118932013709181</v>
      </c>
      <c r="L63" s="20">
        <f t="shared" si="0"/>
        <v>52</v>
      </c>
      <c r="M63" s="5">
        <f>IF(AND(L63&gt;='Amort. Sched.-BASE'!$R$8, L63&lt;= ($R$7+$R$8)), PMT('Amort. Sched.-BASE'!$N$8/12, 'Amort. Sched.-BASE'!$R$7, 'Amort. Sched.-BASE'!$N$7), 0)</f>
        <v>0</v>
      </c>
      <c r="N63" s="5">
        <f>IF(AND(L63&gt;='Amort. Sched.-BASE'!$R$8, L63&lt;= ($R$7+$R$8)), (IPMT($N$8/12, (L63-$R$8), $R$7, $N$7)), 0)</f>
        <v>0</v>
      </c>
      <c r="O63" s="5">
        <f>IF(AND(L63&gt;='Amort. Sched.-BASE'!$R$8, L63&lt;= ($R$7+$R$8)), (PPMT($N$8/12, (L63-$R$8), $R$7, $N$7)), 0)</f>
        <v>0</v>
      </c>
      <c r="P63" s="5">
        <f>IF(CreditAmort1BASE[[#This Row],[Month]]=R$8,N$7,0)</f>
        <v>0</v>
      </c>
      <c r="Q63" s="13">
        <f>IF(AND(L63&gt;='Amort. Sched.-BASE'!$R$8, L63&lt;= ($R$7+$R$8)), Q62+O63, 0)</f>
        <v>0</v>
      </c>
      <c r="R63" s="6" t="str">
        <f>IF(AND(L63&gt;='Amort. Sched.-BASE'!$R$8, L63&lt;= ($R$7+$R$8)), N63/M63, " ")</f>
        <v xml:space="preserve"> </v>
      </c>
      <c r="S63" s="21" t="str">
        <f>IF(AND(L63&gt;='Amort. Sched.-BASE'!$R$8, L63&lt;= ($R$7+$R$8)), O63/M63, " ")</f>
        <v xml:space="preserve"> </v>
      </c>
      <c r="U63" s="20">
        <f t="shared" si="2"/>
        <v>52</v>
      </c>
      <c r="V63" s="5">
        <f>IF(AND(U63&gt;='Amort. Sched.-BASE'!$AA$8, U63&lt;= ($AA$7+$AA$8)), PMT('Amort. Sched.-BASE'!$W$8/12, 'Amort. Sched.-BASE'!$AA$7, 'Amort. Sched.-BASE'!$W$7), 0)</f>
        <v>0</v>
      </c>
      <c r="W63" s="5">
        <f>IF(AND(U63&gt;='Amort. Sched.-BASE'!$AA$8, U63&lt;= ($AA$7+$AA$8)), (IPMT($W$8/12, (U63-$AA$8), $AA$7, $W$7)), 0)</f>
        <v>0</v>
      </c>
      <c r="X63" s="5">
        <f>IF(AND(U63&gt;='Amort. Sched.-BASE'!$AA$8, U63&lt;= ($AA$7+$AA$8)), (PPMT($W$8/12, (U63-$AA$8), $AA$7, $W$7)), 0)</f>
        <v>0</v>
      </c>
      <c r="Y63" s="5">
        <f>IF(CreditAmort2BASE[[#This Row],[Month]]=AA$8,W$7,0)</f>
        <v>0</v>
      </c>
      <c r="Z63" s="13">
        <f>IF(AND(U63&gt;='Amort. Sched.-BASE'!$AA$8, U63&lt;= ($AA$7+$AA$8)), Z62+X63, 0)</f>
        <v>0</v>
      </c>
      <c r="AA63" s="6" t="str">
        <f>IF(AND(U63&gt;='Amort. Sched.-BASE'!$AA$8, U63&lt;= ($AA$7+$AA$8)), W63/V63, " ")</f>
        <v xml:space="preserve"> </v>
      </c>
      <c r="AB63" s="21" t="str">
        <f>IF(AND(U63&gt;='Amort. Sched.-BASE'!$AA$8, U63&lt;= ($AA$7+$AA$8)), X63/V63, " ")</f>
        <v xml:space="preserve"> </v>
      </c>
      <c r="AD63" s="20">
        <f t="shared" si="3"/>
        <v>52</v>
      </c>
      <c r="AE63" s="5">
        <f t="shared" si="4"/>
        <v>0</v>
      </c>
      <c r="AF63" s="5">
        <f t="shared" si="5"/>
        <v>0</v>
      </c>
      <c r="AG63" s="5">
        <f t="shared" si="6"/>
        <v>0</v>
      </c>
      <c r="AH63" s="5">
        <f>IF(CreditAmort3BASE[[#This Row],[Month]]=AJ$8,AF$7,0)</f>
        <v>0</v>
      </c>
      <c r="AI63" s="13">
        <f t="shared" si="7"/>
        <v>0</v>
      </c>
      <c r="AJ63" s="6" t="str">
        <f t="shared" si="8"/>
        <v xml:space="preserve"> </v>
      </c>
      <c r="AK63" s="21" t="str">
        <f t="shared" si="9"/>
        <v xml:space="preserve"> </v>
      </c>
      <c r="AM63" s="20">
        <f t="shared" si="10"/>
        <v>52</v>
      </c>
      <c r="AN63" s="5">
        <f t="shared" si="11"/>
        <v>0</v>
      </c>
      <c r="AO63" s="5">
        <f t="shared" si="12"/>
        <v>0</v>
      </c>
      <c r="AP63" s="5">
        <f t="shared" si="13"/>
        <v>0</v>
      </c>
      <c r="AQ63" s="5">
        <f>IF(CreditAmort4BASE[[#This Row],[Month]]=AS$8,AO$7,0)</f>
        <v>0</v>
      </c>
      <c r="AR63" s="13">
        <f t="shared" si="14"/>
        <v>0</v>
      </c>
      <c r="AS63" s="6" t="str">
        <f t="shared" si="15"/>
        <v xml:space="preserve"> </v>
      </c>
      <c r="AT63" s="21" t="str">
        <f t="shared" si="16"/>
        <v xml:space="preserve"> </v>
      </c>
    </row>
    <row r="64" spans="3:46">
      <c r="C64" s="22">
        <f t="shared" si="1"/>
        <v>53</v>
      </c>
      <c r="D64" s="23">
        <f>IF(AND(C64&gt;='Amort. Sched.-BASE'!$I$8, C64&lt;= ($I$7+$I$8)), PMT('Amort. Sched.-BASE'!$E$8/12, 'Amort. Sched.-BASE'!$I$7, 'Amort. Sched.-BASE'!$E$7), 0)</f>
        <v>-1736.5864935892569</v>
      </c>
      <c r="E64" s="5">
        <f>IF(AND(C64&gt;='Amort. Sched.-BASE'!$I$8, C64&lt;= ($I$7+$I$8)), (IPMT($E$8/12, (C64-$I$8), $I$7, $E$7)), 0)</f>
        <v>-1402.3562572468802</v>
      </c>
      <c r="F64" s="23">
        <f>IF(AND(C64&gt;='Amort. Sched.-BASE'!$I$8, C64&lt;= ($I$7+$I$8)), (PPMT($E$8/12, (C64-$I$8), $I$7, $E$7)), 0)</f>
        <v>-334.23023634237671</v>
      </c>
      <c r="G64" s="5">
        <f>IF(MortgageAmortBASE[[#This Row],[Month]]=I$8,E$7,0)</f>
        <v>0</v>
      </c>
      <c r="H64" s="13">
        <f>IF(AND(C64&gt;='Amort. Sched.-BASE'!$I$8, C64&lt;= ($I$7+$I$8)), H63+F64, 0)</f>
        <v>210019.20835068959</v>
      </c>
      <c r="I64" s="24">
        <f>IF(AND(C64&gt;='Amort. Sched.-BASE'!$I$8, C64&lt;= ($I$7+$I$8)), E64/D64, " ")</f>
        <v>0.80753608439532765</v>
      </c>
      <c r="J64" s="25">
        <f>IF(AND(C64&gt;='Amort. Sched.-BASE'!$I$8, C64&lt;= ($I$7+$I$8)), F64/D64, " ")</f>
        <v>0.19246391560467241</v>
      </c>
      <c r="L64" s="20">
        <f t="shared" si="0"/>
        <v>53</v>
      </c>
      <c r="M64" s="5">
        <f>IF(AND(L64&gt;='Amort. Sched.-BASE'!$R$8, L64&lt;= ($R$7+$R$8)), PMT('Amort. Sched.-BASE'!$N$8/12, 'Amort. Sched.-BASE'!$R$7, 'Amort. Sched.-BASE'!$N$7), 0)</f>
        <v>0</v>
      </c>
      <c r="N64" s="5">
        <f>IF(AND(L64&gt;='Amort. Sched.-BASE'!$R$8, L64&lt;= ($R$7+$R$8)), (IPMT($N$8/12, (L64-$R$8), $R$7, $N$7)), 0)</f>
        <v>0</v>
      </c>
      <c r="O64" s="5">
        <f>IF(AND(L64&gt;='Amort. Sched.-BASE'!$R$8, L64&lt;= ($R$7+$R$8)), (PPMT($N$8/12, (L64-$R$8), $R$7, $N$7)), 0)</f>
        <v>0</v>
      </c>
      <c r="P64" s="5">
        <f>IF(CreditAmort1BASE[[#This Row],[Month]]=R$8,N$7,0)</f>
        <v>0</v>
      </c>
      <c r="Q64" s="13">
        <f>IF(AND(L64&gt;='Amort. Sched.-BASE'!$R$8, L64&lt;= ($R$7+$R$8)), Q63+O64, 0)</f>
        <v>0</v>
      </c>
      <c r="R64" s="6" t="str">
        <f>IF(AND(L64&gt;='Amort. Sched.-BASE'!$R$8, L64&lt;= ($R$7+$R$8)), N64/M64, " ")</f>
        <v xml:space="preserve"> </v>
      </c>
      <c r="S64" s="21" t="str">
        <f>IF(AND(L64&gt;='Amort. Sched.-BASE'!$R$8, L64&lt;= ($R$7+$R$8)), O64/M64, " ")</f>
        <v xml:space="preserve"> </v>
      </c>
      <c r="U64" s="20">
        <f t="shared" si="2"/>
        <v>53</v>
      </c>
      <c r="V64" s="5">
        <f>IF(AND(U64&gt;='Amort. Sched.-BASE'!$AA$8, U64&lt;= ($AA$7+$AA$8)), PMT('Amort. Sched.-BASE'!$W$8/12, 'Amort. Sched.-BASE'!$AA$7, 'Amort. Sched.-BASE'!$W$7), 0)</f>
        <v>0</v>
      </c>
      <c r="W64" s="5">
        <f>IF(AND(U64&gt;='Amort. Sched.-BASE'!$AA$8, U64&lt;= ($AA$7+$AA$8)), (IPMT($W$8/12, (U64-$AA$8), $AA$7, $W$7)), 0)</f>
        <v>0</v>
      </c>
      <c r="X64" s="5">
        <f>IF(AND(U64&gt;='Amort. Sched.-BASE'!$AA$8, U64&lt;= ($AA$7+$AA$8)), (PPMT($W$8/12, (U64-$AA$8), $AA$7, $W$7)), 0)</f>
        <v>0</v>
      </c>
      <c r="Y64" s="5">
        <f>IF(CreditAmort2BASE[[#This Row],[Month]]=AA$8,W$7,0)</f>
        <v>0</v>
      </c>
      <c r="Z64" s="13">
        <f>IF(AND(U64&gt;='Amort. Sched.-BASE'!$AA$8, U64&lt;= ($AA$7+$AA$8)), Z63+X64, 0)</f>
        <v>0</v>
      </c>
      <c r="AA64" s="6" t="str">
        <f>IF(AND(U64&gt;='Amort. Sched.-BASE'!$AA$8, U64&lt;= ($AA$7+$AA$8)), W64/V64, " ")</f>
        <v xml:space="preserve"> </v>
      </c>
      <c r="AB64" s="21" t="str">
        <f>IF(AND(U64&gt;='Amort. Sched.-BASE'!$AA$8, U64&lt;= ($AA$7+$AA$8)), X64/V64, " ")</f>
        <v xml:space="preserve"> </v>
      </c>
      <c r="AD64" s="20">
        <f t="shared" si="3"/>
        <v>53</v>
      </c>
      <c r="AE64" s="5">
        <f t="shared" si="4"/>
        <v>0</v>
      </c>
      <c r="AF64" s="5">
        <f t="shared" si="5"/>
        <v>0</v>
      </c>
      <c r="AG64" s="5">
        <f t="shared" si="6"/>
        <v>0</v>
      </c>
      <c r="AH64" s="5">
        <f>IF(CreditAmort3BASE[[#This Row],[Month]]=AJ$8,AF$7,0)</f>
        <v>0</v>
      </c>
      <c r="AI64" s="13">
        <f t="shared" si="7"/>
        <v>0</v>
      </c>
      <c r="AJ64" s="6" t="str">
        <f t="shared" si="8"/>
        <v xml:space="preserve"> </v>
      </c>
      <c r="AK64" s="21" t="str">
        <f t="shared" si="9"/>
        <v xml:space="preserve"> </v>
      </c>
      <c r="AM64" s="20">
        <f t="shared" si="10"/>
        <v>53</v>
      </c>
      <c r="AN64" s="5">
        <f t="shared" si="11"/>
        <v>0</v>
      </c>
      <c r="AO64" s="5">
        <f t="shared" si="12"/>
        <v>0</v>
      </c>
      <c r="AP64" s="5">
        <f t="shared" si="13"/>
        <v>0</v>
      </c>
      <c r="AQ64" s="5">
        <f>IF(CreditAmort4BASE[[#This Row],[Month]]=AS$8,AO$7,0)</f>
        <v>0</v>
      </c>
      <c r="AR64" s="13">
        <f t="shared" si="14"/>
        <v>0</v>
      </c>
      <c r="AS64" s="6" t="str">
        <f t="shared" si="15"/>
        <v xml:space="preserve"> </v>
      </c>
      <c r="AT64" s="21" t="str">
        <f t="shared" si="16"/>
        <v xml:space="preserve"> </v>
      </c>
    </row>
    <row r="65" spans="3:46">
      <c r="C65" s="22">
        <f t="shared" si="1"/>
        <v>54</v>
      </c>
      <c r="D65" s="23">
        <f>IF(AND(C65&gt;='Amort. Sched.-BASE'!$I$8, C65&lt;= ($I$7+$I$8)), PMT('Amort. Sched.-BASE'!$E$8/12, 'Amort. Sched.-BASE'!$I$7, 'Amort. Sched.-BASE'!$E$7), 0)</f>
        <v>-1736.5864935892569</v>
      </c>
      <c r="E65" s="5">
        <f>IF(AND(C65&gt;='Amort. Sched.-BASE'!$I$8, C65&lt;= ($I$7+$I$8)), (IPMT($E$8/12, (C65-$I$8), $I$7, $E$7)), 0)</f>
        <v>-1400.1280556712643</v>
      </c>
      <c r="F65" s="23">
        <f>IF(AND(C65&gt;='Amort. Sched.-BASE'!$I$8, C65&lt;= ($I$7+$I$8)), (PPMT($E$8/12, (C65-$I$8), $I$7, $E$7)), 0)</f>
        <v>-336.45843791799251</v>
      </c>
      <c r="G65" s="5">
        <f>IF(MortgageAmortBASE[[#This Row],[Month]]=I$8,E$7,0)</f>
        <v>0</v>
      </c>
      <c r="H65" s="13">
        <f>IF(AND(C65&gt;='Amort. Sched.-BASE'!$I$8, C65&lt;= ($I$7+$I$8)), H64+F65, 0)</f>
        <v>209682.7499127716</v>
      </c>
      <c r="I65" s="24">
        <f>IF(AND(C65&gt;='Amort. Sched.-BASE'!$I$8, C65&lt;= ($I$7+$I$8)), E65/D65, " ")</f>
        <v>0.80625299162462982</v>
      </c>
      <c r="J65" s="25">
        <f>IF(AND(C65&gt;='Amort. Sched.-BASE'!$I$8, C65&lt;= ($I$7+$I$8)), F65/D65, " ")</f>
        <v>0.19374700837537021</v>
      </c>
      <c r="L65" s="20">
        <f t="shared" si="0"/>
        <v>54</v>
      </c>
      <c r="M65" s="5">
        <f>IF(AND(L65&gt;='Amort. Sched.-BASE'!$R$8, L65&lt;= ($R$7+$R$8)), PMT('Amort. Sched.-BASE'!$N$8/12, 'Amort. Sched.-BASE'!$R$7, 'Amort. Sched.-BASE'!$N$7), 0)</f>
        <v>0</v>
      </c>
      <c r="N65" s="5">
        <f>IF(AND(L65&gt;='Amort. Sched.-BASE'!$R$8, L65&lt;= ($R$7+$R$8)), (IPMT($N$8/12, (L65-$R$8), $R$7, $N$7)), 0)</f>
        <v>0</v>
      </c>
      <c r="O65" s="5">
        <f>IF(AND(L65&gt;='Amort. Sched.-BASE'!$R$8, L65&lt;= ($R$7+$R$8)), (PPMT($N$8/12, (L65-$R$8), $R$7, $N$7)), 0)</f>
        <v>0</v>
      </c>
      <c r="P65" s="5">
        <f>IF(CreditAmort1BASE[[#This Row],[Month]]=R$8,N$7,0)</f>
        <v>0</v>
      </c>
      <c r="Q65" s="13">
        <f>IF(AND(L65&gt;='Amort. Sched.-BASE'!$R$8, L65&lt;= ($R$7+$R$8)), Q64+O65, 0)</f>
        <v>0</v>
      </c>
      <c r="R65" s="6" t="str">
        <f>IF(AND(L65&gt;='Amort. Sched.-BASE'!$R$8, L65&lt;= ($R$7+$R$8)), N65/M65, " ")</f>
        <v xml:space="preserve"> </v>
      </c>
      <c r="S65" s="21" t="str">
        <f>IF(AND(L65&gt;='Amort. Sched.-BASE'!$R$8, L65&lt;= ($R$7+$R$8)), O65/M65, " ")</f>
        <v xml:space="preserve"> </v>
      </c>
      <c r="U65" s="20">
        <f t="shared" si="2"/>
        <v>54</v>
      </c>
      <c r="V65" s="5">
        <f>IF(AND(U65&gt;='Amort. Sched.-BASE'!$AA$8, U65&lt;= ($AA$7+$AA$8)), PMT('Amort. Sched.-BASE'!$W$8/12, 'Amort. Sched.-BASE'!$AA$7, 'Amort. Sched.-BASE'!$W$7), 0)</f>
        <v>0</v>
      </c>
      <c r="W65" s="5">
        <f>IF(AND(U65&gt;='Amort. Sched.-BASE'!$AA$8, U65&lt;= ($AA$7+$AA$8)), (IPMT($W$8/12, (U65-$AA$8), $AA$7, $W$7)), 0)</f>
        <v>0</v>
      </c>
      <c r="X65" s="5">
        <f>IF(AND(U65&gt;='Amort. Sched.-BASE'!$AA$8, U65&lt;= ($AA$7+$AA$8)), (PPMT($W$8/12, (U65-$AA$8), $AA$7, $W$7)), 0)</f>
        <v>0</v>
      </c>
      <c r="Y65" s="5">
        <f>IF(CreditAmort2BASE[[#This Row],[Month]]=AA$8,W$7,0)</f>
        <v>0</v>
      </c>
      <c r="Z65" s="13">
        <f>IF(AND(U65&gt;='Amort. Sched.-BASE'!$AA$8, U65&lt;= ($AA$7+$AA$8)), Z64+X65, 0)</f>
        <v>0</v>
      </c>
      <c r="AA65" s="6" t="str">
        <f>IF(AND(U65&gt;='Amort. Sched.-BASE'!$AA$8, U65&lt;= ($AA$7+$AA$8)), W65/V65, " ")</f>
        <v xml:space="preserve"> </v>
      </c>
      <c r="AB65" s="21" t="str">
        <f>IF(AND(U65&gt;='Amort. Sched.-BASE'!$AA$8, U65&lt;= ($AA$7+$AA$8)), X65/V65, " ")</f>
        <v xml:space="preserve"> </v>
      </c>
      <c r="AD65" s="20">
        <f t="shared" si="3"/>
        <v>54</v>
      </c>
      <c r="AE65" s="5">
        <f t="shared" si="4"/>
        <v>0</v>
      </c>
      <c r="AF65" s="5">
        <f t="shared" si="5"/>
        <v>0</v>
      </c>
      <c r="AG65" s="5">
        <f t="shared" si="6"/>
        <v>0</v>
      </c>
      <c r="AH65" s="5">
        <f>IF(CreditAmort3BASE[[#This Row],[Month]]=AJ$8,AF$7,0)</f>
        <v>0</v>
      </c>
      <c r="AI65" s="13">
        <f t="shared" si="7"/>
        <v>0</v>
      </c>
      <c r="AJ65" s="6" t="str">
        <f t="shared" si="8"/>
        <v xml:space="preserve"> </v>
      </c>
      <c r="AK65" s="21" t="str">
        <f t="shared" si="9"/>
        <v xml:space="preserve"> </v>
      </c>
      <c r="AM65" s="20">
        <f t="shared" si="10"/>
        <v>54</v>
      </c>
      <c r="AN65" s="5">
        <f t="shared" si="11"/>
        <v>0</v>
      </c>
      <c r="AO65" s="5">
        <f t="shared" si="12"/>
        <v>0</v>
      </c>
      <c r="AP65" s="5">
        <f t="shared" si="13"/>
        <v>0</v>
      </c>
      <c r="AQ65" s="5">
        <f>IF(CreditAmort4BASE[[#This Row],[Month]]=AS$8,AO$7,0)</f>
        <v>0</v>
      </c>
      <c r="AR65" s="13">
        <f t="shared" si="14"/>
        <v>0</v>
      </c>
      <c r="AS65" s="6" t="str">
        <f t="shared" si="15"/>
        <v xml:space="preserve"> </v>
      </c>
      <c r="AT65" s="21" t="str">
        <f t="shared" si="16"/>
        <v xml:space="preserve"> </v>
      </c>
    </row>
    <row r="66" spans="3:46">
      <c r="C66" s="22">
        <f t="shared" si="1"/>
        <v>55</v>
      </c>
      <c r="D66" s="23">
        <f>IF(AND(C66&gt;='Amort. Sched.-BASE'!$I$8, C66&lt;= ($I$7+$I$8)), PMT('Amort. Sched.-BASE'!$E$8/12, 'Amort. Sched.-BASE'!$I$7, 'Amort. Sched.-BASE'!$E$7), 0)</f>
        <v>-1736.5864935892569</v>
      </c>
      <c r="E66" s="5">
        <f>IF(AND(C66&gt;='Amort. Sched.-BASE'!$I$8, C66&lt;= ($I$7+$I$8)), (IPMT($E$8/12, (C66-$I$8), $I$7, $E$7)), 0)</f>
        <v>-1397.8849994184777</v>
      </c>
      <c r="F66" s="23">
        <f>IF(AND(C66&gt;='Amort. Sched.-BASE'!$I$8, C66&lt;= ($I$7+$I$8)), (PPMT($E$8/12, (C66-$I$8), $I$7, $E$7)), 0)</f>
        <v>-338.7014941707792</v>
      </c>
      <c r="G66" s="5">
        <f>IF(MortgageAmortBASE[[#This Row],[Month]]=I$8,E$7,0)</f>
        <v>0</v>
      </c>
      <c r="H66" s="13">
        <f>IF(AND(C66&gt;='Amort. Sched.-BASE'!$I$8, C66&lt;= ($I$7+$I$8)), H65+F66, 0)</f>
        <v>209344.04841860081</v>
      </c>
      <c r="I66" s="24">
        <f>IF(AND(C66&gt;='Amort. Sched.-BASE'!$I$8, C66&lt;= ($I$7+$I$8)), E66/D66, " ")</f>
        <v>0.80496134490212734</v>
      </c>
      <c r="J66" s="25">
        <f>IF(AND(C66&gt;='Amort. Sched.-BASE'!$I$8, C66&lt;= ($I$7+$I$8)), F66/D66, " ")</f>
        <v>0.19503865509787272</v>
      </c>
      <c r="L66" s="20">
        <f t="shared" si="0"/>
        <v>55</v>
      </c>
      <c r="M66" s="5">
        <f>IF(AND(L66&gt;='Amort. Sched.-BASE'!$R$8, L66&lt;= ($R$7+$R$8)), PMT('Amort. Sched.-BASE'!$N$8/12, 'Amort. Sched.-BASE'!$R$7, 'Amort. Sched.-BASE'!$N$7), 0)</f>
        <v>0</v>
      </c>
      <c r="N66" s="5">
        <f>IF(AND(L66&gt;='Amort. Sched.-BASE'!$R$8, L66&lt;= ($R$7+$R$8)), (IPMT($N$8/12, (L66-$R$8), $R$7, $N$7)), 0)</f>
        <v>0</v>
      </c>
      <c r="O66" s="5">
        <f>IF(AND(L66&gt;='Amort. Sched.-BASE'!$R$8, L66&lt;= ($R$7+$R$8)), (PPMT($N$8/12, (L66-$R$8), $R$7, $N$7)), 0)</f>
        <v>0</v>
      </c>
      <c r="P66" s="5">
        <f>IF(CreditAmort1BASE[[#This Row],[Month]]=R$8,N$7,0)</f>
        <v>0</v>
      </c>
      <c r="Q66" s="13">
        <f>IF(AND(L66&gt;='Amort. Sched.-BASE'!$R$8, L66&lt;= ($R$7+$R$8)), Q65+O66, 0)</f>
        <v>0</v>
      </c>
      <c r="R66" s="6" t="str">
        <f>IF(AND(L66&gt;='Amort. Sched.-BASE'!$R$8, L66&lt;= ($R$7+$R$8)), N66/M66, " ")</f>
        <v xml:space="preserve"> </v>
      </c>
      <c r="S66" s="21" t="str">
        <f>IF(AND(L66&gt;='Amort. Sched.-BASE'!$R$8, L66&lt;= ($R$7+$R$8)), O66/M66, " ")</f>
        <v xml:space="preserve"> </v>
      </c>
      <c r="U66" s="20">
        <f t="shared" si="2"/>
        <v>55</v>
      </c>
      <c r="V66" s="5">
        <f>IF(AND(U66&gt;='Amort. Sched.-BASE'!$AA$8, U66&lt;= ($AA$7+$AA$8)), PMT('Amort. Sched.-BASE'!$W$8/12, 'Amort. Sched.-BASE'!$AA$7, 'Amort. Sched.-BASE'!$W$7), 0)</f>
        <v>0</v>
      </c>
      <c r="W66" s="5">
        <f>IF(AND(U66&gt;='Amort. Sched.-BASE'!$AA$8, U66&lt;= ($AA$7+$AA$8)), (IPMT($W$8/12, (U66-$AA$8), $AA$7, $W$7)), 0)</f>
        <v>0</v>
      </c>
      <c r="X66" s="5">
        <f>IF(AND(U66&gt;='Amort. Sched.-BASE'!$AA$8, U66&lt;= ($AA$7+$AA$8)), (PPMT($W$8/12, (U66-$AA$8), $AA$7, $W$7)), 0)</f>
        <v>0</v>
      </c>
      <c r="Y66" s="5">
        <f>IF(CreditAmort2BASE[[#This Row],[Month]]=AA$8,W$7,0)</f>
        <v>0</v>
      </c>
      <c r="Z66" s="13">
        <f>IF(AND(U66&gt;='Amort. Sched.-BASE'!$AA$8, U66&lt;= ($AA$7+$AA$8)), Z65+X66, 0)</f>
        <v>0</v>
      </c>
      <c r="AA66" s="6" t="str">
        <f>IF(AND(U66&gt;='Amort. Sched.-BASE'!$AA$8, U66&lt;= ($AA$7+$AA$8)), W66/V66, " ")</f>
        <v xml:space="preserve"> </v>
      </c>
      <c r="AB66" s="21" t="str">
        <f>IF(AND(U66&gt;='Amort. Sched.-BASE'!$AA$8, U66&lt;= ($AA$7+$AA$8)), X66/V66, " ")</f>
        <v xml:space="preserve"> </v>
      </c>
      <c r="AD66" s="20">
        <f t="shared" si="3"/>
        <v>55</v>
      </c>
      <c r="AE66" s="5">
        <f t="shared" si="4"/>
        <v>0</v>
      </c>
      <c r="AF66" s="5">
        <f t="shared" si="5"/>
        <v>0</v>
      </c>
      <c r="AG66" s="5">
        <f t="shared" si="6"/>
        <v>0</v>
      </c>
      <c r="AH66" s="5">
        <f>IF(CreditAmort3BASE[[#This Row],[Month]]=AJ$8,AF$7,0)</f>
        <v>0</v>
      </c>
      <c r="AI66" s="13">
        <f t="shared" si="7"/>
        <v>0</v>
      </c>
      <c r="AJ66" s="6" t="str">
        <f t="shared" si="8"/>
        <v xml:space="preserve"> </v>
      </c>
      <c r="AK66" s="21" t="str">
        <f t="shared" si="9"/>
        <v xml:space="preserve"> </v>
      </c>
      <c r="AM66" s="20">
        <f t="shared" si="10"/>
        <v>55</v>
      </c>
      <c r="AN66" s="5">
        <f t="shared" si="11"/>
        <v>0</v>
      </c>
      <c r="AO66" s="5">
        <f t="shared" si="12"/>
        <v>0</v>
      </c>
      <c r="AP66" s="5">
        <f t="shared" si="13"/>
        <v>0</v>
      </c>
      <c r="AQ66" s="5">
        <f>IF(CreditAmort4BASE[[#This Row],[Month]]=AS$8,AO$7,0)</f>
        <v>0</v>
      </c>
      <c r="AR66" s="13">
        <f t="shared" si="14"/>
        <v>0</v>
      </c>
      <c r="AS66" s="6" t="str">
        <f t="shared" si="15"/>
        <v xml:space="preserve"> </v>
      </c>
      <c r="AT66" s="21" t="str">
        <f t="shared" si="16"/>
        <v xml:space="preserve"> </v>
      </c>
    </row>
    <row r="67" spans="3:46">
      <c r="C67" s="22">
        <f t="shared" si="1"/>
        <v>56</v>
      </c>
      <c r="D67" s="23">
        <f>IF(AND(C67&gt;='Amort. Sched.-BASE'!$I$8, C67&lt;= ($I$7+$I$8)), PMT('Amort. Sched.-BASE'!$E$8/12, 'Amort. Sched.-BASE'!$I$7, 'Amort. Sched.-BASE'!$E$7), 0)</f>
        <v>-1736.5864935892569</v>
      </c>
      <c r="E67" s="5">
        <f>IF(AND(C67&gt;='Amort. Sched.-BASE'!$I$8, C67&lt;= ($I$7+$I$8)), (IPMT($E$8/12, (C67-$I$8), $I$7, $E$7)), 0)</f>
        <v>-1395.6269894573393</v>
      </c>
      <c r="F67" s="23">
        <f>IF(AND(C67&gt;='Amort. Sched.-BASE'!$I$8, C67&lt;= ($I$7+$I$8)), (PPMT($E$8/12, (C67-$I$8), $I$7, $E$7)), 0)</f>
        <v>-340.95950413191775</v>
      </c>
      <c r="G67" s="5">
        <f>IF(MortgageAmortBASE[[#This Row],[Month]]=I$8,E$7,0)</f>
        <v>0</v>
      </c>
      <c r="H67" s="13">
        <f>IF(AND(C67&gt;='Amort. Sched.-BASE'!$I$8, C67&lt;= ($I$7+$I$8)), H66+F67, 0)</f>
        <v>209003.08891446888</v>
      </c>
      <c r="I67" s="24">
        <f>IF(AND(C67&gt;='Amort. Sched.-BASE'!$I$8, C67&lt;= ($I$7+$I$8)), E67/D67, " ")</f>
        <v>0.80366108720147489</v>
      </c>
      <c r="J67" s="25">
        <f>IF(AND(C67&gt;='Amort. Sched.-BASE'!$I$8, C67&lt;= ($I$7+$I$8)), F67/D67, " ")</f>
        <v>0.19633891279852519</v>
      </c>
      <c r="L67" s="20">
        <f t="shared" si="0"/>
        <v>56</v>
      </c>
      <c r="M67" s="5">
        <f>IF(AND(L67&gt;='Amort. Sched.-BASE'!$R$8, L67&lt;= ($R$7+$R$8)), PMT('Amort. Sched.-BASE'!$N$8/12, 'Amort. Sched.-BASE'!$R$7, 'Amort. Sched.-BASE'!$N$7), 0)</f>
        <v>0</v>
      </c>
      <c r="N67" s="5">
        <f>IF(AND(L67&gt;='Amort. Sched.-BASE'!$R$8, L67&lt;= ($R$7+$R$8)), (IPMT($N$8/12, (L67-$R$8), $R$7, $N$7)), 0)</f>
        <v>0</v>
      </c>
      <c r="O67" s="5">
        <f>IF(AND(L67&gt;='Amort. Sched.-BASE'!$R$8, L67&lt;= ($R$7+$R$8)), (PPMT($N$8/12, (L67-$R$8), $R$7, $N$7)), 0)</f>
        <v>0</v>
      </c>
      <c r="P67" s="5">
        <f>IF(CreditAmort1BASE[[#This Row],[Month]]=R$8,N$7,0)</f>
        <v>0</v>
      </c>
      <c r="Q67" s="13">
        <f>IF(AND(L67&gt;='Amort. Sched.-BASE'!$R$8, L67&lt;= ($R$7+$R$8)), Q66+O67, 0)</f>
        <v>0</v>
      </c>
      <c r="R67" s="6" t="str">
        <f>IF(AND(L67&gt;='Amort. Sched.-BASE'!$R$8, L67&lt;= ($R$7+$R$8)), N67/M67, " ")</f>
        <v xml:space="preserve"> </v>
      </c>
      <c r="S67" s="21" t="str">
        <f>IF(AND(L67&gt;='Amort. Sched.-BASE'!$R$8, L67&lt;= ($R$7+$R$8)), O67/M67, " ")</f>
        <v xml:space="preserve"> </v>
      </c>
      <c r="U67" s="20">
        <f t="shared" si="2"/>
        <v>56</v>
      </c>
      <c r="V67" s="5">
        <f>IF(AND(U67&gt;='Amort. Sched.-BASE'!$AA$8, U67&lt;= ($AA$7+$AA$8)), PMT('Amort. Sched.-BASE'!$W$8/12, 'Amort. Sched.-BASE'!$AA$7, 'Amort. Sched.-BASE'!$W$7), 0)</f>
        <v>0</v>
      </c>
      <c r="W67" s="5">
        <f>IF(AND(U67&gt;='Amort. Sched.-BASE'!$AA$8, U67&lt;= ($AA$7+$AA$8)), (IPMT($W$8/12, (U67-$AA$8), $AA$7, $W$7)), 0)</f>
        <v>0</v>
      </c>
      <c r="X67" s="5">
        <f>IF(AND(U67&gt;='Amort. Sched.-BASE'!$AA$8, U67&lt;= ($AA$7+$AA$8)), (PPMT($W$8/12, (U67-$AA$8), $AA$7, $W$7)), 0)</f>
        <v>0</v>
      </c>
      <c r="Y67" s="5">
        <f>IF(CreditAmort2BASE[[#This Row],[Month]]=AA$8,W$7,0)</f>
        <v>0</v>
      </c>
      <c r="Z67" s="13">
        <f>IF(AND(U67&gt;='Amort. Sched.-BASE'!$AA$8, U67&lt;= ($AA$7+$AA$8)), Z66+X67, 0)</f>
        <v>0</v>
      </c>
      <c r="AA67" s="6" t="str">
        <f>IF(AND(U67&gt;='Amort. Sched.-BASE'!$AA$8, U67&lt;= ($AA$7+$AA$8)), W67/V67, " ")</f>
        <v xml:space="preserve"> </v>
      </c>
      <c r="AB67" s="21" t="str">
        <f>IF(AND(U67&gt;='Amort. Sched.-BASE'!$AA$8, U67&lt;= ($AA$7+$AA$8)), X67/V67, " ")</f>
        <v xml:space="preserve"> </v>
      </c>
      <c r="AD67" s="20">
        <f t="shared" si="3"/>
        <v>56</v>
      </c>
      <c r="AE67" s="5">
        <f t="shared" si="4"/>
        <v>0</v>
      </c>
      <c r="AF67" s="5">
        <f t="shared" si="5"/>
        <v>0</v>
      </c>
      <c r="AG67" s="5">
        <f t="shared" si="6"/>
        <v>0</v>
      </c>
      <c r="AH67" s="5">
        <f>IF(CreditAmort3BASE[[#This Row],[Month]]=AJ$8,AF$7,0)</f>
        <v>0</v>
      </c>
      <c r="AI67" s="13">
        <f t="shared" si="7"/>
        <v>0</v>
      </c>
      <c r="AJ67" s="6" t="str">
        <f t="shared" si="8"/>
        <v xml:space="preserve"> </v>
      </c>
      <c r="AK67" s="21" t="str">
        <f t="shared" si="9"/>
        <v xml:space="preserve"> </v>
      </c>
      <c r="AM67" s="20">
        <f t="shared" si="10"/>
        <v>56</v>
      </c>
      <c r="AN67" s="5">
        <f t="shared" si="11"/>
        <v>0</v>
      </c>
      <c r="AO67" s="5">
        <f t="shared" si="12"/>
        <v>0</v>
      </c>
      <c r="AP67" s="5">
        <f t="shared" si="13"/>
        <v>0</v>
      </c>
      <c r="AQ67" s="5">
        <f>IF(CreditAmort4BASE[[#This Row],[Month]]=AS$8,AO$7,0)</f>
        <v>0</v>
      </c>
      <c r="AR67" s="13">
        <f t="shared" si="14"/>
        <v>0</v>
      </c>
      <c r="AS67" s="6" t="str">
        <f t="shared" si="15"/>
        <v xml:space="preserve"> </v>
      </c>
      <c r="AT67" s="21" t="str">
        <f t="shared" si="16"/>
        <v xml:space="preserve"> </v>
      </c>
    </row>
    <row r="68" spans="3:46">
      <c r="C68" s="22">
        <f t="shared" si="1"/>
        <v>57</v>
      </c>
      <c r="D68" s="23">
        <f>IF(AND(C68&gt;='Amort. Sched.-BASE'!$I$8, C68&lt;= ($I$7+$I$8)), PMT('Amort. Sched.-BASE'!$E$8/12, 'Amort. Sched.-BASE'!$I$7, 'Amort. Sched.-BASE'!$E$7), 0)</f>
        <v>-1736.5864935892569</v>
      </c>
      <c r="E68" s="5">
        <f>IF(AND(C68&gt;='Amort. Sched.-BASE'!$I$8, C68&lt;= ($I$7+$I$8)), (IPMT($E$8/12, (C68-$I$8), $I$7, $E$7)), 0)</f>
        <v>-1393.3539260964596</v>
      </c>
      <c r="F68" s="23">
        <f>IF(AND(C68&gt;='Amort. Sched.-BASE'!$I$8, C68&lt;= ($I$7+$I$8)), (PPMT($E$8/12, (C68-$I$8), $I$7, $E$7)), 0)</f>
        <v>-343.23256749279716</v>
      </c>
      <c r="G68" s="5">
        <f>IF(MortgageAmortBASE[[#This Row],[Month]]=I$8,E$7,0)</f>
        <v>0</v>
      </c>
      <c r="H68" s="13">
        <f>IF(AND(C68&gt;='Amort. Sched.-BASE'!$I$8, C68&lt;= ($I$7+$I$8)), H67+F68, 0)</f>
        <v>208659.8563469761</v>
      </c>
      <c r="I68" s="24">
        <f>IF(AND(C68&gt;='Amort. Sched.-BASE'!$I$8, C68&lt;= ($I$7+$I$8)), E68/D68, " ")</f>
        <v>0.80235216111615126</v>
      </c>
      <c r="J68" s="25">
        <f>IF(AND(C68&gt;='Amort. Sched.-BASE'!$I$8, C68&lt;= ($I$7+$I$8)), F68/D68, " ")</f>
        <v>0.19764783888384868</v>
      </c>
      <c r="L68" s="20">
        <f t="shared" si="0"/>
        <v>57</v>
      </c>
      <c r="M68" s="5">
        <f>IF(AND(L68&gt;='Amort. Sched.-BASE'!$R$8, L68&lt;= ($R$7+$R$8)), PMT('Amort. Sched.-BASE'!$N$8/12, 'Amort. Sched.-BASE'!$R$7, 'Amort. Sched.-BASE'!$N$7), 0)</f>
        <v>0</v>
      </c>
      <c r="N68" s="5">
        <f>IF(AND(L68&gt;='Amort. Sched.-BASE'!$R$8, L68&lt;= ($R$7+$R$8)), (IPMT($N$8/12, (L68-$R$8), $R$7, $N$7)), 0)</f>
        <v>0</v>
      </c>
      <c r="O68" s="5">
        <f>IF(AND(L68&gt;='Amort. Sched.-BASE'!$R$8, L68&lt;= ($R$7+$R$8)), (PPMT($N$8/12, (L68-$R$8), $R$7, $N$7)), 0)</f>
        <v>0</v>
      </c>
      <c r="P68" s="5">
        <f>IF(CreditAmort1BASE[[#This Row],[Month]]=R$8,N$7,0)</f>
        <v>0</v>
      </c>
      <c r="Q68" s="13">
        <f>IF(AND(L68&gt;='Amort. Sched.-BASE'!$R$8, L68&lt;= ($R$7+$R$8)), Q67+O68, 0)</f>
        <v>0</v>
      </c>
      <c r="R68" s="6" t="str">
        <f>IF(AND(L68&gt;='Amort. Sched.-BASE'!$R$8, L68&lt;= ($R$7+$R$8)), N68/M68, " ")</f>
        <v xml:space="preserve"> </v>
      </c>
      <c r="S68" s="21" t="str">
        <f>IF(AND(L68&gt;='Amort. Sched.-BASE'!$R$8, L68&lt;= ($R$7+$R$8)), O68/M68, " ")</f>
        <v xml:space="preserve"> </v>
      </c>
      <c r="U68" s="20">
        <f t="shared" si="2"/>
        <v>57</v>
      </c>
      <c r="V68" s="5">
        <f>IF(AND(U68&gt;='Amort. Sched.-BASE'!$AA$8, U68&lt;= ($AA$7+$AA$8)), PMT('Amort. Sched.-BASE'!$W$8/12, 'Amort. Sched.-BASE'!$AA$7, 'Amort. Sched.-BASE'!$W$7), 0)</f>
        <v>0</v>
      </c>
      <c r="W68" s="5">
        <f>IF(AND(U68&gt;='Amort. Sched.-BASE'!$AA$8, U68&lt;= ($AA$7+$AA$8)), (IPMT($W$8/12, (U68-$AA$8), $AA$7, $W$7)), 0)</f>
        <v>0</v>
      </c>
      <c r="X68" s="5">
        <f>IF(AND(U68&gt;='Amort. Sched.-BASE'!$AA$8, U68&lt;= ($AA$7+$AA$8)), (PPMT($W$8/12, (U68-$AA$8), $AA$7, $W$7)), 0)</f>
        <v>0</v>
      </c>
      <c r="Y68" s="5">
        <f>IF(CreditAmort2BASE[[#This Row],[Month]]=AA$8,W$7,0)</f>
        <v>0</v>
      </c>
      <c r="Z68" s="13">
        <f>IF(AND(U68&gt;='Amort. Sched.-BASE'!$AA$8, U68&lt;= ($AA$7+$AA$8)), Z67+X68, 0)</f>
        <v>0</v>
      </c>
      <c r="AA68" s="6" t="str">
        <f>IF(AND(U68&gt;='Amort. Sched.-BASE'!$AA$8, U68&lt;= ($AA$7+$AA$8)), W68/V68, " ")</f>
        <v xml:space="preserve"> </v>
      </c>
      <c r="AB68" s="21" t="str">
        <f>IF(AND(U68&gt;='Amort. Sched.-BASE'!$AA$8, U68&lt;= ($AA$7+$AA$8)), X68/V68, " ")</f>
        <v xml:space="preserve"> </v>
      </c>
      <c r="AD68" s="20">
        <f t="shared" si="3"/>
        <v>57</v>
      </c>
      <c r="AE68" s="5">
        <f t="shared" si="4"/>
        <v>0</v>
      </c>
      <c r="AF68" s="5">
        <f t="shared" si="5"/>
        <v>0</v>
      </c>
      <c r="AG68" s="5">
        <f t="shared" si="6"/>
        <v>0</v>
      </c>
      <c r="AH68" s="5">
        <f>IF(CreditAmort3BASE[[#This Row],[Month]]=AJ$8,AF$7,0)</f>
        <v>0</v>
      </c>
      <c r="AI68" s="13">
        <f t="shared" si="7"/>
        <v>0</v>
      </c>
      <c r="AJ68" s="6" t="str">
        <f t="shared" si="8"/>
        <v xml:space="preserve"> </v>
      </c>
      <c r="AK68" s="21" t="str">
        <f t="shared" si="9"/>
        <v xml:space="preserve"> </v>
      </c>
      <c r="AM68" s="20">
        <f t="shared" si="10"/>
        <v>57</v>
      </c>
      <c r="AN68" s="5">
        <f t="shared" si="11"/>
        <v>0</v>
      </c>
      <c r="AO68" s="5">
        <f t="shared" si="12"/>
        <v>0</v>
      </c>
      <c r="AP68" s="5">
        <f t="shared" si="13"/>
        <v>0</v>
      </c>
      <c r="AQ68" s="5">
        <f>IF(CreditAmort4BASE[[#This Row],[Month]]=AS$8,AO$7,0)</f>
        <v>0</v>
      </c>
      <c r="AR68" s="13">
        <f t="shared" si="14"/>
        <v>0</v>
      </c>
      <c r="AS68" s="6" t="str">
        <f t="shared" si="15"/>
        <v xml:space="preserve"> </v>
      </c>
      <c r="AT68" s="21" t="str">
        <f t="shared" si="16"/>
        <v xml:space="preserve"> </v>
      </c>
    </row>
    <row r="69" spans="3:46">
      <c r="C69" s="22">
        <f t="shared" si="1"/>
        <v>58</v>
      </c>
      <c r="D69" s="23">
        <f>IF(AND(C69&gt;='Amort. Sched.-BASE'!$I$8, C69&lt;= ($I$7+$I$8)), PMT('Amort. Sched.-BASE'!$E$8/12, 'Amort. Sched.-BASE'!$I$7, 'Amort. Sched.-BASE'!$E$7), 0)</f>
        <v>-1736.5864935892569</v>
      </c>
      <c r="E69" s="5">
        <f>IF(AND(C69&gt;='Amort. Sched.-BASE'!$I$8, C69&lt;= ($I$7+$I$8)), (IPMT($E$8/12, (C69-$I$8), $I$7, $E$7)), 0)</f>
        <v>-1391.0657089798412</v>
      </c>
      <c r="F69" s="23">
        <f>IF(AND(C69&gt;='Amort. Sched.-BASE'!$I$8, C69&lt;= ($I$7+$I$8)), (PPMT($E$8/12, (C69-$I$8), $I$7, $E$7)), 0)</f>
        <v>-345.52078460941578</v>
      </c>
      <c r="G69" s="5">
        <f>IF(MortgageAmortBASE[[#This Row],[Month]]=I$8,E$7,0)</f>
        <v>0</v>
      </c>
      <c r="H69" s="13">
        <f>IF(AND(C69&gt;='Amort. Sched.-BASE'!$I$8, C69&lt;= ($I$7+$I$8)), H68+F69, 0)</f>
        <v>208314.33556236667</v>
      </c>
      <c r="I69" s="24">
        <f>IF(AND(C69&gt;='Amort. Sched.-BASE'!$I$8, C69&lt;= ($I$7+$I$8)), E69/D69, " ")</f>
        <v>0.80103450885692573</v>
      </c>
      <c r="J69" s="25">
        <f>IF(AND(C69&gt;='Amort. Sched.-BASE'!$I$8, C69&lt;= ($I$7+$I$8)), F69/D69, " ")</f>
        <v>0.19896549114307432</v>
      </c>
      <c r="L69" s="20">
        <f t="shared" si="0"/>
        <v>58</v>
      </c>
      <c r="M69" s="5">
        <f>IF(AND(L69&gt;='Amort. Sched.-BASE'!$R$8, L69&lt;= ($R$7+$R$8)), PMT('Amort. Sched.-BASE'!$N$8/12, 'Amort. Sched.-BASE'!$R$7, 'Amort. Sched.-BASE'!$N$7), 0)</f>
        <v>0</v>
      </c>
      <c r="N69" s="5">
        <f>IF(AND(L69&gt;='Amort. Sched.-BASE'!$R$8, L69&lt;= ($R$7+$R$8)), (IPMT($N$8/12, (L69-$R$8), $R$7, $N$7)), 0)</f>
        <v>0</v>
      </c>
      <c r="O69" s="5">
        <f>IF(AND(L69&gt;='Amort. Sched.-BASE'!$R$8, L69&lt;= ($R$7+$R$8)), (PPMT($N$8/12, (L69-$R$8), $R$7, $N$7)), 0)</f>
        <v>0</v>
      </c>
      <c r="P69" s="5">
        <f>IF(CreditAmort1BASE[[#This Row],[Month]]=R$8,N$7,0)</f>
        <v>0</v>
      </c>
      <c r="Q69" s="13">
        <f>IF(AND(L69&gt;='Amort. Sched.-BASE'!$R$8, L69&lt;= ($R$7+$R$8)), Q68+O69, 0)</f>
        <v>0</v>
      </c>
      <c r="R69" s="6" t="str">
        <f>IF(AND(L69&gt;='Amort. Sched.-BASE'!$R$8, L69&lt;= ($R$7+$R$8)), N69/M69, " ")</f>
        <v xml:space="preserve"> </v>
      </c>
      <c r="S69" s="21" t="str">
        <f>IF(AND(L69&gt;='Amort. Sched.-BASE'!$R$8, L69&lt;= ($R$7+$R$8)), O69/M69, " ")</f>
        <v xml:space="preserve"> </v>
      </c>
      <c r="U69" s="20">
        <f t="shared" si="2"/>
        <v>58</v>
      </c>
      <c r="V69" s="5">
        <f>IF(AND(U69&gt;='Amort. Sched.-BASE'!$AA$8, U69&lt;= ($AA$7+$AA$8)), PMT('Amort. Sched.-BASE'!$W$8/12, 'Amort. Sched.-BASE'!$AA$7, 'Amort. Sched.-BASE'!$W$7), 0)</f>
        <v>0</v>
      </c>
      <c r="W69" s="5">
        <f>IF(AND(U69&gt;='Amort. Sched.-BASE'!$AA$8, U69&lt;= ($AA$7+$AA$8)), (IPMT($W$8/12, (U69-$AA$8), $AA$7, $W$7)), 0)</f>
        <v>0</v>
      </c>
      <c r="X69" s="5">
        <f>IF(AND(U69&gt;='Amort. Sched.-BASE'!$AA$8, U69&lt;= ($AA$7+$AA$8)), (PPMT($W$8/12, (U69-$AA$8), $AA$7, $W$7)), 0)</f>
        <v>0</v>
      </c>
      <c r="Y69" s="5">
        <f>IF(CreditAmort2BASE[[#This Row],[Month]]=AA$8,W$7,0)</f>
        <v>0</v>
      </c>
      <c r="Z69" s="13">
        <f>IF(AND(U69&gt;='Amort. Sched.-BASE'!$AA$8, U69&lt;= ($AA$7+$AA$8)), Z68+X69, 0)</f>
        <v>0</v>
      </c>
      <c r="AA69" s="6" t="str">
        <f>IF(AND(U69&gt;='Amort. Sched.-BASE'!$AA$8, U69&lt;= ($AA$7+$AA$8)), W69/V69, " ")</f>
        <v xml:space="preserve"> </v>
      </c>
      <c r="AB69" s="21" t="str">
        <f>IF(AND(U69&gt;='Amort. Sched.-BASE'!$AA$8, U69&lt;= ($AA$7+$AA$8)), X69/V69, " ")</f>
        <v xml:space="preserve"> </v>
      </c>
      <c r="AD69" s="20">
        <f t="shared" si="3"/>
        <v>58</v>
      </c>
      <c r="AE69" s="5">
        <f t="shared" si="4"/>
        <v>0</v>
      </c>
      <c r="AF69" s="5">
        <f t="shared" si="5"/>
        <v>0</v>
      </c>
      <c r="AG69" s="5">
        <f t="shared" si="6"/>
        <v>0</v>
      </c>
      <c r="AH69" s="5">
        <f>IF(CreditAmort3BASE[[#This Row],[Month]]=AJ$8,AF$7,0)</f>
        <v>0</v>
      </c>
      <c r="AI69" s="13">
        <f t="shared" si="7"/>
        <v>0</v>
      </c>
      <c r="AJ69" s="6" t="str">
        <f t="shared" si="8"/>
        <v xml:space="preserve"> </v>
      </c>
      <c r="AK69" s="21" t="str">
        <f t="shared" si="9"/>
        <v xml:space="preserve"> </v>
      </c>
      <c r="AM69" s="20">
        <f t="shared" si="10"/>
        <v>58</v>
      </c>
      <c r="AN69" s="5">
        <f t="shared" si="11"/>
        <v>0</v>
      </c>
      <c r="AO69" s="5">
        <f t="shared" si="12"/>
        <v>0</v>
      </c>
      <c r="AP69" s="5">
        <f t="shared" si="13"/>
        <v>0</v>
      </c>
      <c r="AQ69" s="5">
        <f>IF(CreditAmort4BASE[[#This Row],[Month]]=AS$8,AO$7,0)</f>
        <v>0</v>
      </c>
      <c r="AR69" s="13">
        <f t="shared" si="14"/>
        <v>0</v>
      </c>
      <c r="AS69" s="6" t="str">
        <f t="shared" si="15"/>
        <v xml:space="preserve"> </v>
      </c>
      <c r="AT69" s="21" t="str">
        <f t="shared" si="16"/>
        <v xml:space="preserve"> </v>
      </c>
    </row>
    <row r="70" spans="3:46">
      <c r="C70" s="22">
        <f t="shared" si="1"/>
        <v>59</v>
      </c>
      <c r="D70" s="23">
        <f>IF(AND(C70&gt;='Amort. Sched.-BASE'!$I$8, C70&lt;= ($I$7+$I$8)), PMT('Amort. Sched.-BASE'!$E$8/12, 'Amort. Sched.-BASE'!$I$7, 'Amort. Sched.-BASE'!$E$7), 0)</f>
        <v>-1736.5864935892569</v>
      </c>
      <c r="E70" s="5">
        <f>IF(AND(C70&gt;='Amort. Sched.-BASE'!$I$8, C70&lt;= ($I$7+$I$8)), (IPMT($E$8/12, (C70-$I$8), $I$7, $E$7)), 0)</f>
        <v>-1388.7622370824449</v>
      </c>
      <c r="F70" s="23">
        <f>IF(AND(C70&gt;='Amort. Sched.-BASE'!$I$8, C70&lt;= ($I$7+$I$8)), (PPMT($E$8/12, (C70-$I$8), $I$7, $E$7)), 0)</f>
        <v>-347.82425650681193</v>
      </c>
      <c r="G70" s="5">
        <f>IF(MortgageAmortBASE[[#This Row],[Month]]=I$8,E$7,0)</f>
        <v>0</v>
      </c>
      <c r="H70" s="13">
        <f>IF(AND(C70&gt;='Amort. Sched.-BASE'!$I$8, C70&lt;= ($I$7+$I$8)), H69+F70, 0)</f>
        <v>207966.51130585987</v>
      </c>
      <c r="I70" s="24">
        <f>IF(AND(C70&gt;='Amort. Sched.-BASE'!$I$8, C70&lt;= ($I$7+$I$8)), E70/D70, " ")</f>
        <v>0.79970807224930518</v>
      </c>
      <c r="J70" s="25">
        <f>IF(AND(C70&gt;='Amort. Sched.-BASE'!$I$8, C70&lt;= ($I$7+$I$8)), F70/D70, " ")</f>
        <v>0.20029192775069485</v>
      </c>
      <c r="L70" s="20">
        <f t="shared" si="0"/>
        <v>59</v>
      </c>
      <c r="M70" s="5">
        <f>IF(AND(L70&gt;='Amort. Sched.-BASE'!$R$8, L70&lt;= ($R$7+$R$8)), PMT('Amort. Sched.-BASE'!$N$8/12, 'Amort. Sched.-BASE'!$R$7, 'Amort. Sched.-BASE'!$N$7), 0)</f>
        <v>0</v>
      </c>
      <c r="N70" s="5">
        <f>IF(AND(L70&gt;='Amort. Sched.-BASE'!$R$8, L70&lt;= ($R$7+$R$8)), (IPMT($N$8/12, (L70-$R$8), $R$7, $N$7)), 0)</f>
        <v>0</v>
      </c>
      <c r="O70" s="5">
        <f>IF(AND(L70&gt;='Amort. Sched.-BASE'!$R$8, L70&lt;= ($R$7+$R$8)), (PPMT($N$8/12, (L70-$R$8), $R$7, $N$7)), 0)</f>
        <v>0</v>
      </c>
      <c r="P70" s="5">
        <f>IF(CreditAmort1BASE[[#This Row],[Month]]=R$8,N$7,0)</f>
        <v>0</v>
      </c>
      <c r="Q70" s="13">
        <f>IF(AND(L70&gt;='Amort. Sched.-BASE'!$R$8, L70&lt;= ($R$7+$R$8)), Q69+O70, 0)</f>
        <v>0</v>
      </c>
      <c r="R70" s="6" t="str">
        <f>IF(AND(L70&gt;='Amort. Sched.-BASE'!$R$8, L70&lt;= ($R$7+$R$8)), N70/M70, " ")</f>
        <v xml:space="preserve"> </v>
      </c>
      <c r="S70" s="21" t="str">
        <f>IF(AND(L70&gt;='Amort. Sched.-BASE'!$R$8, L70&lt;= ($R$7+$R$8)), O70/M70, " ")</f>
        <v xml:space="preserve"> </v>
      </c>
      <c r="U70" s="20">
        <f t="shared" si="2"/>
        <v>59</v>
      </c>
      <c r="V70" s="5">
        <f>IF(AND(U70&gt;='Amort. Sched.-BASE'!$AA$8, U70&lt;= ($AA$7+$AA$8)), PMT('Amort. Sched.-BASE'!$W$8/12, 'Amort. Sched.-BASE'!$AA$7, 'Amort. Sched.-BASE'!$W$7), 0)</f>
        <v>0</v>
      </c>
      <c r="W70" s="5">
        <f>IF(AND(U70&gt;='Amort. Sched.-BASE'!$AA$8, U70&lt;= ($AA$7+$AA$8)), (IPMT($W$8/12, (U70-$AA$8), $AA$7, $W$7)), 0)</f>
        <v>0</v>
      </c>
      <c r="X70" s="5">
        <f>IF(AND(U70&gt;='Amort. Sched.-BASE'!$AA$8, U70&lt;= ($AA$7+$AA$8)), (PPMT($W$8/12, (U70-$AA$8), $AA$7, $W$7)), 0)</f>
        <v>0</v>
      </c>
      <c r="Y70" s="5">
        <f>IF(CreditAmort2BASE[[#This Row],[Month]]=AA$8,W$7,0)</f>
        <v>0</v>
      </c>
      <c r="Z70" s="13">
        <f>IF(AND(U70&gt;='Amort. Sched.-BASE'!$AA$8, U70&lt;= ($AA$7+$AA$8)), Z69+X70, 0)</f>
        <v>0</v>
      </c>
      <c r="AA70" s="6" t="str">
        <f>IF(AND(U70&gt;='Amort. Sched.-BASE'!$AA$8, U70&lt;= ($AA$7+$AA$8)), W70/V70, " ")</f>
        <v xml:space="preserve"> </v>
      </c>
      <c r="AB70" s="21" t="str">
        <f>IF(AND(U70&gt;='Amort. Sched.-BASE'!$AA$8, U70&lt;= ($AA$7+$AA$8)), X70/V70, " ")</f>
        <v xml:space="preserve"> </v>
      </c>
      <c r="AD70" s="20">
        <f t="shared" si="3"/>
        <v>59</v>
      </c>
      <c r="AE70" s="5">
        <f t="shared" si="4"/>
        <v>0</v>
      </c>
      <c r="AF70" s="5">
        <f t="shared" si="5"/>
        <v>0</v>
      </c>
      <c r="AG70" s="5">
        <f t="shared" si="6"/>
        <v>0</v>
      </c>
      <c r="AH70" s="5">
        <f>IF(CreditAmort3BASE[[#This Row],[Month]]=AJ$8,AF$7,0)</f>
        <v>0</v>
      </c>
      <c r="AI70" s="13">
        <f t="shared" si="7"/>
        <v>0</v>
      </c>
      <c r="AJ70" s="6" t="str">
        <f t="shared" si="8"/>
        <v xml:space="preserve"> </v>
      </c>
      <c r="AK70" s="21" t="str">
        <f t="shared" si="9"/>
        <v xml:space="preserve"> </v>
      </c>
      <c r="AM70" s="20">
        <f t="shared" si="10"/>
        <v>59</v>
      </c>
      <c r="AN70" s="5">
        <f t="shared" si="11"/>
        <v>0</v>
      </c>
      <c r="AO70" s="5">
        <f t="shared" si="12"/>
        <v>0</v>
      </c>
      <c r="AP70" s="5">
        <f t="shared" si="13"/>
        <v>0</v>
      </c>
      <c r="AQ70" s="5">
        <f>IF(CreditAmort4BASE[[#This Row],[Month]]=AS$8,AO$7,0)</f>
        <v>0</v>
      </c>
      <c r="AR70" s="13">
        <f t="shared" si="14"/>
        <v>0</v>
      </c>
      <c r="AS70" s="6" t="str">
        <f t="shared" si="15"/>
        <v xml:space="preserve"> </v>
      </c>
      <c r="AT70" s="21" t="str">
        <f t="shared" si="16"/>
        <v xml:space="preserve"> </v>
      </c>
    </row>
    <row r="71" spans="3:46">
      <c r="C71" s="22">
        <f t="shared" si="1"/>
        <v>60</v>
      </c>
      <c r="D71" s="23">
        <f>IF(AND(C71&gt;='Amort. Sched.-BASE'!$I$8, C71&lt;= ($I$7+$I$8)), PMT('Amort. Sched.-BASE'!$E$8/12, 'Amort. Sched.-BASE'!$I$7, 'Amort. Sched.-BASE'!$E$7), 0)</f>
        <v>-1736.5864935892569</v>
      </c>
      <c r="E71" s="5">
        <f>IF(AND(C71&gt;='Amort. Sched.-BASE'!$I$8, C71&lt;= ($I$7+$I$8)), (IPMT($E$8/12, (C71-$I$8), $I$7, $E$7)), 0)</f>
        <v>-1386.443408705733</v>
      </c>
      <c r="F71" s="23">
        <f>IF(AND(C71&gt;='Amort. Sched.-BASE'!$I$8, C71&lt;= ($I$7+$I$8)), (PPMT($E$8/12, (C71-$I$8), $I$7, $E$7)), 0)</f>
        <v>-350.14308488352395</v>
      </c>
      <c r="G71" s="5">
        <f>IF(MortgageAmortBASE[[#This Row],[Month]]=I$8,E$7,0)</f>
        <v>0</v>
      </c>
      <c r="H71" s="13">
        <f>IF(AND(C71&gt;='Amort. Sched.-BASE'!$I$8, C71&lt;= ($I$7+$I$8)), H70+F71, 0)</f>
        <v>207616.36822097635</v>
      </c>
      <c r="I71" s="24">
        <f>IF(AND(C71&gt;='Amort. Sched.-BASE'!$I$8, C71&lt;= ($I$7+$I$8)), E71/D71, " ")</f>
        <v>0.79837279273096728</v>
      </c>
      <c r="J71" s="25">
        <f>IF(AND(C71&gt;='Amort. Sched.-BASE'!$I$8, C71&lt;= ($I$7+$I$8)), F71/D71, " ")</f>
        <v>0.20162720726903277</v>
      </c>
      <c r="L71" s="20">
        <f t="shared" si="0"/>
        <v>60</v>
      </c>
      <c r="M71" s="5">
        <f>IF(AND(L71&gt;='Amort. Sched.-BASE'!$R$8, L71&lt;= ($R$7+$R$8)), PMT('Amort. Sched.-BASE'!$N$8/12, 'Amort. Sched.-BASE'!$R$7, 'Amort. Sched.-BASE'!$N$7), 0)</f>
        <v>0</v>
      </c>
      <c r="N71" s="5">
        <f>IF(AND(L71&gt;='Amort. Sched.-BASE'!$R$8, L71&lt;= ($R$7+$R$8)), (IPMT($N$8/12, (L71-$R$8), $R$7, $N$7)), 0)</f>
        <v>0</v>
      </c>
      <c r="O71" s="5">
        <f>IF(AND(L71&gt;='Amort. Sched.-BASE'!$R$8, L71&lt;= ($R$7+$R$8)), (PPMT($N$8/12, (L71-$R$8), $R$7, $N$7)), 0)</f>
        <v>0</v>
      </c>
      <c r="P71" s="5">
        <f>IF(CreditAmort1BASE[[#This Row],[Month]]=R$8,N$7,0)</f>
        <v>0</v>
      </c>
      <c r="Q71" s="13">
        <f>IF(AND(L71&gt;='Amort. Sched.-BASE'!$R$8, L71&lt;= ($R$7+$R$8)), Q70+O71, 0)</f>
        <v>0</v>
      </c>
      <c r="R71" s="6" t="str">
        <f>IF(AND(L71&gt;='Amort. Sched.-BASE'!$R$8, L71&lt;= ($R$7+$R$8)), N71/M71, " ")</f>
        <v xml:space="preserve"> </v>
      </c>
      <c r="S71" s="21" t="str">
        <f>IF(AND(L71&gt;='Amort. Sched.-BASE'!$R$8, L71&lt;= ($R$7+$R$8)), O71/M71, " ")</f>
        <v xml:space="preserve"> </v>
      </c>
      <c r="U71" s="20">
        <f t="shared" si="2"/>
        <v>60</v>
      </c>
      <c r="V71" s="5">
        <f>IF(AND(U71&gt;='Amort. Sched.-BASE'!$AA$8, U71&lt;= ($AA$7+$AA$8)), PMT('Amort. Sched.-BASE'!$W$8/12, 'Amort. Sched.-BASE'!$AA$7, 'Amort. Sched.-BASE'!$W$7), 0)</f>
        <v>0</v>
      </c>
      <c r="W71" s="5">
        <f>IF(AND(U71&gt;='Amort. Sched.-BASE'!$AA$8, U71&lt;= ($AA$7+$AA$8)), (IPMT($W$8/12, (U71-$AA$8), $AA$7, $W$7)), 0)</f>
        <v>0</v>
      </c>
      <c r="X71" s="5">
        <f>IF(AND(U71&gt;='Amort. Sched.-BASE'!$AA$8, U71&lt;= ($AA$7+$AA$8)), (PPMT($W$8/12, (U71-$AA$8), $AA$7, $W$7)), 0)</f>
        <v>0</v>
      </c>
      <c r="Y71" s="5">
        <f>IF(CreditAmort2BASE[[#This Row],[Month]]=AA$8,W$7,0)</f>
        <v>0</v>
      </c>
      <c r="Z71" s="13">
        <f>IF(AND(U71&gt;='Amort. Sched.-BASE'!$AA$8, U71&lt;= ($AA$7+$AA$8)), Z70+X71, 0)</f>
        <v>0</v>
      </c>
      <c r="AA71" s="6" t="str">
        <f>IF(AND(U71&gt;='Amort. Sched.-BASE'!$AA$8, U71&lt;= ($AA$7+$AA$8)), W71/V71, " ")</f>
        <v xml:space="preserve"> </v>
      </c>
      <c r="AB71" s="21" t="str">
        <f>IF(AND(U71&gt;='Amort. Sched.-BASE'!$AA$8, U71&lt;= ($AA$7+$AA$8)), X71/V71, " ")</f>
        <v xml:space="preserve"> </v>
      </c>
      <c r="AD71" s="20">
        <f t="shared" si="3"/>
        <v>60</v>
      </c>
      <c r="AE71" s="5">
        <f t="shared" si="4"/>
        <v>0</v>
      </c>
      <c r="AF71" s="5">
        <f t="shared" si="5"/>
        <v>0</v>
      </c>
      <c r="AG71" s="5">
        <f t="shared" si="6"/>
        <v>0</v>
      </c>
      <c r="AH71" s="5">
        <f>IF(CreditAmort3BASE[[#This Row],[Month]]=AJ$8,AF$7,0)</f>
        <v>0</v>
      </c>
      <c r="AI71" s="13">
        <f t="shared" si="7"/>
        <v>0</v>
      </c>
      <c r="AJ71" s="6" t="str">
        <f t="shared" si="8"/>
        <v xml:space="preserve"> </v>
      </c>
      <c r="AK71" s="21" t="str">
        <f t="shared" si="9"/>
        <v xml:space="preserve"> </v>
      </c>
      <c r="AM71" s="20">
        <f t="shared" si="10"/>
        <v>60</v>
      </c>
      <c r="AN71" s="5">
        <f t="shared" si="11"/>
        <v>0</v>
      </c>
      <c r="AO71" s="5">
        <f t="shared" si="12"/>
        <v>0</v>
      </c>
      <c r="AP71" s="5">
        <f t="shared" si="13"/>
        <v>0</v>
      </c>
      <c r="AQ71" s="5">
        <f>IF(CreditAmort4BASE[[#This Row],[Month]]=AS$8,AO$7,0)</f>
        <v>0</v>
      </c>
      <c r="AR71" s="13">
        <f t="shared" si="14"/>
        <v>0</v>
      </c>
      <c r="AS71" s="6" t="str">
        <f t="shared" si="15"/>
        <v xml:space="preserve"> </v>
      </c>
      <c r="AT71" s="21" t="str">
        <f t="shared" si="16"/>
        <v xml:space="preserve"> </v>
      </c>
    </row>
    <row r="72" spans="3:46">
      <c r="C72" s="22">
        <f t="shared" si="1"/>
        <v>61</v>
      </c>
      <c r="D72" s="23">
        <f>IF(AND(C72&gt;='Amort. Sched.-BASE'!$I$8, C72&lt;= ($I$7+$I$8)), PMT('Amort. Sched.-BASE'!$E$8/12, 'Amort. Sched.-BASE'!$I$7, 'Amort. Sched.-BASE'!$E$7), 0)</f>
        <v>-1736.5864935892569</v>
      </c>
      <c r="E72" s="5">
        <f>IF(AND(C72&gt;='Amort. Sched.-BASE'!$I$8, C72&lt;= ($I$7+$I$8)), (IPMT($E$8/12, (C72-$I$8), $I$7, $E$7)), 0)</f>
        <v>-1384.1091214731762</v>
      </c>
      <c r="F72" s="23">
        <f>IF(AND(C72&gt;='Amort. Sched.-BASE'!$I$8, C72&lt;= ($I$7+$I$8)), (PPMT($E$8/12, (C72-$I$8), $I$7, $E$7)), 0)</f>
        <v>-352.4773721160808</v>
      </c>
      <c r="G72" s="5">
        <f>IF(MortgageAmortBASE[[#This Row],[Month]]=I$8,E$7,0)</f>
        <v>0</v>
      </c>
      <c r="H72" s="13">
        <f>IF(AND(C72&gt;='Amort. Sched.-BASE'!$I$8, C72&lt;= ($I$7+$I$8)), H71+F72, 0)</f>
        <v>207263.89084886026</v>
      </c>
      <c r="I72" s="24">
        <f>IF(AND(C72&gt;='Amort. Sched.-BASE'!$I$8, C72&lt;= ($I$7+$I$8)), E72/D72, " ")</f>
        <v>0.79702861134917369</v>
      </c>
      <c r="J72" s="25">
        <f>IF(AND(C72&gt;='Amort. Sched.-BASE'!$I$8, C72&lt;= ($I$7+$I$8)), F72/D72, " ")</f>
        <v>0.20297138865082634</v>
      </c>
      <c r="L72" s="20">
        <f t="shared" si="0"/>
        <v>61</v>
      </c>
      <c r="M72" s="5">
        <f>IF(AND(L72&gt;='Amort. Sched.-BASE'!$R$8, L72&lt;= ($R$7+$R$8)), PMT('Amort. Sched.-BASE'!$N$8/12, 'Amort. Sched.-BASE'!$R$7, 'Amort. Sched.-BASE'!$N$7), 0)</f>
        <v>0</v>
      </c>
      <c r="N72" s="5">
        <f>IF(AND(L72&gt;='Amort. Sched.-BASE'!$R$8, L72&lt;= ($R$7+$R$8)), (IPMT($N$8/12, (L72-$R$8), $R$7, $N$7)), 0)</f>
        <v>0</v>
      </c>
      <c r="O72" s="5">
        <f>IF(AND(L72&gt;='Amort. Sched.-BASE'!$R$8, L72&lt;= ($R$7+$R$8)), (PPMT($N$8/12, (L72-$R$8), $R$7, $N$7)), 0)</f>
        <v>0</v>
      </c>
      <c r="P72" s="5">
        <f>IF(CreditAmort1BASE[[#This Row],[Month]]=R$8,N$7,0)</f>
        <v>0</v>
      </c>
      <c r="Q72" s="13">
        <f>IF(AND(L72&gt;='Amort. Sched.-BASE'!$R$8, L72&lt;= ($R$7+$R$8)), Q71+O72, 0)</f>
        <v>0</v>
      </c>
      <c r="R72" s="6" t="str">
        <f>IF(AND(L72&gt;='Amort. Sched.-BASE'!$R$8, L72&lt;= ($R$7+$R$8)), N72/M72, " ")</f>
        <v xml:space="preserve"> </v>
      </c>
      <c r="S72" s="21" t="str">
        <f>IF(AND(L72&gt;='Amort. Sched.-BASE'!$R$8, L72&lt;= ($R$7+$R$8)), O72/M72, " ")</f>
        <v xml:space="preserve"> </v>
      </c>
      <c r="U72" s="20">
        <f t="shared" si="2"/>
        <v>61</v>
      </c>
      <c r="V72" s="5">
        <f>IF(AND(U72&gt;='Amort. Sched.-BASE'!$AA$8, U72&lt;= ($AA$7+$AA$8)), PMT('Amort. Sched.-BASE'!$W$8/12, 'Amort. Sched.-BASE'!$AA$7, 'Amort. Sched.-BASE'!$W$7), 0)</f>
        <v>0</v>
      </c>
      <c r="W72" s="5">
        <f>IF(AND(U72&gt;='Amort. Sched.-BASE'!$AA$8, U72&lt;= ($AA$7+$AA$8)), (IPMT($W$8/12, (U72-$AA$8), $AA$7, $W$7)), 0)</f>
        <v>0</v>
      </c>
      <c r="X72" s="5">
        <f>IF(AND(U72&gt;='Amort. Sched.-BASE'!$AA$8, U72&lt;= ($AA$7+$AA$8)), (PPMT($W$8/12, (U72-$AA$8), $AA$7, $W$7)), 0)</f>
        <v>0</v>
      </c>
      <c r="Y72" s="5">
        <f>IF(CreditAmort2BASE[[#This Row],[Month]]=AA$8,W$7,0)</f>
        <v>0</v>
      </c>
      <c r="Z72" s="13">
        <f>IF(AND(U72&gt;='Amort. Sched.-BASE'!$AA$8, U72&lt;= ($AA$7+$AA$8)), Z71+X72, 0)</f>
        <v>0</v>
      </c>
      <c r="AA72" s="6" t="str">
        <f>IF(AND(U72&gt;='Amort. Sched.-BASE'!$AA$8, U72&lt;= ($AA$7+$AA$8)), W72/V72, " ")</f>
        <v xml:space="preserve"> </v>
      </c>
      <c r="AB72" s="21" t="str">
        <f>IF(AND(U72&gt;='Amort. Sched.-BASE'!$AA$8, U72&lt;= ($AA$7+$AA$8)), X72/V72, " ")</f>
        <v xml:space="preserve"> </v>
      </c>
      <c r="AD72" s="20">
        <f t="shared" si="3"/>
        <v>61</v>
      </c>
      <c r="AE72" s="5">
        <f t="shared" si="4"/>
        <v>0</v>
      </c>
      <c r="AF72" s="5">
        <f t="shared" si="5"/>
        <v>0</v>
      </c>
      <c r="AG72" s="5">
        <f t="shared" si="6"/>
        <v>0</v>
      </c>
      <c r="AH72" s="5">
        <f>IF(CreditAmort3BASE[[#This Row],[Month]]=AJ$8,AF$7,0)</f>
        <v>0</v>
      </c>
      <c r="AI72" s="13">
        <f t="shared" si="7"/>
        <v>0</v>
      </c>
      <c r="AJ72" s="6" t="str">
        <f t="shared" si="8"/>
        <v xml:space="preserve"> </v>
      </c>
      <c r="AK72" s="21" t="str">
        <f t="shared" si="9"/>
        <v xml:space="preserve"> </v>
      </c>
      <c r="AM72" s="20">
        <f t="shared" si="10"/>
        <v>61</v>
      </c>
      <c r="AN72" s="5">
        <f t="shared" si="11"/>
        <v>0</v>
      </c>
      <c r="AO72" s="5">
        <f t="shared" si="12"/>
        <v>0</v>
      </c>
      <c r="AP72" s="5">
        <f t="shared" si="13"/>
        <v>0</v>
      </c>
      <c r="AQ72" s="5">
        <f>IF(CreditAmort4BASE[[#This Row],[Month]]=AS$8,AO$7,0)</f>
        <v>0</v>
      </c>
      <c r="AR72" s="13">
        <f t="shared" si="14"/>
        <v>0</v>
      </c>
      <c r="AS72" s="6" t="str">
        <f t="shared" si="15"/>
        <v xml:space="preserve"> </v>
      </c>
      <c r="AT72" s="21" t="str">
        <f t="shared" si="16"/>
        <v xml:space="preserve"> </v>
      </c>
    </row>
    <row r="73" spans="3:46">
      <c r="C73" s="22">
        <f t="shared" si="1"/>
        <v>62</v>
      </c>
      <c r="D73" s="23">
        <f>IF(AND(C73&gt;='Amort. Sched.-BASE'!$I$8, C73&lt;= ($I$7+$I$8)), PMT('Amort. Sched.-BASE'!$E$8/12, 'Amort. Sched.-BASE'!$I$7, 'Amort. Sched.-BASE'!$E$7), 0)</f>
        <v>-1736.5864935892569</v>
      </c>
      <c r="E73" s="5">
        <f>IF(AND(C73&gt;='Amort. Sched.-BASE'!$I$8, C73&lt;= ($I$7+$I$8)), (IPMT($E$8/12, (C73-$I$8), $I$7, $E$7)), 0)</f>
        <v>-1381.7592723257355</v>
      </c>
      <c r="F73" s="23">
        <f>IF(AND(C73&gt;='Amort. Sched.-BASE'!$I$8, C73&lt;= ($I$7+$I$8)), (PPMT($E$8/12, (C73-$I$8), $I$7, $E$7)), 0)</f>
        <v>-354.82722126352138</v>
      </c>
      <c r="G73" s="5">
        <f>IF(MortgageAmortBASE[[#This Row],[Month]]=I$8,E$7,0)</f>
        <v>0</v>
      </c>
      <c r="H73" s="13">
        <f>IF(AND(C73&gt;='Amort. Sched.-BASE'!$I$8, C73&lt;= ($I$7+$I$8)), H72+F73, 0)</f>
        <v>206909.06362759674</v>
      </c>
      <c r="I73" s="24">
        <f>IF(AND(C73&gt;='Amort. Sched.-BASE'!$I$8, C73&lt;= ($I$7+$I$8)), E73/D73, " ")</f>
        <v>0.79567546875816819</v>
      </c>
      <c r="J73" s="25">
        <f>IF(AND(C73&gt;='Amort. Sched.-BASE'!$I$8, C73&lt;= ($I$7+$I$8)), F73/D73, " ")</f>
        <v>0.20432453124183186</v>
      </c>
      <c r="L73" s="20">
        <f t="shared" si="0"/>
        <v>62</v>
      </c>
      <c r="M73" s="5">
        <f>IF(AND(L73&gt;='Amort. Sched.-BASE'!$R$8, L73&lt;= ($R$7+$R$8)), PMT('Amort. Sched.-BASE'!$N$8/12, 'Amort. Sched.-BASE'!$R$7, 'Amort. Sched.-BASE'!$N$7), 0)</f>
        <v>0</v>
      </c>
      <c r="N73" s="5">
        <f>IF(AND(L73&gt;='Amort. Sched.-BASE'!$R$8, L73&lt;= ($R$7+$R$8)), (IPMT($N$8/12, (L73-$R$8), $R$7, $N$7)), 0)</f>
        <v>0</v>
      </c>
      <c r="O73" s="5">
        <f>IF(AND(L73&gt;='Amort. Sched.-BASE'!$R$8, L73&lt;= ($R$7+$R$8)), (PPMT($N$8/12, (L73-$R$8), $R$7, $N$7)), 0)</f>
        <v>0</v>
      </c>
      <c r="P73" s="5">
        <f>IF(CreditAmort1BASE[[#This Row],[Month]]=R$8,N$7,0)</f>
        <v>0</v>
      </c>
      <c r="Q73" s="13">
        <f>IF(AND(L73&gt;='Amort. Sched.-BASE'!$R$8, L73&lt;= ($R$7+$R$8)), Q72+O73, 0)</f>
        <v>0</v>
      </c>
      <c r="R73" s="6" t="str">
        <f>IF(AND(L73&gt;='Amort. Sched.-BASE'!$R$8, L73&lt;= ($R$7+$R$8)), N73/M73, " ")</f>
        <v xml:space="preserve"> </v>
      </c>
      <c r="S73" s="21" t="str">
        <f>IF(AND(L73&gt;='Amort. Sched.-BASE'!$R$8, L73&lt;= ($R$7+$R$8)), O73/M73, " ")</f>
        <v xml:space="preserve"> </v>
      </c>
      <c r="U73" s="20">
        <f t="shared" si="2"/>
        <v>62</v>
      </c>
      <c r="V73" s="5">
        <f>IF(AND(U73&gt;='Amort. Sched.-BASE'!$AA$8, U73&lt;= ($AA$7+$AA$8)), PMT('Amort. Sched.-BASE'!$W$8/12, 'Amort. Sched.-BASE'!$AA$7, 'Amort. Sched.-BASE'!$W$7), 0)</f>
        <v>0</v>
      </c>
      <c r="W73" s="5">
        <f>IF(AND(U73&gt;='Amort. Sched.-BASE'!$AA$8, U73&lt;= ($AA$7+$AA$8)), (IPMT($W$8/12, (U73-$AA$8), $AA$7, $W$7)), 0)</f>
        <v>0</v>
      </c>
      <c r="X73" s="5">
        <f>IF(AND(U73&gt;='Amort. Sched.-BASE'!$AA$8, U73&lt;= ($AA$7+$AA$8)), (PPMT($W$8/12, (U73-$AA$8), $AA$7, $W$7)), 0)</f>
        <v>0</v>
      </c>
      <c r="Y73" s="5">
        <f>IF(CreditAmort2BASE[[#This Row],[Month]]=AA$8,W$7,0)</f>
        <v>0</v>
      </c>
      <c r="Z73" s="13">
        <f>IF(AND(U73&gt;='Amort. Sched.-BASE'!$AA$8, U73&lt;= ($AA$7+$AA$8)), Z72+X73, 0)</f>
        <v>0</v>
      </c>
      <c r="AA73" s="6" t="str">
        <f>IF(AND(U73&gt;='Amort. Sched.-BASE'!$AA$8, U73&lt;= ($AA$7+$AA$8)), W73/V73, " ")</f>
        <v xml:space="preserve"> </v>
      </c>
      <c r="AB73" s="21" t="str">
        <f>IF(AND(U73&gt;='Amort. Sched.-BASE'!$AA$8, U73&lt;= ($AA$7+$AA$8)), X73/V73, " ")</f>
        <v xml:space="preserve"> </v>
      </c>
      <c r="AD73" s="20">
        <f t="shared" si="3"/>
        <v>62</v>
      </c>
      <c r="AE73" s="5">
        <f t="shared" si="4"/>
        <v>0</v>
      </c>
      <c r="AF73" s="5">
        <f t="shared" si="5"/>
        <v>0</v>
      </c>
      <c r="AG73" s="5">
        <f t="shared" si="6"/>
        <v>0</v>
      </c>
      <c r="AH73" s="5">
        <f>IF(CreditAmort3BASE[[#This Row],[Month]]=AJ$8,AF$7,0)</f>
        <v>0</v>
      </c>
      <c r="AI73" s="13">
        <f t="shared" si="7"/>
        <v>0</v>
      </c>
      <c r="AJ73" s="6" t="str">
        <f t="shared" si="8"/>
        <v xml:space="preserve"> </v>
      </c>
      <c r="AK73" s="21" t="str">
        <f t="shared" si="9"/>
        <v xml:space="preserve"> </v>
      </c>
      <c r="AM73" s="20">
        <f t="shared" si="10"/>
        <v>62</v>
      </c>
      <c r="AN73" s="5">
        <f t="shared" si="11"/>
        <v>0</v>
      </c>
      <c r="AO73" s="5">
        <f t="shared" si="12"/>
        <v>0</v>
      </c>
      <c r="AP73" s="5">
        <f t="shared" si="13"/>
        <v>0</v>
      </c>
      <c r="AQ73" s="5">
        <f>IF(CreditAmort4BASE[[#This Row],[Month]]=AS$8,AO$7,0)</f>
        <v>0</v>
      </c>
      <c r="AR73" s="13">
        <f t="shared" si="14"/>
        <v>0</v>
      </c>
      <c r="AS73" s="6" t="str">
        <f t="shared" si="15"/>
        <v xml:space="preserve"> </v>
      </c>
      <c r="AT73" s="21" t="str">
        <f t="shared" si="16"/>
        <v xml:space="preserve"> </v>
      </c>
    </row>
    <row r="74" spans="3:46">
      <c r="C74" s="22">
        <f t="shared" si="1"/>
        <v>63</v>
      </c>
      <c r="D74" s="23">
        <f>IF(AND(C74&gt;='Amort. Sched.-BASE'!$I$8, C74&lt;= ($I$7+$I$8)), PMT('Amort. Sched.-BASE'!$E$8/12, 'Amort. Sched.-BASE'!$I$7, 'Amort. Sched.-BASE'!$E$7), 0)</f>
        <v>-1736.5864935892569</v>
      </c>
      <c r="E74" s="5">
        <f>IF(AND(C74&gt;='Amort. Sched.-BASE'!$I$8, C74&lt;= ($I$7+$I$8)), (IPMT($E$8/12, (C74-$I$8), $I$7, $E$7)), 0)</f>
        <v>-1379.393757517312</v>
      </c>
      <c r="F74" s="23">
        <f>IF(AND(C74&gt;='Amort. Sched.-BASE'!$I$8, C74&lt;= ($I$7+$I$8)), (PPMT($E$8/12, (C74-$I$8), $I$7, $E$7)), 0)</f>
        <v>-357.19273607194486</v>
      </c>
      <c r="G74" s="5">
        <f>IF(MortgageAmortBASE[[#This Row],[Month]]=I$8,E$7,0)</f>
        <v>0</v>
      </c>
      <c r="H74" s="13">
        <f>IF(AND(C74&gt;='Amort. Sched.-BASE'!$I$8, C74&lt;= ($I$7+$I$8)), H73+F74, 0)</f>
        <v>206551.8708915248</v>
      </c>
      <c r="I74" s="24">
        <f>IF(AND(C74&gt;='Amort. Sched.-BASE'!$I$8, C74&lt;= ($I$7+$I$8)), E74/D74, " ")</f>
        <v>0.79431330521655585</v>
      </c>
      <c r="J74" s="25">
        <f>IF(AND(C74&gt;='Amort. Sched.-BASE'!$I$8, C74&lt;= ($I$7+$I$8)), F74/D74, " ")</f>
        <v>0.20568669478344409</v>
      </c>
      <c r="L74" s="20">
        <f t="shared" si="0"/>
        <v>63</v>
      </c>
      <c r="M74" s="5">
        <f>IF(AND(L74&gt;='Amort. Sched.-BASE'!$R$8, L74&lt;= ($R$7+$R$8)), PMT('Amort. Sched.-BASE'!$N$8/12, 'Amort. Sched.-BASE'!$R$7, 'Amort. Sched.-BASE'!$N$7), 0)</f>
        <v>0</v>
      </c>
      <c r="N74" s="5">
        <f>IF(AND(L74&gt;='Amort. Sched.-BASE'!$R$8, L74&lt;= ($R$7+$R$8)), (IPMT($N$8/12, (L74-$R$8), $R$7, $N$7)), 0)</f>
        <v>0</v>
      </c>
      <c r="O74" s="5">
        <f>IF(AND(L74&gt;='Amort. Sched.-BASE'!$R$8, L74&lt;= ($R$7+$R$8)), (PPMT($N$8/12, (L74-$R$8), $R$7, $N$7)), 0)</f>
        <v>0</v>
      </c>
      <c r="P74" s="5">
        <f>IF(CreditAmort1BASE[[#This Row],[Month]]=R$8,N$7,0)</f>
        <v>0</v>
      </c>
      <c r="Q74" s="13">
        <f>IF(AND(L74&gt;='Amort. Sched.-BASE'!$R$8, L74&lt;= ($R$7+$R$8)), Q73+O74, 0)</f>
        <v>0</v>
      </c>
      <c r="R74" s="6" t="str">
        <f>IF(AND(L74&gt;='Amort. Sched.-BASE'!$R$8, L74&lt;= ($R$7+$R$8)), N74/M74, " ")</f>
        <v xml:space="preserve"> </v>
      </c>
      <c r="S74" s="21" t="str">
        <f>IF(AND(L74&gt;='Amort. Sched.-BASE'!$R$8, L74&lt;= ($R$7+$R$8)), O74/M74, " ")</f>
        <v xml:space="preserve"> </v>
      </c>
      <c r="U74" s="20">
        <f t="shared" si="2"/>
        <v>63</v>
      </c>
      <c r="V74" s="5">
        <f>IF(AND(U74&gt;='Amort. Sched.-BASE'!$AA$8, U74&lt;= ($AA$7+$AA$8)), PMT('Amort. Sched.-BASE'!$W$8/12, 'Amort. Sched.-BASE'!$AA$7, 'Amort. Sched.-BASE'!$W$7), 0)</f>
        <v>0</v>
      </c>
      <c r="W74" s="5">
        <f>IF(AND(U74&gt;='Amort. Sched.-BASE'!$AA$8, U74&lt;= ($AA$7+$AA$8)), (IPMT($W$8/12, (U74-$AA$8), $AA$7, $W$7)), 0)</f>
        <v>0</v>
      </c>
      <c r="X74" s="5">
        <f>IF(AND(U74&gt;='Amort. Sched.-BASE'!$AA$8, U74&lt;= ($AA$7+$AA$8)), (PPMT($W$8/12, (U74-$AA$8), $AA$7, $W$7)), 0)</f>
        <v>0</v>
      </c>
      <c r="Y74" s="5">
        <f>IF(CreditAmort2BASE[[#This Row],[Month]]=AA$8,W$7,0)</f>
        <v>0</v>
      </c>
      <c r="Z74" s="13">
        <f>IF(AND(U74&gt;='Amort. Sched.-BASE'!$AA$8, U74&lt;= ($AA$7+$AA$8)), Z73+X74, 0)</f>
        <v>0</v>
      </c>
      <c r="AA74" s="6" t="str">
        <f>IF(AND(U74&gt;='Amort. Sched.-BASE'!$AA$8, U74&lt;= ($AA$7+$AA$8)), W74/V74, " ")</f>
        <v xml:space="preserve"> </v>
      </c>
      <c r="AB74" s="21" t="str">
        <f>IF(AND(U74&gt;='Amort. Sched.-BASE'!$AA$8, U74&lt;= ($AA$7+$AA$8)), X74/V74, " ")</f>
        <v xml:space="preserve"> </v>
      </c>
      <c r="AD74" s="20">
        <f t="shared" si="3"/>
        <v>63</v>
      </c>
      <c r="AE74" s="5">
        <f t="shared" si="4"/>
        <v>0</v>
      </c>
      <c r="AF74" s="5">
        <f t="shared" si="5"/>
        <v>0</v>
      </c>
      <c r="AG74" s="5">
        <f t="shared" si="6"/>
        <v>0</v>
      </c>
      <c r="AH74" s="5">
        <f>IF(CreditAmort3BASE[[#This Row],[Month]]=AJ$8,AF$7,0)</f>
        <v>0</v>
      </c>
      <c r="AI74" s="13">
        <f t="shared" si="7"/>
        <v>0</v>
      </c>
      <c r="AJ74" s="6" t="str">
        <f t="shared" si="8"/>
        <v xml:space="preserve"> </v>
      </c>
      <c r="AK74" s="21" t="str">
        <f t="shared" si="9"/>
        <v xml:space="preserve"> </v>
      </c>
      <c r="AM74" s="20">
        <f t="shared" si="10"/>
        <v>63</v>
      </c>
      <c r="AN74" s="5">
        <f t="shared" si="11"/>
        <v>0</v>
      </c>
      <c r="AO74" s="5">
        <f t="shared" si="12"/>
        <v>0</v>
      </c>
      <c r="AP74" s="5">
        <f t="shared" si="13"/>
        <v>0</v>
      </c>
      <c r="AQ74" s="5">
        <f>IF(CreditAmort4BASE[[#This Row],[Month]]=AS$8,AO$7,0)</f>
        <v>0</v>
      </c>
      <c r="AR74" s="13">
        <f t="shared" si="14"/>
        <v>0</v>
      </c>
      <c r="AS74" s="6" t="str">
        <f t="shared" si="15"/>
        <v xml:space="preserve"> </v>
      </c>
      <c r="AT74" s="21" t="str">
        <f t="shared" si="16"/>
        <v xml:space="preserve"> </v>
      </c>
    </row>
    <row r="75" spans="3:46">
      <c r="C75" s="22">
        <f t="shared" si="1"/>
        <v>64</v>
      </c>
      <c r="D75" s="23">
        <f>IF(AND(C75&gt;='Amort. Sched.-BASE'!$I$8, C75&lt;= ($I$7+$I$8)), PMT('Amort. Sched.-BASE'!$E$8/12, 'Amort. Sched.-BASE'!$I$7, 'Amort. Sched.-BASE'!$E$7), 0)</f>
        <v>-1736.5864935892569</v>
      </c>
      <c r="E75" s="5">
        <f>IF(AND(C75&gt;='Amort. Sched.-BASE'!$I$8, C75&lt;= ($I$7+$I$8)), (IPMT($E$8/12, (C75-$I$8), $I$7, $E$7)), 0)</f>
        <v>-1377.0124726101658</v>
      </c>
      <c r="F75" s="23">
        <f>IF(AND(C75&gt;='Amort. Sched.-BASE'!$I$8, C75&lt;= ($I$7+$I$8)), (PPMT($E$8/12, (C75-$I$8), $I$7, $E$7)), 0)</f>
        <v>-359.57402097909119</v>
      </c>
      <c r="G75" s="5">
        <f>IF(MortgageAmortBASE[[#This Row],[Month]]=I$8,E$7,0)</f>
        <v>0</v>
      </c>
      <c r="H75" s="13">
        <f>IF(AND(C75&gt;='Amort. Sched.-BASE'!$I$8, C75&lt;= ($I$7+$I$8)), H74+F75, 0)</f>
        <v>206192.29687054572</v>
      </c>
      <c r="I75" s="24">
        <f>IF(AND(C75&gt;='Amort. Sched.-BASE'!$I$8, C75&lt;= ($I$7+$I$8)), E75/D75, " ")</f>
        <v>0.79294206058466632</v>
      </c>
      <c r="J75" s="25">
        <f>IF(AND(C75&gt;='Amort. Sched.-BASE'!$I$8, C75&lt;= ($I$7+$I$8)), F75/D75, " ")</f>
        <v>0.20705793941533374</v>
      </c>
      <c r="L75" s="20">
        <f t="shared" si="0"/>
        <v>64</v>
      </c>
      <c r="M75" s="5">
        <f>IF(AND(L75&gt;='Amort. Sched.-BASE'!$R$8, L75&lt;= ($R$7+$R$8)), PMT('Amort. Sched.-BASE'!$N$8/12, 'Amort. Sched.-BASE'!$R$7, 'Amort. Sched.-BASE'!$N$7), 0)</f>
        <v>0</v>
      </c>
      <c r="N75" s="5">
        <f>IF(AND(L75&gt;='Amort. Sched.-BASE'!$R$8, L75&lt;= ($R$7+$R$8)), (IPMT($N$8/12, (L75-$R$8), $R$7, $N$7)), 0)</f>
        <v>0</v>
      </c>
      <c r="O75" s="5">
        <f>IF(AND(L75&gt;='Amort. Sched.-BASE'!$R$8, L75&lt;= ($R$7+$R$8)), (PPMT($N$8/12, (L75-$R$8), $R$7, $N$7)), 0)</f>
        <v>0</v>
      </c>
      <c r="P75" s="5">
        <f>IF(CreditAmort1BASE[[#This Row],[Month]]=R$8,N$7,0)</f>
        <v>0</v>
      </c>
      <c r="Q75" s="13">
        <f>IF(AND(L75&gt;='Amort. Sched.-BASE'!$R$8, L75&lt;= ($R$7+$R$8)), Q74+O75, 0)</f>
        <v>0</v>
      </c>
      <c r="R75" s="6" t="str">
        <f>IF(AND(L75&gt;='Amort. Sched.-BASE'!$R$8, L75&lt;= ($R$7+$R$8)), N75/M75, " ")</f>
        <v xml:space="preserve"> </v>
      </c>
      <c r="S75" s="21" t="str">
        <f>IF(AND(L75&gt;='Amort. Sched.-BASE'!$R$8, L75&lt;= ($R$7+$R$8)), O75/M75, " ")</f>
        <v xml:space="preserve"> </v>
      </c>
      <c r="U75" s="20">
        <f t="shared" si="2"/>
        <v>64</v>
      </c>
      <c r="V75" s="5">
        <f>IF(AND(U75&gt;='Amort. Sched.-BASE'!$AA$8, U75&lt;= ($AA$7+$AA$8)), PMT('Amort. Sched.-BASE'!$W$8/12, 'Amort. Sched.-BASE'!$AA$7, 'Amort. Sched.-BASE'!$W$7), 0)</f>
        <v>0</v>
      </c>
      <c r="W75" s="5">
        <f>IF(AND(U75&gt;='Amort. Sched.-BASE'!$AA$8, U75&lt;= ($AA$7+$AA$8)), (IPMT($W$8/12, (U75-$AA$8), $AA$7, $W$7)), 0)</f>
        <v>0</v>
      </c>
      <c r="X75" s="5">
        <f>IF(AND(U75&gt;='Amort. Sched.-BASE'!$AA$8, U75&lt;= ($AA$7+$AA$8)), (PPMT($W$8/12, (U75-$AA$8), $AA$7, $W$7)), 0)</f>
        <v>0</v>
      </c>
      <c r="Y75" s="5">
        <f>IF(CreditAmort2BASE[[#This Row],[Month]]=AA$8,W$7,0)</f>
        <v>0</v>
      </c>
      <c r="Z75" s="13">
        <f>IF(AND(U75&gt;='Amort. Sched.-BASE'!$AA$8, U75&lt;= ($AA$7+$AA$8)), Z74+X75, 0)</f>
        <v>0</v>
      </c>
      <c r="AA75" s="6" t="str">
        <f>IF(AND(U75&gt;='Amort. Sched.-BASE'!$AA$8, U75&lt;= ($AA$7+$AA$8)), W75/V75, " ")</f>
        <v xml:space="preserve"> </v>
      </c>
      <c r="AB75" s="21" t="str">
        <f>IF(AND(U75&gt;='Amort. Sched.-BASE'!$AA$8, U75&lt;= ($AA$7+$AA$8)), X75/V75, " ")</f>
        <v xml:space="preserve"> </v>
      </c>
      <c r="AD75" s="20">
        <f t="shared" si="3"/>
        <v>64</v>
      </c>
      <c r="AE75" s="5">
        <f t="shared" si="4"/>
        <v>0</v>
      </c>
      <c r="AF75" s="5">
        <f t="shared" si="5"/>
        <v>0</v>
      </c>
      <c r="AG75" s="5">
        <f t="shared" si="6"/>
        <v>0</v>
      </c>
      <c r="AH75" s="5">
        <f>IF(CreditAmort3BASE[[#This Row],[Month]]=AJ$8,AF$7,0)</f>
        <v>0</v>
      </c>
      <c r="AI75" s="13">
        <f t="shared" si="7"/>
        <v>0</v>
      </c>
      <c r="AJ75" s="6" t="str">
        <f t="shared" si="8"/>
        <v xml:space="preserve"> </v>
      </c>
      <c r="AK75" s="21" t="str">
        <f t="shared" si="9"/>
        <v xml:space="preserve"> </v>
      </c>
      <c r="AM75" s="20">
        <f t="shared" si="10"/>
        <v>64</v>
      </c>
      <c r="AN75" s="5">
        <f t="shared" si="11"/>
        <v>0</v>
      </c>
      <c r="AO75" s="5">
        <f t="shared" si="12"/>
        <v>0</v>
      </c>
      <c r="AP75" s="5">
        <f t="shared" si="13"/>
        <v>0</v>
      </c>
      <c r="AQ75" s="5">
        <f>IF(CreditAmort4BASE[[#This Row],[Month]]=AS$8,AO$7,0)</f>
        <v>0</v>
      </c>
      <c r="AR75" s="13">
        <f t="shared" si="14"/>
        <v>0</v>
      </c>
      <c r="AS75" s="6" t="str">
        <f t="shared" si="15"/>
        <v xml:space="preserve"> </v>
      </c>
      <c r="AT75" s="21" t="str">
        <f t="shared" si="16"/>
        <v xml:space="preserve"> </v>
      </c>
    </row>
    <row r="76" spans="3:46">
      <c r="C76" s="22">
        <f t="shared" si="1"/>
        <v>65</v>
      </c>
      <c r="D76" s="23">
        <f>IF(AND(C76&gt;='Amort. Sched.-BASE'!$I$8, C76&lt;= ($I$7+$I$8)), PMT('Amort. Sched.-BASE'!$E$8/12, 'Amort. Sched.-BASE'!$I$7, 'Amort. Sched.-BASE'!$E$7), 0)</f>
        <v>-1736.5864935892569</v>
      </c>
      <c r="E76" s="5">
        <f>IF(AND(C76&gt;='Amort. Sched.-BASE'!$I$8, C76&lt;= ($I$7+$I$8)), (IPMT($E$8/12, (C76-$I$8), $I$7, $E$7)), 0)</f>
        <v>-1374.6153124703051</v>
      </c>
      <c r="F76" s="23">
        <f>IF(AND(C76&gt;='Amort. Sched.-BASE'!$I$8, C76&lt;= ($I$7+$I$8)), (PPMT($E$8/12, (C76-$I$8), $I$7, $E$7)), 0)</f>
        <v>-361.97118111895173</v>
      </c>
      <c r="G76" s="5">
        <f>IF(MortgageAmortBASE[[#This Row],[Month]]=I$8,E$7,0)</f>
        <v>0</v>
      </c>
      <c r="H76" s="13">
        <f>IF(AND(C76&gt;='Amort. Sched.-BASE'!$I$8, C76&lt;= ($I$7+$I$8)), H75+F76, 0)</f>
        <v>205830.32568942677</v>
      </c>
      <c r="I76" s="24">
        <f>IF(AND(C76&gt;='Amort. Sched.-BASE'!$I$8, C76&lt;= ($I$7+$I$8)), E76/D76, " ")</f>
        <v>0.79156167432189739</v>
      </c>
      <c r="J76" s="25">
        <f>IF(AND(C76&gt;='Amort. Sched.-BASE'!$I$8, C76&lt;= ($I$7+$I$8)), F76/D76, " ")</f>
        <v>0.20843832567810258</v>
      </c>
      <c r="L76" s="20">
        <f t="shared" si="0"/>
        <v>65</v>
      </c>
      <c r="M76" s="5">
        <f>IF(AND(L76&gt;='Amort. Sched.-BASE'!$R$8, L76&lt;= ($R$7+$R$8)), PMT('Amort. Sched.-BASE'!$N$8/12, 'Amort. Sched.-BASE'!$R$7, 'Amort. Sched.-BASE'!$N$7), 0)</f>
        <v>0</v>
      </c>
      <c r="N76" s="5">
        <f>IF(AND(L76&gt;='Amort. Sched.-BASE'!$R$8, L76&lt;= ($R$7+$R$8)), (IPMT($N$8/12, (L76-$R$8), $R$7, $N$7)), 0)</f>
        <v>0</v>
      </c>
      <c r="O76" s="5">
        <f>IF(AND(L76&gt;='Amort. Sched.-BASE'!$R$8, L76&lt;= ($R$7+$R$8)), (PPMT($N$8/12, (L76-$R$8), $R$7, $N$7)), 0)</f>
        <v>0</v>
      </c>
      <c r="P76" s="5">
        <f>IF(CreditAmort1BASE[[#This Row],[Month]]=R$8,N$7,0)</f>
        <v>0</v>
      </c>
      <c r="Q76" s="13">
        <f>IF(AND(L76&gt;='Amort. Sched.-BASE'!$R$8, L76&lt;= ($R$7+$R$8)), Q75+O76, 0)</f>
        <v>0</v>
      </c>
      <c r="R76" s="6" t="str">
        <f>IF(AND(L76&gt;='Amort. Sched.-BASE'!$R$8, L76&lt;= ($R$7+$R$8)), N76/M76, " ")</f>
        <v xml:space="preserve"> </v>
      </c>
      <c r="S76" s="21" t="str">
        <f>IF(AND(L76&gt;='Amort. Sched.-BASE'!$R$8, L76&lt;= ($R$7+$R$8)), O76/M76, " ")</f>
        <v xml:space="preserve"> </v>
      </c>
      <c r="U76" s="20">
        <f t="shared" si="2"/>
        <v>65</v>
      </c>
      <c r="V76" s="5">
        <f>IF(AND(U76&gt;='Amort. Sched.-BASE'!$AA$8, U76&lt;= ($AA$7+$AA$8)), PMT('Amort. Sched.-BASE'!$W$8/12, 'Amort. Sched.-BASE'!$AA$7, 'Amort. Sched.-BASE'!$W$7), 0)</f>
        <v>0</v>
      </c>
      <c r="W76" s="5">
        <f>IF(AND(U76&gt;='Amort. Sched.-BASE'!$AA$8, U76&lt;= ($AA$7+$AA$8)), (IPMT($W$8/12, (U76-$AA$8), $AA$7, $W$7)), 0)</f>
        <v>0</v>
      </c>
      <c r="X76" s="5">
        <f>IF(AND(U76&gt;='Amort. Sched.-BASE'!$AA$8, U76&lt;= ($AA$7+$AA$8)), (PPMT($W$8/12, (U76-$AA$8), $AA$7, $W$7)), 0)</f>
        <v>0</v>
      </c>
      <c r="Y76" s="5">
        <f>IF(CreditAmort2BASE[[#This Row],[Month]]=AA$8,W$7,0)</f>
        <v>0</v>
      </c>
      <c r="Z76" s="13">
        <f>IF(AND(U76&gt;='Amort. Sched.-BASE'!$AA$8, U76&lt;= ($AA$7+$AA$8)), Z75+X76, 0)</f>
        <v>0</v>
      </c>
      <c r="AA76" s="6" t="str">
        <f>IF(AND(U76&gt;='Amort. Sched.-BASE'!$AA$8, U76&lt;= ($AA$7+$AA$8)), W76/V76, " ")</f>
        <v xml:space="preserve"> </v>
      </c>
      <c r="AB76" s="21" t="str">
        <f>IF(AND(U76&gt;='Amort. Sched.-BASE'!$AA$8, U76&lt;= ($AA$7+$AA$8)), X76/V76, " ")</f>
        <v xml:space="preserve"> </v>
      </c>
      <c r="AD76" s="20">
        <f t="shared" si="3"/>
        <v>65</v>
      </c>
      <c r="AE76" s="5">
        <f t="shared" si="4"/>
        <v>0</v>
      </c>
      <c r="AF76" s="5">
        <f t="shared" si="5"/>
        <v>0</v>
      </c>
      <c r="AG76" s="5">
        <f t="shared" si="6"/>
        <v>0</v>
      </c>
      <c r="AH76" s="5">
        <f>IF(CreditAmort3BASE[[#This Row],[Month]]=AJ$8,AF$7,0)</f>
        <v>0</v>
      </c>
      <c r="AI76" s="13">
        <f t="shared" si="7"/>
        <v>0</v>
      </c>
      <c r="AJ76" s="6" t="str">
        <f t="shared" si="8"/>
        <v xml:space="preserve"> </v>
      </c>
      <c r="AK76" s="21" t="str">
        <f t="shared" si="9"/>
        <v xml:space="preserve"> </v>
      </c>
      <c r="AM76" s="20">
        <f t="shared" si="10"/>
        <v>65</v>
      </c>
      <c r="AN76" s="5">
        <f t="shared" si="11"/>
        <v>0</v>
      </c>
      <c r="AO76" s="5">
        <f t="shared" si="12"/>
        <v>0</v>
      </c>
      <c r="AP76" s="5">
        <f t="shared" si="13"/>
        <v>0</v>
      </c>
      <c r="AQ76" s="5">
        <f>IF(CreditAmort4BASE[[#This Row],[Month]]=AS$8,AO$7,0)</f>
        <v>0</v>
      </c>
      <c r="AR76" s="13">
        <f t="shared" si="14"/>
        <v>0</v>
      </c>
      <c r="AS76" s="6" t="str">
        <f t="shared" si="15"/>
        <v xml:space="preserve"> </v>
      </c>
      <c r="AT76" s="21" t="str">
        <f t="shared" si="16"/>
        <v xml:space="preserve"> </v>
      </c>
    </row>
    <row r="77" spans="3:46">
      <c r="C77" s="22">
        <f t="shared" ref="C77:C288" si="17">C76+1</f>
        <v>66</v>
      </c>
      <c r="D77" s="23">
        <f>IF(AND(C77&gt;='Amort. Sched.-BASE'!$I$8, C77&lt;= ($I$7+$I$8)), PMT('Amort. Sched.-BASE'!$E$8/12, 'Amort. Sched.-BASE'!$I$7, 'Amort. Sched.-BASE'!$E$7), 0)</f>
        <v>-1736.5864935892569</v>
      </c>
      <c r="E77" s="5">
        <f>IF(AND(C77&gt;='Amort. Sched.-BASE'!$I$8, C77&lt;= ($I$7+$I$8)), (IPMT($E$8/12, (C77-$I$8), $I$7, $E$7)), 0)</f>
        <v>-1372.2021712628455</v>
      </c>
      <c r="F77" s="23">
        <f>IF(AND(C77&gt;='Amort. Sched.-BASE'!$I$8, C77&lt;= ($I$7+$I$8)), (PPMT($E$8/12, (C77-$I$8), $I$7, $E$7)), 0)</f>
        <v>-364.38432232641139</v>
      </c>
      <c r="G77" s="5">
        <f>IF(MortgageAmortBASE[[#This Row],[Month]]=I$8,E$7,0)</f>
        <v>0</v>
      </c>
      <c r="H77" s="13">
        <f>IF(AND(C77&gt;='Amort. Sched.-BASE'!$I$8, C77&lt;= ($I$7+$I$8)), H76+F77, 0)</f>
        <v>205465.94136710037</v>
      </c>
      <c r="I77" s="24">
        <f>IF(AND(C77&gt;='Amort. Sched.-BASE'!$I$8, C77&lt;= ($I$7+$I$8)), E77/D77, " ")</f>
        <v>0.79017208548404338</v>
      </c>
      <c r="J77" s="25">
        <f>IF(AND(C77&gt;='Amort. Sched.-BASE'!$I$8, C77&lt;= ($I$7+$I$8)), F77/D77, " ")</f>
        <v>0.20982791451595659</v>
      </c>
      <c r="L77" s="20">
        <f t="shared" ref="L77:L140" si="18">L76+1</f>
        <v>66</v>
      </c>
      <c r="M77" s="5">
        <f>IF(AND(L77&gt;='Amort. Sched.-BASE'!$R$8, L77&lt;= ($R$7+$R$8)), PMT('Amort. Sched.-BASE'!$N$8/12, 'Amort. Sched.-BASE'!$R$7, 'Amort. Sched.-BASE'!$N$7), 0)</f>
        <v>0</v>
      </c>
      <c r="N77" s="5">
        <f>IF(AND(L77&gt;='Amort. Sched.-BASE'!$R$8, L77&lt;= ($R$7+$R$8)), (IPMT($N$8/12, (L77-$R$8), $R$7, $N$7)), 0)</f>
        <v>0</v>
      </c>
      <c r="O77" s="5">
        <f>IF(AND(L77&gt;='Amort. Sched.-BASE'!$R$8, L77&lt;= ($R$7+$R$8)), (PPMT($N$8/12, (L77-$R$8), $R$7, $N$7)), 0)</f>
        <v>0</v>
      </c>
      <c r="P77" s="5">
        <f>IF(CreditAmort1BASE[[#This Row],[Month]]=R$8,N$7,0)</f>
        <v>0</v>
      </c>
      <c r="Q77" s="13">
        <f>IF(AND(L77&gt;='Amort. Sched.-BASE'!$R$8, L77&lt;= ($R$7+$R$8)), Q76+O77, 0)</f>
        <v>0</v>
      </c>
      <c r="R77" s="6" t="str">
        <f>IF(AND(L77&gt;='Amort. Sched.-BASE'!$R$8, L77&lt;= ($R$7+$R$8)), N77/M77, " ")</f>
        <v xml:space="preserve"> </v>
      </c>
      <c r="S77" s="21" t="str">
        <f>IF(AND(L77&gt;='Amort. Sched.-BASE'!$R$8, L77&lt;= ($R$7+$R$8)), O77/M77, " ")</f>
        <v xml:space="preserve"> </v>
      </c>
      <c r="U77" s="20">
        <f t="shared" ref="U77:U140" si="19">U76+1</f>
        <v>66</v>
      </c>
      <c r="V77" s="5">
        <f>IF(AND(U77&gt;='Amort. Sched.-BASE'!$AA$8, U77&lt;= ($AA$7+$AA$8)), PMT('Amort. Sched.-BASE'!$W$8/12, 'Amort. Sched.-BASE'!$AA$7, 'Amort. Sched.-BASE'!$W$7), 0)</f>
        <v>0</v>
      </c>
      <c r="W77" s="5">
        <f>IF(AND(U77&gt;='Amort. Sched.-BASE'!$AA$8, U77&lt;= ($AA$7+$AA$8)), (IPMT($W$8/12, (U77-$AA$8), $AA$7, $W$7)), 0)</f>
        <v>0</v>
      </c>
      <c r="X77" s="5">
        <f>IF(AND(U77&gt;='Amort. Sched.-BASE'!$AA$8, U77&lt;= ($AA$7+$AA$8)), (PPMT($W$8/12, (U77-$AA$8), $AA$7, $W$7)), 0)</f>
        <v>0</v>
      </c>
      <c r="Y77" s="5">
        <f>IF(CreditAmort2BASE[[#This Row],[Month]]=AA$8,W$7,0)</f>
        <v>0</v>
      </c>
      <c r="Z77" s="13">
        <f>IF(AND(U77&gt;='Amort. Sched.-BASE'!$AA$8, U77&lt;= ($AA$7+$AA$8)), Z76+X77, 0)</f>
        <v>0</v>
      </c>
      <c r="AA77" s="6" t="str">
        <f>IF(AND(U77&gt;='Amort. Sched.-BASE'!$AA$8, U77&lt;= ($AA$7+$AA$8)), W77/V77, " ")</f>
        <v xml:space="preserve"> </v>
      </c>
      <c r="AB77" s="21" t="str">
        <f>IF(AND(U77&gt;='Amort. Sched.-BASE'!$AA$8, U77&lt;= ($AA$7+$AA$8)), X77/V77, " ")</f>
        <v xml:space="preserve"> </v>
      </c>
      <c r="AD77" s="20">
        <f t="shared" ref="AD77:AD140" si="20">AD76+1</f>
        <v>66</v>
      </c>
      <c r="AE77" s="5">
        <f t="shared" ref="AE77:AE140" si="21">IF(AND(AD77&gt;=$AJ$8, AD77&lt;= ($AJ$7+$AJ$8)), PMT($AF$8/12, $AJ$7, $AF$7), 0)</f>
        <v>0</v>
      </c>
      <c r="AF77" s="5">
        <f t="shared" ref="AF77:AF140" si="22">IF(AND(AD77&gt;=$AJ$8, AD77&lt;= ($AJ$7+$AJ$8)), (IPMT($AF$8/12, (AD77-$AJ$8), $AJ$7, $AF$7)), 0)</f>
        <v>0</v>
      </c>
      <c r="AG77" s="5">
        <f t="shared" ref="AG77:AG140" si="23">IF(AND(AD77&gt;=$AJ$8, AD77&lt;= ($AJ$7+$AJ$8)), (PPMT($AF$8/12, (AD77-$AJ$8), $AJ$7, $AF$7)), 0)</f>
        <v>0</v>
      </c>
      <c r="AH77" s="5">
        <f>IF(CreditAmort3BASE[[#This Row],[Month]]=AJ$8,AF$7,0)</f>
        <v>0</v>
      </c>
      <c r="AI77" s="13">
        <f t="shared" ref="AI77:AI140" si="24">IF(AND(AD77&gt;=$AJ$8, AD77&lt;= ($AJ$7+$AJ$8)), AI76+AG77, 0)</f>
        <v>0</v>
      </c>
      <c r="AJ77" s="6" t="str">
        <f t="shared" ref="AJ77:AJ140" si="25">IF(AND(AD77&gt;=$AJ$8, AD77&lt;= ($AJ$7+$AJ$8)), AF77/AE77, " ")</f>
        <v xml:space="preserve"> </v>
      </c>
      <c r="AK77" s="21" t="str">
        <f t="shared" ref="AK77:AK140" si="26">IF(AND(AD77&gt;=$AJ$8, AD77&lt;= ($AJ$7+$AJ$8)), AG77/AE77, " ")</f>
        <v xml:space="preserve"> </v>
      </c>
      <c r="AM77" s="20">
        <f t="shared" ref="AM77:AM140" si="27">AM76+1</f>
        <v>66</v>
      </c>
      <c r="AN77" s="5">
        <f t="shared" ref="AN77:AN140" si="28">IF(AND(AM77&gt;=$AS$8, AM77&lt;= ($AS$7+$AS$8)), PMT($AO$8/12, $AS$7, $AO$7), 0)</f>
        <v>0</v>
      </c>
      <c r="AO77" s="5">
        <f t="shared" ref="AO77:AO140" si="29">IF(AND(AM77&gt;=$AS$8, AM77&lt;= ($AS$7+$AS$8)), (IPMT($AO$8/12, (AM77-$AS$8), $AS$7, $AO$7)), 0)</f>
        <v>0</v>
      </c>
      <c r="AP77" s="5">
        <f t="shared" ref="AP77:AP140" si="30">IF(AND(AM77&gt;=$AS$8, AM77&lt;= ($AS$7+$AS$8)), (PPMT($AO$8/12, (AM77-$AS$8), $AS$7, $AO$7)), 0)</f>
        <v>0</v>
      </c>
      <c r="AQ77" s="5">
        <f>IF(CreditAmort4BASE[[#This Row],[Month]]=AS$8,AO$7,0)</f>
        <v>0</v>
      </c>
      <c r="AR77" s="13">
        <f t="shared" ref="AR77:AR140" si="31">IF(AND(AM77&gt;=$AS$8, AM77&lt;= ($AS$7+$AS$8)), AR76+AP77, 0)</f>
        <v>0</v>
      </c>
      <c r="AS77" s="6" t="str">
        <f t="shared" ref="AS77:AS140" si="32">IF(AND(AM77&gt;=$AS$8, AM77&lt;= ($AS$7+$AS$8)), AO77/AN77, " ")</f>
        <v xml:space="preserve"> </v>
      </c>
      <c r="AT77" s="21" t="str">
        <f t="shared" ref="AT77:AT140" si="33">IF(AND(AM77&gt;=$AS$8, AM77&lt;= ($AS$7+$AS$8)), AP77/AN77, " ")</f>
        <v xml:space="preserve"> </v>
      </c>
    </row>
    <row r="78" spans="3:46">
      <c r="C78" s="22">
        <f t="shared" si="17"/>
        <v>67</v>
      </c>
      <c r="D78" s="23">
        <f>IF(AND(C78&gt;='Amort. Sched.-BASE'!$I$8, C78&lt;= ($I$7+$I$8)), PMT('Amort. Sched.-BASE'!$E$8/12, 'Amort. Sched.-BASE'!$I$7, 'Amort. Sched.-BASE'!$E$7), 0)</f>
        <v>-1736.5864935892569</v>
      </c>
      <c r="E78" s="5">
        <f>IF(AND(C78&gt;='Amort. Sched.-BASE'!$I$8, C78&lt;= ($I$7+$I$8)), (IPMT($E$8/12, (C78-$I$8), $I$7, $E$7)), 0)</f>
        <v>-1369.7729424473362</v>
      </c>
      <c r="F78" s="23">
        <f>IF(AND(C78&gt;='Amort. Sched.-BASE'!$I$8, C78&lt;= ($I$7+$I$8)), (PPMT($E$8/12, (C78-$I$8), $I$7, $E$7)), 0)</f>
        <v>-366.81355114192081</v>
      </c>
      <c r="G78" s="5">
        <f>IF(MortgageAmortBASE[[#This Row],[Month]]=I$8,E$7,0)</f>
        <v>0</v>
      </c>
      <c r="H78" s="13">
        <f>IF(AND(C78&gt;='Amort. Sched.-BASE'!$I$8, C78&lt;= ($I$7+$I$8)), H77+F78, 0)</f>
        <v>205099.12781595846</v>
      </c>
      <c r="I78" s="24">
        <f>IF(AND(C78&gt;='Amort. Sched.-BASE'!$I$8, C78&lt;= ($I$7+$I$8)), E78/D78, " ")</f>
        <v>0.78877323272060373</v>
      </c>
      <c r="J78" s="25">
        <f>IF(AND(C78&gt;='Amort. Sched.-BASE'!$I$8, C78&lt;= ($I$7+$I$8)), F78/D78, " ")</f>
        <v>0.21122676727939632</v>
      </c>
      <c r="L78" s="20">
        <f t="shared" si="18"/>
        <v>67</v>
      </c>
      <c r="M78" s="5">
        <f>IF(AND(L78&gt;='Amort. Sched.-BASE'!$R$8, L78&lt;= ($R$7+$R$8)), PMT('Amort. Sched.-BASE'!$N$8/12, 'Amort. Sched.-BASE'!$R$7, 'Amort. Sched.-BASE'!$N$7), 0)</f>
        <v>0</v>
      </c>
      <c r="N78" s="5">
        <f>IF(AND(L78&gt;='Amort. Sched.-BASE'!$R$8, L78&lt;= ($R$7+$R$8)), (IPMT($N$8/12, (L78-$R$8), $R$7, $N$7)), 0)</f>
        <v>0</v>
      </c>
      <c r="O78" s="5">
        <f>IF(AND(L78&gt;='Amort. Sched.-BASE'!$R$8, L78&lt;= ($R$7+$R$8)), (PPMT($N$8/12, (L78-$R$8), $R$7, $N$7)), 0)</f>
        <v>0</v>
      </c>
      <c r="P78" s="5">
        <f>IF(CreditAmort1BASE[[#This Row],[Month]]=R$8,N$7,0)</f>
        <v>0</v>
      </c>
      <c r="Q78" s="13">
        <f>IF(AND(L78&gt;='Amort. Sched.-BASE'!$R$8, L78&lt;= ($R$7+$R$8)), Q77+O78, 0)</f>
        <v>0</v>
      </c>
      <c r="R78" s="6" t="str">
        <f>IF(AND(L78&gt;='Amort. Sched.-BASE'!$R$8, L78&lt;= ($R$7+$R$8)), N78/M78, " ")</f>
        <v xml:space="preserve"> </v>
      </c>
      <c r="S78" s="21" t="str">
        <f>IF(AND(L78&gt;='Amort. Sched.-BASE'!$R$8, L78&lt;= ($R$7+$R$8)), O78/M78, " ")</f>
        <v xml:space="preserve"> </v>
      </c>
      <c r="U78" s="20">
        <f t="shared" si="19"/>
        <v>67</v>
      </c>
      <c r="V78" s="5">
        <f>IF(AND(U78&gt;='Amort. Sched.-BASE'!$AA$8, U78&lt;= ($AA$7+$AA$8)), PMT('Amort. Sched.-BASE'!$W$8/12, 'Amort. Sched.-BASE'!$AA$7, 'Amort. Sched.-BASE'!$W$7), 0)</f>
        <v>0</v>
      </c>
      <c r="W78" s="5">
        <f>IF(AND(U78&gt;='Amort. Sched.-BASE'!$AA$8, U78&lt;= ($AA$7+$AA$8)), (IPMT($W$8/12, (U78-$AA$8), $AA$7, $W$7)), 0)</f>
        <v>0</v>
      </c>
      <c r="X78" s="5">
        <f>IF(AND(U78&gt;='Amort. Sched.-BASE'!$AA$8, U78&lt;= ($AA$7+$AA$8)), (PPMT($W$8/12, (U78-$AA$8), $AA$7, $W$7)), 0)</f>
        <v>0</v>
      </c>
      <c r="Y78" s="5">
        <f>IF(CreditAmort2BASE[[#This Row],[Month]]=AA$8,W$7,0)</f>
        <v>0</v>
      </c>
      <c r="Z78" s="13">
        <f>IF(AND(U78&gt;='Amort. Sched.-BASE'!$AA$8, U78&lt;= ($AA$7+$AA$8)), Z77+X78, 0)</f>
        <v>0</v>
      </c>
      <c r="AA78" s="6" t="str">
        <f>IF(AND(U78&gt;='Amort. Sched.-BASE'!$AA$8, U78&lt;= ($AA$7+$AA$8)), W78/V78, " ")</f>
        <v xml:space="preserve"> </v>
      </c>
      <c r="AB78" s="21" t="str">
        <f>IF(AND(U78&gt;='Amort. Sched.-BASE'!$AA$8, U78&lt;= ($AA$7+$AA$8)), X78/V78, " ")</f>
        <v xml:space="preserve"> </v>
      </c>
      <c r="AD78" s="20">
        <f t="shared" si="20"/>
        <v>67</v>
      </c>
      <c r="AE78" s="5">
        <f t="shared" si="21"/>
        <v>0</v>
      </c>
      <c r="AF78" s="5">
        <f t="shared" si="22"/>
        <v>0</v>
      </c>
      <c r="AG78" s="5">
        <f t="shared" si="23"/>
        <v>0</v>
      </c>
      <c r="AH78" s="5">
        <f>IF(CreditAmort3BASE[[#This Row],[Month]]=AJ$8,AF$7,0)</f>
        <v>0</v>
      </c>
      <c r="AI78" s="13">
        <f t="shared" si="24"/>
        <v>0</v>
      </c>
      <c r="AJ78" s="6" t="str">
        <f t="shared" si="25"/>
        <v xml:space="preserve"> </v>
      </c>
      <c r="AK78" s="21" t="str">
        <f t="shared" si="26"/>
        <v xml:space="preserve"> </v>
      </c>
      <c r="AM78" s="20">
        <f t="shared" si="27"/>
        <v>67</v>
      </c>
      <c r="AN78" s="5">
        <f t="shared" si="28"/>
        <v>0</v>
      </c>
      <c r="AO78" s="5">
        <f t="shared" si="29"/>
        <v>0</v>
      </c>
      <c r="AP78" s="5">
        <f t="shared" si="30"/>
        <v>0</v>
      </c>
      <c r="AQ78" s="5">
        <f>IF(CreditAmort4BASE[[#This Row],[Month]]=AS$8,AO$7,0)</f>
        <v>0</v>
      </c>
      <c r="AR78" s="13">
        <f t="shared" si="31"/>
        <v>0</v>
      </c>
      <c r="AS78" s="6" t="str">
        <f t="shared" si="32"/>
        <v xml:space="preserve"> </v>
      </c>
      <c r="AT78" s="21" t="str">
        <f t="shared" si="33"/>
        <v xml:space="preserve"> </v>
      </c>
    </row>
    <row r="79" spans="3:46">
      <c r="C79" s="22">
        <f t="shared" si="17"/>
        <v>68</v>
      </c>
      <c r="D79" s="23">
        <f>IF(AND(C79&gt;='Amort. Sched.-BASE'!$I$8, C79&lt;= ($I$7+$I$8)), PMT('Amort. Sched.-BASE'!$E$8/12, 'Amort. Sched.-BASE'!$I$7, 'Amort. Sched.-BASE'!$E$7), 0)</f>
        <v>-1736.5864935892569</v>
      </c>
      <c r="E79" s="5">
        <f>IF(AND(C79&gt;='Amort. Sched.-BASE'!$I$8, C79&lt;= ($I$7+$I$8)), (IPMT($E$8/12, (C79-$I$8), $I$7, $E$7)), 0)</f>
        <v>-1367.3275187730567</v>
      </c>
      <c r="F79" s="23">
        <f>IF(AND(C79&gt;='Amort. Sched.-BASE'!$I$8, C79&lt;= ($I$7+$I$8)), (PPMT($E$8/12, (C79-$I$8), $I$7, $E$7)), 0)</f>
        <v>-369.25897481620035</v>
      </c>
      <c r="G79" s="5">
        <f>IF(MortgageAmortBASE[[#This Row],[Month]]=I$8,E$7,0)</f>
        <v>0</v>
      </c>
      <c r="H79" s="13">
        <f>IF(AND(C79&gt;='Amort. Sched.-BASE'!$I$8, C79&lt;= ($I$7+$I$8)), H78+F79, 0)</f>
        <v>204729.86884114225</v>
      </c>
      <c r="I79" s="24">
        <f>IF(AND(C79&gt;='Amort. Sched.-BASE'!$I$8, C79&lt;= ($I$7+$I$8)), E79/D79, " ")</f>
        <v>0.78736505427207448</v>
      </c>
      <c r="J79" s="25">
        <f>IF(AND(C79&gt;='Amort. Sched.-BASE'!$I$8, C79&lt;= ($I$7+$I$8)), F79/D79, " ")</f>
        <v>0.21263494572792566</v>
      </c>
      <c r="L79" s="20">
        <f t="shared" si="18"/>
        <v>68</v>
      </c>
      <c r="M79" s="5">
        <f>IF(AND(L79&gt;='Amort. Sched.-BASE'!$R$8, L79&lt;= ($R$7+$R$8)), PMT('Amort. Sched.-BASE'!$N$8/12, 'Amort. Sched.-BASE'!$R$7, 'Amort. Sched.-BASE'!$N$7), 0)</f>
        <v>0</v>
      </c>
      <c r="N79" s="5">
        <f>IF(AND(L79&gt;='Amort. Sched.-BASE'!$R$8, L79&lt;= ($R$7+$R$8)), (IPMT($N$8/12, (L79-$R$8), $R$7, $N$7)), 0)</f>
        <v>0</v>
      </c>
      <c r="O79" s="5">
        <f>IF(AND(L79&gt;='Amort. Sched.-BASE'!$R$8, L79&lt;= ($R$7+$R$8)), (PPMT($N$8/12, (L79-$R$8), $R$7, $N$7)), 0)</f>
        <v>0</v>
      </c>
      <c r="P79" s="5">
        <f>IF(CreditAmort1BASE[[#This Row],[Month]]=R$8,N$7,0)</f>
        <v>0</v>
      </c>
      <c r="Q79" s="13">
        <f>IF(AND(L79&gt;='Amort. Sched.-BASE'!$R$8, L79&lt;= ($R$7+$R$8)), Q78+O79, 0)</f>
        <v>0</v>
      </c>
      <c r="R79" s="6" t="str">
        <f>IF(AND(L79&gt;='Amort. Sched.-BASE'!$R$8, L79&lt;= ($R$7+$R$8)), N79/M79, " ")</f>
        <v xml:space="preserve"> </v>
      </c>
      <c r="S79" s="21" t="str">
        <f>IF(AND(L79&gt;='Amort. Sched.-BASE'!$R$8, L79&lt;= ($R$7+$R$8)), O79/M79, " ")</f>
        <v xml:space="preserve"> </v>
      </c>
      <c r="U79" s="20">
        <f t="shared" si="19"/>
        <v>68</v>
      </c>
      <c r="V79" s="5">
        <f>IF(AND(U79&gt;='Amort. Sched.-BASE'!$AA$8, U79&lt;= ($AA$7+$AA$8)), PMT('Amort. Sched.-BASE'!$W$8/12, 'Amort. Sched.-BASE'!$AA$7, 'Amort. Sched.-BASE'!$W$7), 0)</f>
        <v>0</v>
      </c>
      <c r="W79" s="5">
        <f>IF(AND(U79&gt;='Amort. Sched.-BASE'!$AA$8, U79&lt;= ($AA$7+$AA$8)), (IPMT($W$8/12, (U79-$AA$8), $AA$7, $W$7)), 0)</f>
        <v>0</v>
      </c>
      <c r="X79" s="5">
        <f>IF(AND(U79&gt;='Amort. Sched.-BASE'!$AA$8, U79&lt;= ($AA$7+$AA$8)), (PPMT($W$8/12, (U79-$AA$8), $AA$7, $W$7)), 0)</f>
        <v>0</v>
      </c>
      <c r="Y79" s="5">
        <f>IF(CreditAmort2BASE[[#This Row],[Month]]=AA$8,W$7,0)</f>
        <v>0</v>
      </c>
      <c r="Z79" s="13">
        <f>IF(AND(U79&gt;='Amort. Sched.-BASE'!$AA$8, U79&lt;= ($AA$7+$AA$8)), Z78+X79, 0)</f>
        <v>0</v>
      </c>
      <c r="AA79" s="6" t="str">
        <f>IF(AND(U79&gt;='Amort. Sched.-BASE'!$AA$8, U79&lt;= ($AA$7+$AA$8)), W79/V79, " ")</f>
        <v xml:space="preserve"> </v>
      </c>
      <c r="AB79" s="21" t="str">
        <f>IF(AND(U79&gt;='Amort. Sched.-BASE'!$AA$8, U79&lt;= ($AA$7+$AA$8)), X79/V79, " ")</f>
        <v xml:space="preserve"> </v>
      </c>
      <c r="AD79" s="20">
        <f t="shared" si="20"/>
        <v>68</v>
      </c>
      <c r="AE79" s="5">
        <f t="shared" si="21"/>
        <v>0</v>
      </c>
      <c r="AF79" s="5">
        <f t="shared" si="22"/>
        <v>0</v>
      </c>
      <c r="AG79" s="5">
        <f t="shared" si="23"/>
        <v>0</v>
      </c>
      <c r="AH79" s="5">
        <f>IF(CreditAmort3BASE[[#This Row],[Month]]=AJ$8,AF$7,0)</f>
        <v>0</v>
      </c>
      <c r="AI79" s="13">
        <f t="shared" si="24"/>
        <v>0</v>
      </c>
      <c r="AJ79" s="6" t="str">
        <f t="shared" si="25"/>
        <v xml:space="preserve"> </v>
      </c>
      <c r="AK79" s="21" t="str">
        <f t="shared" si="26"/>
        <v xml:space="preserve"> </v>
      </c>
      <c r="AM79" s="20">
        <f t="shared" si="27"/>
        <v>68</v>
      </c>
      <c r="AN79" s="5">
        <f t="shared" si="28"/>
        <v>0</v>
      </c>
      <c r="AO79" s="5">
        <f t="shared" si="29"/>
        <v>0</v>
      </c>
      <c r="AP79" s="5">
        <f t="shared" si="30"/>
        <v>0</v>
      </c>
      <c r="AQ79" s="5">
        <f>IF(CreditAmort4BASE[[#This Row],[Month]]=AS$8,AO$7,0)</f>
        <v>0</v>
      </c>
      <c r="AR79" s="13">
        <f t="shared" si="31"/>
        <v>0</v>
      </c>
      <c r="AS79" s="6" t="str">
        <f t="shared" si="32"/>
        <v xml:space="preserve"> </v>
      </c>
      <c r="AT79" s="21" t="str">
        <f t="shared" si="33"/>
        <v xml:space="preserve"> </v>
      </c>
    </row>
    <row r="80" spans="3:46">
      <c r="C80" s="22">
        <f t="shared" si="17"/>
        <v>69</v>
      </c>
      <c r="D80" s="23">
        <f>IF(AND(C80&gt;='Amort. Sched.-BASE'!$I$8, C80&lt;= ($I$7+$I$8)), PMT('Amort. Sched.-BASE'!$E$8/12, 'Amort. Sched.-BASE'!$I$7, 'Amort. Sched.-BASE'!$E$7), 0)</f>
        <v>-1736.5864935892569</v>
      </c>
      <c r="E80" s="5">
        <f>IF(AND(C80&gt;='Amort. Sched.-BASE'!$I$8, C80&lt;= ($I$7+$I$8)), (IPMT($E$8/12, (C80-$I$8), $I$7, $E$7)), 0)</f>
        <v>-1364.8657922742818</v>
      </c>
      <c r="F80" s="23">
        <f>IF(AND(C80&gt;='Amort. Sched.-BASE'!$I$8, C80&lt;= ($I$7+$I$8)), (PPMT($E$8/12, (C80-$I$8), $I$7, $E$7)), 0)</f>
        <v>-371.72070131497497</v>
      </c>
      <c r="G80" s="5">
        <f>IF(MortgageAmortBASE[[#This Row],[Month]]=I$8,E$7,0)</f>
        <v>0</v>
      </c>
      <c r="H80" s="13">
        <f>IF(AND(C80&gt;='Amort. Sched.-BASE'!$I$8, C80&lt;= ($I$7+$I$8)), H79+F80, 0)</f>
        <v>204358.14813982727</v>
      </c>
      <c r="I80" s="24">
        <f>IF(AND(C80&gt;='Amort. Sched.-BASE'!$I$8, C80&lt;= ($I$7+$I$8)), E80/D80, " ")</f>
        <v>0.78594748796722147</v>
      </c>
      <c r="J80" s="25">
        <f>IF(AND(C80&gt;='Amort. Sched.-BASE'!$I$8, C80&lt;= ($I$7+$I$8)), F80/D80, " ")</f>
        <v>0.21405251203277847</v>
      </c>
      <c r="L80" s="20">
        <f t="shared" si="18"/>
        <v>69</v>
      </c>
      <c r="M80" s="5">
        <f>IF(AND(L80&gt;='Amort. Sched.-BASE'!$R$8, L80&lt;= ($R$7+$R$8)), PMT('Amort. Sched.-BASE'!$N$8/12, 'Amort. Sched.-BASE'!$R$7, 'Amort. Sched.-BASE'!$N$7), 0)</f>
        <v>0</v>
      </c>
      <c r="N80" s="5">
        <f>IF(AND(L80&gt;='Amort. Sched.-BASE'!$R$8, L80&lt;= ($R$7+$R$8)), (IPMT($N$8/12, (L80-$R$8), $R$7, $N$7)), 0)</f>
        <v>0</v>
      </c>
      <c r="O80" s="5">
        <f>IF(AND(L80&gt;='Amort. Sched.-BASE'!$R$8, L80&lt;= ($R$7+$R$8)), (PPMT($N$8/12, (L80-$R$8), $R$7, $N$7)), 0)</f>
        <v>0</v>
      </c>
      <c r="P80" s="5">
        <f>IF(CreditAmort1BASE[[#This Row],[Month]]=R$8,N$7,0)</f>
        <v>0</v>
      </c>
      <c r="Q80" s="13">
        <f>IF(AND(L80&gt;='Amort. Sched.-BASE'!$R$8, L80&lt;= ($R$7+$R$8)), Q79+O80, 0)</f>
        <v>0</v>
      </c>
      <c r="R80" s="6" t="str">
        <f>IF(AND(L80&gt;='Amort. Sched.-BASE'!$R$8, L80&lt;= ($R$7+$R$8)), N80/M80, " ")</f>
        <v xml:space="preserve"> </v>
      </c>
      <c r="S80" s="21" t="str">
        <f>IF(AND(L80&gt;='Amort. Sched.-BASE'!$R$8, L80&lt;= ($R$7+$R$8)), O80/M80, " ")</f>
        <v xml:space="preserve"> </v>
      </c>
      <c r="U80" s="20">
        <f t="shared" si="19"/>
        <v>69</v>
      </c>
      <c r="V80" s="5">
        <f>IF(AND(U80&gt;='Amort. Sched.-BASE'!$AA$8, U80&lt;= ($AA$7+$AA$8)), PMT('Amort. Sched.-BASE'!$W$8/12, 'Amort. Sched.-BASE'!$AA$7, 'Amort. Sched.-BASE'!$W$7), 0)</f>
        <v>0</v>
      </c>
      <c r="W80" s="5">
        <f>IF(AND(U80&gt;='Amort. Sched.-BASE'!$AA$8, U80&lt;= ($AA$7+$AA$8)), (IPMT($W$8/12, (U80-$AA$8), $AA$7, $W$7)), 0)</f>
        <v>0</v>
      </c>
      <c r="X80" s="5">
        <f>IF(AND(U80&gt;='Amort. Sched.-BASE'!$AA$8, U80&lt;= ($AA$7+$AA$8)), (PPMT($W$8/12, (U80-$AA$8), $AA$7, $W$7)), 0)</f>
        <v>0</v>
      </c>
      <c r="Y80" s="5">
        <f>IF(CreditAmort2BASE[[#This Row],[Month]]=AA$8,W$7,0)</f>
        <v>0</v>
      </c>
      <c r="Z80" s="13">
        <f>IF(AND(U80&gt;='Amort. Sched.-BASE'!$AA$8, U80&lt;= ($AA$7+$AA$8)), Z79+X80, 0)</f>
        <v>0</v>
      </c>
      <c r="AA80" s="6" t="str">
        <f>IF(AND(U80&gt;='Amort. Sched.-BASE'!$AA$8, U80&lt;= ($AA$7+$AA$8)), W80/V80, " ")</f>
        <v xml:space="preserve"> </v>
      </c>
      <c r="AB80" s="21" t="str">
        <f>IF(AND(U80&gt;='Amort. Sched.-BASE'!$AA$8, U80&lt;= ($AA$7+$AA$8)), X80/V80, " ")</f>
        <v xml:space="preserve"> </v>
      </c>
      <c r="AD80" s="20">
        <f t="shared" si="20"/>
        <v>69</v>
      </c>
      <c r="AE80" s="5">
        <f t="shared" si="21"/>
        <v>0</v>
      </c>
      <c r="AF80" s="5">
        <f t="shared" si="22"/>
        <v>0</v>
      </c>
      <c r="AG80" s="5">
        <f t="shared" si="23"/>
        <v>0</v>
      </c>
      <c r="AH80" s="5">
        <f>IF(CreditAmort3BASE[[#This Row],[Month]]=AJ$8,AF$7,0)</f>
        <v>0</v>
      </c>
      <c r="AI80" s="13">
        <f t="shared" si="24"/>
        <v>0</v>
      </c>
      <c r="AJ80" s="6" t="str">
        <f t="shared" si="25"/>
        <v xml:space="preserve"> </v>
      </c>
      <c r="AK80" s="21" t="str">
        <f t="shared" si="26"/>
        <v xml:space="preserve"> </v>
      </c>
      <c r="AM80" s="20">
        <f t="shared" si="27"/>
        <v>69</v>
      </c>
      <c r="AN80" s="5">
        <f t="shared" si="28"/>
        <v>0</v>
      </c>
      <c r="AO80" s="5">
        <f t="shared" si="29"/>
        <v>0</v>
      </c>
      <c r="AP80" s="5">
        <f t="shared" si="30"/>
        <v>0</v>
      </c>
      <c r="AQ80" s="5">
        <f>IF(CreditAmort4BASE[[#This Row],[Month]]=AS$8,AO$7,0)</f>
        <v>0</v>
      </c>
      <c r="AR80" s="13">
        <f t="shared" si="31"/>
        <v>0</v>
      </c>
      <c r="AS80" s="6" t="str">
        <f t="shared" si="32"/>
        <v xml:space="preserve"> </v>
      </c>
      <c r="AT80" s="21" t="str">
        <f t="shared" si="33"/>
        <v xml:space="preserve"> </v>
      </c>
    </row>
    <row r="81" spans="3:46">
      <c r="C81" s="22">
        <f t="shared" si="17"/>
        <v>70</v>
      </c>
      <c r="D81" s="23">
        <f>IF(AND(C81&gt;='Amort. Sched.-BASE'!$I$8, C81&lt;= ($I$7+$I$8)), PMT('Amort. Sched.-BASE'!$E$8/12, 'Amort. Sched.-BASE'!$I$7, 'Amort. Sched.-BASE'!$E$7), 0)</f>
        <v>-1736.5864935892569</v>
      </c>
      <c r="E81" s="5">
        <f>IF(AND(C81&gt;='Amort. Sched.-BASE'!$I$8, C81&lt;= ($I$7+$I$8)), (IPMT($E$8/12, (C81-$I$8), $I$7, $E$7)), 0)</f>
        <v>-1362.3876542655155</v>
      </c>
      <c r="F81" s="23">
        <f>IF(AND(C81&gt;='Amort. Sched.-BASE'!$I$8, C81&lt;= ($I$7+$I$8)), (PPMT($E$8/12, (C81-$I$8), $I$7, $E$7)), 0)</f>
        <v>-374.19883932374148</v>
      </c>
      <c r="G81" s="5">
        <f>IF(MortgageAmortBASE[[#This Row],[Month]]=I$8,E$7,0)</f>
        <v>0</v>
      </c>
      <c r="H81" s="13">
        <f>IF(AND(C81&gt;='Amort. Sched.-BASE'!$I$8, C81&lt;= ($I$7+$I$8)), H80+F81, 0)</f>
        <v>203983.94930050353</v>
      </c>
      <c r="I81" s="24">
        <f>IF(AND(C81&gt;='Amort. Sched.-BASE'!$I$8, C81&lt;= ($I$7+$I$8)), E81/D81, " ")</f>
        <v>0.78452047122033641</v>
      </c>
      <c r="J81" s="25">
        <f>IF(AND(C81&gt;='Amort. Sched.-BASE'!$I$8, C81&lt;= ($I$7+$I$8)), F81/D81, " ")</f>
        <v>0.21547952877966367</v>
      </c>
      <c r="L81" s="20">
        <f t="shared" si="18"/>
        <v>70</v>
      </c>
      <c r="M81" s="5">
        <f>IF(AND(L81&gt;='Amort. Sched.-BASE'!$R$8, L81&lt;= ($R$7+$R$8)), PMT('Amort. Sched.-BASE'!$N$8/12, 'Amort. Sched.-BASE'!$R$7, 'Amort. Sched.-BASE'!$N$7), 0)</f>
        <v>0</v>
      </c>
      <c r="N81" s="5">
        <f>IF(AND(L81&gt;='Amort. Sched.-BASE'!$R$8, L81&lt;= ($R$7+$R$8)), (IPMT($N$8/12, (L81-$R$8), $R$7, $N$7)), 0)</f>
        <v>0</v>
      </c>
      <c r="O81" s="5">
        <f>IF(AND(L81&gt;='Amort. Sched.-BASE'!$R$8, L81&lt;= ($R$7+$R$8)), (PPMT($N$8/12, (L81-$R$8), $R$7, $N$7)), 0)</f>
        <v>0</v>
      </c>
      <c r="P81" s="5">
        <f>IF(CreditAmort1BASE[[#This Row],[Month]]=R$8,N$7,0)</f>
        <v>0</v>
      </c>
      <c r="Q81" s="13">
        <f>IF(AND(L81&gt;='Amort. Sched.-BASE'!$R$8, L81&lt;= ($R$7+$R$8)), Q80+O81, 0)</f>
        <v>0</v>
      </c>
      <c r="R81" s="6" t="str">
        <f>IF(AND(L81&gt;='Amort. Sched.-BASE'!$R$8, L81&lt;= ($R$7+$R$8)), N81/M81, " ")</f>
        <v xml:space="preserve"> </v>
      </c>
      <c r="S81" s="21" t="str">
        <f>IF(AND(L81&gt;='Amort. Sched.-BASE'!$R$8, L81&lt;= ($R$7+$R$8)), O81/M81, " ")</f>
        <v xml:space="preserve"> </v>
      </c>
      <c r="U81" s="20">
        <f t="shared" si="19"/>
        <v>70</v>
      </c>
      <c r="V81" s="5">
        <f>IF(AND(U81&gt;='Amort. Sched.-BASE'!$AA$8, U81&lt;= ($AA$7+$AA$8)), PMT('Amort. Sched.-BASE'!$W$8/12, 'Amort. Sched.-BASE'!$AA$7, 'Amort. Sched.-BASE'!$W$7), 0)</f>
        <v>0</v>
      </c>
      <c r="W81" s="5">
        <f>IF(AND(U81&gt;='Amort. Sched.-BASE'!$AA$8, U81&lt;= ($AA$7+$AA$8)), (IPMT($W$8/12, (U81-$AA$8), $AA$7, $W$7)), 0)</f>
        <v>0</v>
      </c>
      <c r="X81" s="5">
        <f>IF(AND(U81&gt;='Amort. Sched.-BASE'!$AA$8, U81&lt;= ($AA$7+$AA$8)), (PPMT($W$8/12, (U81-$AA$8), $AA$7, $W$7)), 0)</f>
        <v>0</v>
      </c>
      <c r="Y81" s="5">
        <f>IF(CreditAmort2BASE[[#This Row],[Month]]=AA$8,W$7,0)</f>
        <v>0</v>
      </c>
      <c r="Z81" s="13">
        <f>IF(AND(U81&gt;='Amort. Sched.-BASE'!$AA$8, U81&lt;= ($AA$7+$AA$8)), Z80+X81, 0)</f>
        <v>0</v>
      </c>
      <c r="AA81" s="6" t="str">
        <f>IF(AND(U81&gt;='Amort. Sched.-BASE'!$AA$8, U81&lt;= ($AA$7+$AA$8)), W81/V81, " ")</f>
        <v xml:space="preserve"> </v>
      </c>
      <c r="AB81" s="21" t="str">
        <f>IF(AND(U81&gt;='Amort. Sched.-BASE'!$AA$8, U81&lt;= ($AA$7+$AA$8)), X81/V81, " ")</f>
        <v xml:space="preserve"> </v>
      </c>
      <c r="AD81" s="20">
        <f t="shared" si="20"/>
        <v>70</v>
      </c>
      <c r="AE81" s="5">
        <f t="shared" si="21"/>
        <v>0</v>
      </c>
      <c r="AF81" s="5">
        <f t="shared" si="22"/>
        <v>0</v>
      </c>
      <c r="AG81" s="5">
        <f t="shared" si="23"/>
        <v>0</v>
      </c>
      <c r="AH81" s="5">
        <f>IF(CreditAmort3BASE[[#This Row],[Month]]=AJ$8,AF$7,0)</f>
        <v>0</v>
      </c>
      <c r="AI81" s="13">
        <f t="shared" si="24"/>
        <v>0</v>
      </c>
      <c r="AJ81" s="6" t="str">
        <f t="shared" si="25"/>
        <v xml:space="preserve"> </v>
      </c>
      <c r="AK81" s="21" t="str">
        <f t="shared" si="26"/>
        <v xml:space="preserve"> </v>
      </c>
      <c r="AM81" s="20">
        <f t="shared" si="27"/>
        <v>70</v>
      </c>
      <c r="AN81" s="5">
        <f t="shared" si="28"/>
        <v>0</v>
      </c>
      <c r="AO81" s="5">
        <f t="shared" si="29"/>
        <v>0</v>
      </c>
      <c r="AP81" s="5">
        <f t="shared" si="30"/>
        <v>0</v>
      </c>
      <c r="AQ81" s="5">
        <f>IF(CreditAmort4BASE[[#This Row],[Month]]=AS$8,AO$7,0)</f>
        <v>0</v>
      </c>
      <c r="AR81" s="13">
        <f t="shared" si="31"/>
        <v>0</v>
      </c>
      <c r="AS81" s="6" t="str">
        <f t="shared" si="32"/>
        <v xml:space="preserve"> </v>
      </c>
      <c r="AT81" s="21" t="str">
        <f t="shared" si="33"/>
        <v xml:space="preserve"> </v>
      </c>
    </row>
    <row r="82" spans="3:46">
      <c r="C82" s="22">
        <f t="shared" si="17"/>
        <v>71</v>
      </c>
      <c r="D82" s="23">
        <f>IF(AND(C82&gt;='Amort. Sched.-BASE'!$I$8, C82&lt;= ($I$7+$I$8)), PMT('Amort. Sched.-BASE'!$E$8/12, 'Amort. Sched.-BASE'!$I$7, 'Amort. Sched.-BASE'!$E$7), 0)</f>
        <v>-1736.5864935892569</v>
      </c>
      <c r="E82" s="5">
        <f>IF(AND(C82&gt;='Amort. Sched.-BASE'!$I$8, C82&lt;= ($I$7+$I$8)), (IPMT($E$8/12, (C82-$I$8), $I$7, $E$7)), 0)</f>
        <v>-1359.8929953366905</v>
      </c>
      <c r="F82" s="23">
        <f>IF(AND(C82&gt;='Amort. Sched.-BASE'!$I$8, C82&lt;= ($I$7+$I$8)), (PPMT($E$8/12, (C82-$I$8), $I$7, $E$7)), 0)</f>
        <v>-376.69349825256643</v>
      </c>
      <c r="G82" s="5">
        <f>IF(MortgageAmortBASE[[#This Row],[Month]]=I$8,E$7,0)</f>
        <v>0</v>
      </c>
      <c r="H82" s="13">
        <f>IF(AND(C82&gt;='Amort. Sched.-BASE'!$I$8, C82&lt;= ($I$7+$I$8)), H81+F82, 0)</f>
        <v>203607.25580225096</v>
      </c>
      <c r="I82" s="24">
        <f>IF(AND(C82&gt;='Amort. Sched.-BASE'!$I$8, C82&lt;= ($I$7+$I$8)), E82/D82, " ")</f>
        <v>0.78308394102847201</v>
      </c>
      <c r="J82" s="25">
        <f>IF(AND(C82&gt;='Amort. Sched.-BASE'!$I$8, C82&lt;= ($I$7+$I$8)), F82/D82, " ")</f>
        <v>0.2169160589715281</v>
      </c>
      <c r="L82" s="20">
        <f t="shared" si="18"/>
        <v>71</v>
      </c>
      <c r="M82" s="5">
        <f>IF(AND(L82&gt;='Amort. Sched.-BASE'!$R$8, L82&lt;= ($R$7+$R$8)), PMT('Amort. Sched.-BASE'!$N$8/12, 'Amort. Sched.-BASE'!$R$7, 'Amort. Sched.-BASE'!$N$7), 0)</f>
        <v>0</v>
      </c>
      <c r="N82" s="5">
        <f>IF(AND(L82&gt;='Amort. Sched.-BASE'!$R$8, L82&lt;= ($R$7+$R$8)), (IPMT($N$8/12, (L82-$R$8), $R$7, $N$7)), 0)</f>
        <v>0</v>
      </c>
      <c r="O82" s="5">
        <f>IF(AND(L82&gt;='Amort. Sched.-BASE'!$R$8, L82&lt;= ($R$7+$R$8)), (PPMT($N$8/12, (L82-$R$8), $R$7, $N$7)), 0)</f>
        <v>0</v>
      </c>
      <c r="P82" s="5">
        <f>IF(CreditAmort1BASE[[#This Row],[Month]]=R$8,N$7,0)</f>
        <v>0</v>
      </c>
      <c r="Q82" s="13">
        <f>IF(AND(L82&gt;='Amort. Sched.-BASE'!$R$8, L82&lt;= ($R$7+$R$8)), Q81+O82, 0)</f>
        <v>0</v>
      </c>
      <c r="R82" s="6" t="str">
        <f>IF(AND(L82&gt;='Amort. Sched.-BASE'!$R$8, L82&lt;= ($R$7+$R$8)), N82/M82, " ")</f>
        <v xml:space="preserve"> </v>
      </c>
      <c r="S82" s="21" t="str">
        <f>IF(AND(L82&gt;='Amort. Sched.-BASE'!$R$8, L82&lt;= ($R$7+$R$8)), O82/M82, " ")</f>
        <v xml:space="preserve"> </v>
      </c>
      <c r="U82" s="20">
        <f t="shared" si="19"/>
        <v>71</v>
      </c>
      <c r="V82" s="5">
        <f>IF(AND(U82&gt;='Amort. Sched.-BASE'!$AA$8, U82&lt;= ($AA$7+$AA$8)), PMT('Amort. Sched.-BASE'!$W$8/12, 'Amort. Sched.-BASE'!$AA$7, 'Amort. Sched.-BASE'!$W$7), 0)</f>
        <v>0</v>
      </c>
      <c r="W82" s="5">
        <f>IF(AND(U82&gt;='Amort. Sched.-BASE'!$AA$8, U82&lt;= ($AA$7+$AA$8)), (IPMT($W$8/12, (U82-$AA$8), $AA$7, $W$7)), 0)</f>
        <v>0</v>
      </c>
      <c r="X82" s="5">
        <f>IF(AND(U82&gt;='Amort. Sched.-BASE'!$AA$8, U82&lt;= ($AA$7+$AA$8)), (PPMT($W$8/12, (U82-$AA$8), $AA$7, $W$7)), 0)</f>
        <v>0</v>
      </c>
      <c r="Y82" s="5">
        <f>IF(CreditAmort2BASE[[#This Row],[Month]]=AA$8,W$7,0)</f>
        <v>0</v>
      </c>
      <c r="Z82" s="13">
        <f>IF(AND(U82&gt;='Amort. Sched.-BASE'!$AA$8, U82&lt;= ($AA$7+$AA$8)), Z81+X82, 0)</f>
        <v>0</v>
      </c>
      <c r="AA82" s="6" t="str">
        <f>IF(AND(U82&gt;='Amort. Sched.-BASE'!$AA$8, U82&lt;= ($AA$7+$AA$8)), W82/V82, " ")</f>
        <v xml:space="preserve"> </v>
      </c>
      <c r="AB82" s="21" t="str">
        <f>IF(AND(U82&gt;='Amort. Sched.-BASE'!$AA$8, U82&lt;= ($AA$7+$AA$8)), X82/V82, " ")</f>
        <v xml:space="preserve"> </v>
      </c>
      <c r="AD82" s="20">
        <f t="shared" si="20"/>
        <v>71</v>
      </c>
      <c r="AE82" s="5">
        <f t="shared" si="21"/>
        <v>0</v>
      </c>
      <c r="AF82" s="5">
        <f t="shared" si="22"/>
        <v>0</v>
      </c>
      <c r="AG82" s="5">
        <f t="shared" si="23"/>
        <v>0</v>
      </c>
      <c r="AH82" s="5">
        <f>IF(CreditAmort3BASE[[#This Row],[Month]]=AJ$8,AF$7,0)</f>
        <v>0</v>
      </c>
      <c r="AI82" s="13">
        <f t="shared" si="24"/>
        <v>0</v>
      </c>
      <c r="AJ82" s="6" t="str">
        <f t="shared" si="25"/>
        <v xml:space="preserve"> </v>
      </c>
      <c r="AK82" s="21" t="str">
        <f t="shared" si="26"/>
        <v xml:space="preserve"> </v>
      </c>
      <c r="AM82" s="20">
        <f t="shared" si="27"/>
        <v>71</v>
      </c>
      <c r="AN82" s="5">
        <f t="shared" si="28"/>
        <v>0</v>
      </c>
      <c r="AO82" s="5">
        <f t="shared" si="29"/>
        <v>0</v>
      </c>
      <c r="AP82" s="5">
        <f t="shared" si="30"/>
        <v>0</v>
      </c>
      <c r="AQ82" s="5">
        <f>IF(CreditAmort4BASE[[#This Row],[Month]]=AS$8,AO$7,0)</f>
        <v>0</v>
      </c>
      <c r="AR82" s="13">
        <f t="shared" si="31"/>
        <v>0</v>
      </c>
      <c r="AS82" s="6" t="str">
        <f t="shared" si="32"/>
        <v xml:space="preserve"> </v>
      </c>
      <c r="AT82" s="21" t="str">
        <f t="shared" si="33"/>
        <v xml:space="preserve"> </v>
      </c>
    </row>
    <row r="83" spans="3:46">
      <c r="C83" s="22">
        <f t="shared" si="17"/>
        <v>72</v>
      </c>
      <c r="D83" s="23">
        <f>IF(AND(C83&gt;='Amort. Sched.-BASE'!$I$8, C83&lt;= ($I$7+$I$8)), PMT('Amort. Sched.-BASE'!$E$8/12, 'Amort. Sched.-BASE'!$I$7, 'Amort. Sched.-BASE'!$E$7), 0)</f>
        <v>-1736.5864935892569</v>
      </c>
      <c r="E83" s="5">
        <f>IF(AND(C83&gt;='Amort. Sched.-BASE'!$I$8, C83&lt;= ($I$7+$I$8)), (IPMT($E$8/12, (C83-$I$8), $I$7, $E$7)), 0)</f>
        <v>-1357.3817053483401</v>
      </c>
      <c r="F83" s="23">
        <f>IF(AND(C83&gt;='Amort. Sched.-BASE'!$I$8, C83&lt;= ($I$7+$I$8)), (PPMT($E$8/12, (C83-$I$8), $I$7, $E$7)), 0)</f>
        <v>-379.20478824091686</v>
      </c>
      <c r="G83" s="5">
        <f>IF(MortgageAmortBASE[[#This Row],[Month]]=I$8,E$7,0)</f>
        <v>0</v>
      </c>
      <c r="H83" s="13">
        <f>IF(AND(C83&gt;='Amort. Sched.-BASE'!$I$8, C83&lt;= ($I$7+$I$8)), H82+F83, 0)</f>
        <v>203228.05101401004</v>
      </c>
      <c r="I83" s="24">
        <f>IF(AND(C83&gt;='Amort. Sched.-BASE'!$I$8, C83&lt;= ($I$7+$I$8)), E83/D83, " ")</f>
        <v>0.78163783396866182</v>
      </c>
      <c r="J83" s="25">
        <f>IF(AND(C83&gt;='Amort. Sched.-BASE'!$I$8, C83&lt;= ($I$7+$I$8)), F83/D83, " ")</f>
        <v>0.21836216603133826</v>
      </c>
      <c r="L83" s="20">
        <f t="shared" si="18"/>
        <v>72</v>
      </c>
      <c r="M83" s="5">
        <f>IF(AND(L83&gt;='Amort. Sched.-BASE'!$R$8, L83&lt;= ($R$7+$R$8)), PMT('Amort. Sched.-BASE'!$N$8/12, 'Amort. Sched.-BASE'!$R$7, 'Amort. Sched.-BASE'!$N$7), 0)</f>
        <v>0</v>
      </c>
      <c r="N83" s="5">
        <f>IF(AND(L83&gt;='Amort. Sched.-BASE'!$R$8, L83&lt;= ($R$7+$R$8)), (IPMT($N$8/12, (L83-$R$8), $R$7, $N$7)), 0)</f>
        <v>0</v>
      </c>
      <c r="O83" s="5">
        <f>IF(AND(L83&gt;='Amort. Sched.-BASE'!$R$8, L83&lt;= ($R$7+$R$8)), (PPMT($N$8/12, (L83-$R$8), $R$7, $N$7)), 0)</f>
        <v>0</v>
      </c>
      <c r="P83" s="5">
        <f>IF(CreditAmort1BASE[[#This Row],[Month]]=R$8,N$7,0)</f>
        <v>0</v>
      </c>
      <c r="Q83" s="13">
        <f>IF(AND(L83&gt;='Amort. Sched.-BASE'!$R$8, L83&lt;= ($R$7+$R$8)), Q82+O83, 0)</f>
        <v>0</v>
      </c>
      <c r="R83" s="6" t="str">
        <f>IF(AND(L83&gt;='Amort. Sched.-BASE'!$R$8, L83&lt;= ($R$7+$R$8)), N83/M83, " ")</f>
        <v xml:space="preserve"> </v>
      </c>
      <c r="S83" s="21" t="str">
        <f>IF(AND(L83&gt;='Amort. Sched.-BASE'!$R$8, L83&lt;= ($R$7+$R$8)), O83/M83, " ")</f>
        <v xml:space="preserve"> </v>
      </c>
      <c r="U83" s="20">
        <f t="shared" si="19"/>
        <v>72</v>
      </c>
      <c r="V83" s="5">
        <f>IF(AND(U83&gt;='Amort. Sched.-BASE'!$AA$8, U83&lt;= ($AA$7+$AA$8)), PMT('Amort. Sched.-BASE'!$W$8/12, 'Amort. Sched.-BASE'!$AA$7, 'Amort. Sched.-BASE'!$W$7), 0)</f>
        <v>0</v>
      </c>
      <c r="W83" s="5">
        <f>IF(AND(U83&gt;='Amort. Sched.-BASE'!$AA$8, U83&lt;= ($AA$7+$AA$8)), (IPMT($W$8/12, (U83-$AA$8), $AA$7, $W$7)), 0)</f>
        <v>0</v>
      </c>
      <c r="X83" s="5">
        <f>IF(AND(U83&gt;='Amort. Sched.-BASE'!$AA$8, U83&lt;= ($AA$7+$AA$8)), (PPMT($W$8/12, (U83-$AA$8), $AA$7, $W$7)), 0)</f>
        <v>0</v>
      </c>
      <c r="Y83" s="5">
        <f>IF(CreditAmort2BASE[[#This Row],[Month]]=AA$8,W$7,0)</f>
        <v>0</v>
      </c>
      <c r="Z83" s="13">
        <f>IF(AND(U83&gt;='Amort. Sched.-BASE'!$AA$8, U83&lt;= ($AA$7+$AA$8)), Z82+X83, 0)</f>
        <v>0</v>
      </c>
      <c r="AA83" s="6" t="str">
        <f>IF(AND(U83&gt;='Amort. Sched.-BASE'!$AA$8, U83&lt;= ($AA$7+$AA$8)), W83/V83, " ")</f>
        <v xml:space="preserve"> </v>
      </c>
      <c r="AB83" s="21" t="str">
        <f>IF(AND(U83&gt;='Amort. Sched.-BASE'!$AA$8, U83&lt;= ($AA$7+$AA$8)), X83/V83, " ")</f>
        <v xml:space="preserve"> </v>
      </c>
      <c r="AD83" s="20">
        <f t="shared" si="20"/>
        <v>72</v>
      </c>
      <c r="AE83" s="5">
        <f t="shared" si="21"/>
        <v>0</v>
      </c>
      <c r="AF83" s="5">
        <f t="shared" si="22"/>
        <v>0</v>
      </c>
      <c r="AG83" s="5">
        <f t="shared" si="23"/>
        <v>0</v>
      </c>
      <c r="AH83" s="5">
        <f>IF(CreditAmort3BASE[[#This Row],[Month]]=AJ$8,AF$7,0)</f>
        <v>0</v>
      </c>
      <c r="AI83" s="13">
        <f t="shared" si="24"/>
        <v>0</v>
      </c>
      <c r="AJ83" s="6" t="str">
        <f t="shared" si="25"/>
        <v xml:space="preserve"> </v>
      </c>
      <c r="AK83" s="21" t="str">
        <f t="shared" si="26"/>
        <v xml:space="preserve"> </v>
      </c>
      <c r="AM83" s="20">
        <f t="shared" si="27"/>
        <v>72</v>
      </c>
      <c r="AN83" s="5">
        <f t="shared" si="28"/>
        <v>0</v>
      </c>
      <c r="AO83" s="5">
        <f t="shared" si="29"/>
        <v>0</v>
      </c>
      <c r="AP83" s="5">
        <f t="shared" si="30"/>
        <v>0</v>
      </c>
      <c r="AQ83" s="5">
        <f>IF(CreditAmort4BASE[[#This Row],[Month]]=AS$8,AO$7,0)</f>
        <v>0</v>
      </c>
      <c r="AR83" s="13">
        <f t="shared" si="31"/>
        <v>0</v>
      </c>
      <c r="AS83" s="6" t="str">
        <f t="shared" si="32"/>
        <v xml:space="preserve"> </v>
      </c>
      <c r="AT83" s="21" t="str">
        <f t="shared" si="33"/>
        <v xml:space="preserve"> </v>
      </c>
    </row>
    <row r="84" spans="3:46">
      <c r="C84" s="22">
        <f t="shared" si="17"/>
        <v>73</v>
      </c>
      <c r="D84" s="23">
        <f>IF(AND(C84&gt;='Amort. Sched.-BASE'!$I$8, C84&lt;= ($I$7+$I$8)), PMT('Amort. Sched.-BASE'!$E$8/12, 'Amort. Sched.-BASE'!$I$7, 'Amort. Sched.-BASE'!$E$7), 0)</f>
        <v>-1736.5864935892569</v>
      </c>
      <c r="E84" s="5">
        <f>IF(AND(C84&gt;='Amort. Sched.-BASE'!$I$8, C84&lt;= ($I$7+$I$8)), (IPMT($E$8/12, (C84-$I$8), $I$7, $E$7)), 0)</f>
        <v>-1354.8536734267341</v>
      </c>
      <c r="F84" s="23">
        <f>IF(AND(C84&gt;='Amort. Sched.-BASE'!$I$8, C84&lt;= ($I$7+$I$8)), (PPMT($E$8/12, (C84-$I$8), $I$7, $E$7)), 0)</f>
        <v>-381.73282016252296</v>
      </c>
      <c r="G84" s="5">
        <f>IF(MortgageAmortBASE[[#This Row],[Month]]=I$8,E$7,0)</f>
        <v>0</v>
      </c>
      <c r="H84" s="13">
        <f>IF(AND(C84&gt;='Amort. Sched.-BASE'!$I$8, C84&lt;= ($I$7+$I$8)), H83+F84, 0)</f>
        <v>202846.31819384752</v>
      </c>
      <c r="I84" s="24">
        <f>IF(AND(C84&gt;='Amort. Sched.-BASE'!$I$8, C84&lt;= ($I$7+$I$8)), E84/D84, " ")</f>
        <v>0.78018208619511953</v>
      </c>
      <c r="J84" s="25">
        <f>IF(AND(C84&gt;='Amort. Sched.-BASE'!$I$8, C84&lt;= ($I$7+$I$8)), F84/D84, " ")</f>
        <v>0.21981791380488053</v>
      </c>
      <c r="L84" s="20">
        <f t="shared" si="18"/>
        <v>73</v>
      </c>
      <c r="M84" s="5">
        <f>IF(AND(L84&gt;='Amort. Sched.-BASE'!$R$8, L84&lt;= ($R$7+$R$8)), PMT('Amort. Sched.-BASE'!$N$8/12, 'Amort. Sched.-BASE'!$R$7, 'Amort. Sched.-BASE'!$N$7), 0)</f>
        <v>0</v>
      </c>
      <c r="N84" s="5">
        <f>IF(AND(L84&gt;='Amort. Sched.-BASE'!$R$8, L84&lt;= ($R$7+$R$8)), (IPMT($N$8/12, (L84-$R$8), $R$7, $N$7)), 0)</f>
        <v>0</v>
      </c>
      <c r="O84" s="5">
        <f>IF(AND(L84&gt;='Amort. Sched.-BASE'!$R$8, L84&lt;= ($R$7+$R$8)), (PPMT($N$8/12, (L84-$R$8), $R$7, $N$7)), 0)</f>
        <v>0</v>
      </c>
      <c r="P84" s="5">
        <f>IF(CreditAmort1BASE[[#This Row],[Month]]=R$8,N$7,0)</f>
        <v>0</v>
      </c>
      <c r="Q84" s="13">
        <f>IF(AND(L84&gt;='Amort. Sched.-BASE'!$R$8, L84&lt;= ($R$7+$R$8)), Q83+O84, 0)</f>
        <v>0</v>
      </c>
      <c r="R84" s="6" t="str">
        <f>IF(AND(L84&gt;='Amort. Sched.-BASE'!$R$8, L84&lt;= ($R$7+$R$8)), N84/M84, " ")</f>
        <v xml:space="preserve"> </v>
      </c>
      <c r="S84" s="21" t="str">
        <f>IF(AND(L84&gt;='Amort. Sched.-BASE'!$R$8, L84&lt;= ($R$7+$R$8)), O84/M84, " ")</f>
        <v xml:space="preserve"> </v>
      </c>
      <c r="U84" s="20">
        <f t="shared" si="19"/>
        <v>73</v>
      </c>
      <c r="V84" s="5">
        <f>IF(AND(U84&gt;='Amort. Sched.-BASE'!$AA$8, U84&lt;= ($AA$7+$AA$8)), PMT('Amort. Sched.-BASE'!$W$8/12, 'Amort. Sched.-BASE'!$AA$7, 'Amort. Sched.-BASE'!$W$7), 0)</f>
        <v>0</v>
      </c>
      <c r="W84" s="5">
        <f>IF(AND(U84&gt;='Amort. Sched.-BASE'!$AA$8, U84&lt;= ($AA$7+$AA$8)), (IPMT($W$8/12, (U84-$AA$8), $AA$7, $W$7)), 0)</f>
        <v>0</v>
      </c>
      <c r="X84" s="5">
        <f>IF(AND(U84&gt;='Amort. Sched.-BASE'!$AA$8, U84&lt;= ($AA$7+$AA$8)), (PPMT($W$8/12, (U84-$AA$8), $AA$7, $W$7)), 0)</f>
        <v>0</v>
      </c>
      <c r="Y84" s="5">
        <f>IF(CreditAmort2BASE[[#This Row],[Month]]=AA$8,W$7,0)</f>
        <v>0</v>
      </c>
      <c r="Z84" s="13">
        <f>IF(AND(U84&gt;='Amort. Sched.-BASE'!$AA$8, U84&lt;= ($AA$7+$AA$8)), Z83+X84, 0)</f>
        <v>0</v>
      </c>
      <c r="AA84" s="6" t="str">
        <f>IF(AND(U84&gt;='Amort. Sched.-BASE'!$AA$8, U84&lt;= ($AA$7+$AA$8)), W84/V84, " ")</f>
        <v xml:space="preserve"> </v>
      </c>
      <c r="AB84" s="21" t="str">
        <f>IF(AND(U84&gt;='Amort. Sched.-BASE'!$AA$8, U84&lt;= ($AA$7+$AA$8)), X84/V84, " ")</f>
        <v xml:space="preserve"> </v>
      </c>
      <c r="AD84" s="20">
        <f t="shared" si="20"/>
        <v>73</v>
      </c>
      <c r="AE84" s="5">
        <f t="shared" si="21"/>
        <v>0</v>
      </c>
      <c r="AF84" s="5">
        <f t="shared" si="22"/>
        <v>0</v>
      </c>
      <c r="AG84" s="5">
        <f t="shared" si="23"/>
        <v>0</v>
      </c>
      <c r="AH84" s="5">
        <f>IF(CreditAmort3BASE[[#This Row],[Month]]=AJ$8,AF$7,0)</f>
        <v>0</v>
      </c>
      <c r="AI84" s="13">
        <f t="shared" si="24"/>
        <v>0</v>
      </c>
      <c r="AJ84" s="6" t="str">
        <f t="shared" si="25"/>
        <v xml:space="preserve"> </v>
      </c>
      <c r="AK84" s="21" t="str">
        <f t="shared" si="26"/>
        <v xml:space="preserve"> </v>
      </c>
      <c r="AM84" s="20">
        <f t="shared" si="27"/>
        <v>73</v>
      </c>
      <c r="AN84" s="5">
        <f t="shared" si="28"/>
        <v>0</v>
      </c>
      <c r="AO84" s="5">
        <f t="shared" si="29"/>
        <v>0</v>
      </c>
      <c r="AP84" s="5">
        <f t="shared" si="30"/>
        <v>0</v>
      </c>
      <c r="AQ84" s="5">
        <f>IF(CreditAmort4BASE[[#This Row],[Month]]=AS$8,AO$7,0)</f>
        <v>0</v>
      </c>
      <c r="AR84" s="13">
        <f t="shared" si="31"/>
        <v>0</v>
      </c>
      <c r="AS84" s="6" t="str">
        <f t="shared" si="32"/>
        <v xml:space="preserve"> </v>
      </c>
      <c r="AT84" s="21" t="str">
        <f t="shared" si="33"/>
        <v xml:space="preserve"> </v>
      </c>
    </row>
    <row r="85" spans="3:46">
      <c r="C85" s="22">
        <f t="shared" si="17"/>
        <v>74</v>
      </c>
      <c r="D85" s="23">
        <f>IF(AND(C85&gt;='Amort. Sched.-BASE'!$I$8, C85&lt;= ($I$7+$I$8)), PMT('Amort. Sched.-BASE'!$E$8/12, 'Amort. Sched.-BASE'!$I$7, 'Amort. Sched.-BASE'!$E$7), 0)</f>
        <v>-1736.5864935892569</v>
      </c>
      <c r="E85" s="5">
        <f>IF(AND(C85&gt;='Amort. Sched.-BASE'!$I$8, C85&lt;= ($I$7+$I$8)), (IPMT($E$8/12, (C85-$I$8), $I$7, $E$7)), 0)</f>
        <v>-1352.3087879589837</v>
      </c>
      <c r="F85" s="23">
        <f>IF(AND(C85&gt;='Amort. Sched.-BASE'!$I$8, C85&lt;= ($I$7+$I$8)), (PPMT($E$8/12, (C85-$I$8), $I$7, $E$7)), 0)</f>
        <v>-384.2777056302732</v>
      </c>
      <c r="G85" s="5">
        <f>IF(MortgageAmortBASE[[#This Row],[Month]]=I$8,E$7,0)</f>
        <v>0</v>
      </c>
      <c r="H85" s="13">
        <f>IF(AND(C85&gt;='Amort. Sched.-BASE'!$I$8, C85&lt;= ($I$7+$I$8)), H84+F85, 0)</f>
        <v>202462.04048821723</v>
      </c>
      <c r="I85" s="24">
        <f>IF(AND(C85&gt;='Amort. Sched.-BASE'!$I$8, C85&lt;= ($I$7+$I$8)), E85/D85, " ")</f>
        <v>0.77871663343642028</v>
      </c>
      <c r="J85" s="25">
        <f>IF(AND(C85&gt;='Amort. Sched.-BASE'!$I$8, C85&lt;= ($I$7+$I$8)), F85/D85, " ")</f>
        <v>0.22128336656357978</v>
      </c>
      <c r="L85" s="20">
        <f t="shared" si="18"/>
        <v>74</v>
      </c>
      <c r="M85" s="5">
        <f>IF(AND(L85&gt;='Amort. Sched.-BASE'!$R$8, L85&lt;= ($R$7+$R$8)), PMT('Amort. Sched.-BASE'!$N$8/12, 'Amort. Sched.-BASE'!$R$7, 'Amort. Sched.-BASE'!$N$7), 0)</f>
        <v>0</v>
      </c>
      <c r="N85" s="5">
        <f>IF(AND(L85&gt;='Amort. Sched.-BASE'!$R$8, L85&lt;= ($R$7+$R$8)), (IPMT($N$8/12, (L85-$R$8), $R$7, $N$7)), 0)</f>
        <v>0</v>
      </c>
      <c r="O85" s="5">
        <f>IF(AND(L85&gt;='Amort. Sched.-BASE'!$R$8, L85&lt;= ($R$7+$R$8)), (PPMT($N$8/12, (L85-$R$8), $R$7, $N$7)), 0)</f>
        <v>0</v>
      </c>
      <c r="P85" s="5">
        <f>IF(CreditAmort1BASE[[#This Row],[Month]]=R$8,N$7,0)</f>
        <v>0</v>
      </c>
      <c r="Q85" s="13">
        <f>IF(AND(L85&gt;='Amort. Sched.-BASE'!$R$8, L85&lt;= ($R$7+$R$8)), Q84+O85, 0)</f>
        <v>0</v>
      </c>
      <c r="R85" s="6" t="str">
        <f>IF(AND(L85&gt;='Amort. Sched.-BASE'!$R$8, L85&lt;= ($R$7+$R$8)), N85/M85, " ")</f>
        <v xml:space="preserve"> </v>
      </c>
      <c r="S85" s="21" t="str">
        <f>IF(AND(L85&gt;='Amort. Sched.-BASE'!$R$8, L85&lt;= ($R$7+$R$8)), O85/M85, " ")</f>
        <v xml:space="preserve"> </v>
      </c>
      <c r="U85" s="20">
        <f t="shared" si="19"/>
        <v>74</v>
      </c>
      <c r="V85" s="5">
        <f>IF(AND(U85&gt;='Amort. Sched.-BASE'!$AA$8, U85&lt;= ($AA$7+$AA$8)), PMT('Amort. Sched.-BASE'!$W$8/12, 'Amort. Sched.-BASE'!$AA$7, 'Amort. Sched.-BASE'!$W$7), 0)</f>
        <v>0</v>
      </c>
      <c r="W85" s="5">
        <f>IF(AND(U85&gt;='Amort. Sched.-BASE'!$AA$8, U85&lt;= ($AA$7+$AA$8)), (IPMT($W$8/12, (U85-$AA$8), $AA$7, $W$7)), 0)</f>
        <v>0</v>
      </c>
      <c r="X85" s="5">
        <f>IF(AND(U85&gt;='Amort. Sched.-BASE'!$AA$8, U85&lt;= ($AA$7+$AA$8)), (PPMT($W$8/12, (U85-$AA$8), $AA$7, $W$7)), 0)</f>
        <v>0</v>
      </c>
      <c r="Y85" s="5">
        <f>IF(CreditAmort2BASE[[#This Row],[Month]]=AA$8,W$7,0)</f>
        <v>0</v>
      </c>
      <c r="Z85" s="13">
        <f>IF(AND(U85&gt;='Amort. Sched.-BASE'!$AA$8, U85&lt;= ($AA$7+$AA$8)), Z84+X85, 0)</f>
        <v>0</v>
      </c>
      <c r="AA85" s="6" t="str">
        <f>IF(AND(U85&gt;='Amort. Sched.-BASE'!$AA$8, U85&lt;= ($AA$7+$AA$8)), W85/V85, " ")</f>
        <v xml:space="preserve"> </v>
      </c>
      <c r="AB85" s="21" t="str">
        <f>IF(AND(U85&gt;='Amort. Sched.-BASE'!$AA$8, U85&lt;= ($AA$7+$AA$8)), X85/V85, " ")</f>
        <v xml:space="preserve"> </v>
      </c>
      <c r="AD85" s="20">
        <f t="shared" si="20"/>
        <v>74</v>
      </c>
      <c r="AE85" s="5">
        <f t="shared" si="21"/>
        <v>0</v>
      </c>
      <c r="AF85" s="5">
        <f t="shared" si="22"/>
        <v>0</v>
      </c>
      <c r="AG85" s="5">
        <f t="shared" si="23"/>
        <v>0</v>
      </c>
      <c r="AH85" s="5">
        <f>IF(CreditAmort3BASE[[#This Row],[Month]]=AJ$8,AF$7,0)</f>
        <v>0</v>
      </c>
      <c r="AI85" s="13">
        <f t="shared" si="24"/>
        <v>0</v>
      </c>
      <c r="AJ85" s="6" t="str">
        <f t="shared" si="25"/>
        <v xml:space="preserve"> </v>
      </c>
      <c r="AK85" s="21" t="str">
        <f t="shared" si="26"/>
        <v xml:space="preserve"> </v>
      </c>
      <c r="AM85" s="20">
        <f t="shared" si="27"/>
        <v>74</v>
      </c>
      <c r="AN85" s="5">
        <f t="shared" si="28"/>
        <v>0</v>
      </c>
      <c r="AO85" s="5">
        <f t="shared" si="29"/>
        <v>0</v>
      </c>
      <c r="AP85" s="5">
        <f t="shared" si="30"/>
        <v>0</v>
      </c>
      <c r="AQ85" s="5">
        <f>IF(CreditAmort4BASE[[#This Row],[Month]]=AS$8,AO$7,0)</f>
        <v>0</v>
      </c>
      <c r="AR85" s="13">
        <f t="shared" si="31"/>
        <v>0</v>
      </c>
      <c r="AS85" s="6" t="str">
        <f t="shared" si="32"/>
        <v xml:space="preserve"> </v>
      </c>
      <c r="AT85" s="21" t="str">
        <f t="shared" si="33"/>
        <v xml:space="preserve"> </v>
      </c>
    </row>
    <row r="86" spans="3:46">
      <c r="C86" s="22">
        <f t="shared" si="17"/>
        <v>75</v>
      </c>
      <c r="D86" s="23">
        <f>IF(AND(C86&gt;='Amort. Sched.-BASE'!$I$8, C86&lt;= ($I$7+$I$8)), PMT('Amort. Sched.-BASE'!$E$8/12, 'Amort. Sched.-BASE'!$I$7, 'Amort. Sched.-BASE'!$E$7), 0)</f>
        <v>-1736.5864935892569</v>
      </c>
      <c r="E86" s="5">
        <f>IF(AND(C86&gt;='Amort. Sched.-BASE'!$I$8, C86&lt;= ($I$7+$I$8)), (IPMT($E$8/12, (C86-$I$8), $I$7, $E$7)), 0)</f>
        <v>-1349.7469365881154</v>
      </c>
      <c r="F86" s="23">
        <f>IF(AND(C86&gt;='Amort. Sched.-BASE'!$I$8, C86&lt;= ($I$7+$I$8)), (PPMT($E$8/12, (C86-$I$8), $I$7, $E$7)), 0)</f>
        <v>-386.83955700114166</v>
      </c>
      <c r="G86" s="5">
        <f>IF(MortgageAmortBASE[[#This Row],[Month]]=I$8,E$7,0)</f>
        <v>0</v>
      </c>
      <c r="H86" s="13">
        <f>IF(AND(C86&gt;='Amort. Sched.-BASE'!$I$8, C86&lt;= ($I$7+$I$8)), H85+F86, 0)</f>
        <v>202075.2009312161</v>
      </c>
      <c r="I86" s="24">
        <f>IF(AND(C86&gt;='Amort. Sched.-BASE'!$I$8, C86&lt;= ($I$7+$I$8)), E86/D86, " ")</f>
        <v>0.7772414109926632</v>
      </c>
      <c r="J86" s="25">
        <f>IF(AND(C86&gt;='Amort. Sched.-BASE'!$I$8, C86&lt;= ($I$7+$I$8)), F86/D86, " ")</f>
        <v>0.22275858900733694</v>
      </c>
      <c r="L86" s="20">
        <f t="shared" si="18"/>
        <v>75</v>
      </c>
      <c r="M86" s="5">
        <f>IF(AND(L86&gt;='Amort. Sched.-BASE'!$R$8, L86&lt;= ($R$7+$R$8)), PMT('Amort. Sched.-BASE'!$N$8/12, 'Amort. Sched.-BASE'!$R$7, 'Amort. Sched.-BASE'!$N$7), 0)</f>
        <v>0</v>
      </c>
      <c r="N86" s="5">
        <f>IF(AND(L86&gt;='Amort. Sched.-BASE'!$R$8, L86&lt;= ($R$7+$R$8)), (IPMT($N$8/12, (L86-$R$8), $R$7, $N$7)), 0)</f>
        <v>0</v>
      </c>
      <c r="O86" s="5">
        <f>IF(AND(L86&gt;='Amort. Sched.-BASE'!$R$8, L86&lt;= ($R$7+$R$8)), (PPMT($N$8/12, (L86-$R$8), $R$7, $N$7)), 0)</f>
        <v>0</v>
      </c>
      <c r="P86" s="5">
        <f>IF(CreditAmort1BASE[[#This Row],[Month]]=R$8,N$7,0)</f>
        <v>0</v>
      </c>
      <c r="Q86" s="13">
        <f>IF(AND(L86&gt;='Amort. Sched.-BASE'!$R$8, L86&lt;= ($R$7+$R$8)), Q85+O86, 0)</f>
        <v>0</v>
      </c>
      <c r="R86" s="6" t="str">
        <f>IF(AND(L86&gt;='Amort. Sched.-BASE'!$R$8, L86&lt;= ($R$7+$R$8)), N86/M86, " ")</f>
        <v xml:space="preserve"> </v>
      </c>
      <c r="S86" s="21" t="str">
        <f>IF(AND(L86&gt;='Amort. Sched.-BASE'!$R$8, L86&lt;= ($R$7+$R$8)), O86/M86, " ")</f>
        <v xml:space="preserve"> </v>
      </c>
      <c r="U86" s="20">
        <f t="shared" si="19"/>
        <v>75</v>
      </c>
      <c r="V86" s="5">
        <f>IF(AND(U86&gt;='Amort. Sched.-BASE'!$AA$8, U86&lt;= ($AA$7+$AA$8)), PMT('Amort. Sched.-BASE'!$W$8/12, 'Amort. Sched.-BASE'!$AA$7, 'Amort. Sched.-BASE'!$W$7), 0)</f>
        <v>0</v>
      </c>
      <c r="W86" s="5">
        <f>IF(AND(U86&gt;='Amort. Sched.-BASE'!$AA$8, U86&lt;= ($AA$7+$AA$8)), (IPMT($W$8/12, (U86-$AA$8), $AA$7, $W$7)), 0)</f>
        <v>0</v>
      </c>
      <c r="X86" s="5">
        <f>IF(AND(U86&gt;='Amort. Sched.-BASE'!$AA$8, U86&lt;= ($AA$7+$AA$8)), (PPMT($W$8/12, (U86-$AA$8), $AA$7, $W$7)), 0)</f>
        <v>0</v>
      </c>
      <c r="Y86" s="5">
        <f>IF(CreditAmort2BASE[[#This Row],[Month]]=AA$8,W$7,0)</f>
        <v>0</v>
      </c>
      <c r="Z86" s="13">
        <f>IF(AND(U86&gt;='Amort. Sched.-BASE'!$AA$8, U86&lt;= ($AA$7+$AA$8)), Z85+X86, 0)</f>
        <v>0</v>
      </c>
      <c r="AA86" s="6" t="str">
        <f>IF(AND(U86&gt;='Amort. Sched.-BASE'!$AA$8, U86&lt;= ($AA$7+$AA$8)), W86/V86, " ")</f>
        <v xml:space="preserve"> </v>
      </c>
      <c r="AB86" s="21" t="str">
        <f>IF(AND(U86&gt;='Amort. Sched.-BASE'!$AA$8, U86&lt;= ($AA$7+$AA$8)), X86/V86, " ")</f>
        <v xml:space="preserve"> </v>
      </c>
      <c r="AD86" s="20">
        <f t="shared" si="20"/>
        <v>75</v>
      </c>
      <c r="AE86" s="5">
        <f t="shared" si="21"/>
        <v>0</v>
      </c>
      <c r="AF86" s="5">
        <f t="shared" si="22"/>
        <v>0</v>
      </c>
      <c r="AG86" s="5">
        <f t="shared" si="23"/>
        <v>0</v>
      </c>
      <c r="AH86" s="5">
        <f>IF(CreditAmort3BASE[[#This Row],[Month]]=AJ$8,AF$7,0)</f>
        <v>0</v>
      </c>
      <c r="AI86" s="13">
        <f t="shared" si="24"/>
        <v>0</v>
      </c>
      <c r="AJ86" s="6" t="str">
        <f t="shared" si="25"/>
        <v xml:space="preserve"> </v>
      </c>
      <c r="AK86" s="21" t="str">
        <f t="shared" si="26"/>
        <v xml:space="preserve"> </v>
      </c>
      <c r="AM86" s="20">
        <f t="shared" si="27"/>
        <v>75</v>
      </c>
      <c r="AN86" s="5">
        <f t="shared" si="28"/>
        <v>0</v>
      </c>
      <c r="AO86" s="5">
        <f t="shared" si="29"/>
        <v>0</v>
      </c>
      <c r="AP86" s="5">
        <f t="shared" si="30"/>
        <v>0</v>
      </c>
      <c r="AQ86" s="5">
        <f>IF(CreditAmort4BASE[[#This Row],[Month]]=AS$8,AO$7,0)</f>
        <v>0</v>
      </c>
      <c r="AR86" s="13">
        <f t="shared" si="31"/>
        <v>0</v>
      </c>
      <c r="AS86" s="6" t="str">
        <f t="shared" si="32"/>
        <v xml:space="preserve"> </v>
      </c>
      <c r="AT86" s="21" t="str">
        <f t="shared" si="33"/>
        <v xml:space="preserve"> </v>
      </c>
    </row>
    <row r="87" spans="3:46">
      <c r="C87" s="22">
        <f t="shared" si="17"/>
        <v>76</v>
      </c>
      <c r="D87" s="23">
        <f>IF(AND(C87&gt;='Amort. Sched.-BASE'!$I$8, C87&lt;= ($I$7+$I$8)), PMT('Amort. Sched.-BASE'!$E$8/12, 'Amort. Sched.-BASE'!$I$7, 'Amort. Sched.-BASE'!$E$7), 0)</f>
        <v>-1736.5864935892569</v>
      </c>
      <c r="E87" s="5">
        <f>IF(AND(C87&gt;='Amort. Sched.-BASE'!$I$8, C87&lt;= ($I$7+$I$8)), (IPMT($E$8/12, (C87-$I$8), $I$7, $E$7)), 0)</f>
        <v>-1347.1680062081077</v>
      </c>
      <c r="F87" s="23">
        <f>IF(AND(C87&gt;='Amort. Sched.-BASE'!$I$8, C87&lt;= ($I$7+$I$8)), (PPMT($E$8/12, (C87-$I$8), $I$7, $E$7)), 0)</f>
        <v>-389.41848738114925</v>
      </c>
      <c r="G87" s="5">
        <f>IF(MortgageAmortBASE[[#This Row],[Month]]=I$8,E$7,0)</f>
        <v>0</v>
      </c>
      <c r="H87" s="13">
        <f>IF(AND(C87&gt;='Amort. Sched.-BASE'!$I$8, C87&lt;= ($I$7+$I$8)), H86+F87, 0)</f>
        <v>201685.78244383493</v>
      </c>
      <c r="I87" s="24">
        <f>IF(AND(C87&gt;='Amort. Sched.-BASE'!$I$8, C87&lt;= ($I$7+$I$8)), E87/D87, " ")</f>
        <v>0.7757563537326142</v>
      </c>
      <c r="J87" s="25">
        <f>IF(AND(C87&gt;='Amort. Sched.-BASE'!$I$8, C87&lt;= ($I$7+$I$8)), F87/D87, " ")</f>
        <v>0.22424364626738585</v>
      </c>
      <c r="L87" s="20">
        <f t="shared" si="18"/>
        <v>76</v>
      </c>
      <c r="M87" s="5">
        <f>IF(AND(L87&gt;='Amort. Sched.-BASE'!$R$8, L87&lt;= ($R$7+$R$8)), PMT('Amort. Sched.-BASE'!$N$8/12, 'Amort. Sched.-BASE'!$R$7, 'Amort. Sched.-BASE'!$N$7), 0)</f>
        <v>0</v>
      </c>
      <c r="N87" s="5">
        <f>IF(AND(L87&gt;='Amort. Sched.-BASE'!$R$8, L87&lt;= ($R$7+$R$8)), (IPMT($N$8/12, (L87-$R$8), $R$7, $N$7)), 0)</f>
        <v>0</v>
      </c>
      <c r="O87" s="5">
        <f>IF(AND(L87&gt;='Amort. Sched.-BASE'!$R$8, L87&lt;= ($R$7+$R$8)), (PPMT($N$8/12, (L87-$R$8), $R$7, $N$7)), 0)</f>
        <v>0</v>
      </c>
      <c r="P87" s="5">
        <f>IF(CreditAmort1BASE[[#This Row],[Month]]=R$8,N$7,0)</f>
        <v>0</v>
      </c>
      <c r="Q87" s="13">
        <f>IF(AND(L87&gt;='Amort. Sched.-BASE'!$R$8, L87&lt;= ($R$7+$R$8)), Q86+O87, 0)</f>
        <v>0</v>
      </c>
      <c r="R87" s="6" t="str">
        <f>IF(AND(L87&gt;='Amort. Sched.-BASE'!$R$8, L87&lt;= ($R$7+$R$8)), N87/M87, " ")</f>
        <v xml:space="preserve"> </v>
      </c>
      <c r="S87" s="21" t="str">
        <f>IF(AND(L87&gt;='Amort. Sched.-BASE'!$R$8, L87&lt;= ($R$7+$R$8)), O87/M87, " ")</f>
        <v xml:space="preserve"> </v>
      </c>
      <c r="U87" s="20">
        <f t="shared" si="19"/>
        <v>76</v>
      </c>
      <c r="V87" s="5">
        <f>IF(AND(U87&gt;='Amort. Sched.-BASE'!$AA$8, U87&lt;= ($AA$7+$AA$8)), PMT('Amort. Sched.-BASE'!$W$8/12, 'Amort. Sched.-BASE'!$AA$7, 'Amort. Sched.-BASE'!$W$7), 0)</f>
        <v>0</v>
      </c>
      <c r="W87" s="5">
        <f>IF(AND(U87&gt;='Amort. Sched.-BASE'!$AA$8, U87&lt;= ($AA$7+$AA$8)), (IPMT($W$8/12, (U87-$AA$8), $AA$7, $W$7)), 0)</f>
        <v>0</v>
      </c>
      <c r="X87" s="5">
        <f>IF(AND(U87&gt;='Amort. Sched.-BASE'!$AA$8, U87&lt;= ($AA$7+$AA$8)), (PPMT($W$8/12, (U87-$AA$8), $AA$7, $W$7)), 0)</f>
        <v>0</v>
      </c>
      <c r="Y87" s="5">
        <f>IF(CreditAmort2BASE[[#This Row],[Month]]=AA$8,W$7,0)</f>
        <v>0</v>
      </c>
      <c r="Z87" s="13">
        <f>IF(AND(U87&gt;='Amort. Sched.-BASE'!$AA$8, U87&lt;= ($AA$7+$AA$8)), Z86+X87, 0)</f>
        <v>0</v>
      </c>
      <c r="AA87" s="6" t="str">
        <f>IF(AND(U87&gt;='Amort. Sched.-BASE'!$AA$8, U87&lt;= ($AA$7+$AA$8)), W87/V87, " ")</f>
        <v xml:space="preserve"> </v>
      </c>
      <c r="AB87" s="21" t="str">
        <f>IF(AND(U87&gt;='Amort. Sched.-BASE'!$AA$8, U87&lt;= ($AA$7+$AA$8)), X87/V87, " ")</f>
        <v xml:space="preserve"> </v>
      </c>
      <c r="AD87" s="20">
        <f t="shared" si="20"/>
        <v>76</v>
      </c>
      <c r="AE87" s="5">
        <f t="shared" si="21"/>
        <v>0</v>
      </c>
      <c r="AF87" s="5">
        <f t="shared" si="22"/>
        <v>0</v>
      </c>
      <c r="AG87" s="5">
        <f t="shared" si="23"/>
        <v>0</v>
      </c>
      <c r="AH87" s="5">
        <f>IF(CreditAmort3BASE[[#This Row],[Month]]=AJ$8,AF$7,0)</f>
        <v>0</v>
      </c>
      <c r="AI87" s="13">
        <f t="shared" si="24"/>
        <v>0</v>
      </c>
      <c r="AJ87" s="6" t="str">
        <f t="shared" si="25"/>
        <v xml:space="preserve"> </v>
      </c>
      <c r="AK87" s="21" t="str">
        <f t="shared" si="26"/>
        <v xml:space="preserve"> </v>
      </c>
      <c r="AM87" s="20">
        <f t="shared" si="27"/>
        <v>76</v>
      </c>
      <c r="AN87" s="5">
        <f t="shared" si="28"/>
        <v>0</v>
      </c>
      <c r="AO87" s="5">
        <f t="shared" si="29"/>
        <v>0</v>
      </c>
      <c r="AP87" s="5">
        <f t="shared" si="30"/>
        <v>0</v>
      </c>
      <c r="AQ87" s="5">
        <f>IF(CreditAmort4BASE[[#This Row],[Month]]=AS$8,AO$7,0)</f>
        <v>0</v>
      </c>
      <c r="AR87" s="13">
        <f t="shared" si="31"/>
        <v>0</v>
      </c>
      <c r="AS87" s="6" t="str">
        <f t="shared" si="32"/>
        <v xml:space="preserve"> </v>
      </c>
      <c r="AT87" s="21" t="str">
        <f t="shared" si="33"/>
        <v xml:space="preserve"> </v>
      </c>
    </row>
    <row r="88" spans="3:46">
      <c r="C88" s="22">
        <f t="shared" si="17"/>
        <v>77</v>
      </c>
      <c r="D88" s="23">
        <f>IF(AND(C88&gt;='Amort. Sched.-BASE'!$I$8, C88&lt;= ($I$7+$I$8)), PMT('Amort. Sched.-BASE'!$E$8/12, 'Amort. Sched.-BASE'!$I$7, 'Amort. Sched.-BASE'!$E$7), 0)</f>
        <v>-1736.5864935892569</v>
      </c>
      <c r="E88" s="5">
        <f>IF(AND(C88&gt;='Amort. Sched.-BASE'!$I$8, C88&lt;= ($I$7+$I$8)), (IPMT($E$8/12, (C88-$I$8), $I$7, $E$7)), 0)</f>
        <v>-1344.5718829589</v>
      </c>
      <c r="F88" s="23">
        <f>IF(AND(C88&gt;='Amort. Sched.-BASE'!$I$8, C88&lt;= ($I$7+$I$8)), (PPMT($E$8/12, (C88-$I$8), $I$7, $E$7)), 0)</f>
        <v>-392.01461063035691</v>
      </c>
      <c r="G88" s="5">
        <f>IF(MortgageAmortBASE[[#This Row],[Month]]=I$8,E$7,0)</f>
        <v>0</v>
      </c>
      <c r="H88" s="13">
        <f>IF(AND(C88&gt;='Amort. Sched.-BASE'!$I$8, C88&lt;= ($I$7+$I$8)), H87+F88, 0)</f>
        <v>201293.76783320459</v>
      </c>
      <c r="I88" s="24">
        <f>IF(AND(C88&gt;='Amort. Sched.-BASE'!$I$8, C88&lt;= ($I$7+$I$8)), E88/D88, " ")</f>
        <v>0.77426139609083156</v>
      </c>
      <c r="J88" s="25">
        <f>IF(AND(C88&gt;='Amort. Sched.-BASE'!$I$8, C88&lt;= ($I$7+$I$8)), F88/D88, " ")</f>
        <v>0.22573860390916842</v>
      </c>
      <c r="L88" s="20">
        <f t="shared" si="18"/>
        <v>77</v>
      </c>
      <c r="M88" s="5">
        <f>IF(AND(L88&gt;='Amort. Sched.-BASE'!$R$8, L88&lt;= ($R$7+$R$8)), PMT('Amort. Sched.-BASE'!$N$8/12, 'Amort. Sched.-BASE'!$R$7, 'Amort. Sched.-BASE'!$N$7), 0)</f>
        <v>0</v>
      </c>
      <c r="N88" s="5">
        <f>IF(AND(L88&gt;='Amort. Sched.-BASE'!$R$8, L88&lt;= ($R$7+$R$8)), (IPMT($N$8/12, (L88-$R$8), $R$7, $N$7)), 0)</f>
        <v>0</v>
      </c>
      <c r="O88" s="5">
        <f>IF(AND(L88&gt;='Amort. Sched.-BASE'!$R$8, L88&lt;= ($R$7+$R$8)), (PPMT($N$8/12, (L88-$R$8), $R$7, $N$7)), 0)</f>
        <v>0</v>
      </c>
      <c r="P88" s="5">
        <f>IF(CreditAmort1BASE[[#This Row],[Month]]=R$8,N$7,0)</f>
        <v>0</v>
      </c>
      <c r="Q88" s="13">
        <f>IF(AND(L88&gt;='Amort. Sched.-BASE'!$R$8, L88&lt;= ($R$7+$R$8)), Q87+O88, 0)</f>
        <v>0</v>
      </c>
      <c r="R88" s="6" t="str">
        <f>IF(AND(L88&gt;='Amort. Sched.-BASE'!$R$8, L88&lt;= ($R$7+$R$8)), N88/M88, " ")</f>
        <v xml:space="preserve"> </v>
      </c>
      <c r="S88" s="21" t="str">
        <f>IF(AND(L88&gt;='Amort. Sched.-BASE'!$R$8, L88&lt;= ($R$7+$R$8)), O88/M88, " ")</f>
        <v xml:space="preserve"> </v>
      </c>
      <c r="U88" s="20">
        <f t="shared" si="19"/>
        <v>77</v>
      </c>
      <c r="V88" s="5">
        <f>IF(AND(U88&gt;='Amort. Sched.-BASE'!$AA$8, U88&lt;= ($AA$7+$AA$8)), PMT('Amort. Sched.-BASE'!$W$8/12, 'Amort. Sched.-BASE'!$AA$7, 'Amort. Sched.-BASE'!$W$7), 0)</f>
        <v>0</v>
      </c>
      <c r="W88" s="5">
        <f>IF(AND(U88&gt;='Amort. Sched.-BASE'!$AA$8, U88&lt;= ($AA$7+$AA$8)), (IPMT($W$8/12, (U88-$AA$8), $AA$7, $W$7)), 0)</f>
        <v>0</v>
      </c>
      <c r="X88" s="5">
        <f>IF(AND(U88&gt;='Amort. Sched.-BASE'!$AA$8, U88&lt;= ($AA$7+$AA$8)), (PPMT($W$8/12, (U88-$AA$8), $AA$7, $W$7)), 0)</f>
        <v>0</v>
      </c>
      <c r="Y88" s="5">
        <f>IF(CreditAmort2BASE[[#This Row],[Month]]=AA$8,W$7,0)</f>
        <v>0</v>
      </c>
      <c r="Z88" s="13">
        <f>IF(AND(U88&gt;='Amort. Sched.-BASE'!$AA$8, U88&lt;= ($AA$7+$AA$8)), Z87+X88, 0)</f>
        <v>0</v>
      </c>
      <c r="AA88" s="6" t="str">
        <f>IF(AND(U88&gt;='Amort. Sched.-BASE'!$AA$8, U88&lt;= ($AA$7+$AA$8)), W88/V88, " ")</f>
        <v xml:space="preserve"> </v>
      </c>
      <c r="AB88" s="21" t="str">
        <f>IF(AND(U88&gt;='Amort. Sched.-BASE'!$AA$8, U88&lt;= ($AA$7+$AA$8)), X88/V88, " ")</f>
        <v xml:space="preserve"> </v>
      </c>
      <c r="AD88" s="20">
        <f t="shared" si="20"/>
        <v>77</v>
      </c>
      <c r="AE88" s="5">
        <f t="shared" si="21"/>
        <v>0</v>
      </c>
      <c r="AF88" s="5">
        <f t="shared" si="22"/>
        <v>0</v>
      </c>
      <c r="AG88" s="5">
        <f t="shared" si="23"/>
        <v>0</v>
      </c>
      <c r="AH88" s="5">
        <f>IF(CreditAmort3BASE[[#This Row],[Month]]=AJ$8,AF$7,0)</f>
        <v>0</v>
      </c>
      <c r="AI88" s="13">
        <f t="shared" si="24"/>
        <v>0</v>
      </c>
      <c r="AJ88" s="6" t="str">
        <f t="shared" si="25"/>
        <v xml:space="preserve"> </v>
      </c>
      <c r="AK88" s="21" t="str">
        <f t="shared" si="26"/>
        <v xml:space="preserve"> </v>
      </c>
      <c r="AM88" s="20">
        <f t="shared" si="27"/>
        <v>77</v>
      </c>
      <c r="AN88" s="5">
        <f t="shared" si="28"/>
        <v>0</v>
      </c>
      <c r="AO88" s="5">
        <f t="shared" si="29"/>
        <v>0</v>
      </c>
      <c r="AP88" s="5">
        <f t="shared" si="30"/>
        <v>0</v>
      </c>
      <c r="AQ88" s="5">
        <f>IF(CreditAmort4BASE[[#This Row],[Month]]=AS$8,AO$7,0)</f>
        <v>0</v>
      </c>
      <c r="AR88" s="13">
        <f t="shared" si="31"/>
        <v>0</v>
      </c>
      <c r="AS88" s="6" t="str">
        <f t="shared" si="32"/>
        <v xml:space="preserve"> </v>
      </c>
      <c r="AT88" s="21" t="str">
        <f t="shared" si="33"/>
        <v xml:space="preserve"> </v>
      </c>
    </row>
    <row r="89" spans="3:46">
      <c r="C89" s="22">
        <f t="shared" si="17"/>
        <v>78</v>
      </c>
      <c r="D89" s="23">
        <f>IF(AND(C89&gt;='Amort. Sched.-BASE'!$I$8, C89&lt;= ($I$7+$I$8)), PMT('Amort. Sched.-BASE'!$E$8/12, 'Amort. Sched.-BASE'!$I$7, 'Amort. Sched.-BASE'!$E$7), 0)</f>
        <v>-1736.5864935892569</v>
      </c>
      <c r="E89" s="5">
        <f>IF(AND(C89&gt;='Amort. Sched.-BASE'!$I$8, C89&lt;= ($I$7+$I$8)), (IPMT($E$8/12, (C89-$I$8), $I$7, $E$7)), 0)</f>
        <v>-1341.9584522213645</v>
      </c>
      <c r="F89" s="23">
        <f>IF(AND(C89&gt;='Amort. Sched.-BASE'!$I$8, C89&lt;= ($I$7+$I$8)), (PPMT($E$8/12, (C89-$I$8), $I$7, $E$7)), 0)</f>
        <v>-394.62804136789259</v>
      </c>
      <c r="G89" s="5">
        <f>IF(MortgageAmortBASE[[#This Row],[Month]]=I$8,E$7,0)</f>
        <v>0</v>
      </c>
      <c r="H89" s="13">
        <f>IF(AND(C89&gt;='Amort. Sched.-BASE'!$I$8, C89&lt;= ($I$7+$I$8)), H88+F89, 0)</f>
        <v>200899.1397918367</v>
      </c>
      <c r="I89" s="24">
        <f>IF(AND(C89&gt;='Amort. Sched.-BASE'!$I$8, C89&lt;= ($I$7+$I$8)), E89/D89, " ")</f>
        <v>0.77275647206477061</v>
      </c>
      <c r="J89" s="25">
        <f>IF(AND(C89&gt;='Amort. Sched.-BASE'!$I$8, C89&lt;= ($I$7+$I$8)), F89/D89, " ")</f>
        <v>0.22724352793522953</v>
      </c>
      <c r="L89" s="20">
        <f t="shared" si="18"/>
        <v>78</v>
      </c>
      <c r="M89" s="5">
        <f>IF(AND(L89&gt;='Amort. Sched.-BASE'!$R$8, L89&lt;= ($R$7+$R$8)), PMT('Amort. Sched.-BASE'!$N$8/12, 'Amort. Sched.-BASE'!$R$7, 'Amort. Sched.-BASE'!$N$7), 0)</f>
        <v>0</v>
      </c>
      <c r="N89" s="5">
        <f>IF(AND(L89&gt;='Amort. Sched.-BASE'!$R$8, L89&lt;= ($R$7+$R$8)), (IPMT($N$8/12, (L89-$R$8), $R$7, $N$7)), 0)</f>
        <v>0</v>
      </c>
      <c r="O89" s="5">
        <f>IF(AND(L89&gt;='Amort. Sched.-BASE'!$R$8, L89&lt;= ($R$7+$R$8)), (PPMT($N$8/12, (L89-$R$8), $R$7, $N$7)), 0)</f>
        <v>0</v>
      </c>
      <c r="P89" s="5">
        <f>IF(CreditAmort1BASE[[#This Row],[Month]]=R$8,N$7,0)</f>
        <v>0</v>
      </c>
      <c r="Q89" s="13">
        <f>IF(AND(L89&gt;='Amort. Sched.-BASE'!$R$8, L89&lt;= ($R$7+$R$8)), Q88+O89, 0)</f>
        <v>0</v>
      </c>
      <c r="R89" s="6" t="str">
        <f>IF(AND(L89&gt;='Amort. Sched.-BASE'!$R$8, L89&lt;= ($R$7+$R$8)), N89/M89, " ")</f>
        <v xml:space="preserve"> </v>
      </c>
      <c r="S89" s="21" t="str">
        <f>IF(AND(L89&gt;='Amort. Sched.-BASE'!$R$8, L89&lt;= ($R$7+$R$8)), O89/M89, " ")</f>
        <v xml:space="preserve"> </v>
      </c>
      <c r="U89" s="20">
        <f t="shared" si="19"/>
        <v>78</v>
      </c>
      <c r="V89" s="5">
        <f>IF(AND(U89&gt;='Amort. Sched.-BASE'!$AA$8, U89&lt;= ($AA$7+$AA$8)), PMT('Amort. Sched.-BASE'!$W$8/12, 'Amort. Sched.-BASE'!$AA$7, 'Amort. Sched.-BASE'!$W$7), 0)</f>
        <v>0</v>
      </c>
      <c r="W89" s="5">
        <f>IF(AND(U89&gt;='Amort. Sched.-BASE'!$AA$8, U89&lt;= ($AA$7+$AA$8)), (IPMT($W$8/12, (U89-$AA$8), $AA$7, $W$7)), 0)</f>
        <v>0</v>
      </c>
      <c r="X89" s="5">
        <f>IF(AND(U89&gt;='Amort. Sched.-BASE'!$AA$8, U89&lt;= ($AA$7+$AA$8)), (PPMT($W$8/12, (U89-$AA$8), $AA$7, $W$7)), 0)</f>
        <v>0</v>
      </c>
      <c r="Y89" s="5">
        <f>IF(CreditAmort2BASE[[#This Row],[Month]]=AA$8,W$7,0)</f>
        <v>0</v>
      </c>
      <c r="Z89" s="13">
        <f>IF(AND(U89&gt;='Amort. Sched.-BASE'!$AA$8, U89&lt;= ($AA$7+$AA$8)), Z88+X89, 0)</f>
        <v>0</v>
      </c>
      <c r="AA89" s="6" t="str">
        <f>IF(AND(U89&gt;='Amort. Sched.-BASE'!$AA$8, U89&lt;= ($AA$7+$AA$8)), W89/V89, " ")</f>
        <v xml:space="preserve"> </v>
      </c>
      <c r="AB89" s="21" t="str">
        <f>IF(AND(U89&gt;='Amort. Sched.-BASE'!$AA$8, U89&lt;= ($AA$7+$AA$8)), X89/V89, " ")</f>
        <v xml:space="preserve"> </v>
      </c>
      <c r="AD89" s="20">
        <f t="shared" si="20"/>
        <v>78</v>
      </c>
      <c r="AE89" s="5">
        <f t="shared" si="21"/>
        <v>0</v>
      </c>
      <c r="AF89" s="5">
        <f t="shared" si="22"/>
        <v>0</v>
      </c>
      <c r="AG89" s="5">
        <f t="shared" si="23"/>
        <v>0</v>
      </c>
      <c r="AH89" s="5">
        <f>IF(CreditAmort3BASE[[#This Row],[Month]]=AJ$8,AF$7,0)</f>
        <v>0</v>
      </c>
      <c r="AI89" s="13">
        <f t="shared" si="24"/>
        <v>0</v>
      </c>
      <c r="AJ89" s="6" t="str">
        <f t="shared" si="25"/>
        <v xml:space="preserve"> </v>
      </c>
      <c r="AK89" s="21" t="str">
        <f t="shared" si="26"/>
        <v xml:space="preserve"> </v>
      </c>
      <c r="AM89" s="20">
        <f t="shared" si="27"/>
        <v>78</v>
      </c>
      <c r="AN89" s="5">
        <f t="shared" si="28"/>
        <v>0</v>
      </c>
      <c r="AO89" s="5">
        <f t="shared" si="29"/>
        <v>0</v>
      </c>
      <c r="AP89" s="5">
        <f t="shared" si="30"/>
        <v>0</v>
      </c>
      <c r="AQ89" s="5">
        <f>IF(CreditAmort4BASE[[#This Row],[Month]]=AS$8,AO$7,0)</f>
        <v>0</v>
      </c>
      <c r="AR89" s="13">
        <f t="shared" si="31"/>
        <v>0</v>
      </c>
      <c r="AS89" s="6" t="str">
        <f t="shared" si="32"/>
        <v xml:space="preserve"> </v>
      </c>
      <c r="AT89" s="21" t="str">
        <f t="shared" si="33"/>
        <v xml:space="preserve"> </v>
      </c>
    </row>
    <row r="90" spans="3:46">
      <c r="C90" s="22">
        <f t="shared" si="17"/>
        <v>79</v>
      </c>
      <c r="D90" s="23">
        <f>IF(AND(C90&gt;='Amort. Sched.-BASE'!$I$8, C90&lt;= ($I$7+$I$8)), PMT('Amort. Sched.-BASE'!$E$8/12, 'Amort. Sched.-BASE'!$I$7, 'Amort. Sched.-BASE'!$E$7), 0)</f>
        <v>-1736.5864935892569</v>
      </c>
      <c r="E90" s="5">
        <f>IF(AND(C90&gt;='Amort. Sched.-BASE'!$I$8, C90&lt;= ($I$7+$I$8)), (IPMT($E$8/12, (C90-$I$8), $I$7, $E$7)), 0)</f>
        <v>-1339.3275986122451</v>
      </c>
      <c r="F90" s="23">
        <f>IF(AND(C90&gt;='Amort. Sched.-BASE'!$I$8, C90&lt;= ($I$7+$I$8)), (PPMT($E$8/12, (C90-$I$8), $I$7, $E$7)), 0)</f>
        <v>-397.25889497701189</v>
      </c>
      <c r="G90" s="5">
        <f>IF(MortgageAmortBASE[[#This Row],[Month]]=I$8,E$7,0)</f>
        <v>0</v>
      </c>
      <c r="H90" s="13">
        <f>IF(AND(C90&gt;='Amort. Sched.-BASE'!$I$8, C90&lt;= ($I$7+$I$8)), H89+F90, 0)</f>
        <v>200501.88089685969</v>
      </c>
      <c r="I90" s="24">
        <f>IF(AND(C90&gt;='Amort. Sched.-BASE'!$I$8, C90&lt;= ($I$7+$I$8)), E90/D90, " ")</f>
        <v>0.77124151521186901</v>
      </c>
      <c r="J90" s="25">
        <f>IF(AND(C90&gt;='Amort. Sched.-BASE'!$I$8, C90&lt;= ($I$7+$I$8)), F90/D90, " ")</f>
        <v>0.22875848478813107</v>
      </c>
      <c r="L90" s="20">
        <f t="shared" si="18"/>
        <v>79</v>
      </c>
      <c r="M90" s="5">
        <f>IF(AND(L90&gt;='Amort. Sched.-BASE'!$R$8, L90&lt;= ($R$7+$R$8)), PMT('Amort. Sched.-BASE'!$N$8/12, 'Amort. Sched.-BASE'!$R$7, 'Amort. Sched.-BASE'!$N$7), 0)</f>
        <v>0</v>
      </c>
      <c r="N90" s="5">
        <f>IF(AND(L90&gt;='Amort. Sched.-BASE'!$R$8, L90&lt;= ($R$7+$R$8)), (IPMT($N$8/12, (L90-$R$8), $R$7, $N$7)), 0)</f>
        <v>0</v>
      </c>
      <c r="O90" s="5">
        <f>IF(AND(L90&gt;='Amort. Sched.-BASE'!$R$8, L90&lt;= ($R$7+$R$8)), (PPMT($N$8/12, (L90-$R$8), $R$7, $N$7)), 0)</f>
        <v>0</v>
      </c>
      <c r="P90" s="5">
        <f>IF(CreditAmort1BASE[[#This Row],[Month]]=R$8,N$7,0)</f>
        <v>0</v>
      </c>
      <c r="Q90" s="13">
        <f>IF(AND(L90&gt;='Amort. Sched.-BASE'!$R$8, L90&lt;= ($R$7+$R$8)), Q89+O90, 0)</f>
        <v>0</v>
      </c>
      <c r="R90" s="6" t="str">
        <f>IF(AND(L90&gt;='Amort. Sched.-BASE'!$R$8, L90&lt;= ($R$7+$R$8)), N90/M90, " ")</f>
        <v xml:space="preserve"> </v>
      </c>
      <c r="S90" s="21" t="str">
        <f>IF(AND(L90&gt;='Amort. Sched.-BASE'!$R$8, L90&lt;= ($R$7+$R$8)), O90/M90, " ")</f>
        <v xml:space="preserve"> </v>
      </c>
      <c r="U90" s="20">
        <f t="shared" si="19"/>
        <v>79</v>
      </c>
      <c r="V90" s="5">
        <f>IF(AND(U90&gt;='Amort. Sched.-BASE'!$AA$8, U90&lt;= ($AA$7+$AA$8)), PMT('Amort. Sched.-BASE'!$W$8/12, 'Amort. Sched.-BASE'!$AA$7, 'Amort. Sched.-BASE'!$W$7), 0)</f>
        <v>0</v>
      </c>
      <c r="W90" s="5">
        <f>IF(AND(U90&gt;='Amort. Sched.-BASE'!$AA$8, U90&lt;= ($AA$7+$AA$8)), (IPMT($W$8/12, (U90-$AA$8), $AA$7, $W$7)), 0)</f>
        <v>0</v>
      </c>
      <c r="X90" s="5">
        <f>IF(AND(U90&gt;='Amort. Sched.-BASE'!$AA$8, U90&lt;= ($AA$7+$AA$8)), (PPMT($W$8/12, (U90-$AA$8), $AA$7, $W$7)), 0)</f>
        <v>0</v>
      </c>
      <c r="Y90" s="5">
        <f>IF(CreditAmort2BASE[[#This Row],[Month]]=AA$8,W$7,0)</f>
        <v>0</v>
      </c>
      <c r="Z90" s="13">
        <f>IF(AND(U90&gt;='Amort. Sched.-BASE'!$AA$8, U90&lt;= ($AA$7+$AA$8)), Z89+X90, 0)</f>
        <v>0</v>
      </c>
      <c r="AA90" s="6" t="str">
        <f>IF(AND(U90&gt;='Amort. Sched.-BASE'!$AA$8, U90&lt;= ($AA$7+$AA$8)), W90/V90, " ")</f>
        <v xml:space="preserve"> </v>
      </c>
      <c r="AB90" s="21" t="str">
        <f>IF(AND(U90&gt;='Amort. Sched.-BASE'!$AA$8, U90&lt;= ($AA$7+$AA$8)), X90/V90, " ")</f>
        <v xml:space="preserve"> </v>
      </c>
      <c r="AD90" s="20">
        <f t="shared" si="20"/>
        <v>79</v>
      </c>
      <c r="AE90" s="5">
        <f t="shared" si="21"/>
        <v>0</v>
      </c>
      <c r="AF90" s="5">
        <f t="shared" si="22"/>
        <v>0</v>
      </c>
      <c r="AG90" s="5">
        <f t="shared" si="23"/>
        <v>0</v>
      </c>
      <c r="AH90" s="5">
        <f>IF(CreditAmort3BASE[[#This Row],[Month]]=AJ$8,AF$7,0)</f>
        <v>0</v>
      </c>
      <c r="AI90" s="13">
        <f t="shared" si="24"/>
        <v>0</v>
      </c>
      <c r="AJ90" s="6" t="str">
        <f t="shared" si="25"/>
        <v xml:space="preserve"> </v>
      </c>
      <c r="AK90" s="21" t="str">
        <f t="shared" si="26"/>
        <v xml:space="preserve"> </v>
      </c>
      <c r="AM90" s="20">
        <f t="shared" si="27"/>
        <v>79</v>
      </c>
      <c r="AN90" s="5">
        <f t="shared" si="28"/>
        <v>0</v>
      </c>
      <c r="AO90" s="5">
        <f t="shared" si="29"/>
        <v>0</v>
      </c>
      <c r="AP90" s="5">
        <f t="shared" si="30"/>
        <v>0</v>
      </c>
      <c r="AQ90" s="5">
        <f>IF(CreditAmort4BASE[[#This Row],[Month]]=AS$8,AO$7,0)</f>
        <v>0</v>
      </c>
      <c r="AR90" s="13">
        <f t="shared" si="31"/>
        <v>0</v>
      </c>
      <c r="AS90" s="6" t="str">
        <f t="shared" si="32"/>
        <v xml:space="preserve"> </v>
      </c>
      <c r="AT90" s="21" t="str">
        <f t="shared" si="33"/>
        <v xml:space="preserve"> </v>
      </c>
    </row>
    <row r="91" spans="3:46">
      <c r="C91" s="22">
        <f t="shared" si="17"/>
        <v>80</v>
      </c>
      <c r="D91" s="23">
        <f>IF(AND(C91&gt;='Amort. Sched.-BASE'!$I$8, C91&lt;= ($I$7+$I$8)), PMT('Amort. Sched.-BASE'!$E$8/12, 'Amort. Sched.-BASE'!$I$7, 'Amort. Sched.-BASE'!$E$7), 0)</f>
        <v>-1736.5864935892569</v>
      </c>
      <c r="E91" s="5">
        <f>IF(AND(C91&gt;='Amort. Sched.-BASE'!$I$8, C91&lt;= ($I$7+$I$8)), (IPMT($E$8/12, (C91-$I$8), $I$7, $E$7)), 0)</f>
        <v>-1336.679205979065</v>
      </c>
      <c r="F91" s="23">
        <f>IF(AND(C91&gt;='Amort. Sched.-BASE'!$I$8, C91&lt;= ($I$7+$I$8)), (PPMT($E$8/12, (C91-$I$8), $I$7, $E$7)), 0)</f>
        <v>-399.90728761019193</v>
      </c>
      <c r="G91" s="5">
        <f>IF(MortgageAmortBASE[[#This Row],[Month]]=I$8,E$7,0)</f>
        <v>0</v>
      </c>
      <c r="H91" s="13">
        <f>IF(AND(C91&gt;='Amort. Sched.-BASE'!$I$8, C91&lt;= ($I$7+$I$8)), H90+F91, 0)</f>
        <v>200101.97360924949</v>
      </c>
      <c r="I91" s="24">
        <f>IF(AND(C91&gt;='Amort. Sched.-BASE'!$I$8, C91&lt;= ($I$7+$I$8)), E91/D91, " ")</f>
        <v>0.76971645864661487</v>
      </c>
      <c r="J91" s="25">
        <f>IF(AND(C91&gt;='Amort. Sched.-BASE'!$I$8, C91&lt;= ($I$7+$I$8)), F91/D91, " ")</f>
        <v>0.23028354135338525</v>
      </c>
      <c r="L91" s="20">
        <f t="shared" si="18"/>
        <v>80</v>
      </c>
      <c r="M91" s="5">
        <f>IF(AND(L91&gt;='Amort. Sched.-BASE'!$R$8, L91&lt;= ($R$7+$R$8)), PMT('Amort. Sched.-BASE'!$N$8/12, 'Amort. Sched.-BASE'!$R$7, 'Amort. Sched.-BASE'!$N$7), 0)</f>
        <v>0</v>
      </c>
      <c r="N91" s="5">
        <f>IF(AND(L91&gt;='Amort. Sched.-BASE'!$R$8, L91&lt;= ($R$7+$R$8)), (IPMT($N$8/12, (L91-$R$8), $R$7, $N$7)), 0)</f>
        <v>0</v>
      </c>
      <c r="O91" s="5">
        <f>IF(AND(L91&gt;='Amort. Sched.-BASE'!$R$8, L91&lt;= ($R$7+$R$8)), (PPMT($N$8/12, (L91-$R$8), $R$7, $N$7)), 0)</f>
        <v>0</v>
      </c>
      <c r="P91" s="5">
        <f>IF(CreditAmort1BASE[[#This Row],[Month]]=R$8,N$7,0)</f>
        <v>0</v>
      </c>
      <c r="Q91" s="13">
        <f>IF(AND(L91&gt;='Amort. Sched.-BASE'!$R$8, L91&lt;= ($R$7+$R$8)), Q90+O91, 0)</f>
        <v>0</v>
      </c>
      <c r="R91" s="6" t="str">
        <f>IF(AND(L91&gt;='Amort. Sched.-BASE'!$R$8, L91&lt;= ($R$7+$R$8)), N91/M91, " ")</f>
        <v xml:space="preserve"> </v>
      </c>
      <c r="S91" s="21" t="str">
        <f>IF(AND(L91&gt;='Amort. Sched.-BASE'!$R$8, L91&lt;= ($R$7+$R$8)), O91/M91, " ")</f>
        <v xml:space="preserve"> </v>
      </c>
      <c r="U91" s="20">
        <f t="shared" si="19"/>
        <v>80</v>
      </c>
      <c r="V91" s="5">
        <f>IF(AND(U91&gt;='Amort. Sched.-BASE'!$AA$8, U91&lt;= ($AA$7+$AA$8)), PMT('Amort. Sched.-BASE'!$W$8/12, 'Amort. Sched.-BASE'!$AA$7, 'Amort. Sched.-BASE'!$W$7), 0)</f>
        <v>0</v>
      </c>
      <c r="W91" s="5">
        <f>IF(AND(U91&gt;='Amort. Sched.-BASE'!$AA$8, U91&lt;= ($AA$7+$AA$8)), (IPMT($W$8/12, (U91-$AA$8), $AA$7, $W$7)), 0)</f>
        <v>0</v>
      </c>
      <c r="X91" s="5">
        <f>IF(AND(U91&gt;='Amort. Sched.-BASE'!$AA$8, U91&lt;= ($AA$7+$AA$8)), (PPMT($W$8/12, (U91-$AA$8), $AA$7, $W$7)), 0)</f>
        <v>0</v>
      </c>
      <c r="Y91" s="5">
        <f>IF(CreditAmort2BASE[[#This Row],[Month]]=AA$8,W$7,0)</f>
        <v>0</v>
      </c>
      <c r="Z91" s="13">
        <f>IF(AND(U91&gt;='Amort. Sched.-BASE'!$AA$8, U91&lt;= ($AA$7+$AA$8)), Z90+X91, 0)</f>
        <v>0</v>
      </c>
      <c r="AA91" s="6" t="str">
        <f>IF(AND(U91&gt;='Amort. Sched.-BASE'!$AA$8, U91&lt;= ($AA$7+$AA$8)), W91/V91, " ")</f>
        <v xml:space="preserve"> </v>
      </c>
      <c r="AB91" s="21" t="str">
        <f>IF(AND(U91&gt;='Amort. Sched.-BASE'!$AA$8, U91&lt;= ($AA$7+$AA$8)), X91/V91, " ")</f>
        <v xml:space="preserve"> </v>
      </c>
      <c r="AD91" s="20">
        <f t="shared" si="20"/>
        <v>80</v>
      </c>
      <c r="AE91" s="5">
        <f t="shared" si="21"/>
        <v>0</v>
      </c>
      <c r="AF91" s="5">
        <f t="shared" si="22"/>
        <v>0</v>
      </c>
      <c r="AG91" s="5">
        <f t="shared" si="23"/>
        <v>0</v>
      </c>
      <c r="AH91" s="5">
        <f>IF(CreditAmort3BASE[[#This Row],[Month]]=AJ$8,AF$7,0)</f>
        <v>0</v>
      </c>
      <c r="AI91" s="13">
        <f t="shared" si="24"/>
        <v>0</v>
      </c>
      <c r="AJ91" s="6" t="str">
        <f t="shared" si="25"/>
        <v xml:space="preserve"> </v>
      </c>
      <c r="AK91" s="21" t="str">
        <f t="shared" si="26"/>
        <v xml:space="preserve"> </v>
      </c>
      <c r="AM91" s="20">
        <f t="shared" si="27"/>
        <v>80</v>
      </c>
      <c r="AN91" s="5">
        <f t="shared" si="28"/>
        <v>0</v>
      </c>
      <c r="AO91" s="5">
        <f t="shared" si="29"/>
        <v>0</v>
      </c>
      <c r="AP91" s="5">
        <f t="shared" si="30"/>
        <v>0</v>
      </c>
      <c r="AQ91" s="5">
        <f>IF(CreditAmort4BASE[[#This Row],[Month]]=AS$8,AO$7,0)</f>
        <v>0</v>
      </c>
      <c r="AR91" s="13">
        <f t="shared" si="31"/>
        <v>0</v>
      </c>
      <c r="AS91" s="6" t="str">
        <f t="shared" si="32"/>
        <v xml:space="preserve"> </v>
      </c>
      <c r="AT91" s="21" t="str">
        <f t="shared" si="33"/>
        <v xml:space="preserve"> </v>
      </c>
    </row>
    <row r="92" spans="3:46">
      <c r="C92" s="22">
        <f t="shared" si="17"/>
        <v>81</v>
      </c>
      <c r="D92" s="23">
        <f>IF(AND(C92&gt;='Amort. Sched.-BASE'!$I$8, C92&lt;= ($I$7+$I$8)), PMT('Amort. Sched.-BASE'!$E$8/12, 'Amort. Sched.-BASE'!$I$7, 'Amort. Sched.-BASE'!$E$7), 0)</f>
        <v>-1736.5864935892569</v>
      </c>
      <c r="E92" s="5">
        <f>IF(AND(C92&gt;='Amort. Sched.-BASE'!$I$8, C92&lt;= ($I$7+$I$8)), (IPMT($E$8/12, (C92-$I$8), $I$7, $E$7)), 0)</f>
        <v>-1334.0131573949971</v>
      </c>
      <c r="F92" s="23">
        <f>IF(AND(C92&gt;='Amort. Sched.-BASE'!$I$8, C92&lt;= ($I$7+$I$8)), (PPMT($E$8/12, (C92-$I$8), $I$7, $E$7)), 0)</f>
        <v>-402.57333619425998</v>
      </c>
      <c r="G92" s="5">
        <f>IF(MortgageAmortBASE[[#This Row],[Month]]=I$8,E$7,0)</f>
        <v>0</v>
      </c>
      <c r="H92" s="13">
        <f>IF(AND(C92&gt;='Amort. Sched.-BASE'!$I$8, C92&lt;= ($I$7+$I$8)), H91+F92, 0)</f>
        <v>199699.40027305522</v>
      </c>
      <c r="I92" s="24">
        <f>IF(AND(C92&gt;='Amort. Sched.-BASE'!$I$8, C92&lt;= ($I$7+$I$8)), E92/D92, " ")</f>
        <v>0.76818123503759217</v>
      </c>
      <c r="J92" s="25">
        <f>IF(AND(C92&gt;='Amort. Sched.-BASE'!$I$8, C92&lt;= ($I$7+$I$8)), F92/D92, " ")</f>
        <v>0.23181876496240789</v>
      </c>
      <c r="L92" s="20">
        <f t="shared" si="18"/>
        <v>81</v>
      </c>
      <c r="M92" s="5">
        <f>IF(AND(L92&gt;='Amort. Sched.-BASE'!$R$8, L92&lt;= ($R$7+$R$8)), PMT('Amort. Sched.-BASE'!$N$8/12, 'Amort. Sched.-BASE'!$R$7, 'Amort. Sched.-BASE'!$N$7), 0)</f>
        <v>0</v>
      </c>
      <c r="N92" s="5">
        <f>IF(AND(L92&gt;='Amort. Sched.-BASE'!$R$8, L92&lt;= ($R$7+$R$8)), (IPMT($N$8/12, (L92-$R$8), $R$7, $N$7)), 0)</f>
        <v>0</v>
      </c>
      <c r="O92" s="5">
        <f>IF(AND(L92&gt;='Amort. Sched.-BASE'!$R$8, L92&lt;= ($R$7+$R$8)), (PPMT($N$8/12, (L92-$R$8), $R$7, $N$7)), 0)</f>
        <v>0</v>
      </c>
      <c r="P92" s="5">
        <f>IF(CreditAmort1BASE[[#This Row],[Month]]=R$8,N$7,0)</f>
        <v>0</v>
      </c>
      <c r="Q92" s="13">
        <f>IF(AND(L92&gt;='Amort. Sched.-BASE'!$R$8, L92&lt;= ($R$7+$R$8)), Q91+O92, 0)</f>
        <v>0</v>
      </c>
      <c r="R92" s="6" t="str">
        <f>IF(AND(L92&gt;='Amort. Sched.-BASE'!$R$8, L92&lt;= ($R$7+$R$8)), N92/M92, " ")</f>
        <v xml:space="preserve"> </v>
      </c>
      <c r="S92" s="21" t="str">
        <f>IF(AND(L92&gt;='Amort. Sched.-BASE'!$R$8, L92&lt;= ($R$7+$R$8)), O92/M92, " ")</f>
        <v xml:space="preserve"> </v>
      </c>
      <c r="U92" s="20">
        <f t="shared" si="19"/>
        <v>81</v>
      </c>
      <c r="V92" s="5">
        <f>IF(AND(U92&gt;='Amort. Sched.-BASE'!$AA$8, U92&lt;= ($AA$7+$AA$8)), PMT('Amort. Sched.-BASE'!$W$8/12, 'Amort. Sched.-BASE'!$AA$7, 'Amort. Sched.-BASE'!$W$7), 0)</f>
        <v>0</v>
      </c>
      <c r="W92" s="5">
        <f>IF(AND(U92&gt;='Amort. Sched.-BASE'!$AA$8, U92&lt;= ($AA$7+$AA$8)), (IPMT($W$8/12, (U92-$AA$8), $AA$7, $W$7)), 0)</f>
        <v>0</v>
      </c>
      <c r="X92" s="5">
        <f>IF(AND(U92&gt;='Amort. Sched.-BASE'!$AA$8, U92&lt;= ($AA$7+$AA$8)), (PPMT($W$8/12, (U92-$AA$8), $AA$7, $W$7)), 0)</f>
        <v>0</v>
      </c>
      <c r="Y92" s="5">
        <f>IF(CreditAmort2BASE[[#This Row],[Month]]=AA$8,W$7,0)</f>
        <v>0</v>
      </c>
      <c r="Z92" s="13">
        <f>IF(AND(U92&gt;='Amort. Sched.-BASE'!$AA$8, U92&lt;= ($AA$7+$AA$8)), Z91+X92, 0)</f>
        <v>0</v>
      </c>
      <c r="AA92" s="6" t="str">
        <f>IF(AND(U92&gt;='Amort. Sched.-BASE'!$AA$8, U92&lt;= ($AA$7+$AA$8)), W92/V92, " ")</f>
        <v xml:space="preserve"> </v>
      </c>
      <c r="AB92" s="21" t="str">
        <f>IF(AND(U92&gt;='Amort. Sched.-BASE'!$AA$8, U92&lt;= ($AA$7+$AA$8)), X92/V92, " ")</f>
        <v xml:space="preserve"> </v>
      </c>
      <c r="AD92" s="20">
        <f t="shared" si="20"/>
        <v>81</v>
      </c>
      <c r="AE92" s="5">
        <f t="shared" si="21"/>
        <v>0</v>
      </c>
      <c r="AF92" s="5">
        <f t="shared" si="22"/>
        <v>0</v>
      </c>
      <c r="AG92" s="5">
        <f t="shared" si="23"/>
        <v>0</v>
      </c>
      <c r="AH92" s="5">
        <f>IF(CreditAmort3BASE[[#This Row],[Month]]=AJ$8,AF$7,0)</f>
        <v>0</v>
      </c>
      <c r="AI92" s="13">
        <f t="shared" si="24"/>
        <v>0</v>
      </c>
      <c r="AJ92" s="6" t="str">
        <f t="shared" si="25"/>
        <v xml:space="preserve"> </v>
      </c>
      <c r="AK92" s="21" t="str">
        <f t="shared" si="26"/>
        <v xml:space="preserve"> </v>
      </c>
      <c r="AM92" s="20">
        <f t="shared" si="27"/>
        <v>81</v>
      </c>
      <c r="AN92" s="5">
        <f t="shared" si="28"/>
        <v>0</v>
      </c>
      <c r="AO92" s="5">
        <f t="shared" si="29"/>
        <v>0</v>
      </c>
      <c r="AP92" s="5">
        <f t="shared" si="30"/>
        <v>0</v>
      </c>
      <c r="AQ92" s="5">
        <f>IF(CreditAmort4BASE[[#This Row],[Month]]=AS$8,AO$7,0)</f>
        <v>0</v>
      </c>
      <c r="AR92" s="13">
        <f t="shared" si="31"/>
        <v>0</v>
      </c>
      <c r="AS92" s="6" t="str">
        <f t="shared" si="32"/>
        <v xml:space="preserve"> </v>
      </c>
      <c r="AT92" s="21" t="str">
        <f t="shared" si="33"/>
        <v xml:space="preserve"> </v>
      </c>
    </row>
    <row r="93" spans="3:46">
      <c r="C93" s="22">
        <f t="shared" si="17"/>
        <v>82</v>
      </c>
      <c r="D93" s="23">
        <f>IF(AND(C93&gt;='Amort. Sched.-BASE'!$I$8, C93&lt;= ($I$7+$I$8)), PMT('Amort. Sched.-BASE'!$E$8/12, 'Amort. Sched.-BASE'!$I$7, 'Amort. Sched.-BASE'!$E$7), 0)</f>
        <v>-1736.5864935892569</v>
      </c>
      <c r="E93" s="5">
        <f>IF(AND(C93&gt;='Amort. Sched.-BASE'!$I$8, C93&lt;= ($I$7+$I$8)), (IPMT($E$8/12, (C93-$I$8), $I$7, $E$7)), 0)</f>
        <v>-1331.329335153702</v>
      </c>
      <c r="F93" s="23">
        <f>IF(AND(C93&gt;='Amort. Sched.-BASE'!$I$8, C93&lt;= ($I$7+$I$8)), (PPMT($E$8/12, (C93-$I$8), $I$7, $E$7)), 0)</f>
        <v>-405.25715843555503</v>
      </c>
      <c r="G93" s="5">
        <f>IF(MortgageAmortBASE[[#This Row],[Month]]=I$8,E$7,0)</f>
        <v>0</v>
      </c>
      <c r="H93" s="13">
        <f>IF(AND(C93&gt;='Amort. Sched.-BASE'!$I$8, C93&lt;= ($I$7+$I$8)), H92+F93, 0)</f>
        <v>199294.14311461966</v>
      </c>
      <c r="I93" s="24">
        <f>IF(AND(C93&gt;='Amort. Sched.-BASE'!$I$8, C93&lt;= ($I$7+$I$8)), E93/D93, " ")</f>
        <v>0.76663577660450954</v>
      </c>
      <c r="J93" s="25">
        <f>IF(AND(C93&gt;='Amort. Sched.-BASE'!$I$8, C93&lt;= ($I$7+$I$8)), F93/D93, " ")</f>
        <v>0.23336422339549059</v>
      </c>
      <c r="L93" s="20">
        <f t="shared" si="18"/>
        <v>82</v>
      </c>
      <c r="M93" s="5">
        <f>IF(AND(L93&gt;='Amort. Sched.-BASE'!$R$8, L93&lt;= ($R$7+$R$8)), PMT('Amort. Sched.-BASE'!$N$8/12, 'Amort. Sched.-BASE'!$R$7, 'Amort. Sched.-BASE'!$N$7), 0)</f>
        <v>0</v>
      </c>
      <c r="N93" s="5">
        <f>IF(AND(L93&gt;='Amort. Sched.-BASE'!$R$8, L93&lt;= ($R$7+$R$8)), (IPMT($N$8/12, (L93-$R$8), $R$7, $N$7)), 0)</f>
        <v>0</v>
      </c>
      <c r="O93" s="5">
        <f>IF(AND(L93&gt;='Amort. Sched.-BASE'!$R$8, L93&lt;= ($R$7+$R$8)), (PPMT($N$8/12, (L93-$R$8), $R$7, $N$7)), 0)</f>
        <v>0</v>
      </c>
      <c r="P93" s="5">
        <f>IF(CreditAmort1BASE[[#This Row],[Month]]=R$8,N$7,0)</f>
        <v>0</v>
      </c>
      <c r="Q93" s="13">
        <f>IF(AND(L93&gt;='Amort. Sched.-BASE'!$R$8, L93&lt;= ($R$7+$R$8)), Q92+O93, 0)</f>
        <v>0</v>
      </c>
      <c r="R93" s="6" t="str">
        <f>IF(AND(L93&gt;='Amort. Sched.-BASE'!$R$8, L93&lt;= ($R$7+$R$8)), N93/M93, " ")</f>
        <v xml:space="preserve"> </v>
      </c>
      <c r="S93" s="21" t="str">
        <f>IF(AND(L93&gt;='Amort. Sched.-BASE'!$R$8, L93&lt;= ($R$7+$R$8)), O93/M93, " ")</f>
        <v xml:space="preserve"> </v>
      </c>
      <c r="U93" s="20">
        <f t="shared" si="19"/>
        <v>82</v>
      </c>
      <c r="V93" s="5">
        <f>IF(AND(U93&gt;='Amort. Sched.-BASE'!$AA$8, U93&lt;= ($AA$7+$AA$8)), PMT('Amort. Sched.-BASE'!$W$8/12, 'Amort. Sched.-BASE'!$AA$7, 'Amort. Sched.-BASE'!$W$7), 0)</f>
        <v>0</v>
      </c>
      <c r="W93" s="5">
        <f>IF(AND(U93&gt;='Amort. Sched.-BASE'!$AA$8, U93&lt;= ($AA$7+$AA$8)), (IPMT($W$8/12, (U93-$AA$8), $AA$7, $W$7)), 0)</f>
        <v>0</v>
      </c>
      <c r="X93" s="5">
        <f>IF(AND(U93&gt;='Amort. Sched.-BASE'!$AA$8, U93&lt;= ($AA$7+$AA$8)), (PPMT($W$8/12, (U93-$AA$8), $AA$7, $W$7)), 0)</f>
        <v>0</v>
      </c>
      <c r="Y93" s="5">
        <f>IF(CreditAmort2BASE[[#This Row],[Month]]=AA$8,W$7,0)</f>
        <v>0</v>
      </c>
      <c r="Z93" s="13">
        <f>IF(AND(U93&gt;='Amort. Sched.-BASE'!$AA$8, U93&lt;= ($AA$7+$AA$8)), Z92+X93, 0)</f>
        <v>0</v>
      </c>
      <c r="AA93" s="6" t="str">
        <f>IF(AND(U93&gt;='Amort. Sched.-BASE'!$AA$8, U93&lt;= ($AA$7+$AA$8)), W93/V93, " ")</f>
        <v xml:space="preserve"> </v>
      </c>
      <c r="AB93" s="21" t="str">
        <f>IF(AND(U93&gt;='Amort. Sched.-BASE'!$AA$8, U93&lt;= ($AA$7+$AA$8)), X93/V93, " ")</f>
        <v xml:space="preserve"> </v>
      </c>
      <c r="AD93" s="20">
        <f t="shared" si="20"/>
        <v>82</v>
      </c>
      <c r="AE93" s="5">
        <f t="shared" si="21"/>
        <v>0</v>
      </c>
      <c r="AF93" s="5">
        <f t="shared" si="22"/>
        <v>0</v>
      </c>
      <c r="AG93" s="5">
        <f t="shared" si="23"/>
        <v>0</v>
      </c>
      <c r="AH93" s="5">
        <f>IF(CreditAmort3BASE[[#This Row],[Month]]=AJ$8,AF$7,0)</f>
        <v>0</v>
      </c>
      <c r="AI93" s="13">
        <f t="shared" si="24"/>
        <v>0</v>
      </c>
      <c r="AJ93" s="6" t="str">
        <f t="shared" si="25"/>
        <v xml:space="preserve"> </v>
      </c>
      <c r="AK93" s="21" t="str">
        <f t="shared" si="26"/>
        <v xml:space="preserve"> </v>
      </c>
      <c r="AM93" s="20">
        <f t="shared" si="27"/>
        <v>82</v>
      </c>
      <c r="AN93" s="5">
        <f t="shared" si="28"/>
        <v>0</v>
      </c>
      <c r="AO93" s="5">
        <f t="shared" si="29"/>
        <v>0</v>
      </c>
      <c r="AP93" s="5">
        <f t="shared" si="30"/>
        <v>0</v>
      </c>
      <c r="AQ93" s="5">
        <f>IF(CreditAmort4BASE[[#This Row],[Month]]=AS$8,AO$7,0)</f>
        <v>0</v>
      </c>
      <c r="AR93" s="13">
        <f t="shared" si="31"/>
        <v>0</v>
      </c>
      <c r="AS93" s="6" t="str">
        <f t="shared" si="32"/>
        <v xml:space="preserve"> </v>
      </c>
      <c r="AT93" s="21" t="str">
        <f t="shared" si="33"/>
        <v xml:space="preserve"> </v>
      </c>
    </row>
    <row r="94" spans="3:46">
      <c r="C94" s="22">
        <f t="shared" si="17"/>
        <v>83</v>
      </c>
      <c r="D94" s="23">
        <f>IF(AND(C94&gt;='Amort. Sched.-BASE'!$I$8, C94&lt;= ($I$7+$I$8)), PMT('Amort. Sched.-BASE'!$E$8/12, 'Amort. Sched.-BASE'!$I$7, 'Amort. Sched.-BASE'!$E$7), 0)</f>
        <v>-1736.5864935892569</v>
      </c>
      <c r="E94" s="5">
        <f>IF(AND(C94&gt;='Amort. Sched.-BASE'!$I$8, C94&lt;= ($I$7+$I$8)), (IPMT($E$8/12, (C94-$I$8), $I$7, $E$7)), 0)</f>
        <v>-1328.6276207641315</v>
      </c>
      <c r="F94" s="23">
        <f>IF(AND(C94&gt;='Amort. Sched.-BASE'!$I$8, C94&lt;= ($I$7+$I$8)), (PPMT($E$8/12, (C94-$I$8), $I$7, $E$7)), 0)</f>
        <v>-407.9588728251253</v>
      </c>
      <c r="G94" s="5">
        <f>IF(MortgageAmortBASE[[#This Row],[Month]]=I$8,E$7,0)</f>
        <v>0</v>
      </c>
      <c r="H94" s="13">
        <f>IF(AND(C94&gt;='Amort. Sched.-BASE'!$I$8, C94&lt;= ($I$7+$I$8)), H93+F94, 0)</f>
        <v>198886.18424179454</v>
      </c>
      <c r="I94" s="24">
        <f>IF(AND(C94&gt;='Amort. Sched.-BASE'!$I$8, C94&lt;= ($I$7+$I$8)), E94/D94, " ")</f>
        <v>0.76508001511520618</v>
      </c>
      <c r="J94" s="25">
        <f>IF(AND(C94&gt;='Amort. Sched.-BASE'!$I$8, C94&lt;= ($I$7+$I$8)), F94/D94, " ")</f>
        <v>0.23491998488479379</v>
      </c>
      <c r="L94" s="20">
        <f t="shared" si="18"/>
        <v>83</v>
      </c>
      <c r="M94" s="5">
        <f>IF(AND(L94&gt;='Amort. Sched.-BASE'!$R$8, L94&lt;= ($R$7+$R$8)), PMT('Amort. Sched.-BASE'!$N$8/12, 'Amort. Sched.-BASE'!$R$7, 'Amort. Sched.-BASE'!$N$7), 0)</f>
        <v>0</v>
      </c>
      <c r="N94" s="5">
        <f>IF(AND(L94&gt;='Amort. Sched.-BASE'!$R$8, L94&lt;= ($R$7+$R$8)), (IPMT($N$8/12, (L94-$R$8), $R$7, $N$7)), 0)</f>
        <v>0</v>
      </c>
      <c r="O94" s="5">
        <f>IF(AND(L94&gt;='Amort. Sched.-BASE'!$R$8, L94&lt;= ($R$7+$R$8)), (PPMT($N$8/12, (L94-$R$8), $R$7, $N$7)), 0)</f>
        <v>0</v>
      </c>
      <c r="P94" s="5">
        <f>IF(CreditAmort1BASE[[#This Row],[Month]]=R$8,N$7,0)</f>
        <v>0</v>
      </c>
      <c r="Q94" s="13">
        <f>IF(AND(L94&gt;='Amort. Sched.-BASE'!$R$8, L94&lt;= ($R$7+$R$8)), Q93+O94, 0)</f>
        <v>0</v>
      </c>
      <c r="R94" s="6" t="str">
        <f>IF(AND(L94&gt;='Amort. Sched.-BASE'!$R$8, L94&lt;= ($R$7+$R$8)), N94/M94, " ")</f>
        <v xml:space="preserve"> </v>
      </c>
      <c r="S94" s="21" t="str">
        <f>IF(AND(L94&gt;='Amort. Sched.-BASE'!$R$8, L94&lt;= ($R$7+$R$8)), O94/M94, " ")</f>
        <v xml:space="preserve"> </v>
      </c>
      <c r="U94" s="20">
        <f t="shared" si="19"/>
        <v>83</v>
      </c>
      <c r="V94" s="5">
        <f>IF(AND(U94&gt;='Amort. Sched.-BASE'!$AA$8, U94&lt;= ($AA$7+$AA$8)), PMT('Amort. Sched.-BASE'!$W$8/12, 'Amort. Sched.-BASE'!$AA$7, 'Amort. Sched.-BASE'!$W$7), 0)</f>
        <v>0</v>
      </c>
      <c r="W94" s="5">
        <f>IF(AND(U94&gt;='Amort. Sched.-BASE'!$AA$8, U94&lt;= ($AA$7+$AA$8)), (IPMT($W$8/12, (U94-$AA$8), $AA$7, $W$7)), 0)</f>
        <v>0</v>
      </c>
      <c r="X94" s="5">
        <f>IF(AND(U94&gt;='Amort. Sched.-BASE'!$AA$8, U94&lt;= ($AA$7+$AA$8)), (PPMT($W$8/12, (U94-$AA$8), $AA$7, $W$7)), 0)</f>
        <v>0</v>
      </c>
      <c r="Y94" s="5">
        <f>IF(CreditAmort2BASE[[#This Row],[Month]]=AA$8,W$7,0)</f>
        <v>0</v>
      </c>
      <c r="Z94" s="13">
        <f>IF(AND(U94&gt;='Amort. Sched.-BASE'!$AA$8, U94&lt;= ($AA$7+$AA$8)), Z93+X94, 0)</f>
        <v>0</v>
      </c>
      <c r="AA94" s="6" t="str">
        <f>IF(AND(U94&gt;='Amort. Sched.-BASE'!$AA$8, U94&lt;= ($AA$7+$AA$8)), W94/V94, " ")</f>
        <v xml:space="preserve"> </v>
      </c>
      <c r="AB94" s="21" t="str">
        <f>IF(AND(U94&gt;='Amort. Sched.-BASE'!$AA$8, U94&lt;= ($AA$7+$AA$8)), X94/V94, " ")</f>
        <v xml:space="preserve"> </v>
      </c>
      <c r="AD94" s="20">
        <f t="shared" si="20"/>
        <v>83</v>
      </c>
      <c r="AE94" s="5">
        <f t="shared" si="21"/>
        <v>0</v>
      </c>
      <c r="AF94" s="5">
        <f t="shared" si="22"/>
        <v>0</v>
      </c>
      <c r="AG94" s="5">
        <f t="shared" si="23"/>
        <v>0</v>
      </c>
      <c r="AH94" s="5">
        <f>IF(CreditAmort3BASE[[#This Row],[Month]]=AJ$8,AF$7,0)</f>
        <v>0</v>
      </c>
      <c r="AI94" s="13">
        <f t="shared" si="24"/>
        <v>0</v>
      </c>
      <c r="AJ94" s="6" t="str">
        <f t="shared" si="25"/>
        <v xml:space="preserve"> </v>
      </c>
      <c r="AK94" s="21" t="str">
        <f t="shared" si="26"/>
        <v xml:space="preserve"> </v>
      </c>
      <c r="AM94" s="20">
        <f t="shared" si="27"/>
        <v>83</v>
      </c>
      <c r="AN94" s="5">
        <f t="shared" si="28"/>
        <v>0</v>
      </c>
      <c r="AO94" s="5">
        <f t="shared" si="29"/>
        <v>0</v>
      </c>
      <c r="AP94" s="5">
        <f t="shared" si="30"/>
        <v>0</v>
      </c>
      <c r="AQ94" s="5">
        <f>IF(CreditAmort4BASE[[#This Row],[Month]]=AS$8,AO$7,0)</f>
        <v>0</v>
      </c>
      <c r="AR94" s="13">
        <f t="shared" si="31"/>
        <v>0</v>
      </c>
      <c r="AS94" s="6" t="str">
        <f t="shared" si="32"/>
        <v xml:space="preserve"> </v>
      </c>
      <c r="AT94" s="21" t="str">
        <f t="shared" si="33"/>
        <v xml:space="preserve"> </v>
      </c>
    </row>
    <row r="95" spans="3:46">
      <c r="C95" s="22">
        <f t="shared" si="17"/>
        <v>84</v>
      </c>
      <c r="D95" s="23">
        <f>IF(AND(C95&gt;='Amort. Sched.-BASE'!$I$8, C95&lt;= ($I$7+$I$8)), PMT('Amort. Sched.-BASE'!$E$8/12, 'Amort. Sched.-BASE'!$I$7, 'Amort. Sched.-BASE'!$E$7), 0)</f>
        <v>-1736.5864935892569</v>
      </c>
      <c r="E95" s="5">
        <f>IF(AND(C95&gt;='Amort. Sched.-BASE'!$I$8, C95&lt;= ($I$7+$I$8)), (IPMT($E$8/12, (C95-$I$8), $I$7, $E$7)), 0)</f>
        <v>-1325.9078949452974</v>
      </c>
      <c r="F95" s="23">
        <f>IF(AND(C95&gt;='Amort. Sched.-BASE'!$I$8, C95&lt;= ($I$7+$I$8)), (PPMT($E$8/12, (C95-$I$8), $I$7, $E$7)), 0)</f>
        <v>-410.67859864395956</v>
      </c>
      <c r="G95" s="5">
        <f>IF(MortgageAmortBASE[[#This Row],[Month]]=I$8,E$7,0)</f>
        <v>0</v>
      </c>
      <c r="H95" s="13">
        <f>IF(AND(C95&gt;='Amort. Sched.-BASE'!$I$8, C95&lt;= ($I$7+$I$8)), H94+F95, 0)</f>
        <v>198475.50564315059</v>
      </c>
      <c r="I95" s="24">
        <f>IF(AND(C95&gt;='Amort. Sched.-BASE'!$I$8, C95&lt;= ($I$7+$I$8)), E95/D95, " ")</f>
        <v>0.76351388188264091</v>
      </c>
      <c r="J95" s="25">
        <f>IF(AND(C95&gt;='Amort. Sched.-BASE'!$I$8, C95&lt;= ($I$7+$I$8)), F95/D95, " ")</f>
        <v>0.23648611811735915</v>
      </c>
      <c r="L95" s="20">
        <f t="shared" si="18"/>
        <v>84</v>
      </c>
      <c r="M95" s="5">
        <f>IF(AND(L95&gt;='Amort. Sched.-BASE'!$R$8, L95&lt;= ($R$7+$R$8)), PMT('Amort. Sched.-BASE'!$N$8/12, 'Amort. Sched.-BASE'!$R$7, 'Amort. Sched.-BASE'!$N$7), 0)</f>
        <v>0</v>
      </c>
      <c r="N95" s="5">
        <f>IF(AND(L95&gt;='Amort. Sched.-BASE'!$R$8, L95&lt;= ($R$7+$R$8)), (IPMT($N$8/12, (L95-$R$8), $R$7, $N$7)), 0)</f>
        <v>0</v>
      </c>
      <c r="O95" s="5">
        <f>IF(AND(L95&gt;='Amort. Sched.-BASE'!$R$8, L95&lt;= ($R$7+$R$8)), (PPMT($N$8/12, (L95-$R$8), $R$7, $N$7)), 0)</f>
        <v>0</v>
      </c>
      <c r="P95" s="5">
        <f>IF(CreditAmort1BASE[[#This Row],[Month]]=R$8,N$7,0)</f>
        <v>0</v>
      </c>
      <c r="Q95" s="13">
        <f>IF(AND(L95&gt;='Amort. Sched.-BASE'!$R$8, L95&lt;= ($R$7+$R$8)), Q94+O95, 0)</f>
        <v>0</v>
      </c>
      <c r="R95" s="6" t="str">
        <f>IF(AND(L95&gt;='Amort. Sched.-BASE'!$R$8, L95&lt;= ($R$7+$R$8)), N95/M95, " ")</f>
        <v xml:space="preserve"> </v>
      </c>
      <c r="S95" s="21" t="str">
        <f>IF(AND(L95&gt;='Amort. Sched.-BASE'!$R$8, L95&lt;= ($R$7+$R$8)), O95/M95, " ")</f>
        <v xml:space="preserve"> </v>
      </c>
      <c r="U95" s="20">
        <f t="shared" si="19"/>
        <v>84</v>
      </c>
      <c r="V95" s="5">
        <f>IF(AND(U95&gt;='Amort. Sched.-BASE'!$AA$8, U95&lt;= ($AA$7+$AA$8)), PMT('Amort. Sched.-BASE'!$W$8/12, 'Amort. Sched.-BASE'!$AA$7, 'Amort. Sched.-BASE'!$W$7), 0)</f>
        <v>0</v>
      </c>
      <c r="W95" s="5">
        <f>IF(AND(U95&gt;='Amort. Sched.-BASE'!$AA$8, U95&lt;= ($AA$7+$AA$8)), (IPMT($W$8/12, (U95-$AA$8), $AA$7, $W$7)), 0)</f>
        <v>0</v>
      </c>
      <c r="X95" s="5">
        <f>IF(AND(U95&gt;='Amort. Sched.-BASE'!$AA$8, U95&lt;= ($AA$7+$AA$8)), (PPMT($W$8/12, (U95-$AA$8), $AA$7, $W$7)), 0)</f>
        <v>0</v>
      </c>
      <c r="Y95" s="5">
        <f>IF(CreditAmort2BASE[[#This Row],[Month]]=AA$8,W$7,0)</f>
        <v>0</v>
      </c>
      <c r="Z95" s="13">
        <f>IF(AND(U95&gt;='Amort. Sched.-BASE'!$AA$8, U95&lt;= ($AA$7+$AA$8)), Z94+X95, 0)</f>
        <v>0</v>
      </c>
      <c r="AA95" s="6" t="str">
        <f>IF(AND(U95&gt;='Amort. Sched.-BASE'!$AA$8, U95&lt;= ($AA$7+$AA$8)), W95/V95, " ")</f>
        <v xml:space="preserve"> </v>
      </c>
      <c r="AB95" s="21" t="str">
        <f>IF(AND(U95&gt;='Amort. Sched.-BASE'!$AA$8, U95&lt;= ($AA$7+$AA$8)), X95/V95, " ")</f>
        <v xml:space="preserve"> </v>
      </c>
      <c r="AD95" s="20">
        <f t="shared" si="20"/>
        <v>84</v>
      </c>
      <c r="AE95" s="5">
        <f t="shared" si="21"/>
        <v>0</v>
      </c>
      <c r="AF95" s="5">
        <f t="shared" si="22"/>
        <v>0</v>
      </c>
      <c r="AG95" s="5">
        <f t="shared" si="23"/>
        <v>0</v>
      </c>
      <c r="AH95" s="5">
        <f>IF(CreditAmort3BASE[[#This Row],[Month]]=AJ$8,AF$7,0)</f>
        <v>0</v>
      </c>
      <c r="AI95" s="13">
        <f t="shared" si="24"/>
        <v>0</v>
      </c>
      <c r="AJ95" s="6" t="str">
        <f t="shared" si="25"/>
        <v xml:space="preserve"> </v>
      </c>
      <c r="AK95" s="21" t="str">
        <f t="shared" si="26"/>
        <v xml:space="preserve"> </v>
      </c>
      <c r="AM95" s="20">
        <f t="shared" si="27"/>
        <v>84</v>
      </c>
      <c r="AN95" s="5">
        <f t="shared" si="28"/>
        <v>0</v>
      </c>
      <c r="AO95" s="5">
        <f t="shared" si="29"/>
        <v>0</v>
      </c>
      <c r="AP95" s="5">
        <f t="shared" si="30"/>
        <v>0</v>
      </c>
      <c r="AQ95" s="5">
        <f>IF(CreditAmort4BASE[[#This Row],[Month]]=AS$8,AO$7,0)</f>
        <v>0</v>
      </c>
      <c r="AR95" s="13">
        <f t="shared" si="31"/>
        <v>0</v>
      </c>
      <c r="AS95" s="6" t="str">
        <f t="shared" si="32"/>
        <v xml:space="preserve"> </v>
      </c>
      <c r="AT95" s="21" t="str">
        <f t="shared" si="33"/>
        <v xml:space="preserve"> </v>
      </c>
    </row>
    <row r="96" spans="3:46">
      <c r="C96" s="22">
        <f t="shared" si="17"/>
        <v>85</v>
      </c>
      <c r="D96" s="23">
        <f>IF(AND(C96&gt;='Amort. Sched.-BASE'!$I$8, C96&lt;= ($I$7+$I$8)), PMT('Amort. Sched.-BASE'!$E$8/12, 'Amort. Sched.-BASE'!$I$7, 'Amort. Sched.-BASE'!$E$7), 0)</f>
        <v>-1736.5864935892569</v>
      </c>
      <c r="E96" s="5">
        <f>IF(AND(C96&gt;='Amort. Sched.-BASE'!$I$8, C96&lt;= ($I$7+$I$8)), (IPMT($E$8/12, (C96-$I$8), $I$7, $E$7)), 0)</f>
        <v>-1323.1700376210044</v>
      </c>
      <c r="F96" s="23">
        <f>IF(AND(C96&gt;='Amort. Sched.-BASE'!$I$8, C96&lt;= ($I$7+$I$8)), (PPMT($E$8/12, (C96-$I$8), $I$7, $E$7)), 0)</f>
        <v>-413.41645596825254</v>
      </c>
      <c r="G96" s="5">
        <f>IF(MortgageAmortBASE[[#This Row],[Month]]=I$8,E$7,0)</f>
        <v>0</v>
      </c>
      <c r="H96" s="13">
        <f>IF(AND(C96&gt;='Amort. Sched.-BASE'!$I$8, C96&lt;= ($I$7+$I$8)), H95+F96, 0)</f>
        <v>198062.08918718234</v>
      </c>
      <c r="I96" s="24">
        <f>IF(AND(C96&gt;='Amort. Sched.-BASE'!$I$8, C96&lt;= ($I$7+$I$8)), E96/D96, " ")</f>
        <v>0.76193730776185853</v>
      </c>
      <c r="J96" s="25">
        <f>IF(AND(C96&gt;='Amort. Sched.-BASE'!$I$8, C96&lt;= ($I$7+$I$8)), F96/D96, " ")</f>
        <v>0.2380626922381415</v>
      </c>
      <c r="L96" s="20">
        <f t="shared" si="18"/>
        <v>85</v>
      </c>
      <c r="M96" s="5">
        <f>IF(AND(L96&gt;='Amort. Sched.-BASE'!$R$8, L96&lt;= ($R$7+$R$8)), PMT('Amort. Sched.-BASE'!$N$8/12, 'Amort. Sched.-BASE'!$R$7, 'Amort. Sched.-BASE'!$N$7), 0)</f>
        <v>0</v>
      </c>
      <c r="N96" s="5">
        <f>IF(AND(L96&gt;='Amort. Sched.-BASE'!$R$8, L96&lt;= ($R$7+$R$8)), (IPMT($N$8/12, (L96-$R$8), $R$7, $N$7)), 0)</f>
        <v>0</v>
      </c>
      <c r="O96" s="5">
        <f>IF(AND(L96&gt;='Amort. Sched.-BASE'!$R$8, L96&lt;= ($R$7+$R$8)), (PPMT($N$8/12, (L96-$R$8), $R$7, $N$7)), 0)</f>
        <v>0</v>
      </c>
      <c r="P96" s="5">
        <f>IF(CreditAmort1BASE[[#This Row],[Month]]=R$8,N$7,0)</f>
        <v>0</v>
      </c>
      <c r="Q96" s="13">
        <f>IF(AND(L96&gt;='Amort. Sched.-BASE'!$R$8, L96&lt;= ($R$7+$R$8)), Q95+O96, 0)</f>
        <v>0</v>
      </c>
      <c r="R96" s="6" t="str">
        <f>IF(AND(L96&gt;='Amort. Sched.-BASE'!$R$8, L96&lt;= ($R$7+$R$8)), N96/M96, " ")</f>
        <v xml:space="preserve"> </v>
      </c>
      <c r="S96" s="21" t="str">
        <f>IF(AND(L96&gt;='Amort. Sched.-BASE'!$R$8, L96&lt;= ($R$7+$R$8)), O96/M96, " ")</f>
        <v xml:space="preserve"> </v>
      </c>
      <c r="U96" s="20">
        <f t="shared" si="19"/>
        <v>85</v>
      </c>
      <c r="V96" s="5">
        <f>IF(AND(U96&gt;='Amort. Sched.-BASE'!$AA$8, U96&lt;= ($AA$7+$AA$8)), PMT('Amort. Sched.-BASE'!$W$8/12, 'Amort. Sched.-BASE'!$AA$7, 'Amort. Sched.-BASE'!$W$7), 0)</f>
        <v>0</v>
      </c>
      <c r="W96" s="5">
        <f>IF(AND(U96&gt;='Amort. Sched.-BASE'!$AA$8, U96&lt;= ($AA$7+$AA$8)), (IPMT($W$8/12, (U96-$AA$8), $AA$7, $W$7)), 0)</f>
        <v>0</v>
      </c>
      <c r="X96" s="5">
        <f>IF(AND(U96&gt;='Amort. Sched.-BASE'!$AA$8, U96&lt;= ($AA$7+$AA$8)), (PPMT($W$8/12, (U96-$AA$8), $AA$7, $W$7)), 0)</f>
        <v>0</v>
      </c>
      <c r="Y96" s="5">
        <f>IF(CreditAmort2BASE[[#This Row],[Month]]=AA$8,W$7,0)</f>
        <v>0</v>
      </c>
      <c r="Z96" s="13">
        <f>IF(AND(U96&gt;='Amort. Sched.-BASE'!$AA$8, U96&lt;= ($AA$7+$AA$8)), Z95+X96, 0)</f>
        <v>0</v>
      </c>
      <c r="AA96" s="6" t="str">
        <f>IF(AND(U96&gt;='Amort. Sched.-BASE'!$AA$8, U96&lt;= ($AA$7+$AA$8)), W96/V96, " ")</f>
        <v xml:space="preserve"> </v>
      </c>
      <c r="AB96" s="21" t="str">
        <f>IF(AND(U96&gt;='Amort. Sched.-BASE'!$AA$8, U96&lt;= ($AA$7+$AA$8)), X96/V96, " ")</f>
        <v xml:space="preserve"> </v>
      </c>
      <c r="AD96" s="20">
        <f t="shared" si="20"/>
        <v>85</v>
      </c>
      <c r="AE96" s="5">
        <f t="shared" si="21"/>
        <v>0</v>
      </c>
      <c r="AF96" s="5">
        <f t="shared" si="22"/>
        <v>0</v>
      </c>
      <c r="AG96" s="5">
        <f t="shared" si="23"/>
        <v>0</v>
      </c>
      <c r="AH96" s="5">
        <f>IF(CreditAmort3BASE[[#This Row],[Month]]=AJ$8,AF$7,0)</f>
        <v>0</v>
      </c>
      <c r="AI96" s="13">
        <f t="shared" si="24"/>
        <v>0</v>
      </c>
      <c r="AJ96" s="6" t="str">
        <f t="shared" si="25"/>
        <v xml:space="preserve"> </v>
      </c>
      <c r="AK96" s="21" t="str">
        <f t="shared" si="26"/>
        <v xml:space="preserve"> </v>
      </c>
      <c r="AM96" s="20">
        <f t="shared" si="27"/>
        <v>85</v>
      </c>
      <c r="AN96" s="5">
        <f t="shared" si="28"/>
        <v>0</v>
      </c>
      <c r="AO96" s="5">
        <f t="shared" si="29"/>
        <v>0</v>
      </c>
      <c r="AP96" s="5">
        <f t="shared" si="30"/>
        <v>0</v>
      </c>
      <c r="AQ96" s="5">
        <f>IF(CreditAmort4BASE[[#This Row],[Month]]=AS$8,AO$7,0)</f>
        <v>0</v>
      </c>
      <c r="AR96" s="13">
        <f t="shared" si="31"/>
        <v>0</v>
      </c>
      <c r="AS96" s="6" t="str">
        <f t="shared" si="32"/>
        <v xml:space="preserve"> </v>
      </c>
      <c r="AT96" s="21" t="str">
        <f t="shared" si="33"/>
        <v xml:space="preserve"> </v>
      </c>
    </row>
    <row r="97" spans="3:46">
      <c r="C97" s="22">
        <f t="shared" si="17"/>
        <v>86</v>
      </c>
      <c r="D97" s="23">
        <f>IF(AND(C97&gt;='Amort. Sched.-BASE'!$I$8, C97&lt;= ($I$7+$I$8)), PMT('Amort. Sched.-BASE'!$E$8/12, 'Amort. Sched.-BASE'!$I$7, 'Amort. Sched.-BASE'!$E$7), 0)</f>
        <v>-1736.5864935892569</v>
      </c>
      <c r="E97" s="5">
        <f>IF(AND(C97&gt;='Amort. Sched.-BASE'!$I$8, C97&lt;= ($I$7+$I$8)), (IPMT($E$8/12, (C97-$I$8), $I$7, $E$7)), 0)</f>
        <v>-1320.4139279145495</v>
      </c>
      <c r="F97" s="23">
        <f>IF(AND(C97&gt;='Amort. Sched.-BASE'!$I$8, C97&lt;= ($I$7+$I$8)), (PPMT($E$8/12, (C97-$I$8), $I$7, $E$7)), 0)</f>
        <v>-416.17256567470758</v>
      </c>
      <c r="G97" s="5">
        <f>IF(MortgageAmortBASE[[#This Row],[Month]]=I$8,E$7,0)</f>
        <v>0</v>
      </c>
      <c r="H97" s="13">
        <f>IF(AND(C97&gt;='Amort. Sched.-BASE'!$I$8, C97&lt;= ($I$7+$I$8)), H96+F97, 0)</f>
        <v>197645.91662150764</v>
      </c>
      <c r="I97" s="24">
        <f>IF(AND(C97&gt;='Amort. Sched.-BASE'!$I$8, C97&lt;= ($I$7+$I$8)), E97/D97, " ")</f>
        <v>0.76035022314693768</v>
      </c>
      <c r="J97" s="25">
        <f>IF(AND(C97&gt;='Amort. Sched.-BASE'!$I$8, C97&lt;= ($I$7+$I$8)), F97/D97, " ")</f>
        <v>0.23964977685306246</v>
      </c>
      <c r="L97" s="20">
        <f t="shared" si="18"/>
        <v>86</v>
      </c>
      <c r="M97" s="5">
        <f>IF(AND(L97&gt;='Amort. Sched.-BASE'!$R$8, L97&lt;= ($R$7+$R$8)), PMT('Amort. Sched.-BASE'!$N$8/12, 'Amort. Sched.-BASE'!$R$7, 'Amort. Sched.-BASE'!$N$7), 0)</f>
        <v>0</v>
      </c>
      <c r="N97" s="5">
        <f>IF(AND(L97&gt;='Amort. Sched.-BASE'!$R$8, L97&lt;= ($R$7+$R$8)), (IPMT($N$8/12, (L97-$R$8), $R$7, $N$7)), 0)</f>
        <v>0</v>
      </c>
      <c r="O97" s="5">
        <f>IF(AND(L97&gt;='Amort. Sched.-BASE'!$R$8, L97&lt;= ($R$7+$R$8)), (PPMT($N$8/12, (L97-$R$8), $R$7, $N$7)), 0)</f>
        <v>0</v>
      </c>
      <c r="P97" s="5">
        <f>IF(CreditAmort1BASE[[#This Row],[Month]]=R$8,N$7,0)</f>
        <v>0</v>
      </c>
      <c r="Q97" s="13">
        <f>IF(AND(L97&gt;='Amort. Sched.-BASE'!$R$8, L97&lt;= ($R$7+$R$8)), Q96+O97, 0)</f>
        <v>0</v>
      </c>
      <c r="R97" s="6" t="str">
        <f>IF(AND(L97&gt;='Amort. Sched.-BASE'!$R$8, L97&lt;= ($R$7+$R$8)), N97/M97, " ")</f>
        <v xml:space="preserve"> </v>
      </c>
      <c r="S97" s="21" t="str">
        <f>IF(AND(L97&gt;='Amort. Sched.-BASE'!$R$8, L97&lt;= ($R$7+$R$8)), O97/M97, " ")</f>
        <v xml:space="preserve"> </v>
      </c>
      <c r="U97" s="20">
        <f t="shared" si="19"/>
        <v>86</v>
      </c>
      <c r="V97" s="5">
        <f>IF(AND(U97&gt;='Amort. Sched.-BASE'!$AA$8, U97&lt;= ($AA$7+$AA$8)), PMT('Amort. Sched.-BASE'!$W$8/12, 'Amort. Sched.-BASE'!$AA$7, 'Amort. Sched.-BASE'!$W$7), 0)</f>
        <v>0</v>
      </c>
      <c r="W97" s="5">
        <f>IF(AND(U97&gt;='Amort. Sched.-BASE'!$AA$8, U97&lt;= ($AA$7+$AA$8)), (IPMT($W$8/12, (U97-$AA$8), $AA$7, $W$7)), 0)</f>
        <v>0</v>
      </c>
      <c r="X97" s="5">
        <f>IF(AND(U97&gt;='Amort. Sched.-BASE'!$AA$8, U97&lt;= ($AA$7+$AA$8)), (PPMT($W$8/12, (U97-$AA$8), $AA$7, $W$7)), 0)</f>
        <v>0</v>
      </c>
      <c r="Y97" s="5">
        <f>IF(CreditAmort2BASE[[#This Row],[Month]]=AA$8,W$7,0)</f>
        <v>0</v>
      </c>
      <c r="Z97" s="13">
        <f>IF(AND(U97&gt;='Amort. Sched.-BASE'!$AA$8, U97&lt;= ($AA$7+$AA$8)), Z96+X97, 0)</f>
        <v>0</v>
      </c>
      <c r="AA97" s="6" t="str">
        <f>IF(AND(U97&gt;='Amort. Sched.-BASE'!$AA$8, U97&lt;= ($AA$7+$AA$8)), W97/V97, " ")</f>
        <v xml:space="preserve"> </v>
      </c>
      <c r="AB97" s="21" t="str">
        <f>IF(AND(U97&gt;='Amort. Sched.-BASE'!$AA$8, U97&lt;= ($AA$7+$AA$8)), X97/V97, " ")</f>
        <v xml:space="preserve"> </v>
      </c>
      <c r="AD97" s="20">
        <f t="shared" si="20"/>
        <v>86</v>
      </c>
      <c r="AE97" s="5">
        <f t="shared" si="21"/>
        <v>0</v>
      </c>
      <c r="AF97" s="5">
        <f t="shared" si="22"/>
        <v>0</v>
      </c>
      <c r="AG97" s="5">
        <f t="shared" si="23"/>
        <v>0</v>
      </c>
      <c r="AH97" s="5">
        <f>IF(CreditAmort3BASE[[#This Row],[Month]]=AJ$8,AF$7,0)</f>
        <v>0</v>
      </c>
      <c r="AI97" s="13">
        <f t="shared" si="24"/>
        <v>0</v>
      </c>
      <c r="AJ97" s="6" t="str">
        <f t="shared" si="25"/>
        <v xml:space="preserve"> </v>
      </c>
      <c r="AK97" s="21" t="str">
        <f t="shared" si="26"/>
        <v xml:space="preserve"> </v>
      </c>
      <c r="AM97" s="20">
        <f t="shared" si="27"/>
        <v>86</v>
      </c>
      <c r="AN97" s="5">
        <f t="shared" si="28"/>
        <v>0</v>
      </c>
      <c r="AO97" s="5">
        <f t="shared" si="29"/>
        <v>0</v>
      </c>
      <c r="AP97" s="5">
        <f t="shared" si="30"/>
        <v>0</v>
      </c>
      <c r="AQ97" s="5">
        <f>IF(CreditAmort4BASE[[#This Row],[Month]]=AS$8,AO$7,0)</f>
        <v>0</v>
      </c>
      <c r="AR97" s="13">
        <f t="shared" si="31"/>
        <v>0</v>
      </c>
      <c r="AS97" s="6" t="str">
        <f t="shared" si="32"/>
        <v xml:space="preserve"> </v>
      </c>
      <c r="AT97" s="21" t="str">
        <f t="shared" si="33"/>
        <v xml:space="preserve"> </v>
      </c>
    </row>
    <row r="98" spans="3:46">
      <c r="C98" s="22">
        <f t="shared" si="17"/>
        <v>87</v>
      </c>
      <c r="D98" s="23">
        <f>IF(AND(C98&gt;='Amort. Sched.-BASE'!$I$8, C98&lt;= ($I$7+$I$8)), PMT('Amort. Sched.-BASE'!$E$8/12, 'Amort. Sched.-BASE'!$I$7, 'Amort. Sched.-BASE'!$E$7), 0)</f>
        <v>-1736.5864935892569</v>
      </c>
      <c r="E98" s="5">
        <f>IF(AND(C98&gt;='Amort. Sched.-BASE'!$I$8, C98&lt;= ($I$7+$I$8)), (IPMT($E$8/12, (C98-$I$8), $I$7, $E$7)), 0)</f>
        <v>-1317.6394441433845</v>
      </c>
      <c r="F98" s="23">
        <f>IF(AND(C98&gt;='Amort. Sched.-BASE'!$I$8, C98&lt;= ($I$7+$I$8)), (PPMT($E$8/12, (C98-$I$8), $I$7, $E$7)), 0)</f>
        <v>-418.94704944587238</v>
      </c>
      <c r="G98" s="5">
        <f>IF(MortgageAmortBASE[[#This Row],[Month]]=I$8,E$7,0)</f>
        <v>0</v>
      </c>
      <c r="H98" s="13">
        <f>IF(AND(C98&gt;='Amort. Sched.-BASE'!$I$8, C98&lt;= ($I$7+$I$8)), H97+F98, 0)</f>
        <v>197226.96957206176</v>
      </c>
      <c r="I98" s="24">
        <f>IF(AND(C98&gt;='Amort. Sched.-BASE'!$I$8, C98&lt;= ($I$7+$I$8)), E98/D98, " ")</f>
        <v>0.75875255796791707</v>
      </c>
      <c r="J98" s="25">
        <f>IF(AND(C98&gt;='Amort. Sched.-BASE'!$I$8, C98&lt;= ($I$7+$I$8)), F98/D98, " ")</f>
        <v>0.24124744203208293</v>
      </c>
      <c r="L98" s="20">
        <f t="shared" si="18"/>
        <v>87</v>
      </c>
      <c r="M98" s="5">
        <f>IF(AND(L98&gt;='Amort. Sched.-BASE'!$R$8, L98&lt;= ($R$7+$R$8)), PMT('Amort. Sched.-BASE'!$N$8/12, 'Amort. Sched.-BASE'!$R$7, 'Amort. Sched.-BASE'!$N$7), 0)</f>
        <v>0</v>
      </c>
      <c r="N98" s="5">
        <f>IF(AND(L98&gt;='Amort. Sched.-BASE'!$R$8, L98&lt;= ($R$7+$R$8)), (IPMT($N$8/12, (L98-$R$8), $R$7, $N$7)), 0)</f>
        <v>0</v>
      </c>
      <c r="O98" s="5">
        <f>IF(AND(L98&gt;='Amort. Sched.-BASE'!$R$8, L98&lt;= ($R$7+$R$8)), (PPMT($N$8/12, (L98-$R$8), $R$7, $N$7)), 0)</f>
        <v>0</v>
      </c>
      <c r="P98" s="5">
        <f>IF(CreditAmort1BASE[[#This Row],[Month]]=R$8,N$7,0)</f>
        <v>0</v>
      </c>
      <c r="Q98" s="13">
        <f>IF(AND(L98&gt;='Amort. Sched.-BASE'!$R$8, L98&lt;= ($R$7+$R$8)), Q97+O98, 0)</f>
        <v>0</v>
      </c>
      <c r="R98" s="6" t="str">
        <f>IF(AND(L98&gt;='Amort. Sched.-BASE'!$R$8, L98&lt;= ($R$7+$R$8)), N98/M98, " ")</f>
        <v xml:space="preserve"> </v>
      </c>
      <c r="S98" s="21" t="str">
        <f>IF(AND(L98&gt;='Amort. Sched.-BASE'!$R$8, L98&lt;= ($R$7+$R$8)), O98/M98, " ")</f>
        <v xml:space="preserve"> </v>
      </c>
      <c r="U98" s="20">
        <f t="shared" si="19"/>
        <v>87</v>
      </c>
      <c r="V98" s="5">
        <f>IF(AND(U98&gt;='Amort. Sched.-BASE'!$AA$8, U98&lt;= ($AA$7+$AA$8)), PMT('Amort. Sched.-BASE'!$W$8/12, 'Amort. Sched.-BASE'!$AA$7, 'Amort. Sched.-BASE'!$W$7), 0)</f>
        <v>0</v>
      </c>
      <c r="W98" s="5">
        <f>IF(AND(U98&gt;='Amort. Sched.-BASE'!$AA$8, U98&lt;= ($AA$7+$AA$8)), (IPMT($W$8/12, (U98-$AA$8), $AA$7, $W$7)), 0)</f>
        <v>0</v>
      </c>
      <c r="X98" s="5">
        <f>IF(AND(U98&gt;='Amort. Sched.-BASE'!$AA$8, U98&lt;= ($AA$7+$AA$8)), (PPMT($W$8/12, (U98-$AA$8), $AA$7, $W$7)), 0)</f>
        <v>0</v>
      </c>
      <c r="Y98" s="5">
        <f>IF(CreditAmort2BASE[[#This Row],[Month]]=AA$8,W$7,0)</f>
        <v>0</v>
      </c>
      <c r="Z98" s="13">
        <f>IF(AND(U98&gt;='Amort. Sched.-BASE'!$AA$8, U98&lt;= ($AA$7+$AA$8)), Z97+X98, 0)</f>
        <v>0</v>
      </c>
      <c r="AA98" s="6" t="str">
        <f>IF(AND(U98&gt;='Amort. Sched.-BASE'!$AA$8, U98&lt;= ($AA$7+$AA$8)), W98/V98, " ")</f>
        <v xml:space="preserve"> </v>
      </c>
      <c r="AB98" s="21" t="str">
        <f>IF(AND(U98&gt;='Amort. Sched.-BASE'!$AA$8, U98&lt;= ($AA$7+$AA$8)), X98/V98, " ")</f>
        <v xml:space="preserve"> </v>
      </c>
      <c r="AD98" s="20">
        <f t="shared" si="20"/>
        <v>87</v>
      </c>
      <c r="AE98" s="5">
        <f t="shared" si="21"/>
        <v>0</v>
      </c>
      <c r="AF98" s="5">
        <f t="shared" si="22"/>
        <v>0</v>
      </c>
      <c r="AG98" s="5">
        <f t="shared" si="23"/>
        <v>0</v>
      </c>
      <c r="AH98" s="5">
        <f>IF(CreditAmort3BASE[[#This Row],[Month]]=AJ$8,AF$7,0)</f>
        <v>0</v>
      </c>
      <c r="AI98" s="13">
        <f t="shared" si="24"/>
        <v>0</v>
      </c>
      <c r="AJ98" s="6" t="str">
        <f t="shared" si="25"/>
        <v xml:space="preserve"> </v>
      </c>
      <c r="AK98" s="21" t="str">
        <f t="shared" si="26"/>
        <v xml:space="preserve"> </v>
      </c>
      <c r="AM98" s="20">
        <f t="shared" si="27"/>
        <v>87</v>
      </c>
      <c r="AN98" s="5">
        <f t="shared" si="28"/>
        <v>0</v>
      </c>
      <c r="AO98" s="5">
        <f t="shared" si="29"/>
        <v>0</v>
      </c>
      <c r="AP98" s="5">
        <f t="shared" si="30"/>
        <v>0</v>
      </c>
      <c r="AQ98" s="5">
        <f>IF(CreditAmort4BASE[[#This Row],[Month]]=AS$8,AO$7,0)</f>
        <v>0</v>
      </c>
      <c r="AR98" s="13">
        <f t="shared" si="31"/>
        <v>0</v>
      </c>
      <c r="AS98" s="6" t="str">
        <f t="shared" si="32"/>
        <v xml:space="preserve"> </v>
      </c>
      <c r="AT98" s="21" t="str">
        <f t="shared" si="33"/>
        <v xml:space="preserve"> </v>
      </c>
    </row>
    <row r="99" spans="3:46">
      <c r="C99" s="22">
        <f t="shared" si="17"/>
        <v>88</v>
      </c>
      <c r="D99" s="23">
        <f>IF(AND(C99&gt;='Amort. Sched.-BASE'!$I$8, C99&lt;= ($I$7+$I$8)), PMT('Amort. Sched.-BASE'!$E$8/12, 'Amort. Sched.-BASE'!$I$7, 'Amort. Sched.-BASE'!$E$7), 0)</f>
        <v>-1736.5864935892569</v>
      </c>
      <c r="E99" s="5">
        <f>IF(AND(C99&gt;='Amort. Sched.-BASE'!$I$8, C99&lt;= ($I$7+$I$8)), (IPMT($E$8/12, (C99-$I$8), $I$7, $E$7)), 0)</f>
        <v>-1314.8464638137455</v>
      </c>
      <c r="F99" s="23">
        <f>IF(AND(C99&gt;='Amort. Sched.-BASE'!$I$8, C99&lt;= ($I$7+$I$8)), (PPMT($E$8/12, (C99-$I$8), $I$7, $E$7)), 0)</f>
        <v>-421.74002977551146</v>
      </c>
      <c r="G99" s="5">
        <f>IF(MortgageAmortBASE[[#This Row],[Month]]=I$8,E$7,0)</f>
        <v>0</v>
      </c>
      <c r="H99" s="13">
        <f>IF(AND(C99&gt;='Amort. Sched.-BASE'!$I$8, C99&lt;= ($I$7+$I$8)), H98+F99, 0)</f>
        <v>196805.22954228625</v>
      </c>
      <c r="I99" s="24">
        <f>IF(AND(C99&gt;='Amort. Sched.-BASE'!$I$8, C99&lt;= ($I$7+$I$8)), E99/D99, " ")</f>
        <v>0.75714424168770322</v>
      </c>
      <c r="J99" s="25">
        <f>IF(AND(C99&gt;='Amort. Sched.-BASE'!$I$8, C99&lt;= ($I$7+$I$8)), F99/D99, " ")</f>
        <v>0.24285575831229678</v>
      </c>
      <c r="L99" s="20">
        <f t="shared" si="18"/>
        <v>88</v>
      </c>
      <c r="M99" s="5">
        <f>IF(AND(L99&gt;='Amort. Sched.-BASE'!$R$8, L99&lt;= ($R$7+$R$8)), PMT('Amort. Sched.-BASE'!$N$8/12, 'Amort. Sched.-BASE'!$R$7, 'Amort. Sched.-BASE'!$N$7), 0)</f>
        <v>0</v>
      </c>
      <c r="N99" s="5">
        <f>IF(AND(L99&gt;='Amort. Sched.-BASE'!$R$8, L99&lt;= ($R$7+$R$8)), (IPMT($N$8/12, (L99-$R$8), $R$7, $N$7)), 0)</f>
        <v>0</v>
      </c>
      <c r="O99" s="5">
        <f>IF(AND(L99&gt;='Amort. Sched.-BASE'!$R$8, L99&lt;= ($R$7+$R$8)), (PPMT($N$8/12, (L99-$R$8), $R$7, $N$7)), 0)</f>
        <v>0</v>
      </c>
      <c r="P99" s="5">
        <f>IF(CreditAmort1BASE[[#This Row],[Month]]=R$8,N$7,0)</f>
        <v>0</v>
      </c>
      <c r="Q99" s="13">
        <f>IF(AND(L99&gt;='Amort. Sched.-BASE'!$R$8, L99&lt;= ($R$7+$R$8)), Q98+O99, 0)</f>
        <v>0</v>
      </c>
      <c r="R99" s="6" t="str">
        <f>IF(AND(L99&gt;='Amort. Sched.-BASE'!$R$8, L99&lt;= ($R$7+$R$8)), N99/M99, " ")</f>
        <v xml:space="preserve"> </v>
      </c>
      <c r="S99" s="21" t="str">
        <f>IF(AND(L99&gt;='Amort. Sched.-BASE'!$R$8, L99&lt;= ($R$7+$R$8)), O99/M99, " ")</f>
        <v xml:space="preserve"> </v>
      </c>
      <c r="U99" s="20">
        <f t="shared" si="19"/>
        <v>88</v>
      </c>
      <c r="V99" s="5">
        <f>IF(AND(U99&gt;='Amort. Sched.-BASE'!$AA$8, U99&lt;= ($AA$7+$AA$8)), PMT('Amort. Sched.-BASE'!$W$8/12, 'Amort. Sched.-BASE'!$AA$7, 'Amort. Sched.-BASE'!$W$7), 0)</f>
        <v>0</v>
      </c>
      <c r="W99" s="5">
        <f>IF(AND(U99&gt;='Amort. Sched.-BASE'!$AA$8, U99&lt;= ($AA$7+$AA$8)), (IPMT($W$8/12, (U99-$AA$8), $AA$7, $W$7)), 0)</f>
        <v>0</v>
      </c>
      <c r="X99" s="5">
        <f>IF(AND(U99&gt;='Amort. Sched.-BASE'!$AA$8, U99&lt;= ($AA$7+$AA$8)), (PPMT($W$8/12, (U99-$AA$8), $AA$7, $W$7)), 0)</f>
        <v>0</v>
      </c>
      <c r="Y99" s="5">
        <f>IF(CreditAmort2BASE[[#This Row],[Month]]=AA$8,W$7,0)</f>
        <v>0</v>
      </c>
      <c r="Z99" s="13">
        <f>IF(AND(U99&gt;='Amort. Sched.-BASE'!$AA$8, U99&lt;= ($AA$7+$AA$8)), Z98+X99, 0)</f>
        <v>0</v>
      </c>
      <c r="AA99" s="6" t="str">
        <f>IF(AND(U99&gt;='Amort. Sched.-BASE'!$AA$8, U99&lt;= ($AA$7+$AA$8)), W99/V99, " ")</f>
        <v xml:space="preserve"> </v>
      </c>
      <c r="AB99" s="21" t="str">
        <f>IF(AND(U99&gt;='Amort. Sched.-BASE'!$AA$8, U99&lt;= ($AA$7+$AA$8)), X99/V99, " ")</f>
        <v xml:space="preserve"> </v>
      </c>
      <c r="AD99" s="20">
        <f t="shared" si="20"/>
        <v>88</v>
      </c>
      <c r="AE99" s="5">
        <f t="shared" si="21"/>
        <v>0</v>
      </c>
      <c r="AF99" s="5">
        <f t="shared" si="22"/>
        <v>0</v>
      </c>
      <c r="AG99" s="5">
        <f t="shared" si="23"/>
        <v>0</v>
      </c>
      <c r="AH99" s="5">
        <f>IF(CreditAmort3BASE[[#This Row],[Month]]=AJ$8,AF$7,0)</f>
        <v>0</v>
      </c>
      <c r="AI99" s="13">
        <f t="shared" si="24"/>
        <v>0</v>
      </c>
      <c r="AJ99" s="6" t="str">
        <f t="shared" si="25"/>
        <v xml:space="preserve"> </v>
      </c>
      <c r="AK99" s="21" t="str">
        <f t="shared" si="26"/>
        <v xml:space="preserve"> </v>
      </c>
      <c r="AM99" s="20">
        <f t="shared" si="27"/>
        <v>88</v>
      </c>
      <c r="AN99" s="5">
        <f t="shared" si="28"/>
        <v>0</v>
      </c>
      <c r="AO99" s="5">
        <f t="shared" si="29"/>
        <v>0</v>
      </c>
      <c r="AP99" s="5">
        <f t="shared" si="30"/>
        <v>0</v>
      </c>
      <c r="AQ99" s="5">
        <f>IF(CreditAmort4BASE[[#This Row],[Month]]=AS$8,AO$7,0)</f>
        <v>0</v>
      </c>
      <c r="AR99" s="13">
        <f t="shared" si="31"/>
        <v>0</v>
      </c>
      <c r="AS99" s="6" t="str">
        <f t="shared" si="32"/>
        <v xml:space="preserve"> </v>
      </c>
      <c r="AT99" s="21" t="str">
        <f t="shared" si="33"/>
        <v xml:space="preserve"> </v>
      </c>
    </row>
    <row r="100" spans="3:46">
      <c r="C100" s="22">
        <f t="shared" si="17"/>
        <v>89</v>
      </c>
      <c r="D100" s="23">
        <f>IF(AND(C100&gt;='Amort. Sched.-BASE'!$I$8, C100&lt;= ($I$7+$I$8)), PMT('Amort. Sched.-BASE'!$E$8/12, 'Amort. Sched.-BASE'!$I$7, 'Amort. Sched.-BASE'!$E$7), 0)</f>
        <v>-1736.5864935892569</v>
      </c>
      <c r="E100" s="5">
        <f>IF(AND(C100&gt;='Amort. Sched.-BASE'!$I$8, C100&lt;= ($I$7+$I$8)), (IPMT($E$8/12, (C100-$I$8), $I$7, $E$7)), 0)</f>
        <v>-1312.0348636152419</v>
      </c>
      <c r="F100" s="23">
        <f>IF(AND(C100&gt;='Amort. Sched.-BASE'!$I$8, C100&lt;= ($I$7+$I$8)), (PPMT($E$8/12, (C100-$I$8), $I$7, $E$7)), 0)</f>
        <v>-424.55162997401487</v>
      </c>
      <c r="G100" s="5">
        <f>IF(MortgageAmortBASE[[#This Row],[Month]]=I$8,E$7,0)</f>
        <v>0</v>
      </c>
      <c r="H100" s="13">
        <f>IF(AND(C100&gt;='Amort. Sched.-BASE'!$I$8, C100&lt;= ($I$7+$I$8)), H99+F100, 0)</f>
        <v>196380.67791231224</v>
      </c>
      <c r="I100" s="24">
        <f>IF(AND(C100&gt;='Amort. Sched.-BASE'!$I$8, C100&lt;= ($I$7+$I$8)), E100/D100, " ")</f>
        <v>0.75552520329895456</v>
      </c>
      <c r="J100" s="25">
        <f>IF(AND(C100&gt;='Amort. Sched.-BASE'!$I$8, C100&lt;= ($I$7+$I$8)), F100/D100, " ")</f>
        <v>0.24447479670104541</v>
      </c>
      <c r="L100" s="20">
        <f t="shared" si="18"/>
        <v>89</v>
      </c>
      <c r="M100" s="5">
        <f>IF(AND(L100&gt;='Amort. Sched.-BASE'!$R$8, L100&lt;= ($R$7+$R$8)), PMT('Amort. Sched.-BASE'!$N$8/12, 'Amort. Sched.-BASE'!$R$7, 'Amort. Sched.-BASE'!$N$7), 0)</f>
        <v>0</v>
      </c>
      <c r="N100" s="5">
        <f>IF(AND(L100&gt;='Amort. Sched.-BASE'!$R$8, L100&lt;= ($R$7+$R$8)), (IPMT($N$8/12, (L100-$R$8), $R$7, $N$7)), 0)</f>
        <v>0</v>
      </c>
      <c r="O100" s="5">
        <f>IF(AND(L100&gt;='Amort. Sched.-BASE'!$R$8, L100&lt;= ($R$7+$R$8)), (PPMT($N$8/12, (L100-$R$8), $R$7, $N$7)), 0)</f>
        <v>0</v>
      </c>
      <c r="P100" s="5">
        <f>IF(CreditAmort1BASE[[#This Row],[Month]]=R$8,N$7,0)</f>
        <v>0</v>
      </c>
      <c r="Q100" s="13">
        <f>IF(AND(L100&gt;='Amort. Sched.-BASE'!$R$8, L100&lt;= ($R$7+$R$8)), Q99+O100, 0)</f>
        <v>0</v>
      </c>
      <c r="R100" s="6" t="str">
        <f>IF(AND(L100&gt;='Amort. Sched.-BASE'!$R$8, L100&lt;= ($R$7+$R$8)), N100/M100, " ")</f>
        <v xml:space="preserve"> </v>
      </c>
      <c r="S100" s="21" t="str">
        <f>IF(AND(L100&gt;='Amort. Sched.-BASE'!$R$8, L100&lt;= ($R$7+$R$8)), O100/M100, " ")</f>
        <v xml:space="preserve"> </v>
      </c>
      <c r="U100" s="20">
        <f t="shared" si="19"/>
        <v>89</v>
      </c>
      <c r="V100" s="5">
        <f>IF(AND(U100&gt;='Amort. Sched.-BASE'!$AA$8, U100&lt;= ($AA$7+$AA$8)), PMT('Amort. Sched.-BASE'!$W$8/12, 'Amort. Sched.-BASE'!$AA$7, 'Amort. Sched.-BASE'!$W$7), 0)</f>
        <v>0</v>
      </c>
      <c r="W100" s="5">
        <f>IF(AND(U100&gt;='Amort. Sched.-BASE'!$AA$8, U100&lt;= ($AA$7+$AA$8)), (IPMT($W$8/12, (U100-$AA$8), $AA$7, $W$7)), 0)</f>
        <v>0</v>
      </c>
      <c r="X100" s="5">
        <f>IF(AND(U100&gt;='Amort. Sched.-BASE'!$AA$8, U100&lt;= ($AA$7+$AA$8)), (PPMT($W$8/12, (U100-$AA$8), $AA$7, $W$7)), 0)</f>
        <v>0</v>
      </c>
      <c r="Y100" s="5">
        <f>IF(CreditAmort2BASE[[#This Row],[Month]]=AA$8,W$7,0)</f>
        <v>0</v>
      </c>
      <c r="Z100" s="13">
        <f>IF(AND(U100&gt;='Amort. Sched.-BASE'!$AA$8, U100&lt;= ($AA$7+$AA$8)), Z99+X100, 0)</f>
        <v>0</v>
      </c>
      <c r="AA100" s="6" t="str">
        <f>IF(AND(U100&gt;='Amort. Sched.-BASE'!$AA$8, U100&lt;= ($AA$7+$AA$8)), W100/V100, " ")</f>
        <v xml:space="preserve"> </v>
      </c>
      <c r="AB100" s="21" t="str">
        <f>IF(AND(U100&gt;='Amort. Sched.-BASE'!$AA$8, U100&lt;= ($AA$7+$AA$8)), X100/V100, " ")</f>
        <v xml:space="preserve"> </v>
      </c>
      <c r="AD100" s="20">
        <f t="shared" si="20"/>
        <v>89</v>
      </c>
      <c r="AE100" s="5">
        <f t="shared" si="21"/>
        <v>0</v>
      </c>
      <c r="AF100" s="5">
        <f t="shared" si="22"/>
        <v>0</v>
      </c>
      <c r="AG100" s="5">
        <f t="shared" si="23"/>
        <v>0</v>
      </c>
      <c r="AH100" s="5">
        <f>IF(CreditAmort3BASE[[#This Row],[Month]]=AJ$8,AF$7,0)</f>
        <v>0</v>
      </c>
      <c r="AI100" s="13">
        <f t="shared" si="24"/>
        <v>0</v>
      </c>
      <c r="AJ100" s="6" t="str">
        <f t="shared" si="25"/>
        <v xml:space="preserve"> </v>
      </c>
      <c r="AK100" s="21" t="str">
        <f t="shared" si="26"/>
        <v xml:space="preserve"> </v>
      </c>
      <c r="AM100" s="20">
        <f t="shared" si="27"/>
        <v>89</v>
      </c>
      <c r="AN100" s="5">
        <f t="shared" si="28"/>
        <v>0</v>
      </c>
      <c r="AO100" s="5">
        <f t="shared" si="29"/>
        <v>0</v>
      </c>
      <c r="AP100" s="5">
        <f t="shared" si="30"/>
        <v>0</v>
      </c>
      <c r="AQ100" s="5">
        <f>IF(CreditAmort4BASE[[#This Row],[Month]]=AS$8,AO$7,0)</f>
        <v>0</v>
      </c>
      <c r="AR100" s="13">
        <f t="shared" si="31"/>
        <v>0</v>
      </c>
      <c r="AS100" s="6" t="str">
        <f t="shared" si="32"/>
        <v xml:space="preserve"> </v>
      </c>
      <c r="AT100" s="21" t="str">
        <f t="shared" si="33"/>
        <v xml:space="preserve"> </v>
      </c>
    </row>
    <row r="101" spans="3:46">
      <c r="C101" s="22">
        <f t="shared" si="17"/>
        <v>90</v>
      </c>
      <c r="D101" s="23">
        <f>IF(AND(C101&gt;='Amort. Sched.-BASE'!$I$8, C101&lt;= ($I$7+$I$8)), PMT('Amort. Sched.-BASE'!$E$8/12, 'Amort. Sched.-BASE'!$I$7, 'Amort. Sched.-BASE'!$E$7), 0)</f>
        <v>-1736.5864935892569</v>
      </c>
      <c r="E101" s="5">
        <f>IF(AND(C101&gt;='Amort. Sched.-BASE'!$I$8, C101&lt;= ($I$7+$I$8)), (IPMT($E$8/12, (C101-$I$8), $I$7, $E$7)), 0)</f>
        <v>-1309.2045194154152</v>
      </c>
      <c r="F101" s="23">
        <f>IF(AND(C101&gt;='Amort. Sched.-BASE'!$I$8, C101&lt;= ($I$7+$I$8)), (PPMT($E$8/12, (C101-$I$8), $I$7, $E$7)), 0)</f>
        <v>-427.38197417384163</v>
      </c>
      <c r="G101" s="5">
        <f>IF(MortgageAmortBASE[[#This Row],[Month]]=I$8,E$7,0)</f>
        <v>0</v>
      </c>
      <c r="H101" s="13">
        <f>IF(AND(C101&gt;='Amort. Sched.-BASE'!$I$8, C101&lt;= ($I$7+$I$8)), H100+F101, 0)</f>
        <v>195953.29593813838</v>
      </c>
      <c r="I101" s="24">
        <f>IF(AND(C101&gt;='Amort. Sched.-BASE'!$I$8, C101&lt;= ($I$7+$I$8)), E101/D101, " ")</f>
        <v>0.75389537132094764</v>
      </c>
      <c r="J101" s="25">
        <f>IF(AND(C101&gt;='Amort. Sched.-BASE'!$I$8, C101&lt;= ($I$7+$I$8)), F101/D101, " ")</f>
        <v>0.24610462867905236</v>
      </c>
      <c r="L101" s="20">
        <f t="shared" si="18"/>
        <v>90</v>
      </c>
      <c r="M101" s="5">
        <f>IF(AND(L101&gt;='Amort. Sched.-BASE'!$R$8, L101&lt;= ($R$7+$R$8)), PMT('Amort. Sched.-BASE'!$N$8/12, 'Amort. Sched.-BASE'!$R$7, 'Amort. Sched.-BASE'!$N$7), 0)</f>
        <v>0</v>
      </c>
      <c r="N101" s="5">
        <f>IF(AND(L101&gt;='Amort. Sched.-BASE'!$R$8, L101&lt;= ($R$7+$R$8)), (IPMT($N$8/12, (L101-$R$8), $R$7, $N$7)), 0)</f>
        <v>0</v>
      </c>
      <c r="O101" s="5">
        <f>IF(AND(L101&gt;='Amort. Sched.-BASE'!$R$8, L101&lt;= ($R$7+$R$8)), (PPMT($N$8/12, (L101-$R$8), $R$7, $N$7)), 0)</f>
        <v>0</v>
      </c>
      <c r="P101" s="5">
        <f>IF(CreditAmort1BASE[[#This Row],[Month]]=R$8,N$7,0)</f>
        <v>0</v>
      </c>
      <c r="Q101" s="13">
        <f>IF(AND(L101&gt;='Amort. Sched.-BASE'!$R$8, L101&lt;= ($R$7+$R$8)), Q100+O101, 0)</f>
        <v>0</v>
      </c>
      <c r="R101" s="6" t="str">
        <f>IF(AND(L101&gt;='Amort. Sched.-BASE'!$R$8, L101&lt;= ($R$7+$R$8)), N101/M101, " ")</f>
        <v xml:space="preserve"> </v>
      </c>
      <c r="S101" s="21" t="str">
        <f>IF(AND(L101&gt;='Amort. Sched.-BASE'!$R$8, L101&lt;= ($R$7+$R$8)), O101/M101, " ")</f>
        <v xml:space="preserve"> </v>
      </c>
      <c r="U101" s="20">
        <f t="shared" si="19"/>
        <v>90</v>
      </c>
      <c r="V101" s="5">
        <f>IF(AND(U101&gt;='Amort. Sched.-BASE'!$AA$8, U101&lt;= ($AA$7+$AA$8)), PMT('Amort. Sched.-BASE'!$W$8/12, 'Amort. Sched.-BASE'!$AA$7, 'Amort. Sched.-BASE'!$W$7), 0)</f>
        <v>0</v>
      </c>
      <c r="W101" s="5">
        <f>IF(AND(U101&gt;='Amort. Sched.-BASE'!$AA$8, U101&lt;= ($AA$7+$AA$8)), (IPMT($W$8/12, (U101-$AA$8), $AA$7, $W$7)), 0)</f>
        <v>0</v>
      </c>
      <c r="X101" s="5">
        <f>IF(AND(U101&gt;='Amort. Sched.-BASE'!$AA$8, U101&lt;= ($AA$7+$AA$8)), (PPMT($W$8/12, (U101-$AA$8), $AA$7, $W$7)), 0)</f>
        <v>0</v>
      </c>
      <c r="Y101" s="5">
        <f>IF(CreditAmort2BASE[[#This Row],[Month]]=AA$8,W$7,0)</f>
        <v>0</v>
      </c>
      <c r="Z101" s="13">
        <f>IF(AND(U101&gt;='Amort. Sched.-BASE'!$AA$8, U101&lt;= ($AA$7+$AA$8)), Z100+X101, 0)</f>
        <v>0</v>
      </c>
      <c r="AA101" s="6" t="str">
        <f>IF(AND(U101&gt;='Amort. Sched.-BASE'!$AA$8, U101&lt;= ($AA$7+$AA$8)), W101/V101, " ")</f>
        <v xml:space="preserve"> </v>
      </c>
      <c r="AB101" s="21" t="str">
        <f>IF(AND(U101&gt;='Amort. Sched.-BASE'!$AA$8, U101&lt;= ($AA$7+$AA$8)), X101/V101, " ")</f>
        <v xml:space="preserve"> </v>
      </c>
      <c r="AD101" s="20">
        <f t="shared" si="20"/>
        <v>90</v>
      </c>
      <c r="AE101" s="5">
        <f t="shared" si="21"/>
        <v>0</v>
      </c>
      <c r="AF101" s="5">
        <f t="shared" si="22"/>
        <v>0</v>
      </c>
      <c r="AG101" s="5">
        <f t="shared" si="23"/>
        <v>0</v>
      </c>
      <c r="AH101" s="5">
        <f>IF(CreditAmort3BASE[[#This Row],[Month]]=AJ$8,AF$7,0)</f>
        <v>0</v>
      </c>
      <c r="AI101" s="13">
        <f t="shared" si="24"/>
        <v>0</v>
      </c>
      <c r="AJ101" s="6" t="str">
        <f t="shared" si="25"/>
        <v xml:space="preserve"> </v>
      </c>
      <c r="AK101" s="21" t="str">
        <f t="shared" si="26"/>
        <v xml:space="preserve"> </v>
      </c>
      <c r="AM101" s="20">
        <f t="shared" si="27"/>
        <v>90</v>
      </c>
      <c r="AN101" s="5">
        <f t="shared" si="28"/>
        <v>0</v>
      </c>
      <c r="AO101" s="5">
        <f t="shared" si="29"/>
        <v>0</v>
      </c>
      <c r="AP101" s="5">
        <f t="shared" si="30"/>
        <v>0</v>
      </c>
      <c r="AQ101" s="5">
        <f>IF(CreditAmort4BASE[[#This Row],[Month]]=AS$8,AO$7,0)</f>
        <v>0</v>
      </c>
      <c r="AR101" s="13">
        <f t="shared" si="31"/>
        <v>0</v>
      </c>
      <c r="AS101" s="6" t="str">
        <f t="shared" si="32"/>
        <v xml:space="preserve"> </v>
      </c>
      <c r="AT101" s="21" t="str">
        <f t="shared" si="33"/>
        <v xml:space="preserve"> </v>
      </c>
    </row>
    <row r="102" spans="3:46">
      <c r="C102" s="22">
        <f t="shared" si="17"/>
        <v>91</v>
      </c>
      <c r="D102" s="23">
        <f>IF(AND(C102&gt;='Amort. Sched.-BASE'!$I$8, C102&lt;= ($I$7+$I$8)), PMT('Amort. Sched.-BASE'!$E$8/12, 'Amort. Sched.-BASE'!$I$7, 'Amort. Sched.-BASE'!$E$7), 0)</f>
        <v>-1736.5864935892569</v>
      </c>
      <c r="E102" s="5">
        <f>IF(AND(C102&gt;='Amort. Sched.-BASE'!$I$8, C102&lt;= ($I$7+$I$8)), (IPMT($E$8/12, (C102-$I$8), $I$7, $E$7)), 0)</f>
        <v>-1306.3553062542564</v>
      </c>
      <c r="F102" s="23">
        <f>IF(AND(C102&gt;='Amort. Sched.-BASE'!$I$8, C102&lt;= ($I$7+$I$8)), (PPMT($E$8/12, (C102-$I$8), $I$7, $E$7)), 0)</f>
        <v>-430.23118733500058</v>
      </c>
      <c r="G102" s="5">
        <f>IF(MortgageAmortBASE[[#This Row],[Month]]=I$8,E$7,0)</f>
        <v>0</v>
      </c>
      <c r="H102" s="13">
        <f>IF(AND(C102&gt;='Amort. Sched.-BASE'!$I$8, C102&lt;= ($I$7+$I$8)), H101+F102, 0)</f>
        <v>195523.06475080337</v>
      </c>
      <c r="I102" s="24">
        <f>IF(AND(C102&gt;='Amort. Sched.-BASE'!$I$8, C102&lt;= ($I$7+$I$8)), E102/D102, " ")</f>
        <v>0.75225467379642075</v>
      </c>
      <c r="J102" s="25">
        <f>IF(AND(C102&gt;='Amort. Sched.-BASE'!$I$8, C102&lt;= ($I$7+$I$8)), F102/D102, " ")</f>
        <v>0.24774532620357939</v>
      </c>
      <c r="L102" s="20">
        <f t="shared" si="18"/>
        <v>91</v>
      </c>
      <c r="M102" s="5">
        <f>IF(AND(L102&gt;='Amort. Sched.-BASE'!$R$8, L102&lt;= ($R$7+$R$8)), PMT('Amort. Sched.-BASE'!$N$8/12, 'Amort. Sched.-BASE'!$R$7, 'Amort. Sched.-BASE'!$N$7), 0)</f>
        <v>0</v>
      </c>
      <c r="N102" s="5">
        <f>IF(AND(L102&gt;='Amort. Sched.-BASE'!$R$8, L102&lt;= ($R$7+$R$8)), (IPMT($N$8/12, (L102-$R$8), $R$7, $N$7)), 0)</f>
        <v>0</v>
      </c>
      <c r="O102" s="5">
        <f>IF(AND(L102&gt;='Amort. Sched.-BASE'!$R$8, L102&lt;= ($R$7+$R$8)), (PPMT($N$8/12, (L102-$R$8), $R$7, $N$7)), 0)</f>
        <v>0</v>
      </c>
      <c r="P102" s="5">
        <f>IF(CreditAmort1BASE[[#This Row],[Month]]=R$8,N$7,0)</f>
        <v>0</v>
      </c>
      <c r="Q102" s="13">
        <f>IF(AND(L102&gt;='Amort. Sched.-BASE'!$R$8, L102&lt;= ($R$7+$R$8)), Q101+O102, 0)</f>
        <v>0</v>
      </c>
      <c r="R102" s="6" t="str">
        <f>IF(AND(L102&gt;='Amort. Sched.-BASE'!$R$8, L102&lt;= ($R$7+$R$8)), N102/M102, " ")</f>
        <v xml:space="preserve"> </v>
      </c>
      <c r="S102" s="21" t="str">
        <f>IF(AND(L102&gt;='Amort. Sched.-BASE'!$R$8, L102&lt;= ($R$7+$R$8)), O102/M102, " ")</f>
        <v xml:space="preserve"> </v>
      </c>
      <c r="U102" s="20">
        <f t="shared" si="19"/>
        <v>91</v>
      </c>
      <c r="V102" s="5">
        <f>IF(AND(U102&gt;='Amort. Sched.-BASE'!$AA$8, U102&lt;= ($AA$7+$AA$8)), PMT('Amort. Sched.-BASE'!$W$8/12, 'Amort. Sched.-BASE'!$AA$7, 'Amort. Sched.-BASE'!$W$7), 0)</f>
        <v>0</v>
      </c>
      <c r="W102" s="5">
        <f>IF(AND(U102&gt;='Amort. Sched.-BASE'!$AA$8, U102&lt;= ($AA$7+$AA$8)), (IPMT($W$8/12, (U102-$AA$8), $AA$7, $W$7)), 0)</f>
        <v>0</v>
      </c>
      <c r="X102" s="5">
        <f>IF(AND(U102&gt;='Amort. Sched.-BASE'!$AA$8, U102&lt;= ($AA$7+$AA$8)), (PPMT($W$8/12, (U102-$AA$8), $AA$7, $W$7)), 0)</f>
        <v>0</v>
      </c>
      <c r="Y102" s="5">
        <f>IF(CreditAmort2BASE[[#This Row],[Month]]=AA$8,W$7,0)</f>
        <v>0</v>
      </c>
      <c r="Z102" s="13">
        <f>IF(AND(U102&gt;='Amort. Sched.-BASE'!$AA$8, U102&lt;= ($AA$7+$AA$8)), Z101+X102, 0)</f>
        <v>0</v>
      </c>
      <c r="AA102" s="6" t="str">
        <f>IF(AND(U102&gt;='Amort. Sched.-BASE'!$AA$8, U102&lt;= ($AA$7+$AA$8)), W102/V102, " ")</f>
        <v xml:space="preserve"> </v>
      </c>
      <c r="AB102" s="21" t="str">
        <f>IF(AND(U102&gt;='Amort. Sched.-BASE'!$AA$8, U102&lt;= ($AA$7+$AA$8)), X102/V102, " ")</f>
        <v xml:space="preserve"> </v>
      </c>
      <c r="AD102" s="20">
        <f t="shared" si="20"/>
        <v>91</v>
      </c>
      <c r="AE102" s="5">
        <f t="shared" si="21"/>
        <v>0</v>
      </c>
      <c r="AF102" s="5">
        <f t="shared" si="22"/>
        <v>0</v>
      </c>
      <c r="AG102" s="5">
        <f t="shared" si="23"/>
        <v>0</v>
      </c>
      <c r="AH102" s="5">
        <f>IF(CreditAmort3BASE[[#This Row],[Month]]=AJ$8,AF$7,0)</f>
        <v>0</v>
      </c>
      <c r="AI102" s="13">
        <f t="shared" si="24"/>
        <v>0</v>
      </c>
      <c r="AJ102" s="6" t="str">
        <f t="shared" si="25"/>
        <v xml:space="preserve"> </v>
      </c>
      <c r="AK102" s="21" t="str">
        <f t="shared" si="26"/>
        <v xml:space="preserve"> </v>
      </c>
      <c r="AM102" s="20">
        <f t="shared" si="27"/>
        <v>91</v>
      </c>
      <c r="AN102" s="5">
        <f t="shared" si="28"/>
        <v>0</v>
      </c>
      <c r="AO102" s="5">
        <f t="shared" si="29"/>
        <v>0</v>
      </c>
      <c r="AP102" s="5">
        <f t="shared" si="30"/>
        <v>0</v>
      </c>
      <c r="AQ102" s="5">
        <f>IF(CreditAmort4BASE[[#This Row],[Month]]=AS$8,AO$7,0)</f>
        <v>0</v>
      </c>
      <c r="AR102" s="13">
        <f t="shared" si="31"/>
        <v>0</v>
      </c>
      <c r="AS102" s="6" t="str">
        <f t="shared" si="32"/>
        <v xml:space="preserve"> </v>
      </c>
      <c r="AT102" s="21" t="str">
        <f t="shared" si="33"/>
        <v xml:space="preserve"> </v>
      </c>
    </row>
    <row r="103" spans="3:46">
      <c r="C103" s="22">
        <f t="shared" si="17"/>
        <v>92</v>
      </c>
      <c r="D103" s="23">
        <f>IF(AND(C103&gt;='Amort. Sched.-BASE'!$I$8, C103&lt;= ($I$7+$I$8)), PMT('Amort. Sched.-BASE'!$E$8/12, 'Amort. Sched.-BASE'!$I$7, 'Amort. Sched.-BASE'!$E$7), 0)</f>
        <v>-1736.5864935892569</v>
      </c>
      <c r="E103" s="5">
        <f>IF(AND(C103&gt;='Amort. Sched.-BASE'!$I$8, C103&lt;= ($I$7+$I$8)), (IPMT($E$8/12, (C103-$I$8), $I$7, $E$7)), 0)</f>
        <v>-1303.4870983386897</v>
      </c>
      <c r="F103" s="23">
        <f>IF(AND(C103&gt;='Amort. Sched.-BASE'!$I$8, C103&lt;= ($I$7+$I$8)), (PPMT($E$8/12, (C103-$I$8), $I$7, $E$7)), 0)</f>
        <v>-433.09939525056723</v>
      </c>
      <c r="G103" s="5">
        <f>IF(MortgageAmortBASE[[#This Row],[Month]]=I$8,E$7,0)</f>
        <v>0</v>
      </c>
      <c r="H103" s="13">
        <f>IF(AND(C103&gt;='Amort. Sched.-BASE'!$I$8, C103&lt;= ($I$7+$I$8)), H102+F103, 0)</f>
        <v>195089.96535555279</v>
      </c>
      <c r="I103" s="24">
        <f>IF(AND(C103&gt;='Amort. Sched.-BASE'!$I$8, C103&lt;= ($I$7+$I$8)), E103/D103, " ")</f>
        <v>0.75060303828839681</v>
      </c>
      <c r="J103" s="25">
        <f>IF(AND(C103&gt;='Amort. Sched.-BASE'!$I$8, C103&lt;= ($I$7+$I$8)), F103/D103, " ")</f>
        <v>0.24939696171160325</v>
      </c>
      <c r="L103" s="20">
        <f t="shared" si="18"/>
        <v>92</v>
      </c>
      <c r="M103" s="5">
        <f>IF(AND(L103&gt;='Amort. Sched.-BASE'!$R$8, L103&lt;= ($R$7+$R$8)), PMT('Amort. Sched.-BASE'!$N$8/12, 'Amort. Sched.-BASE'!$R$7, 'Amort. Sched.-BASE'!$N$7), 0)</f>
        <v>0</v>
      </c>
      <c r="N103" s="5">
        <f>IF(AND(L103&gt;='Amort. Sched.-BASE'!$R$8, L103&lt;= ($R$7+$R$8)), (IPMT($N$8/12, (L103-$R$8), $R$7, $N$7)), 0)</f>
        <v>0</v>
      </c>
      <c r="O103" s="5">
        <f>IF(AND(L103&gt;='Amort. Sched.-BASE'!$R$8, L103&lt;= ($R$7+$R$8)), (PPMT($N$8/12, (L103-$R$8), $R$7, $N$7)), 0)</f>
        <v>0</v>
      </c>
      <c r="P103" s="5">
        <f>IF(CreditAmort1BASE[[#This Row],[Month]]=R$8,N$7,0)</f>
        <v>0</v>
      </c>
      <c r="Q103" s="13">
        <f>IF(AND(L103&gt;='Amort. Sched.-BASE'!$R$8, L103&lt;= ($R$7+$R$8)), Q102+O103, 0)</f>
        <v>0</v>
      </c>
      <c r="R103" s="6" t="str">
        <f>IF(AND(L103&gt;='Amort. Sched.-BASE'!$R$8, L103&lt;= ($R$7+$R$8)), N103/M103, " ")</f>
        <v xml:space="preserve"> </v>
      </c>
      <c r="S103" s="21" t="str">
        <f>IF(AND(L103&gt;='Amort. Sched.-BASE'!$R$8, L103&lt;= ($R$7+$R$8)), O103/M103, " ")</f>
        <v xml:space="preserve"> </v>
      </c>
      <c r="U103" s="20">
        <f t="shared" si="19"/>
        <v>92</v>
      </c>
      <c r="V103" s="5">
        <f>IF(AND(U103&gt;='Amort. Sched.-BASE'!$AA$8, U103&lt;= ($AA$7+$AA$8)), PMT('Amort. Sched.-BASE'!$W$8/12, 'Amort. Sched.-BASE'!$AA$7, 'Amort. Sched.-BASE'!$W$7), 0)</f>
        <v>0</v>
      </c>
      <c r="W103" s="5">
        <f>IF(AND(U103&gt;='Amort. Sched.-BASE'!$AA$8, U103&lt;= ($AA$7+$AA$8)), (IPMT($W$8/12, (U103-$AA$8), $AA$7, $W$7)), 0)</f>
        <v>0</v>
      </c>
      <c r="X103" s="5">
        <f>IF(AND(U103&gt;='Amort. Sched.-BASE'!$AA$8, U103&lt;= ($AA$7+$AA$8)), (PPMT($W$8/12, (U103-$AA$8), $AA$7, $W$7)), 0)</f>
        <v>0</v>
      </c>
      <c r="Y103" s="5">
        <f>IF(CreditAmort2BASE[[#This Row],[Month]]=AA$8,W$7,0)</f>
        <v>0</v>
      </c>
      <c r="Z103" s="13">
        <f>IF(AND(U103&gt;='Amort. Sched.-BASE'!$AA$8, U103&lt;= ($AA$7+$AA$8)), Z102+X103, 0)</f>
        <v>0</v>
      </c>
      <c r="AA103" s="6" t="str">
        <f>IF(AND(U103&gt;='Amort. Sched.-BASE'!$AA$8, U103&lt;= ($AA$7+$AA$8)), W103/V103, " ")</f>
        <v xml:space="preserve"> </v>
      </c>
      <c r="AB103" s="21" t="str">
        <f>IF(AND(U103&gt;='Amort. Sched.-BASE'!$AA$8, U103&lt;= ($AA$7+$AA$8)), X103/V103, " ")</f>
        <v xml:space="preserve"> </v>
      </c>
      <c r="AD103" s="20">
        <f t="shared" si="20"/>
        <v>92</v>
      </c>
      <c r="AE103" s="5">
        <f t="shared" si="21"/>
        <v>0</v>
      </c>
      <c r="AF103" s="5">
        <f t="shared" si="22"/>
        <v>0</v>
      </c>
      <c r="AG103" s="5">
        <f t="shared" si="23"/>
        <v>0</v>
      </c>
      <c r="AH103" s="5">
        <f>IF(CreditAmort3BASE[[#This Row],[Month]]=AJ$8,AF$7,0)</f>
        <v>0</v>
      </c>
      <c r="AI103" s="13">
        <f t="shared" si="24"/>
        <v>0</v>
      </c>
      <c r="AJ103" s="6" t="str">
        <f t="shared" si="25"/>
        <v xml:space="preserve"> </v>
      </c>
      <c r="AK103" s="21" t="str">
        <f t="shared" si="26"/>
        <v xml:space="preserve"> </v>
      </c>
      <c r="AM103" s="20">
        <f t="shared" si="27"/>
        <v>92</v>
      </c>
      <c r="AN103" s="5">
        <f t="shared" si="28"/>
        <v>0</v>
      </c>
      <c r="AO103" s="5">
        <f t="shared" si="29"/>
        <v>0</v>
      </c>
      <c r="AP103" s="5">
        <f t="shared" si="30"/>
        <v>0</v>
      </c>
      <c r="AQ103" s="5">
        <f>IF(CreditAmort4BASE[[#This Row],[Month]]=AS$8,AO$7,0)</f>
        <v>0</v>
      </c>
      <c r="AR103" s="13">
        <f t="shared" si="31"/>
        <v>0</v>
      </c>
      <c r="AS103" s="6" t="str">
        <f t="shared" si="32"/>
        <v xml:space="preserve"> </v>
      </c>
      <c r="AT103" s="21" t="str">
        <f t="shared" si="33"/>
        <v xml:space="preserve"> </v>
      </c>
    </row>
    <row r="104" spans="3:46">
      <c r="C104" s="22">
        <f t="shared" si="17"/>
        <v>93</v>
      </c>
      <c r="D104" s="23">
        <f>IF(AND(C104&gt;='Amort. Sched.-BASE'!$I$8, C104&lt;= ($I$7+$I$8)), PMT('Amort. Sched.-BASE'!$E$8/12, 'Amort. Sched.-BASE'!$I$7, 'Amort. Sched.-BASE'!$E$7), 0)</f>
        <v>-1736.5864935892569</v>
      </c>
      <c r="E104" s="5">
        <f>IF(AND(C104&gt;='Amort. Sched.-BASE'!$I$8, C104&lt;= ($I$7+$I$8)), (IPMT($E$8/12, (C104-$I$8), $I$7, $E$7)), 0)</f>
        <v>-1300.5997690370191</v>
      </c>
      <c r="F104" s="23">
        <f>IF(AND(C104&gt;='Amort. Sched.-BASE'!$I$8, C104&lt;= ($I$7+$I$8)), (PPMT($E$8/12, (C104-$I$8), $I$7, $E$7)), 0)</f>
        <v>-435.98672455223777</v>
      </c>
      <c r="G104" s="5">
        <f>IF(MortgageAmortBASE[[#This Row],[Month]]=I$8,E$7,0)</f>
        <v>0</v>
      </c>
      <c r="H104" s="13">
        <f>IF(AND(C104&gt;='Amort. Sched.-BASE'!$I$8, C104&lt;= ($I$7+$I$8)), H103+F104, 0)</f>
        <v>194653.97863100056</v>
      </c>
      <c r="I104" s="24">
        <f>IF(AND(C104&gt;='Amort. Sched.-BASE'!$I$8, C104&lt;= ($I$7+$I$8)), E104/D104, " ")</f>
        <v>0.74894039187698602</v>
      </c>
      <c r="J104" s="25">
        <f>IF(AND(C104&gt;='Amort. Sched.-BASE'!$I$8, C104&lt;= ($I$7+$I$8)), F104/D104, " ")</f>
        <v>0.25105960812301398</v>
      </c>
      <c r="L104" s="20">
        <f t="shared" si="18"/>
        <v>93</v>
      </c>
      <c r="M104" s="5">
        <f>IF(AND(L104&gt;='Amort. Sched.-BASE'!$R$8, L104&lt;= ($R$7+$R$8)), PMT('Amort. Sched.-BASE'!$N$8/12, 'Amort. Sched.-BASE'!$R$7, 'Amort. Sched.-BASE'!$N$7), 0)</f>
        <v>0</v>
      </c>
      <c r="N104" s="5">
        <f>IF(AND(L104&gt;='Amort. Sched.-BASE'!$R$8, L104&lt;= ($R$7+$R$8)), (IPMT($N$8/12, (L104-$R$8), $R$7, $N$7)), 0)</f>
        <v>0</v>
      </c>
      <c r="O104" s="5">
        <f>IF(AND(L104&gt;='Amort. Sched.-BASE'!$R$8, L104&lt;= ($R$7+$R$8)), (PPMT($N$8/12, (L104-$R$8), $R$7, $N$7)), 0)</f>
        <v>0</v>
      </c>
      <c r="P104" s="5">
        <f>IF(CreditAmort1BASE[[#This Row],[Month]]=R$8,N$7,0)</f>
        <v>0</v>
      </c>
      <c r="Q104" s="13">
        <f>IF(AND(L104&gt;='Amort. Sched.-BASE'!$R$8, L104&lt;= ($R$7+$R$8)), Q103+O104, 0)</f>
        <v>0</v>
      </c>
      <c r="R104" s="6" t="str">
        <f>IF(AND(L104&gt;='Amort. Sched.-BASE'!$R$8, L104&lt;= ($R$7+$R$8)), N104/M104, " ")</f>
        <v xml:space="preserve"> </v>
      </c>
      <c r="S104" s="21" t="str">
        <f>IF(AND(L104&gt;='Amort. Sched.-BASE'!$R$8, L104&lt;= ($R$7+$R$8)), O104/M104, " ")</f>
        <v xml:space="preserve"> </v>
      </c>
      <c r="U104" s="20">
        <f t="shared" si="19"/>
        <v>93</v>
      </c>
      <c r="V104" s="5">
        <f>IF(AND(U104&gt;='Amort. Sched.-BASE'!$AA$8, U104&lt;= ($AA$7+$AA$8)), PMT('Amort. Sched.-BASE'!$W$8/12, 'Amort. Sched.-BASE'!$AA$7, 'Amort. Sched.-BASE'!$W$7), 0)</f>
        <v>0</v>
      </c>
      <c r="W104" s="5">
        <f>IF(AND(U104&gt;='Amort. Sched.-BASE'!$AA$8, U104&lt;= ($AA$7+$AA$8)), (IPMT($W$8/12, (U104-$AA$8), $AA$7, $W$7)), 0)</f>
        <v>0</v>
      </c>
      <c r="X104" s="5">
        <f>IF(AND(U104&gt;='Amort. Sched.-BASE'!$AA$8, U104&lt;= ($AA$7+$AA$8)), (PPMT($W$8/12, (U104-$AA$8), $AA$7, $W$7)), 0)</f>
        <v>0</v>
      </c>
      <c r="Y104" s="5">
        <f>IF(CreditAmort2BASE[[#This Row],[Month]]=AA$8,W$7,0)</f>
        <v>0</v>
      </c>
      <c r="Z104" s="13">
        <f>IF(AND(U104&gt;='Amort. Sched.-BASE'!$AA$8, U104&lt;= ($AA$7+$AA$8)), Z103+X104, 0)</f>
        <v>0</v>
      </c>
      <c r="AA104" s="6" t="str">
        <f>IF(AND(U104&gt;='Amort. Sched.-BASE'!$AA$8, U104&lt;= ($AA$7+$AA$8)), W104/V104, " ")</f>
        <v xml:space="preserve"> </v>
      </c>
      <c r="AB104" s="21" t="str">
        <f>IF(AND(U104&gt;='Amort. Sched.-BASE'!$AA$8, U104&lt;= ($AA$7+$AA$8)), X104/V104, " ")</f>
        <v xml:space="preserve"> </v>
      </c>
      <c r="AD104" s="20">
        <f t="shared" si="20"/>
        <v>93</v>
      </c>
      <c r="AE104" s="5">
        <f t="shared" si="21"/>
        <v>0</v>
      </c>
      <c r="AF104" s="5">
        <f t="shared" si="22"/>
        <v>0</v>
      </c>
      <c r="AG104" s="5">
        <f t="shared" si="23"/>
        <v>0</v>
      </c>
      <c r="AH104" s="5">
        <f>IF(CreditAmort3BASE[[#This Row],[Month]]=AJ$8,AF$7,0)</f>
        <v>0</v>
      </c>
      <c r="AI104" s="13">
        <f t="shared" si="24"/>
        <v>0</v>
      </c>
      <c r="AJ104" s="6" t="str">
        <f t="shared" si="25"/>
        <v xml:space="preserve"> </v>
      </c>
      <c r="AK104" s="21" t="str">
        <f t="shared" si="26"/>
        <v xml:space="preserve"> </v>
      </c>
      <c r="AM104" s="20">
        <f t="shared" si="27"/>
        <v>93</v>
      </c>
      <c r="AN104" s="5">
        <f t="shared" si="28"/>
        <v>0</v>
      </c>
      <c r="AO104" s="5">
        <f t="shared" si="29"/>
        <v>0</v>
      </c>
      <c r="AP104" s="5">
        <f t="shared" si="30"/>
        <v>0</v>
      </c>
      <c r="AQ104" s="5">
        <f>IF(CreditAmort4BASE[[#This Row],[Month]]=AS$8,AO$7,0)</f>
        <v>0</v>
      </c>
      <c r="AR104" s="13">
        <f t="shared" si="31"/>
        <v>0</v>
      </c>
      <c r="AS104" s="6" t="str">
        <f t="shared" si="32"/>
        <v xml:space="preserve"> </v>
      </c>
      <c r="AT104" s="21" t="str">
        <f t="shared" si="33"/>
        <v xml:space="preserve"> </v>
      </c>
    </row>
    <row r="105" spans="3:46">
      <c r="C105" s="22">
        <f t="shared" si="17"/>
        <v>94</v>
      </c>
      <c r="D105" s="23">
        <f>IF(AND(C105&gt;='Amort. Sched.-BASE'!$I$8, C105&lt;= ($I$7+$I$8)), PMT('Amort. Sched.-BASE'!$E$8/12, 'Amort. Sched.-BASE'!$I$7, 'Amort. Sched.-BASE'!$E$7), 0)</f>
        <v>-1736.5864935892569</v>
      </c>
      <c r="E105" s="5">
        <f>IF(AND(C105&gt;='Amort. Sched.-BASE'!$I$8, C105&lt;= ($I$7+$I$8)), (IPMT($E$8/12, (C105-$I$8), $I$7, $E$7)), 0)</f>
        <v>-1297.6931908733377</v>
      </c>
      <c r="F105" s="23">
        <f>IF(AND(C105&gt;='Amort. Sched.-BASE'!$I$8, C105&lt;= ($I$7+$I$8)), (PPMT($E$8/12, (C105-$I$8), $I$7, $E$7)), 0)</f>
        <v>-438.89330271591928</v>
      </c>
      <c r="G105" s="5">
        <f>IF(MortgageAmortBASE[[#This Row],[Month]]=I$8,E$7,0)</f>
        <v>0</v>
      </c>
      <c r="H105" s="13">
        <f>IF(AND(C105&gt;='Amort. Sched.-BASE'!$I$8, C105&lt;= ($I$7+$I$8)), H104+F105, 0)</f>
        <v>194215.08532828465</v>
      </c>
      <c r="I105" s="24">
        <f>IF(AND(C105&gt;='Amort. Sched.-BASE'!$I$8, C105&lt;= ($I$7+$I$8)), E105/D105, " ")</f>
        <v>0.74726666115616602</v>
      </c>
      <c r="J105" s="25">
        <f>IF(AND(C105&gt;='Amort. Sched.-BASE'!$I$8, C105&lt;= ($I$7+$I$8)), F105/D105, " ")</f>
        <v>0.25273333884383403</v>
      </c>
      <c r="L105" s="20">
        <f t="shared" si="18"/>
        <v>94</v>
      </c>
      <c r="M105" s="5">
        <f>IF(AND(L105&gt;='Amort. Sched.-BASE'!$R$8, L105&lt;= ($R$7+$R$8)), PMT('Amort. Sched.-BASE'!$N$8/12, 'Amort. Sched.-BASE'!$R$7, 'Amort. Sched.-BASE'!$N$7), 0)</f>
        <v>0</v>
      </c>
      <c r="N105" s="5">
        <f>IF(AND(L105&gt;='Amort. Sched.-BASE'!$R$8, L105&lt;= ($R$7+$R$8)), (IPMT($N$8/12, (L105-$R$8), $R$7, $N$7)), 0)</f>
        <v>0</v>
      </c>
      <c r="O105" s="5">
        <f>IF(AND(L105&gt;='Amort. Sched.-BASE'!$R$8, L105&lt;= ($R$7+$R$8)), (PPMT($N$8/12, (L105-$R$8), $R$7, $N$7)), 0)</f>
        <v>0</v>
      </c>
      <c r="P105" s="5">
        <f>IF(CreditAmort1BASE[[#This Row],[Month]]=R$8,N$7,0)</f>
        <v>0</v>
      </c>
      <c r="Q105" s="13">
        <f>IF(AND(L105&gt;='Amort. Sched.-BASE'!$R$8, L105&lt;= ($R$7+$R$8)), Q104+O105, 0)</f>
        <v>0</v>
      </c>
      <c r="R105" s="6" t="str">
        <f>IF(AND(L105&gt;='Amort. Sched.-BASE'!$R$8, L105&lt;= ($R$7+$R$8)), N105/M105, " ")</f>
        <v xml:space="preserve"> </v>
      </c>
      <c r="S105" s="21" t="str">
        <f>IF(AND(L105&gt;='Amort. Sched.-BASE'!$R$8, L105&lt;= ($R$7+$R$8)), O105/M105, " ")</f>
        <v xml:space="preserve"> </v>
      </c>
      <c r="U105" s="20">
        <f t="shared" si="19"/>
        <v>94</v>
      </c>
      <c r="V105" s="5">
        <f>IF(AND(U105&gt;='Amort. Sched.-BASE'!$AA$8, U105&lt;= ($AA$7+$AA$8)), PMT('Amort. Sched.-BASE'!$W$8/12, 'Amort. Sched.-BASE'!$AA$7, 'Amort. Sched.-BASE'!$W$7), 0)</f>
        <v>0</v>
      </c>
      <c r="W105" s="5">
        <f>IF(AND(U105&gt;='Amort. Sched.-BASE'!$AA$8, U105&lt;= ($AA$7+$AA$8)), (IPMT($W$8/12, (U105-$AA$8), $AA$7, $W$7)), 0)</f>
        <v>0</v>
      </c>
      <c r="X105" s="5">
        <f>IF(AND(U105&gt;='Amort. Sched.-BASE'!$AA$8, U105&lt;= ($AA$7+$AA$8)), (PPMT($W$8/12, (U105-$AA$8), $AA$7, $W$7)), 0)</f>
        <v>0</v>
      </c>
      <c r="Y105" s="5">
        <f>IF(CreditAmort2BASE[[#This Row],[Month]]=AA$8,W$7,0)</f>
        <v>0</v>
      </c>
      <c r="Z105" s="13">
        <f>IF(AND(U105&gt;='Amort. Sched.-BASE'!$AA$8, U105&lt;= ($AA$7+$AA$8)), Z104+X105, 0)</f>
        <v>0</v>
      </c>
      <c r="AA105" s="6" t="str">
        <f>IF(AND(U105&gt;='Amort. Sched.-BASE'!$AA$8, U105&lt;= ($AA$7+$AA$8)), W105/V105, " ")</f>
        <v xml:space="preserve"> </v>
      </c>
      <c r="AB105" s="21" t="str">
        <f>IF(AND(U105&gt;='Amort. Sched.-BASE'!$AA$8, U105&lt;= ($AA$7+$AA$8)), X105/V105, " ")</f>
        <v xml:space="preserve"> </v>
      </c>
      <c r="AD105" s="20">
        <f t="shared" si="20"/>
        <v>94</v>
      </c>
      <c r="AE105" s="5">
        <f t="shared" si="21"/>
        <v>0</v>
      </c>
      <c r="AF105" s="5">
        <f t="shared" si="22"/>
        <v>0</v>
      </c>
      <c r="AG105" s="5">
        <f t="shared" si="23"/>
        <v>0</v>
      </c>
      <c r="AH105" s="5">
        <f>IF(CreditAmort3BASE[[#This Row],[Month]]=AJ$8,AF$7,0)</f>
        <v>0</v>
      </c>
      <c r="AI105" s="13">
        <f t="shared" si="24"/>
        <v>0</v>
      </c>
      <c r="AJ105" s="6" t="str">
        <f t="shared" si="25"/>
        <v xml:space="preserve"> </v>
      </c>
      <c r="AK105" s="21" t="str">
        <f t="shared" si="26"/>
        <v xml:space="preserve"> </v>
      </c>
      <c r="AM105" s="20">
        <f t="shared" si="27"/>
        <v>94</v>
      </c>
      <c r="AN105" s="5">
        <f t="shared" si="28"/>
        <v>0</v>
      </c>
      <c r="AO105" s="5">
        <f t="shared" si="29"/>
        <v>0</v>
      </c>
      <c r="AP105" s="5">
        <f t="shared" si="30"/>
        <v>0</v>
      </c>
      <c r="AQ105" s="5">
        <f>IF(CreditAmort4BASE[[#This Row],[Month]]=AS$8,AO$7,0)</f>
        <v>0</v>
      </c>
      <c r="AR105" s="13">
        <f t="shared" si="31"/>
        <v>0</v>
      </c>
      <c r="AS105" s="6" t="str">
        <f t="shared" si="32"/>
        <v xml:space="preserve"> </v>
      </c>
      <c r="AT105" s="21" t="str">
        <f t="shared" si="33"/>
        <v xml:space="preserve"> </v>
      </c>
    </row>
    <row r="106" spans="3:46">
      <c r="C106" s="22">
        <f t="shared" si="17"/>
        <v>95</v>
      </c>
      <c r="D106" s="23">
        <f>IF(AND(C106&gt;='Amort. Sched.-BASE'!$I$8, C106&lt;= ($I$7+$I$8)), PMT('Amort. Sched.-BASE'!$E$8/12, 'Amort. Sched.-BASE'!$I$7, 'Amort. Sched.-BASE'!$E$7), 0)</f>
        <v>-1736.5864935892569</v>
      </c>
      <c r="E106" s="5">
        <f>IF(AND(C106&gt;='Amort. Sched.-BASE'!$I$8, C106&lt;= ($I$7+$I$8)), (IPMT($E$8/12, (C106-$I$8), $I$7, $E$7)), 0)</f>
        <v>-1294.7672355218983</v>
      </c>
      <c r="F106" s="23">
        <f>IF(AND(C106&gt;='Amort. Sched.-BASE'!$I$8, C106&lt;= ($I$7+$I$8)), (PPMT($E$8/12, (C106-$I$8), $I$7, $E$7)), 0)</f>
        <v>-441.81925806735876</v>
      </c>
      <c r="G106" s="5">
        <f>IF(MortgageAmortBASE[[#This Row],[Month]]=I$8,E$7,0)</f>
        <v>0</v>
      </c>
      <c r="H106" s="13">
        <f>IF(AND(C106&gt;='Amort. Sched.-BASE'!$I$8, C106&lt;= ($I$7+$I$8)), H105+F106, 0)</f>
        <v>193773.2660702173</v>
      </c>
      <c r="I106" s="24">
        <f>IF(AND(C106&gt;='Amort. Sched.-BASE'!$I$8, C106&lt;= ($I$7+$I$8)), E106/D106, " ")</f>
        <v>0.74558177223054056</v>
      </c>
      <c r="J106" s="25">
        <f>IF(AND(C106&gt;='Amort. Sched.-BASE'!$I$8, C106&lt;= ($I$7+$I$8)), F106/D106, " ")</f>
        <v>0.2544182277694596</v>
      </c>
      <c r="L106" s="20">
        <f t="shared" si="18"/>
        <v>95</v>
      </c>
      <c r="M106" s="5">
        <f>IF(AND(L106&gt;='Amort. Sched.-BASE'!$R$8, L106&lt;= ($R$7+$R$8)), PMT('Amort. Sched.-BASE'!$N$8/12, 'Amort. Sched.-BASE'!$R$7, 'Amort. Sched.-BASE'!$N$7), 0)</f>
        <v>0</v>
      </c>
      <c r="N106" s="5">
        <f>IF(AND(L106&gt;='Amort. Sched.-BASE'!$R$8, L106&lt;= ($R$7+$R$8)), (IPMT($N$8/12, (L106-$R$8), $R$7, $N$7)), 0)</f>
        <v>0</v>
      </c>
      <c r="O106" s="5">
        <f>IF(AND(L106&gt;='Amort. Sched.-BASE'!$R$8, L106&lt;= ($R$7+$R$8)), (PPMT($N$8/12, (L106-$R$8), $R$7, $N$7)), 0)</f>
        <v>0</v>
      </c>
      <c r="P106" s="5">
        <f>IF(CreditAmort1BASE[[#This Row],[Month]]=R$8,N$7,0)</f>
        <v>0</v>
      </c>
      <c r="Q106" s="13">
        <f>IF(AND(L106&gt;='Amort. Sched.-BASE'!$R$8, L106&lt;= ($R$7+$R$8)), Q105+O106, 0)</f>
        <v>0</v>
      </c>
      <c r="R106" s="6" t="str">
        <f>IF(AND(L106&gt;='Amort. Sched.-BASE'!$R$8, L106&lt;= ($R$7+$R$8)), N106/M106, " ")</f>
        <v xml:space="preserve"> </v>
      </c>
      <c r="S106" s="21" t="str">
        <f>IF(AND(L106&gt;='Amort. Sched.-BASE'!$R$8, L106&lt;= ($R$7+$R$8)), O106/M106, " ")</f>
        <v xml:space="preserve"> </v>
      </c>
      <c r="U106" s="20">
        <f t="shared" si="19"/>
        <v>95</v>
      </c>
      <c r="V106" s="5">
        <f>IF(AND(U106&gt;='Amort. Sched.-BASE'!$AA$8, U106&lt;= ($AA$7+$AA$8)), PMT('Amort. Sched.-BASE'!$W$8/12, 'Amort. Sched.-BASE'!$AA$7, 'Amort. Sched.-BASE'!$W$7), 0)</f>
        <v>0</v>
      </c>
      <c r="W106" s="5">
        <f>IF(AND(U106&gt;='Amort. Sched.-BASE'!$AA$8, U106&lt;= ($AA$7+$AA$8)), (IPMT($W$8/12, (U106-$AA$8), $AA$7, $W$7)), 0)</f>
        <v>0</v>
      </c>
      <c r="X106" s="5">
        <f>IF(AND(U106&gt;='Amort. Sched.-BASE'!$AA$8, U106&lt;= ($AA$7+$AA$8)), (PPMT($W$8/12, (U106-$AA$8), $AA$7, $W$7)), 0)</f>
        <v>0</v>
      </c>
      <c r="Y106" s="5">
        <f>IF(CreditAmort2BASE[[#This Row],[Month]]=AA$8,W$7,0)</f>
        <v>0</v>
      </c>
      <c r="Z106" s="13">
        <f>IF(AND(U106&gt;='Amort. Sched.-BASE'!$AA$8, U106&lt;= ($AA$7+$AA$8)), Z105+X106, 0)</f>
        <v>0</v>
      </c>
      <c r="AA106" s="6" t="str">
        <f>IF(AND(U106&gt;='Amort. Sched.-BASE'!$AA$8, U106&lt;= ($AA$7+$AA$8)), W106/V106, " ")</f>
        <v xml:space="preserve"> </v>
      </c>
      <c r="AB106" s="21" t="str">
        <f>IF(AND(U106&gt;='Amort. Sched.-BASE'!$AA$8, U106&lt;= ($AA$7+$AA$8)), X106/V106, " ")</f>
        <v xml:space="preserve"> </v>
      </c>
      <c r="AD106" s="20">
        <f t="shared" si="20"/>
        <v>95</v>
      </c>
      <c r="AE106" s="5">
        <f t="shared" si="21"/>
        <v>0</v>
      </c>
      <c r="AF106" s="5">
        <f t="shared" si="22"/>
        <v>0</v>
      </c>
      <c r="AG106" s="5">
        <f t="shared" si="23"/>
        <v>0</v>
      </c>
      <c r="AH106" s="5">
        <f>IF(CreditAmort3BASE[[#This Row],[Month]]=AJ$8,AF$7,0)</f>
        <v>0</v>
      </c>
      <c r="AI106" s="13">
        <f t="shared" si="24"/>
        <v>0</v>
      </c>
      <c r="AJ106" s="6" t="str">
        <f t="shared" si="25"/>
        <v xml:space="preserve"> </v>
      </c>
      <c r="AK106" s="21" t="str">
        <f t="shared" si="26"/>
        <v xml:space="preserve"> </v>
      </c>
      <c r="AM106" s="20">
        <f t="shared" si="27"/>
        <v>95</v>
      </c>
      <c r="AN106" s="5">
        <f t="shared" si="28"/>
        <v>0</v>
      </c>
      <c r="AO106" s="5">
        <f t="shared" si="29"/>
        <v>0</v>
      </c>
      <c r="AP106" s="5">
        <f t="shared" si="30"/>
        <v>0</v>
      </c>
      <c r="AQ106" s="5">
        <f>IF(CreditAmort4BASE[[#This Row],[Month]]=AS$8,AO$7,0)</f>
        <v>0</v>
      </c>
      <c r="AR106" s="13">
        <f t="shared" si="31"/>
        <v>0</v>
      </c>
      <c r="AS106" s="6" t="str">
        <f t="shared" si="32"/>
        <v xml:space="preserve"> </v>
      </c>
      <c r="AT106" s="21" t="str">
        <f t="shared" si="33"/>
        <v xml:space="preserve"> </v>
      </c>
    </row>
    <row r="107" spans="3:46">
      <c r="C107" s="22">
        <f t="shared" si="17"/>
        <v>96</v>
      </c>
      <c r="D107" s="23">
        <f>IF(AND(C107&gt;='Amort. Sched.-BASE'!$I$8, C107&lt;= ($I$7+$I$8)), PMT('Amort. Sched.-BASE'!$E$8/12, 'Amort. Sched.-BASE'!$I$7, 'Amort. Sched.-BASE'!$E$7), 0)</f>
        <v>-1736.5864935892569</v>
      </c>
      <c r="E107" s="5">
        <f>IF(AND(C107&gt;='Amort. Sched.-BASE'!$I$8, C107&lt;= ($I$7+$I$8)), (IPMT($E$8/12, (C107-$I$8), $I$7, $E$7)), 0)</f>
        <v>-1291.8217738014491</v>
      </c>
      <c r="F107" s="23">
        <f>IF(AND(C107&gt;='Amort. Sched.-BASE'!$I$8, C107&lt;= ($I$7+$I$8)), (PPMT($E$8/12, (C107-$I$8), $I$7, $E$7)), 0)</f>
        <v>-444.76471978780779</v>
      </c>
      <c r="G107" s="5">
        <f>IF(MortgageAmortBASE[[#This Row],[Month]]=I$8,E$7,0)</f>
        <v>0</v>
      </c>
      <c r="H107" s="13">
        <f>IF(AND(C107&gt;='Amort. Sched.-BASE'!$I$8, C107&lt;= ($I$7+$I$8)), H106+F107, 0)</f>
        <v>193328.50135042949</v>
      </c>
      <c r="I107" s="24">
        <f>IF(AND(C107&gt;='Amort. Sched.-BASE'!$I$8, C107&lt;= ($I$7+$I$8)), E107/D107, " ")</f>
        <v>0.74388565071207735</v>
      </c>
      <c r="J107" s="25">
        <f>IF(AND(C107&gt;='Amort. Sched.-BASE'!$I$8, C107&lt;= ($I$7+$I$8)), F107/D107, " ")</f>
        <v>0.25611434928792265</v>
      </c>
      <c r="L107" s="20">
        <f t="shared" si="18"/>
        <v>96</v>
      </c>
      <c r="M107" s="5">
        <f>IF(AND(L107&gt;='Amort. Sched.-BASE'!$R$8, L107&lt;= ($R$7+$R$8)), PMT('Amort. Sched.-BASE'!$N$8/12, 'Amort. Sched.-BASE'!$R$7, 'Amort. Sched.-BASE'!$N$7), 0)</f>
        <v>0</v>
      </c>
      <c r="N107" s="5">
        <f>IF(AND(L107&gt;='Amort. Sched.-BASE'!$R$8, L107&lt;= ($R$7+$R$8)), (IPMT($N$8/12, (L107-$R$8), $R$7, $N$7)), 0)</f>
        <v>0</v>
      </c>
      <c r="O107" s="5">
        <f>IF(AND(L107&gt;='Amort. Sched.-BASE'!$R$8, L107&lt;= ($R$7+$R$8)), (PPMT($N$8/12, (L107-$R$8), $R$7, $N$7)), 0)</f>
        <v>0</v>
      </c>
      <c r="P107" s="5">
        <f>IF(CreditAmort1BASE[[#This Row],[Month]]=R$8,N$7,0)</f>
        <v>0</v>
      </c>
      <c r="Q107" s="13">
        <f>IF(AND(L107&gt;='Amort. Sched.-BASE'!$R$8, L107&lt;= ($R$7+$R$8)), Q106+O107, 0)</f>
        <v>0</v>
      </c>
      <c r="R107" s="6" t="str">
        <f>IF(AND(L107&gt;='Amort. Sched.-BASE'!$R$8, L107&lt;= ($R$7+$R$8)), N107/M107, " ")</f>
        <v xml:space="preserve"> </v>
      </c>
      <c r="S107" s="21" t="str">
        <f>IF(AND(L107&gt;='Amort. Sched.-BASE'!$R$8, L107&lt;= ($R$7+$R$8)), O107/M107, " ")</f>
        <v xml:space="preserve"> </v>
      </c>
      <c r="U107" s="20">
        <f t="shared" si="19"/>
        <v>96</v>
      </c>
      <c r="V107" s="5">
        <f>IF(AND(U107&gt;='Amort. Sched.-BASE'!$AA$8, U107&lt;= ($AA$7+$AA$8)), PMT('Amort. Sched.-BASE'!$W$8/12, 'Amort. Sched.-BASE'!$AA$7, 'Amort. Sched.-BASE'!$W$7), 0)</f>
        <v>0</v>
      </c>
      <c r="W107" s="5">
        <f>IF(AND(U107&gt;='Amort. Sched.-BASE'!$AA$8, U107&lt;= ($AA$7+$AA$8)), (IPMT($W$8/12, (U107-$AA$8), $AA$7, $W$7)), 0)</f>
        <v>0</v>
      </c>
      <c r="X107" s="5">
        <f>IF(AND(U107&gt;='Amort. Sched.-BASE'!$AA$8, U107&lt;= ($AA$7+$AA$8)), (PPMT($W$8/12, (U107-$AA$8), $AA$7, $W$7)), 0)</f>
        <v>0</v>
      </c>
      <c r="Y107" s="5">
        <f>IF(CreditAmort2BASE[[#This Row],[Month]]=AA$8,W$7,0)</f>
        <v>0</v>
      </c>
      <c r="Z107" s="13">
        <f>IF(AND(U107&gt;='Amort. Sched.-BASE'!$AA$8, U107&lt;= ($AA$7+$AA$8)), Z106+X107, 0)</f>
        <v>0</v>
      </c>
      <c r="AA107" s="6" t="str">
        <f>IF(AND(U107&gt;='Amort. Sched.-BASE'!$AA$8, U107&lt;= ($AA$7+$AA$8)), W107/V107, " ")</f>
        <v xml:space="preserve"> </v>
      </c>
      <c r="AB107" s="21" t="str">
        <f>IF(AND(U107&gt;='Amort. Sched.-BASE'!$AA$8, U107&lt;= ($AA$7+$AA$8)), X107/V107, " ")</f>
        <v xml:space="preserve"> </v>
      </c>
      <c r="AD107" s="20">
        <f t="shared" si="20"/>
        <v>96</v>
      </c>
      <c r="AE107" s="5">
        <f t="shared" si="21"/>
        <v>0</v>
      </c>
      <c r="AF107" s="5">
        <f t="shared" si="22"/>
        <v>0</v>
      </c>
      <c r="AG107" s="5">
        <f t="shared" si="23"/>
        <v>0</v>
      </c>
      <c r="AH107" s="5">
        <f>IF(CreditAmort3BASE[[#This Row],[Month]]=AJ$8,AF$7,0)</f>
        <v>0</v>
      </c>
      <c r="AI107" s="13">
        <f t="shared" si="24"/>
        <v>0</v>
      </c>
      <c r="AJ107" s="6" t="str">
        <f t="shared" si="25"/>
        <v xml:space="preserve"> </v>
      </c>
      <c r="AK107" s="21" t="str">
        <f t="shared" si="26"/>
        <v xml:space="preserve"> </v>
      </c>
      <c r="AM107" s="20">
        <f t="shared" si="27"/>
        <v>96</v>
      </c>
      <c r="AN107" s="5">
        <f t="shared" si="28"/>
        <v>0</v>
      </c>
      <c r="AO107" s="5">
        <f t="shared" si="29"/>
        <v>0</v>
      </c>
      <c r="AP107" s="5">
        <f t="shared" si="30"/>
        <v>0</v>
      </c>
      <c r="AQ107" s="5">
        <f>IF(CreditAmort4BASE[[#This Row],[Month]]=AS$8,AO$7,0)</f>
        <v>0</v>
      </c>
      <c r="AR107" s="13">
        <f t="shared" si="31"/>
        <v>0</v>
      </c>
      <c r="AS107" s="6" t="str">
        <f t="shared" si="32"/>
        <v xml:space="preserve"> </v>
      </c>
      <c r="AT107" s="21" t="str">
        <f t="shared" si="33"/>
        <v xml:space="preserve"> </v>
      </c>
    </row>
    <row r="108" spans="3:46">
      <c r="C108" s="22">
        <f t="shared" si="17"/>
        <v>97</v>
      </c>
      <c r="D108" s="23">
        <f>IF(AND(C108&gt;='Amort. Sched.-BASE'!$I$8, C108&lt;= ($I$7+$I$8)), PMT('Amort. Sched.-BASE'!$E$8/12, 'Amort. Sched.-BASE'!$I$7, 'Amort. Sched.-BASE'!$E$7), 0)</f>
        <v>-1736.5864935892569</v>
      </c>
      <c r="E108" s="5">
        <f>IF(AND(C108&gt;='Amort. Sched.-BASE'!$I$8, C108&lt;= ($I$7+$I$8)), (IPMT($E$8/12, (C108-$I$8), $I$7, $E$7)), 0)</f>
        <v>-1288.8566756695302</v>
      </c>
      <c r="F108" s="23">
        <f>IF(AND(C108&gt;='Amort. Sched.-BASE'!$I$8, C108&lt;= ($I$7+$I$8)), (PPMT($E$8/12, (C108-$I$8), $I$7, $E$7)), 0)</f>
        <v>-447.72981791972649</v>
      </c>
      <c r="G108" s="5">
        <f>IF(MortgageAmortBASE[[#This Row],[Month]]=I$8,E$7,0)</f>
        <v>0</v>
      </c>
      <c r="H108" s="13">
        <f>IF(AND(C108&gt;='Amort. Sched.-BASE'!$I$8, C108&lt;= ($I$7+$I$8)), H107+F108, 0)</f>
        <v>192880.77153250977</v>
      </c>
      <c r="I108" s="24">
        <f>IF(AND(C108&gt;='Amort. Sched.-BASE'!$I$8, C108&lt;= ($I$7+$I$8)), E108/D108, " ")</f>
        <v>0.74217822171682446</v>
      </c>
      <c r="J108" s="25">
        <f>IF(AND(C108&gt;='Amort. Sched.-BASE'!$I$8, C108&lt;= ($I$7+$I$8)), F108/D108, " ")</f>
        <v>0.25782177828317548</v>
      </c>
      <c r="L108" s="20">
        <f t="shared" si="18"/>
        <v>97</v>
      </c>
      <c r="M108" s="5">
        <f>IF(AND(L108&gt;='Amort. Sched.-BASE'!$R$8, L108&lt;= ($R$7+$R$8)), PMT('Amort. Sched.-BASE'!$N$8/12, 'Amort. Sched.-BASE'!$R$7, 'Amort. Sched.-BASE'!$N$7), 0)</f>
        <v>0</v>
      </c>
      <c r="N108" s="5">
        <f>IF(AND(L108&gt;='Amort. Sched.-BASE'!$R$8, L108&lt;= ($R$7+$R$8)), (IPMT($N$8/12, (L108-$R$8), $R$7, $N$7)), 0)</f>
        <v>0</v>
      </c>
      <c r="O108" s="5">
        <f>IF(AND(L108&gt;='Amort. Sched.-BASE'!$R$8, L108&lt;= ($R$7+$R$8)), (PPMT($N$8/12, (L108-$R$8), $R$7, $N$7)), 0)</f>
        <v>0</v>
      </c>
      <c r="P108" s="5">
        <f>IF(CreditAmort1BASE[[#This Row],[Month]]=R$8,N$7,0)</f>
        <v>0</v>
      </c>
      <c r="Q108" s="13">
        <f>IF(AND(L108&gt;='Amort. Sched.-BASE'!$R$8, L108&lt;= ($R$7+$R$8)), Q107+O108, 0)</f>
        <v>0</v>
      </c>
      <c r="R108" s="6" t="str">
        <f>IF(AND(L108&gt;='Amort. Sched.-BASE'!$R$8, L108&lt;= ($R$7+$R$8)), N108/M108, " ")</f>
        <v xml:space="preserve"> </v>
      </c>
      <c r="S108" s="21" t="str">
        <f>IF(AND(L108&gt;='Amort. Sched.-BASE'!$R$8, L108&lt;= ($R$7+$R$8)), O108/M108, " ")</f>
        <v xml:space="preserve"> </v>
      </c>
      <c r="U108" s="20">
        <f t="shared" si="19"/>
        <v>97</v>
      </c>
      <c r="V108" s="5">
        <f>IF(AND(U108&gt;='Amort. Sched.-BASE'!$AA$8, U108&lt;= ($AA$7+$AA$8)), PMT('Amort. Sched.-BASE'!$W$8/12, 'Amort. Sched.-BASE'!$AA$7, 'Amort. Sched.-BASE'!$W$7), 0)</f>
        <v>0</v>
      </c>
      <c r="W108" s="5">
        <f>IF(AND(U108&gt;='Amort. Sched.-BASE'!$AA$8, U108&lt;= ($AA$7+$AA$8)), (IPMT($W$8/12, (U108-$AA$8), $AA$7, $W$7)), 0)</f>
        <v>0</v>
      </c>
      <c r="X108" s="5">
        <f>IF(AND(U108&gt;='Amort. Sched.-BASE'!$AA$8, U108&lt;= ($AA$7+$AA$8)), (PPMT($W$8/12, (U108-$AA$8), $AA$7, $W$7)), 0)</f>
        <v>0</v>
      </c>
      <c r="Y108" s="5">
        <f>IF(CreditAmort2BASE[[#This Row],[Month]]=AA$8,W$7,0)</f>
        <v>0</v>
      </c>
      <c r="Z108" s="13">
        <f>IF(AND(U108&gt;='Amort. Sched.-BASE'!$AA$8, U108&lt;= ($AA$7+$AA$8)), Z107+X108, 0)</f>
        <v>0</v>
      </c>
      <c r="AA108" s="6" t="str">
        <f>IF(AND(U108&gt;='Amort. Sched.-BASE'!$AA$8, U108&lt;= ($AA$7+$AA$8)), W108/V108, " ")</f>
        <v xml:space="preserve"> </v>
      </c>
      <c r="AB108" s="21" t="str">
        <f>IF(AND(U108&gt;='Amort. Sched.-BASE'!$AA$8, U108&lt;= ($AA$7+$AA$8)), X108/V108, " ")</f>
        <v xml:space="preserve"> </v>
      </c>
      <c r="AD108" s="20">
        <f t="shared" si="20"/>
        <v>97</v>
      </c>
      <c r="AE108" s="5">
        <f t="shared" si="21"/>
        <v>0</v>
      </c>
      <c r="AF108" s="5">
        <f t="shared" si="22"/>
        <v>0</v>
      </c>
      <c r="AG108" s="5">
        <f t="shared" si="23"/>
        <v>0</v>
      </c>
      <c r="AH108" s="5">
        <f>IF(CreditAmort3BASE[[#This Row],[Month]]=AJ$8,AF$7,0)</f>
        <v>0</v>
      </c>
      <c r="AI108" s="13">
        <f t="shared" si="24"/>
        <v>0</v>
      </c>
      <c r="AJ108" s="6" t="str">
        <f t="shared" si="25"/>
        <v xml:space="preserve"> </v>
      </c>
      <c r="AK108" s="21" t="str">
        <f t="shared" si="26"/>
        <v xml:space="preserve"> </v>
      </c>
      <c r="AM108" s="20">
        <f t="shared" si="27"/>
        <v>97</v>
      </c>
      <c r="AN108" s="5">
        <f t="shared" si="28"/>
        <v>0</v>
      </c>
      <c r="AO108" s="5">
        <f t="shared" si="29"/>
        <v>0</v>
      </c>
      <c r="AP108" s="5">
        <f t="shared" si="30"/>
        <v>0</v>
      </c>
      <c r="AQ108" s="5">
        <f>IF(CreditAmort4BASE[[#This Row],[Month]]=AS$8,AO$7,0)</f>
        <v>0</v>
      </c>
      <c r="AR108" s="13">
        <f t="shared" si="31"/>
        <v>0</v>
      </c>
      <c r="AS108" s="6" t="str">
        <f t="shared" si="32"/>
        <v xml:space="preserve"> </v>
      </c>
      <c r="AT108" s="21" t="str">
        <f t="shared" si="33"/>
        <v xml:space="preserve"> </v>
      </c>
    </row>
    <row r="109" spans="3:46">
      <c r="C109" s="22">
        <f t="shared" si="17"/>
        <v>98</v>
      </c>
      <c r="D109" s="23">
        <f>IF(AND(C109&gt;='Amort. Sched.-BASE'!$I$8, C109&lt;= ($I$7+$I$8)), PMT('Amort. Sched.-BASE'!$E$8/12, 'Amort. Sched.-BASE'!$I$7, 'Amort. Sched.-BASE'!$E$7), 0)</f>
        <v>-1736.5864935892569</v>
      </c>
      <c r="E109" s="5">
        <f>IF(AND(C109&gt;='Amort. Sched.-BASE'!$I$8, C109&lt;= ($I$7+$I$8)), (IPMT($E$8/12, (C109-$I$8), $I$7, $E$7)), 0)</f>
        <v>-1285.871810216732</v>
      </c>
      <c r="F109" s="23">
        <f>IF(AND(C109&gt;='Amort. Sched.-BASE'!$I$8, C109&lt;= ($I$7+$I$8)), (PPMT($E$8/12, (C109-$I$8), $I$7, $E$7)), 0)</f>
        <v>-450.71468337252469</v>
      </c>
      <c r="G109" s="5">
        <f>IF(MortgageAmortBASE[[#This Row],[Month]]=I$8,E$7,0)</f>
        <v>0</v>
      </c>
      <c r="H109" s="13">
        <f>IF(AND(C109&gt;='Amort. Sched.-BASE'!$I$8, C109&lt;= ($I$7+$I$8)), H108+F109, 0)</f>
        <v>192430.05684913724</v>
      </c>
      <c r="I109" s="24">
        <f>IF(AND(C109&gt;='Amort. Sched.-BASE'!$I$8, C109&lt;= ($I$7+$I$8)), E109/D109, " ")</f>
        <v>0.7404594098616033</v>
      </c>
      <c r="J109" s="25">
        <f>IF(AND(C109&gt;='Amort. Sched.-BASE'!$I$8, C109&lt;= ($I$7+$I$8)), F109/D109, " ")</f>
        <v>0.25954059013839664</v>
      </c>
      <c r="L109" s="20">
        <f t="shared" si="18"/>
        <v>98</v>
      </c>
      <c r="M109" s="5">
        <f>IF(AND(L109&gt;='Amort. Sched.-BASE'!$R$8, L109&lt;= ($R$7+$R$8)), PMT('Amort. Sched.-BASE'!$N$8/12, 'Amort. Sched.-BASE'!$R$7, 'Amort. Sched.-BASE'!$N$7), 0)</f>
        <v>0</v>
      </c>
      <c r="N109" s="5">
        <f>IF(AND(L109&gt;='Amort. Sched.-BASE'!$R$8, L109&lt;= ($R$7+$R$8)), (IPMT($N$8/12, (L109-$R$8), $R$7, $N$7)), 0)</f>
        <v>0</v>
      </c>
      <c r="O109" s="5">
        <f>IF(AND(L109&gt;='Amort. Sched.-BASE'!$R$8, L109&lt;= ($R$7+$R$8)), (PPMT($N$8/12, (L109-$R$8), $R$7, $N$7)), 0)</f>
        <v>0</v>
      </c>
      <c r="P109" s="5">
        <f>IF(CreditAmort1BASE[[#This Row],[Month]]=R$8,N$7,0)</f>
        <v>0</v>
      </c>
      <c r="Q109" s="13">
        <f>IF(AND(L109&gt;='Amort. Sched.-BASE'!$R$8, L109&lt;= ($R$7+$R$8)), Q108+O109, 0)</f>
        <v>0</v>
      </c>
      <c r="R109" s="6" t="str">
        <f>IF(AND(L109&gt;='Amort. Sched.-BASE'!$R$8, L109&lt;= ($R$7+$R$8)), N109/M109, " ")</f>
        <v xml:space="preserve"> </v>
      </c>
      <c r="S109" s="21" t="str">
        <f>IF(AND(L109&gt;='Amort. Sched.-BASE'!$R$8, L109&lt;= ($R$7+$R$8)), O109/M109, " ")</f>
        <v xml:space="preserve"> </v>
      </c>
      <c r="U109" s="20">
        <f t="shared" si="19"/>
        <v>98</v>
      </c>
      <c r="V109" s="5">
        <f>IF(AND(U109&gt;='Amort. Sched.-BASE'!$AA$8, U109&lt;= ($AA$7+$AA$8)), PMT('Amort. Sched.-BASE'!$W$8/12, 'Amort. Sched.-BASE'!$AA$7, 'Amort. Sched.-BASE'!$W$7), 0)</f>
        <v>0</v>
      </c>
      <c r="W109" s="5">
        <f>IF(AND(U109&gt;='Amort. Sched.-BASE'!$AA$8, U109&lt;= ($AA$7+$AA$8)), (IPMT($W$8/12, (U109-$AA$8), $AA$7, $W$7)), 0)</f>
        <v>0</v>
      </c>
      <c r="X109" s="5">
        <f>IF(AND(U109&gt;='Amort. Sched.-BASE'!$AA$8, U109&lt;= ($AA$7+$AA$8)), (PPMT($W$8/12, (U109-$AA$8), $AA$7, $W$7)), 0)</f>
        <v>0</v>
      </c>
      <c r="Y109" s="5">
        <f>IF(CreditAmort2BASE[[#This Row],[Month]]=AA$8,W$7,0)</f>
        <v>0</v>
      </c>
      <c r="Z109" s="13">
        <f>IF(AND(U109&gt;='Amort. Sched.-BASE'!$AA$8, U109&lt;= ($AA$7+$AA$8)), Z108+X109, 0)</f>
        <v>0</v>
      </c>
      <c r="AA109" s="6" t="str">
        <f>IF(AND(U109&gt;='Amort. Sched.-BASE'!$AA$8, U109&lt;= ($AA$7+$AA$8)), W109/V109, " ")</f>
        <v xml:space="preserve"> </v>
      </c>
      <c r="AB109" s="21" t="str">
        <f>IF(AND(U109&gt;='Amort. Sched.-BASE'!$AA$8, U109&lt;= ($AA$7+$AA$8)), X109/V109, " ")</f>
        <v xml:space="preserve"> </v>
      </c>
      <c r="AD109" s="20">
        <f t="shared" si="20"/>
        <v>98</v>
      </c>
      <c r="AE109" s="5">
        <f t="shared" si="21"/>
        <v>0</v>
      </c>
      <c r="AF109" s="5">
        <f t="shared" si="22"/>
        <v>0</v>
      </c>
      <c r="AG109" s="5">
        <f t="shared" si="23"/>
        <v>0</v>
      </c>
      <c r="AH109" s="5">
        <f>IF(CreditAmort3BASE[[#This Row],[Month]]=AJ$8,AF$7,0)</f>
        <v>0</v>
      </c>
      <c r="AI109" s="13">
        <f t="shared" si="24"/>
        <v>0</v>
      </c>
      <c r="AJ109" s="6" t="str">
        <f t="shared" si="25"/>
        <v xml:space="preserve"> </v>
      </c>
      <c r="AK109" s="21" t="str">
        <f t="shared" si="26"/>
        <v xml:space="preserve"> </v>
      </c>
      <c r="AM109" s="20">
        <f t="shared" si="27"/>
        <v>98</v>
      </c>
      <c r="AN109" s="5">
        <f t="shared" si="28"/>
        <v>0</v>
      </c>
      <c r="AO109" s="5">
        <f t="shared" si="29"/>
        <v>0</v>
      </c>
      <c r="AP109" s="5">
        <f t="shared" si="30"/>
        <v>0</v>
      </c>
      <c r="AQ109" s="5">
        <f>IF(CreditAmort4BASE[[#This Row],[Month]]=AS$8,AO$7,0)</f>
        <v>0</v>
      </c>
      <c r="AR109" s="13">
        <f t="shared" si="31"/>
        <v>0</v>
      </c>
      <c r="AS109" s="6" t="str">
        <f t="shared" si="32"/>
        <v xml:space="preserve"> </v>
      </c>
      <c r="AT109" s="21" t="str">
        <f t="shared" si="33"/>
        <v xml:space="preserve"> </v>
      </c>
    </row>
    <row r="110" spans="3:46">
      <c r="C110" s="22">
        <f t="shared" si="17"/>
        <v>99</v>
      </c>
      <c r="D110" s="23">
        <f>IF(AND(C110&gt;='Amort. Sched.-BASE'!$I$8, C110&lt;= ($I$7+$I$8)), PMT('Amort. Sched.-BASE'!$E$8/12, 'Amort. Sched.-BASE'!$I$7, 'Amort. Sched.-BASE'!$E$7), 0)</f>
        <v>-1736.5864935892569</v>
      </c>
      <c r="E110" s="5">
        <f>IF(AND(C110&gt;='Amort. Sched.-BASE'!$I$8, C110&lt;= ($I$7+$I$8)), (IPMT($E$8/12, (C110-$I$8), $I$7, $E$7)), 0)</f>
        <v>-1282.8670456609154</v>
      </c>
      <c r="F110" s="23">
        <f>IF(AND(C110&gt;='Amort. Sched.-BASE'!$I$8, C110&lt;= ($I$7+$I$8)), (PPMT($E$8/12, (C110-$I$8), $I$7, $E$7)), 0)</f>
        <v>-453.71944792834154</v>
      </c>
      <c r="G110" s="5">
        <f>IF(MortgageAmortBASE[[#This Row],[Month]]=I$8,E$7,0)</f>
        <v>0</v>
      </c>
      <c r="H110" s="13">
        <f>IF(AND(C110&gt;='Amort. Sched.-BASE'!$I$8, C110&lt;= ($I$7+$I$8)), H109+F110, 0)</f>
        <v>191976.3374012089</v>
      </c>
      <c r="I110" s="24">
        <f>IF(AND(C110&gt;='Amort. Sched.-BASE'!$I$8, C110&lt;= ($I$7+$I$8)), E110/D110, " ")</f>
        <v>0.73872913926068073</v>
      </c>
      <c r="J110" s="25">
        <f>IF(AND(C110&gt;='Amort. Sched.-BASE'!$I$8, C110&lt;= ($I$7+$I$8)), F110/D110, " ")</f>
        <v>0.26127086073931932</v>
      </c>
      <c r="L110" s="20">
        <f t="shared" si="18"/>
        <v>99</v>
      </c>
      <c r="M110" s="5">
        <f>IF(AND(L110&gt;='Amort. Sched.-BASE'!$R$8, L110&lt;= ($R$7+$R$8)), PMT('Amort. Sched.-BASE'!$N$8/12, 'Amort. Sched.-BASE'!$R$7, 'Amort. Sched.-BASE'!$N$7), 0)</f>
        <v>0</v>
      </c>
      <c r="N110" s="5">
        <f>IF(AND(L110&gt;='Amort. Sched.-BASE'!$R$8, L110&lt;= ($R$7+$R$8)), (IPMT($N$8/12, (L110-$R$8), $R$7, $N$7)), 0)</f>
        <v>0</v>
      </c>
      <c r="O110" s="5">
        <f>IF(AND(L110&gt;='Amort. Sched.-BASE'!$R$8, L110&lt;= ($R$7+$R$8)), (PPMT($N$8/12, (L110-$R$8), $R$7, $N$7)), 0)</f>
        <v>0</v>
      </c>
      <c r="P110" s="5">
        <f>IF(CreditAmort1BASE[[#This Row],[Month]]=R$8,N$7,0)</f>
        <v>0</v>
      </c>
      <c r="Q110" s="13">
        <f>IF(AND(L110&gt;='Amort. Sched.-BASE'!$R$8, L110&lt;= ($R$7+$R$8)), Q109+O110, 0)</f>
        <v>0</v>
      </c>
      <c r="R110" s="6" t="str">
        <f>IF(AND(L110&gt;='Amort. Sched.-BASE'!$R$8, L110&lt;= ($R$7+$R$8)), N110/M110, " ")</f>
        <v xml:space="preserve"> </v>
      </c>
      <c r="S110" s="21" t="str">
        <f>IF(AND(L110&gt;='Amort. Sched.-BASE'!$R$8, L110&lt;= ($R$7+$R$8)), O110/M110, " ")</f>
        <v xml:space="preserve"> </v>
      </c>
      <c r="U110" s="20">
        <f t="shared" si="19"/>
        <v>99</v>
      </c>
      <c r="V110" s="5">
        <f>IF(AND(U110&gt;='Amort. Sched.-BASE'!$AA$8, U110&lt;= ($AA$7+$AA$8)), PMT('Amort. Sched.-BASE'!$W$8/12, 'Amort. Sched.-BASE'!$AA$7, 'Amort. Sched.-BASE'!$W$7), 0)</f>
        <v>0</v>
      </c>
      <c r="W110" s="5">
        <f>IF(AND(U110&gt;='Amort. Sched.-BASE'!$AA$8, U110&lt;= ($AA$7+$AA$8)), (IPMT($W$8/12, (U110-$AA$8), $AA$7, $W$7)), 0)</f>
        <v>0</v>
      </c>
      <c r="X110" s="5">
        <f>IF(AND(U110&gt;='Amort. Sched.-BASE'!$AA$8, U110&lt;= ($AA$7+$AA$8)), (PPMT($W$8/12, (U110-$AA$8), $AA$7, $W$7)), 0)</f>
        <v>0</v>
      </c>
      <c r="Y110" s="5">
        <f>IF(CreditAmort2BASE[[#This Row],[Month]]=AA$8,W$7,0)</f>
        <v>0</v>
      </c>
      <c r="Z110" s="13">
        <f>IF(AND(U110&gt;='Amort. Sched.-BASE'!$AA$8, U110&lt;= ($AA$7+$AA$8)), Z109+X110, 0)</f>
        <v>0</v>
      </c>
      <c r="AA110" s="6" t="str">
        <f>IF(AND(U110&gt;='Amort. Sched.-BASE'!$AA$8, U110&lt;= ($AA$7+$AA$8)), W110/V110, " ")</f>
        <v xml:space="preserve"> </v>
      </c>
      <c r="AB110" s="21" t="str">
        <f>IF(AND(U110&gt;='Amort. Sched.-BASE'!$AA$8, U110&lt;= ($AA$7+$AA$8)), X110/V110, " ")</f>
        <v xml:space="preserve"> </v>
      </c>
      <c r="AD110" s="20">
        <f t="shared" si="20"/>
        <v>99</v>
      </c>
      <c r="AE110" s="5">
        <f t="shared" si="21"/>
        <v>0</v>
      </c>
      <c r="AF110" s="5">
        <f t="shared" si="22"/>
        <v>0</v>
      </c>
      <c r="AG110" s="5">
        <f t="shared" si="23"/>
        <v>0</v>
      </c>
      <c r="AH110" s="5">
        <f>IF(CreditAmort3BASE[[#This Row],[Month]]=AJ$8,AF$7,0)</f>
        <v>0</v>
      </c>
      <c r="AI110" s="13">
        <f t="shared" si="24"/>
        <v>0</v>
      </c>
      <c r="AJ110" s="6" t="str">
        <f t="shared" si="25"/>
        <v xml:space="preserve"> </v>
      </c>
      <c r="AK110" s="21" t="str">
        <f t="shared" si="26"/>
        <v xml:space="preserve"> </v>
      </c>
      <c r="AM110" s="20">
        <f t="shared" si="27"/>
        <v>99</v>
      </c>
      <c r="AN110" s="5">
        <f t="shared" si="28"/>
        <v>0</v>
      </c>
      <c r="AO110" s="5">
        <f t="shared" si="29"/>
        <v>0</v>
      </c>
      <c r="AP110" s="5">
        <f t="shared" si="30"/>
        <v>0</v>
      </c>
      <c r="AQ110" s="5">
        <f>IF(CreditAmort4BASE[[#This Row],[Month]]=AS$8,AO$7,0)</f>
        <v>0</v>
      </c>
      <c r="AR110" s="13">
        <f t="shared" si="31"/>
        <v>0</v>
      </c>
      <c r="AS110" s="6" t="str">
        <f t="shared" si="32"/>
        <v xml:space="preserve"> </v>
      </c>
      <c r="AT110" s="21" t="str">
        <f t="shared" si="33"/>
        <v xml:space="preserve"> </v>
      </c>
    </row>
    <row r="111" spans="3:46">
      <c r="C111" s="22">
        <f t="shared" si="17"/>
        <v>100</v>
      </c>
      <c r="D111" s="23">
        <f>IF(AND(C111&gt;='Amort. Sched.-BASE'!$I$8, C111&lt;= ($I$7+$I$8)), PMT('Amort. Sched.-BASE'!$E$8/12, 'Amort. Sched.-BASE'!$I$7, 'Amort. Sched.-BASE'!$E$7), 0)</f>
        <v>-1736.5864935892569</v>
      </c>
      <c r="E111" s="5">
        <f>IF(AND(C111&gt;='Amort. Sched.-BASE'!$I$8, C111&lt;= ($I$7+$I$8)), (IPMT($E$8/12, (C111-$I$8), $I$7, $E$7)), 0)</f>
        <v>-1279.8422493413932</v>
      </c>
      <c r="F111" s="23">
        <f>IF(AND(C111&gt;='Amort. Sched.-BASE'!$I$8, C111&lt;= ($I$7+$I$8)), (PPMT($E$8/12, (C111-$I$8), $I$7, $E$7)), 0)</f>
        <v>-456.74424424786383</v>
      </c>
      <c r="G111" s="5">
        <f>IF(MortgageAmortBASE[[#This Row],[Month]]=I$8,E$7,0)</f>
        <v>0</v>
      </c>
      <c r="H111" s="13">
        <f>IF(AND(C111&gt;='Amort. Sched.-BASE'!$I$8, C111&lt;= ($I$7+$I$8)), H110+F111, 0)</f>
        <v>191519.59315696105</v>
      </c>
      <c r="I111" s="24">
        <f>IF(AND(C111&gt;='Amort. Sched.-BASE'!$I$8, C111&lt;= ($I$7+$I$8)), E111/D111, " ")</f>
        <v>0.73698733352241863</v>
      </c>
      <c r="J111" s="25">
        <f>IF(AND(C111&gt;='Amort. Sched.-BASE'!$I$8, C111&lt;= ($I$7+$I$8)), F111/D111, " ")</f>
        <v>0.26301266647758142</v>
      </c>
      <c r="L111" s="20">
        <f t="shared" si="18"/>
        <v>100</v>
      </c>
      <c r="M111" s="5">
        <f>IF(AND(L111&gt;='Amort. Sched.-BASE'!$R$8, L111&lt;= ($R$7+$R$8)), PMT('Amort. Sched.-BASE'!$N$8/12, 'Amort. Sched.-BASE'!$R$7, 'Amort. Sched.-BASE'!$N$7), 0)</f>
        <v>0</v>
      </c>
      <c r="N111" s="5">
        <f>IF(AND(L111&gt;='Amort. Sched.-BASE'!$R$8, L111&lt;= ($R$7+$R$8)), (IPMT($N$8/12, (L111-$R$8), $R$7, $N$7)), 0)</f>
        <v>0</v>
      </c>
      <c r="O111" s="5">
        <f>IF(AND(L111&gt;='Amort. Sched.-BASE'!$R$8, L111&lt;= ($R$7+$R$8)), (PPMT($N$8/12, (L111-$R$8), $R$7, $N$7)), 0)</f>
        <v>0</v>
      </c>
      <c r="P111" s="5">
        <f>IF(CreditAmort1BASE[[#This Row],[Month]]=R$8,N$7,0)</f>
        <v>0</v>
      </c>
      <c r="Q111" s="13">
        <f>IF(AND(L111&gt;='Amort. Sched.-BASE'!$R$8, L111&lt;= ($R$7+$R$8)), Q110+O111, 0)</f>
        <v>0</v>
      </c>
      <c r="R111" s="6" t="str">
        <f>IF(AND(L111&gt;='Amort. Sched.-BASE'!$R$8, L111&lt;= ($R$7+$R$8)), N111/M111, " ")</f>
        <v xml:space="preserve"> </v>
      </c>
      <c r="S111" s="21" t="str">
        <f>IF(AND(L111&gt;='Amort. Sched.-BASE'!$R$8, L111&lt;= ($R$7+$R$8)), O111/M111, " ")</f>
        <v xml:space="preserve"> </v>
      </c>
      <c r="U111" s="20">
        <f t="shared" si="19"/>
        <v>100</v>
      </c>
      <c r="V111" s="5">
        <f>IF(AND(U111&gt;='Amort. Sched.-BASE'!$AA$8, U111&lt;= ($AA$7+$AA$8)), PMT('Amort. Sched.-BASE'!$W$8/12, 'Amort. Sched.-BASE'!$AA$7, 'Amort. Sched.-BASE'!$W$7), 0)</f>
        <v>0</v>
      </c>
      <c r="W111" s="5">
        <f>IF(AND(U111&gt;='Amort. Sched.-BASE'!$AA$8, U111&lt;= ($AA$7+$AA$8)), (IPMT($W$8/12, (U111-$AA$8), $AA$7, $W$7)), 0)</f>
        <v>0</v>
      </c>
      <c r="X111" s="5">
        <f>IF(AND(U111&gt;='Amort. Sched.-BASE'!$AA$8, U111&lt;= ($AA$7+$AA$8)), (PPMT($W$8/12, (U111-$AA$8), $AA$7, $W$7)), 0)</f>
        <v>0</v>
      </c>
      <c r="Y111" s="5">
        <f>IF(CreditAmort2BASE[[#This Row],[Month]]=AA$8,W$7,0)</f>
        <v>0</v>
      </c>
      <c r="Z111" s="13">
        <f>IF(AND(U111&gt;='Amort. Sched.-BASE'!$AA$8, U111&lt;= ($AA$7+$AA$8)), Z110+X111, 0)</f>
        <v>0</v>
      </c>
      <c r="AA111" s="6" t="str">
        <f>IF(AND(U111&gt;='Amort. Sched.-BASE'!$AA$8, U111&lt;= ($AA$7+$AA$8)), W111/V111, " ")</f>
        <v xml:space="preserve"> </v>
      </c>
      <c r="AB111" s="21" t="str">
        <f>IF(AND(U111&gt;='Amort. Sched.-BASE'!$AA$8, U111&lt;= ($AA$7+$AA$8)), X111/V111, " ")</f>
        <v xml:space="preserve"> </v>
      </c>
      <c r="AD111" s="20">
        <f t="shared" si="20"/>
        <v>100</v>
      </c>
      <c r="AE111" s="5">
        <f t="shared" si="21"/>
        <v>0</v>
      </c>
      <c r="AF111" s="5">
        <f t="shared" si="22"/>
        <v>0</v>
      </c>
      <c r="AG111" s="5">
        <f t="shared" si="23"/>
        <v>0</v>
      </c>
      <c r="AH111" s="5">
        <f>IF(CreditAmort3BASE[[#This Row],[Month]]=AJ$8,AF$7,0)</f>
        <v>0</v>
      </c>
      <c r="AI111" s="13">
        <f t="shared" si="24"/>
        <v>0</v>
      </c>
      <c r="AJ111" s="6" t="str">
        <f t="shared" si="25"/>
        <v xml:space="preserve"> </v>
      </c>
      <c r="AK111" s="21" t="str">
        <f t="shared" si="26"/>
        <v xml:space="preserve"> </v>
      </c>
      <c r="AM111" s="20">
        <f t="shared" si="27"/>
        <v>100</v>
      </c>
      <c r="AN111" s="5">
        <f t="shared" si="28"/>
        <v>0</v>
      </c>
      <c r="AO111" s="5">
        <f t="shared" si="29"/>
        <v>0</v>
      </c>
      <c r="AP111" s="5">
        <f t="shared" si="30"/>
        <v>0</v>
      </c>
      <c r="AQ111" s="5">
        <f>IF(CreditAmort4BASE[[#This Row],[Month]]=AS$8,AO$7,0)</f>
        <v>0</v>
      </c>
      <c r="AR111" s="13">
        <f t="shared" si="31"/>
        <v>0</v>
      </c>
      <c r="AS111" s="6" t="str">
        <f t="shared" si="32"/>
        <v xml:space="preserve"> </v>
      </c>
      <c r="AT111" s="21" t="str">
        <f t="shared" si="33"/>
        <v xml:space="preserve"> </v>
      </c>
    </row>
    <row r="112" spans="3:46">
      <c r="C112" s="22">
        <f t="shared" si="17"/>
        <v>101</v>
      </c>
      <c r="D112" s="23">
        <f>IF(AND(C112&gt;='Amort. Sched.-BASE'!$I$8, C112&lt;= ($I$7+$I$8)), PMT('Amort. Sched.-BASE'!$E$8/12, 'Amort. Sched.-BASE'!$I$7, 'Amort. Sched.-BASE'!$E$7), 0)</f>
        <v>-1736.5864935892569</v>
      </c>
      <c r="E112" s="5">
        <f>IF(AND(C112&gt;='Amort. Sched.-BASE'!$I$8, C112&lt;= ($I$7+$I$8)), (IPMT($E$8/12, (C112-$I$8), $I$7, $E$7)), 0)</f>
        <v>-1276.797287713074</v>
      </c>
      <c r="F112" s="23">
        <f>IF(AND(C112&gt;='Amort. Sched.-BASE'!$I$8, C112&lt;= ($I$7+$I$8)), (PPMT($E$8/12, (C112-$I$8), $I$7, $E$7)), 0)</f>
        <v>-459.78920587618296</v>
      </c>
      <c r="G112" s="5">
        <f>IF(MortgageAmortBASE[[#This Row],[Month]]=I$8,E$7,0)</f>
        <v>0</v>
      </c>
      <c r="H112" s="13">
        <f>IF(AND(C112&gt;='Amort. Sched.-BASE'!$I$8, C112&lt;= ($I$7+$I$8)), H111+F112, 0)</f>
        <v>191059.80395108488</v>
      </c>
      <c r="I112" s="24">
        <f>IF(AND(C112&gt;='Amort. Sched.-BASE'!$I$8, C112&lt;= ($I$7+$I$8)), E112/D112, " ")</f>
        <v>0.73523391574590136</v>
      </c>
      <c r="J112" s="25">
        <f>IF(AND(C112&gt;='Amort. Sched.-BASE'!$I$8, C112&lt;= ($I$7+$I$8)), F112/D112, " ")</f>
        <v>0.26476608425409864</v>
      </c>
      <c r="L112" s="20">
        <f t="shared" si="18"/>
        <v>101</v>
      </c>
      <c r="M112" s="5">
        <f>IF(AND(L112&gt;='Amort. Sched.-BASE'!$R$8, L112&lt;= ($R$7+$R$8)), PMT('Amort. Sched.-BASE'!$N$8/12, 'Amort. Sched.-BASE'!$R$7, 'Amort. Sched.-BASE'!$N$7), 0)</f>
        <v>0</v>
      </c>
      <c r="N112" s="5">
        <f>IF(AND(L112&gt;='Amort. Sched.-BASE'!$R$8, L112&lt;= ($R$7+$R$8)), (IPMT($N$8/12, (L112-$R$8), $R$7, $N$7)), 0)</f>
        <v>0</v>
      </c>
      <c r="O112" s="5">
        <f>IF(AND(L112&gt;='Amort. Sched.-BASE'!$R$8, L112&lt;= ($R$7+$R$8)), (PPMT($N$8/12, (L112-$R$8), $R$7, $N$7)), 0)</f>
        <v>0</v>
      </c>
      <c r="P112" s="5">
        <f>IF(CreditAmort1BASE[[#This Row],[Month]]=R$8,N$7,0)</f>
        <v>0</v>
      </c>
      <c r="Q112" s="13">
        <f>IF(AND(L112&gt;='Amort. Sched.-BASE'!$R$8, L112&lt;= ($R$7+$R$8)), Q111+O112, 0)</f>
        <v>0</v>
      </c>
      <c r="R112" s="6" t="str">
        <f>IF(AND(L112&gt;='Amort. Sched.-BASE'!$R$8, L112&lt;= ($R$7+$R$8)), N112/M112, " ")</f>
        <v xml:space="preserve"> </v>
      </c>
      <c r="S112" s="21" t="str">
        <f>IF(AND(L112&gt;='Amort. Sched.-BASE'!$R$8, L112&lt;= ($R$7+$R$8)), O112/M112, " ")</f>
        <v xml:space="preserve"> </v>
      </c>
      <c r="U112" s="20">
        <f t="shared" si="19"/>
        <v>101</v>
      </c>
      <c r="V112" s="5">
        <f>IF(AND(U112&gt;='Amort. Sched.-BASE'!$AA$8, U112&lt;= ($AA$7+$AA$8)), PMT('Amort. Sched.-BASE'!$W$8/12, 'Amort. Sched.-BASE'!$AA$7, 'Amort. Sched.-BASE'!$W$7), 0)</f>
        <v>0</v>
      </c>
      <c r="W112" s="5">
        <f>IF(AND(U112&gt;='Amort. Sched.-BASE'!$AA$8, U112&lt;= ($AA$7+$AA$8)), (IPMT($W$8/12, (U112-$AA$8), $AA$7, $W$7)), 0)</f>
        <v>0</v>
      </c>
      <c r="X112" s="5">
        <f>IF(AND(U112&gt;='Amort. Sched.-BASE'!$AA$8, U112&lt;= ($AA$7+$AA$8)), (PPMT($W$8/12, (U112-$AA$8), $AA$7, $W$7)), 0)</f>
        <v>0</v>
      </c>
      <c r="Y112" s="5">
        <f>IF(CreditAmort2BASE[[#This Row],[Month]]=AA$8,W$7,0)</f>
        <v>0</v>
      </c>
      <c r="Z112" s="13">
        <f>IF(AND(U112&gt;='Amort. Sched.-BASE'!$AA$8, U112&lt;= ($AA$7+$AA$8)), Z111+X112, 0)</f>
        <v>0</v>
      </c>
      <c r="AA112" s="6" t="str">
        <f>IF(AND(U112&gt;='Amort. Sched.-BASE'!$AA$8, U112&lt;= ($AA$7+$AA$8)), W112/V112, " ")</f>
        <v xml:space="preserve"> </v>
      </c>
      <c r="AB112" s="21" t="str">
        <f>IF(AND(U112&gt;='Amort. Sched.-BASE'!$AA$8, U112&lt;= ($AA$7+$AA$8)), X112/V112, " ")</f>
        <v xml:space="preserve"> </v>
      </c>
      <c r="AD112" s="20">
        <f t="shared" si="20"/>
        <v>101</v>
      </c>
      <c r="AE112" s="5">
        <f t="shared" si="21"/>
        <v>0</v>
      </c>
      <c r="AF112" s="5">
        <f t="shared" si="22"/>
        <v>0</v>
      </c>
      <c r="AG112" s="5">
        <f t="shared" si="23"/>
        <v>0</v>
      </c>
      <c r="AH112" s="5">
        <f>IF(CreditAmort3BASE[[#This Row],[Month]]=AJ$8,AF$7,0)</f>
        <v>0</v>
      </c>
      <c r="AI112" s="13">
        <f t="shared" si="24"/>
        <v>0</v>
      </c>
      <c r="AJ112" s="6" t="str">
        <f t="shared" si="25"/>
        <v xml:space="preserve"> </v>
      </c>
      <c r="AK112" s="21" t="str">
        <f t="shared" si="26"/>
        <v xml:space="preserve"> </v>
      </c>
      <c r="AM112" s="20">
        <f t="shared" si="27"/>
        <v>101</v>
      </c>
      <c r="AN112" s="5">
        <f t="shared" si="28"/>
        <v>0</v>
      </c>
      <c r="AO112" s="5">
        <f t="shared" si="29"/>
        <v>0</v>
      </c>
      <c r="AP112" s="5">
        <f t="shared" si="30"/>
        <v>0</v>
      </c>
      <c r="AQ112" s="5">
        <f>IF(CreditAmort4BASE[[#This Row],[Month]]=AS$8,AO$7,0)</f>
        <v>0</v>
      </c>
      <c r="AR112" s="13">
        <f t="shared" si="31"/>
        <v>0</v>
      </c>
      <c r="AS112" s="6" t="str">
        <f t="shared" si="32"/>
        <v xml:space="preserve"> </v>
      </c>
      <c r="AT112" s="21" t="str">
        <f t="shared" si="33"/>
        <v xml:space="preserve"> </v>
      </c>
    </row>
    <row r="113" spans="3:46">
      <c r="C113" s="22">
        <f t="shared" si="17"/>
        <v>102</v>
      </c>
      <c r="D113" s="23">
        <f>IF(AND(C113&gt;='Amort. Sched.-BASE'!$I$8, C113&lt;= ($I$7+$I$8)), PMT('Amort. Sched.-BASE'!$E$8/12, 'Amort. Sched.-BASE'!$I$7, 'Amort. Sched.-BASE'!$E$7), 0)</f>
        <v>-1736.5864935892569</v>
      </c>
      <c r="E113" s="5">
        <f>IF(AND(C113&gt;='Amort. Sched.-BASE'!$I$8, C113&lt;= ($I$7+$I$8)), (IPMT($E$8/12, (C113-$I$8), $I$7, $E$7)), 0)</f>
        <v>-1273.7320263405661</v>
      </c>
      <c r="F113" s="23">
        <f>IF(AND(C113&gt;='Amort. Sched.-BASE'!$I$8, C113&lt;= ($I$7+$I$8)), (PPMT($E$8/12, (C113-$I$8), $I$7, $E$7)), 0)</f>
        <v>-462.85446724869081</v>
      </c>
      <c r="G113" s="5">
        <f>IF(MortgageAmortBASE[[#This Row],[Month]]=I$8,E$7,0)</f>
        <v>0</v>
      </c>
      <c r="H113" s="13">
        <f>IF(AND(C113&gt;='Amort. Sched.-BASE'!$I$8, C113&lt;= ($I$7+$I$8)), H112+F113, 0)</f>
        <v>190596.94948383619</v>
      </c>
      <c r="I113" s="24">
        <f>IF(AND(C113&gt;='Amort. Sched.-BASE'!$I$8, C113&lt;= ($I$7+$I$8)), E113/D113, " ")</f>
        <v>0.7334688085175407</v>
      </c>
      <c r="J113" s="25">
        <f>IF(AND(C113&gt;='Amort. Sched.-BASE'!$I$8, C113&lt;= ($I$7+$I$8)), F113/D113, " ")</f>
        <v>0.2665311914824593</v>
      </c>
      <c r="L113" s="20">
        <f t="shared" si="18"/>
        <v>102</v>
      </c>
      <c r="M113" s="5">
        <f>IF(AND(L113&gt;='Amort. Sched.-BASE'!$R$8, L113&lt;= ($R$7+$R$8)), PMT('Amort. Sched.-BASE'!$N$8/12, 'Amort. Sched.-BASE'!$R$7, 'Amort. Sched.-BASE'!$N$7), 0)</f>
        <v>0</v>
      </c>
      <c r="N113" s="5">
        <f>IF(AND(L113&gt;='Amort. Sched.-BASE'!$R$8, L113&lt;= ($R$7+$R$8)), (IPMT($N$8/12, (L113-$R$8), $R$7, $N$7)), 0)</f>
        <v>0</v>
      </c>
      <c r="O113" s="5">
        <f>IF(AND(L113&gt;='Amort. Sched.-BASE'!$R$8, L113&lt;= ($R$7+$R$8)), (PPMT($N$8/12, (L113-$R$8), $R$7, $N$7)), 0)</f>
        <v>0</v>
      </c>
      <c r="P113" s="5">
        <f>IF(CreditAmort1BASE[[#This Row],[Month]]=R$8,N$7,0)</f>
        <v>0</v>
      </c>
      <c r="Q113" s="13">
        <f>IF(AND(L113&gt;='Amort. Sched.-BASE'!$R$8, L113&lt;= ($R$7+$R$8)), Q112+O113, 0)</f>
        <v>0</v>
      </c>
      <c r="R113" s="6" t="str">
        <f>IF(AND(L113&gt;='Amort. Sched.-BASE'!$R$8, L113&lt;= ($R$7+$R$8)), N113/M113, " ")</f>
        <v xml:space="preserve"> </v>
      </c>
      <c r="S113" s="21" t="str">
        <f>IF(AND(L113&gt;='Amort. Sched.-BASE'!$R$8, L113&lt;= ($R$7+$R$8)), O113/M113, " ")</f>
        <v xml:space="preserve"> </v>
      </c>
      <c r="U113" s="20">
        <f t="shared" si="19"/>
        <v>102</v>
      </c>
      <c r="V113" s="5">
        <f>IF(AND(U113&gt;='Amort. Sched.-BASE'!$AA$8, U113&lt;= ($AA$7+$AA$8)), PMT('Amort. Sched.-BASE'!$W$8/12, 'Amort. Sched.-BASE'!$AA$7, 'Amort. Sched.-BASE'!$W$7), 0)</f>
        <v>0</v>
      </c>
      <c r="W113" s="5">
        <f>IF(AND(U113&gt;='Amort. Sched.-BASE'!$AA$8, U113&lt;= ($AA$7+$AA$8)), (IPMT($W$8/12, (U113-$AA$8), $AA$7, $W$7)), 0)</f>
        <v>0</v>
      </c>
      <c r="X113" s="5">
        <f>IF(AND(U113&gt;='Amort. Sched.-BASE'!$AA$8, U113&lt;= ($AA$7+$AA$8)), (PPMT($W$8/12, (U113-$AA$8), $AA$7, $W$7)), 0)</f>
        <v>0</v>
      </c>
      <c r="Y113" s="5">
        <f>IF(CreditAmort2BASE[[#This Row],[Month]]=AA$8,W$7,0)</f>
        <v>0</v>
      </c>
      <c r="Z113" s="13">
        <f>IF(AND(U113&gt;='Amort. Sched.-BASE'!$AA$8, U113&lt;= ($AA$7+$AA$8)), Z112+X113, 0)</f>
        <v>0</v>
      </c>
      <c r="AA113" s="6" t="str">
        <f>IF(AND(U113&gt;='Amort. Sched.-BASE'!$AA$8, U113&lt;= ($AA$7+$AA$8)), W113/V113, " ")</f>
        <v xml:space="preserve"> </v>
      </c>
      <c r="AB113" s="21" t="str">
        <f>IF(AND(U113&gt;='Amort. Sched.-BASE'!$AA$8, U113&lt;= ($AA$7+$AA$8)), X113/V113, " ")</f>
        <v xml:space="preserve"> </v>
      </c>
      <c r="AD113" s="20">
        <f t="shared" si="20"/>
        <v>102</v>
      </c>
      <c r="AE113" s="5">
        <f t="shared" si="21"/>
        <v>0</v>
      </c>
      <c r="AF113" s="5">
        <f t="shared" si="22"/>
        <v>0</v>
      </c>
      <c r="AG113" s="5">
        <f t="shared" si="23"/>
        <v>0</v>
      </c>
      <c r="AH113" s="5">
        <f>IF(CreditAmort3BASE[[#This Row],[Month]]=AJ$8,AF$7,0)</f>
        <v>0</v>
      </c>
      <c r="AI113" s="13">
        <f t="shared" si="24"/>
        <v>0</v>
      </c>
      <c r="AJ113" s="6" t="str">
        <f t="shared" si="25"/>
        <v xml:space="preserve"> </v>
      </c>
      <c r="AK113" s="21" t="str">
        <f t="shared" si="26"/>
        <v xml:space="preserve"> </v>
      </c>
      <c r="AM113" s="20">
        <f t="shared" si="27"/>
        <v>102</v>
      </c>
      <c r="AN113" s="5">
        <f t="shared" si="28"/>
        <v>0</v>
      </c>
      <c r="AO113" s="5">
        <f t="shared" si="29"/>
        <v>0</v>
      </c>
      <c r="AP113" s="5">
        <f t="shared" si="30"/>
        <v>0</v>
      </c>
      <c r="AQ113" s="5">
        <f>IF(CreditAmort4BASE[[#This Row],[Month]]=AS$8,AO$7,0)</f>
        <v>0</v>
      </c>
      <c r="AR113" s="13">
        <f t="shared" si="31"/>
        <v>0</v>
      </c>
      <c r="AS113" s="6" t="str">
        <f t="shared" si="32"/>
        <v xml:space="preserve"> </v>
      </c>
      <c r="AT113" s="21" t="str">
        <f t="shared" si="33"/>
        <v xml:space="preserve"> </v>
      </c>
    </row>
    <row r="114" spans="3:46">
      <c r="C114" s="22">
        <f t="shared" si="17"/>
        <v>103</v>
      </c>
      <c r="D114" s="23">
        <f>IF(AND(C114&gt;='Amort. Sched.-BASE'!$I$8, C114&lt;= ($I$7+$I$8)), PMT('Amort. Sched.-BASE'!$E$8/12, 'Amort. Sched.-BASE'!$I$7, 'Amort. Sched.-BASE'!$E$7), 0)</f>
        <v>-1736.5864935892569</v>
      </c>
      <c r="E114" s="5">
        <f>IF(AND(C114&gt;='Amort. Sched.-BASE'!$I$8, C114&lt;= ($I$7+$I$8)), (IPMT($E$8/12, (C114-$I$8), $I$7, $E$7)), 0)</f>
        <v>-1270.6463298922415</v>
      </c>
      <c r="F114" s="23">
        <f>IF(AND(C114&gt;='Amort. Sched.-BASE'!$I$8, C114&lt;= ($I$7+$I$8)), (PPMT($E$8/12, (C114-$I$8), $I$7, $E$7)), 0)</f>
        <v>-465.94016369701541</v>
      </c>
      <c r="G114" s="5">
        <f>IF(MortgageAmortBASE[[#This Row],[Month]]=I$8,E$7,0)</f>
        <v>0</v>
      </c>
      <c r="H114" s="13">
        <f>IF(AND(C114&gt;='Amort. Sched.-BASE'!$I$8, C114&lt;= ($I$7+$I$8)), H113+F114, 0)</f>
        <v>190131.00932013916</v>
      </c>
      <c r="I114" s="24">
        <f>IF(AND(C114&gt;='Amort. Sched.-BASE'!$I$8, C114&lt;= ($I$7+$I$8)), E114/D114, " ")</f>
        <v>0.73169193390765763</v>
      </c>
      <c r="J114" s="25">
        <f>IF(AND(C114&gt;='Amort. Sched.-BASE'!$I$8, C114&lt;= ($I$7+$I$8)), F114/D114, " ")</f>
        <v>0.26830806609234237</v>
      </c>
      <c r="L114" s="20">
        <f t="shared" si="18"/>
        <v>103</v>
      </c>
      <c r="M114" s="5">
        <f>IF(AND(L114&gt;='Amort. Sched.-BASE'!$R$8, L114&lt;= ($R$7+$R$8)), PMT('Amort. Sched.-BASE'!$N$8/12, 'Amort. Sched.-BASE'!$R$7, 'Amort. Sched.-BASE'!$N$7), 0)</f>
        <v>0</v>
      </c>
      <c r="N114" s="5">
        <f>IF(AND(L114&gt;='Amort. Sched.-BASE'!$R$8, L114&lt;= ($R$7+$R$8)), (IPMT($N$8/12, (L114-$R$8), $R$7, $N$7)), 0)</f>
        <v>0</v>
      </c>
      <c r="O114" s="5">
        <f>IF(AND(L114&gt;='Amort. Sched.-BASE'!$R$8, L114&lt;= ($R$7+$R$8)), (PPMT($N$8/12, (L114-$R$8), $R$7, $N$7)), 0)</f>
        <v>0</v>
      </c>
      <c r="P114" s="5">
        <f>IF(CreditAmort1BASE[[#This Row],[Month]]=R$8,N$7,0)</f>
        <v>0</v>
      </c>
      <c r="Q114" s="13">
        <f>IF(AND(L114&gt;='Amort. Sched.-BASE'!$R$8, L114&lt;= ($R$7+$R$8)), Q113+O114, 0)</f>
        <v>0</v>
      </c>
      <c r="R114" s="6" t="str">
        <f>IF(AND(L114&gt;='Amort. Sched.-BASE'!$R$8, L114&lt;= ($R$7+$R$8)), N114/M114, " ")</f>
        <v xml:space="preserve"> </v>
      </c>
      <c r="S114" s="21" t="str">
        <f>IF(AND(L114&gt;='Amort. Sched.-BASE'!$R$8, L114&lt;= ($R$7+$R$8)), O114/M114, " ")</f>
        <v xml:space="preserve"> </v>
      </c>
      <c r="U114" s="20">
        <f t="shared" si="19"/>
        <v>103</v>
      </c>
      <c r="V114" s="5">
        <f>IF(AND(U114&gt;='Amort. Sched.-BASE'!$AA$8, U114&lt;= ($AA$7+$AA$8)), PMT('Amort. Sched.-BASE'!$W$8/12, 'Amort. Sched.-BASE'!$AA$7, 'Amort. Sched.-BASE'!$W$7), 0)</f>
        <v>0</v>
      </c>
      <c r="W114" s="5">
        <f>IF(AND(U114&gt;='Amort. Sched.-BASE'!$AA$8, U114&lt;= ($AA$7+$AA$8)), (IPMT($W$8/12, (U114-$AA$8), $AA$7, $W$7)), 0)</f>
        <v>0</v>
      </c>
      <c r="X114" s="5">
        <f>IF(AND(U114&gt;='Amort. Sched.-BASE'!$AA$8, U114&lt;= ($AA$7+$AA$8)), (PPMT($W$8/12, (U114-$AA$8), $AA$7, $W$7)), 0)</f>
        <v>0</v>
      </c>
      <c r="Y114" s="5">
        <f>IF(CreditAmort2BASE[[#This Row],[Month]]=AA$8,W$7,0)</f>
        <v>0</v>
      </c>
      <c r="Z114" s="13">
        <f>IF(AND(U114&gt;='Amort. Sched.-BASE'!$AA$8, U114&lt;= ($AA$7+$AA$8)), Z113+X114, 0)</f>
        <v>0</v>
      </c>
      <c r="AA114" s="6" t="str">
        <f>IF(AND(U114&gt;='Amort. Sched.-BASE'!$AA$8, U114&lt;= ($AA$7+$AA$8)), W114/V114, " ")</f>
        <v xml:space="preserve"> </v>
      </c>
      <c r="AB114" s="21" t="str">
        <f>IF(AND(U114&gt;='Amort. Sched.-BASE'!$AA$8, U114&lt;= ($AA$7+$AA$8)), X114/V114, " ")</f>
        <v xml:space="preserve"> </v>
      </c>
      <c r="AD114" s="20">
        <f t="shared" si="20"/>
        <v>103</v>
      </c>
      <c r="AE114" s="5">
        <f t="shared" si="21"/>
        <v>0</v>
      </c>
      <c r="AF114" s="5">
        <f t="shared" si="22"/>
        <v>0</v>
      </c>
      <c r="AG114" s="5">
        <f t="shared" si="23"/>
        <v>0</v>
      </c>
      <c r="AH114" s="5">
        <f>IF(CreditAmort3BASE[[#This Row],[Month]]=AJ$8,AF$7,0)</f>
        <v>0</v>
      </c>
      <c r="AI114" s="13">
        <f t="shared" si="24"/>
        <v>0</v>
      </c>
      <c r="AJ114" s="6" t="str">
        <f t="shared" si="25"/>
        <v xml:space="preserve"> </v>
      </c>
      <c r="AK114" s="21" t="str">
        <f t="shared" si="26"/>
        <v xml:space="preserve"> </v>
      </c>
      <c r="AM114" s="20">
        <f t="shared" si="27"/>
        <v>103</v>
      </c>
      <c r="AN114" s="5">
        <f t="shared" si="28"/>
        <v>0</v>
      </c>
      <c r="AO114" s="5">
        <f t="shared" si="29"/>
        <v>0</v>
      </c>
      <c r="AP114" s="5">
        <f t="shared" si="30"/>
        <v>0</v>
      </c>
      <c r="AQ114" s="5">
        <f>IF(CreditAmort4BASE[[#This Row],[Month]]=AS$8,AO$7,0)</f>
        <v>0</v>
      </c>
      <c r="AR114" s="13">
        <f t="shared" si="31"/>
        <v>0</v>
      </c>
      <c r="AS114" s="6" t="str">
        <f t="shared" si="32"/>
        <v xml:space="preserve"> </v>
      </c>
      <c r="AT114" s="21" t="str">
        <f t="shared" si="33"/>
        <v xml:space="preserve"> </v>
      </c>
    </row>
    <row r="115" spans="3:46">
      <c r="C115" s="22">
        <f t="shared" si="17"/>
        <v>104</v>
      </c>
      <c r="D115" s="23">
        <f>IF(AND(C115&gt;='Amort. Sched.-BASE'!$I$8, C115&lt;= ($I$7+$I$8)), PMT('Amort. Sched.-BASE'!$E$8/12, 'Amort. Sched.-BASE'!$I$7, 'Amort. Sched.-BASE'!$E$7), 0)</f>
        <v>-1736.5864935892569</v>
      </c>
      <c r="E115" s="5">
        <f>IF(AND(C115&gt;='Amort. Sched.-BASE'!$I$8, C115&lt;= ($I$7+$I$8)), (IPMT($E$8/12, (C115-$I$8), $I$7, $E$7)), 0)</f>
        <v>-1267.5400621342612</v>
      </c>
      <c r="F115" s="23">
        <f>IF(AND(C115&gt;='Amort. Sched.-BASE'!$I$8, C115&lt;= ($I$7+$I$8)), (PPMT($E$8/12, (C115-$I$8), $I$7, $E$7)), 0)</f>
        <v>-469.0464314549954</v>
      </c>
      <c r="G115" s="5">
        <f>IF(MortgageAmortBASE[[#This Row],[Month]]=I$8,E$7,0)</f>
        <v>0</v>
      </c>
      <c r="H115" s="13">
        <f>IF(AND(C115&gt;='Amort. Sched.-BASE'!$I$8, C115&lt;= ($I$7+$I$8)), H114+F115, 0)</f>
        <v>189661.96288868415</v>
      </c>
      <c r="I115" s="24">
        <f>IF(AND(C115&gt;='Amort. Sched.-BASE'!$I$8, C115&lt;= ($I$7+$I$8)), E115/D115, " ")</f>
        <v>0.7299032134670419</v>
      </c>
      <c r="J115" s="25">
        <f>IF(AND(C115&gt;='Amort. Sched.-BASE'!$I$8, C115&lt;= ($I$7+$I$8)), F115/D115, " ")</f>
        <v>0.27009678653295793</v>
      </c>
      <c r="L115" s="20">
        <f t="shared" si="18"/>
        <v>104</v>
      </c>
      <c r="M115" s="5">
        <f>IF(AND(L115&gt;='Amort. Sched.-BASE'!$R$8, L115&lt;= ($R$7+$R$8)), PMT('Amort. Sched.-BASE'!$N$8/12, 'Amort. Sched.-BASE'!$R$7, 'Amort. Sched.-BASE'!$N$7), 0)</f>
        <v>0</v>
      </c>
      <c r="N115" s="5">
        <f>IF(AND(L115&gt;='Amort. Sched.-BASE'!$R$8, L115&lt;= ($R$7+$R$8)), (IPMT($N$8/12, (L115-$R$8), $R$7, $N$7)), 0)</f>
        <v>0</v>
      </c>
      <c r="O115" s="5">
        <f>IF(AND(L115&gt;='Amort. Sched.-BASE'!$R$8, L115&lt;= ($R$7+$R$8)), (PPMT($N$8/12, (L115-$R$8), $R$7, $N$7)), 0)</f>
        <v>0</v>
      </c>
      <c r="P115" s="5">
        <f>IF(CreditAmort1BASE[[#This Row],[Month]]=R$8,N$7,0)</f>
        <v>0</v>
      </c>
      <c r="Q115" s="13">
        <f>IF(AND(L115&gt;='Amort. Sched.-BASE'!$R$8, L115&lt;= ($R$7+$R$8)), Q114+O115, 0)</f>
        <v>0</v>
      </c>
      <c r="R115" s="6" t="str">
        <f>IF(AND(L115&gt;='Amort. Sched.-BASE'!$R$8, L115&lt;= ($R$7+$R$8)), N115/M115, " ")</f>
        <v xml:space="preserve"> </v>
      </c>
      <c r="S115" s="21" t="str">
        <f>IF(AND(L115&gt;='Amort. Sched.-BASE'!$R$8, L115&lt;= ($R$7+$R$8)), O115/M115, " ")</f>
        <v xml:space="preserve"> </v>
      </c>
      <c r="U115" s="20">
        <f t="shared" si="19"/>
        <v>104</v>
      </c>
      <c r="V115" s="5">
        <f>IF(AND(U115&gt;='Amort. Sched.-BASE'!$AA$8, U115&lt;= ($AA$7+$AA$8)), PMT('Amort. Sched.-BASE'!$W$8/12, 'Amort. Sched.-BASE'!$AA$7, 'Amort. Sched.-BASE'!$W$7), 0)</f>
        <v>0</v>
      </c>
      <c r="W115" s="5">
        <f>IF(AND(U115&gt;='Amort. Sched.-BASE'!$AA$8, U115&lt;= ($AA$7+$AA$8)), (IPMT($W$8/12, (U115-$AA$8), $AA$7, $W$7)), 0)</f>
        <v>0</v>
      </c>
      <c r="X115" s="5">
        <f>IF(AND(U115&gt;='Amort. Sched.-BASE'!$AA$8, U115&lt;= ($AA$7+$AA$8)), (PPMT($W$8/12, (U115-$AA$8), $AA$7, $W$7)), 0)</f>
        <v>0</v>
      </c>
      <c r="Y115" s="5">
        <f>IF(CreditAmort2BASE[[#This Row],[Month]]=AA$8,W$7,0)</f>
        <v>0</v>
      </c>
      <c r="Z115" s="13">
        <f>IF(AND(U115&gt;='Amort. Sched.-BASE'!$AA$8, U115&lt;= ($AA$7+$AA$8)), Z114+X115, 0)</f>
        <v>0</v>
      </c>
      <c r="AA115" s="6" t="str">
        <f>IF(AND(U115&gt;='Amort. Sched.-BASE'!$AA$8, U115&lt;= ($AA$7+$AA$8)), W115/V115, " ")</f>
        <v xml:space="preserve"> </v>
      </c>
      <c r="AB115" s="21" t="str">
        <f>IF(AND(U115&gt;='Amort. Sched.-BASE'!$AA$8, U115&lt;= ($AA$7+$AA$8)), X115/V115, " ")</f>
        <v xml:space="preserve"> </v>
      </c>
      <c r="AD115" s="20">
        <f t="shared" si="20"/>
        <v>104</v>
      </c>
      <c r="AE115" s="5">
        <f t="shared" si="21"/>
        <v>0</v>
      </c>
      <c r="AF115" s="5">
        <f t="shared" si="22"/>
        <v>0</v>
      </c>
      <c r="AG115" s="5">
        <f t="shared" si="23"/>
        <v>0</v>
      </c>
      <c r="AH115" s="5">
        <f>IF(CreditAmort3BASE[[#This Row],[Month]]=AJ$8,AF$7,0)</f>
        <v>0</v>
      </c>
      <c r="AI115" s="13">
        <f t="shared" si="24"/>
        <v>0</v>
      </c>
      <c r="AJ115" s="6" t="str">
        <f t="shared" si="25"/>
        <v xml:space="preserve"> </v>
      </c>
      <c r="AK115" s="21" t="str">
        <f t="shared" si="26"/>
        <v xml:space="preserve"> </v>
      </c>
      <c r="AM115" s="20">
        <f t="shared" si="27"/>
        <v>104</v>
      </c>
      <c r="AN115" s="5">
        <f t="shared" si="28"/>
        <v>0</v>
      </c>
      <c r="AO115" s="5">
        <f t="shared" si="29"/>
        <v>0</v>
      </c>
      <c r="AP115" s="5">
        <f t="shared" si="30"/>
        <v>0</v>
      </c>
      <c r="AQ115" s="5">
        <f>IF(CreditAmort4BASE[[#This Row],[Month]]=AS$8,AO$7,0)</f>
        <v>0</v>
      </c>
      <c r="AR115" s="13">
        <f t="shared" si="31"/>
        <v>0</v>
      </c>
      <c r="AS115" s="6" t="str">
        <f t="shared" si="32"/>
        <v xml:space="preserve"> </v>
      </c>
      <c r="AT115" s="21" t="str">
        <f t="shared" si="33"/>
        <v xml:space="preserve"> </v>
      </c>
    </row>
    <row r="116" spans="3:46">
      <c r="C116" s="22">
        <f t="shared" si="17"/>
        <v>105</v>
      </c>
      <c r="D116" s="23">
        <f>IF(AND(C116&gt;='Amort. Sched.-BASE'!$I$8, C116&lt;= ($I$7+$I$8)), PMT('Amort. Sched.-BASE'!$E$8/12, 'Amort. Sched.-BASE'!$I$7, 'Amort. Sched.-BASE'!$E$7), 0)</f>
        <v>-1736.5864935892569</v>
      </c>
      <c r="E116" s="5">
        <f>IF(AND(C116&gt;='Amort. Sched.-BASE'!$I$8, C116&lt;= ($I$7+$I$8)), (IPMT($E$8/12, (C116-$I$8), $I$7, $E$7)), 0)</f>
        <v>-1264.4130859245615</v>
      </c>
      <c r="F116" s="23">
        <f>IF(AND(C116&gt;='Amort. Sched.-BASE'!$I$8, C116&lt;= ($I$7+$I$8)), (PPMT($E$8/12, (C116-$I$8), $I$7, $E$7)), 0)</f>
        <v>-472.17340766469545</v>
      </c>
      <c r="G116" s="5">
        <f>IF(MortgageAmortBASE[[#This Row],[Month]]=I$8,E$7,0)</f>
        <v>0</v>
      </c>
      <c r="H116" s="13">
        <f>IF(AND(C116&gt;='Amort. Sched.-BASE'!$I$8, C116&lt;= ($I$7+$I$8)), H115+F116, 0)</f>
        <v>189189.78948101946</v>
      </c>
      <c r="I116" s="24">
        <f>IF(AND(C116&gt;='Amort. Sched.-BASE'!$I$8, C116&lt;= ($I$7+$I$8)), E116/D116, " ")</f>
        <v>0.72810256822348907</v>
      </c>
      <c r="J116" s="25">
        <f>IF(AND(C116&gt;='Amort. Sched.-BASE'!$I$8, C116&lt;= ($I$7+$I$8)), F116/D116, " ")</f>
        <v>0.27189743177651099</v>
      </c>
      <c r="L116" s="20">
        <f t="shared" si="18"/>
        <v>105</v>
      </c>
      <c r="M116" s="5">
        <f>IF(AND(L116&gt;='Amort. Sched.-BASE'!$R$8, L116&lt;= ($R$7+$R$8)), PMT('Amort. Sched.-BASE'!$N$8/12, 'Amort. Sched.-BASE'!$R$7, 'Amort. Sched.-BASE'!$N$7), 0)</f>
        <v>0</v>
      </c>
      <c r="N116" s="5">
        <f>IF(AND(L116&gt;='Amort. Sched.-BASE'!$R$8, L116&lt;= ($R$7+$R$8)), (IPMT($N$8/12, (L116-$R$8), $R$7, $N$7)), 0)</f>
        <v>0</v>
      </c>
      <c r="O116" s="5">
        <f>IF(AND(L116&gt;='Amort. Sched.-BASE'!$R$8, L116&lt;= ($R$7+$R$8)), (PPMT($N$8/12, (L116-$R$8), $R$7, $N$7)), 0)</f>
        <v>0</v>
      </c>
      <c r="P116" s="5">
        <f>IF(CreditAmort1BASE[[#This Row],[Month]]=R$8,N$7,0)</f>
        <v>0</v>
      </c>
      <c r="Q116" s="13">
        <f>IF(AND(L116&gt;='Amort. Sched.-BASE'!$R$8, L116&lt;= ($R$7+$R$8)), Q115+O116, 0)</f>
        <v>0</v>
      </c>
      <c r="R116" s="6" t="str">
        <f>IF(AND(L116&gt;='Amort. Sched.-BASE'!$R$8, L116&lt;= ($R$7+$R$8)), N116/M116, " ")</f>
        <v xml:space="preserve"> </v>
      </c>
      <c r="S116" s="21" t="str">
        <f>IF(AND(L116&gt;='Amort. Sched.-BASE'!$R$8, L116&lt;= ($R$7+$R$8)), O116/M116, " ")</f>
        <v xml:space="preserve"> </v>
      </c>
      <c r="U116" s="20">
        <f t="shared" si="19"/>
        <v>105</v>
      </c>
      <c r="V116" s="5">
        <f>IF(AND(U116&gt;='Amort. Sched.-BASE'!$AA$8, U116&lt;= ($AA$7+$AA$8)), PMT('Amort. Sched.-BASE'!$W$8/12, 'Amort. Sched.-BASE'!$AA$7, 'Amort. Sched.-BASE'!$W$7), 0)</f>
        <v>0</v>
      </c>
      <c r="W116" s="5">
        <f>IF(AND(U116&gt;='Amort. Sched.-BASE'!$AA$8, U116&lt;= ($AA$7+$AA$8)), (IPMT($W$8/12, (U116-$AA$8), $AA$7, $W$7)), 0)</f>
        <v>0</v>
      </c>
      <c r="X116" s="5">
        <f>IF(AND(U116&gt;='Amort. Sched.-BASE'!$AA$8, U116&lt;= ($AA$7+$AA$8)), (PPMT($W$8/12, (U116-$AA$8), $AA$7, $W$7)), 0)</f>
        <v>0</v>
      </c>
      <c r="Y116" s="5">
        <f>IF(CreditAmort2BASE[[#This Row],[Month]]=AA$8,W$7,0)</f>
        <v>0</v>
      </c>
      <c r="Z116" s="13">
        <f>IF(AND(U116&gt;='Amort. Sched.-BASE'!$AA$8, U116&lt;= ($AA$7+$AA$8)), Z115+X116, 0)</f>
        <v>0</v>
      </c>
      <c r="AA116" s="6" t="str">
        <f>IF(AND(U116&gt;='Amort. Sched.-BASE'!$AA$8, U116&lt;= ($AA$7+$AA$8)), W116/V116, " ")</f>
        <v xml:space="preserve"> </v>
      </c>
      <c r="AB116" s="21" t="str">
        <f>IF(AND(U116&gt;='Amort. Sched.-BASE'!$AA$8, U116&lt;= ($AA$7+$AA$8)), X116/V116, " ")</f>
        <v xml:space="preserve"> </v>
      </c>
      <c r="AD116" s="20">
        <f t="shared" si="20"/>
        <v>105</v>
      </c>
      <c r="AE116" s="5">
        <f t="shared" si="21"/>
        <v>0</v>
      </c>
      <c r="AF116" s="5">
        <f t="shared" si="22"/>
        <v>0</v>
      </c>
      <c r="AG116" s="5">
        <f t="shared" si="23"/>
        <v>0</v>
      </c>
      <c r="AH116" s="5">
        <f>IF(CreditAmort3BASE[[#This Row],[Month]]=AJ$8,AF$7,0)</f>
        <v>0</v>
      </c>
      <c r="AI116" s="13">
        <f t="shared" si="24"/>
        <v>0</v>
      </c>
      <c r="AJ116" s="6" t="str">
        <f t="shared" si="25"/>
        <v xml:space="preserve"> </v>
      </c>
      <c r="AK116" s="21" t="str">
        <f t="shared" si="26"/>
        <v xml:space="preserve"> </v>
      </c>
      <c r="AM116" s="20">
        <f t="shared" si="27"/>
        <v>105</v>
      </c>
      <c r="AN116" s="5">
        <f t="shared" si="28"/>
        <v>0</v>
      </c>
      <c r="AO116" s="5">
        <f t="shared" si="29"/>
        <v>0</v>
      </c>
      <c r="AP116" s="5">
        <f t="shared" si="30"/>
        <v>0</v>
      </c>
      <c r="AQ116" s="5">
        <f>IF(CreditAmort4BASE[[#This Row],[Month]]=AS$8,AO$7,0)</f>
        <v>0</v>
      </c>
      <c r="AR116" s="13">
        <f t="shared" si="31"/>
        <v>0</v>
      </c>
      <c r="AS116" s="6" t="str">
        <f t="shared" si="32"/>
        <v xml:space="preserve"> </v>
      </c>
      <c r="AT116" s="21" t="str">
        <f t="shared" si="33"/>
        <v xml:space="preserve"> </v>
      </c>
    </row>
    <row r="117" spans="3:46">
      <c r="C117" s="22">
        <f t="shared" si="17"/>
        <v>106</v>
      </c>
      <c r="D117" s="23">
        <f>IF(AND(C117&gt;='Amort. Sched.-BASE'!$I$8, C117&lt;= ($I$7+$I$8)), PMT('Amort. Sched.-BASE'!$E$8/12, 'Amort. Sched.-BASE'!$I$7, 'Amort. Sched.-BASE'!$E$7), 0)</f>
        <v>-1736.5864935892569</v>
      </c>
      <c r="E117" s="5">
        <f>IF(AND(C117&gt;='Amort. Sched.-BASE'!$I$8, C117&lt;= ($I$7+$I$8)), (IPMT($E$8/12, (C117-$I$8), $I$7, $E$7)), 0)</f>
        <v>-1261.2652632067968</v>
      </c>
      <c r="F117" s="23">
        <f>IF(AND(C117&gt;='Amort. Sched.-BASE'!$I$8, C117&lt;= ($I$7+$I$8)), (PPMT($E$8/12, (C117-$I$8), $I$7, $E$7)), 0)</f>
        <v>-475.32123038246016</v>
      </c>
      <c r="G117" s="5">
        <f>IF(MortgageAmortBASE[[#This Row],[Month]]=I$8,E$7,0)</f>
        <v>0</v>
      </c>
      <c r="H117" s="13">
        <f>IF(AND(C117&gt;='Amort. Sched.-BASE'!$I$8, C117&lt;= ($I$7+$I$8)), H116+F117, 0)</f>
        <v>188714.468250637</v>
      </c>
      <c r="I117" s="24">
        <f>IF(AND(C117&gt;='Amort. Sched.-BASE'!$I$8, C117&lt;= ($I$7+$I$8)), E117/D117, " ")</f>
        <v>0.72628991867831227</v>
      </c>
      <c r="J117" s="25">
        <f>IF(AND(C117&gt;='Amort. Sched.-BASE'!$I$8, C117&lt;= ($I$7+$I$8)), F117/D117, " ")</f>
        <v>0.27371008132168778</v>
      </c>
      <c r="L117" s="20">
        <f t="shared" si="18"/>
        <v>106</v>
      </c>
      <c r="M117" s="5">
        <f>IF(AND(L117&gt;='Amort. Sched.-BASE'!$R$8, L117&lt;= ($R$7+$R$8)), PMT('Amort. Sched.-BASE'!$N$8/12, 'Amort. Sched.-BASE'!$R$7, 'Amort. Sched.-BASE'!$N$7), 0)</f>
        <v>0</v>
      </c>
      <c r="N117" s="5">
        <f>IF(AND(L117&gt;='Amort. Sched.-BASE'!$R$8, L117&lt;= ($R$7+$R$8)), (IPMT($N$8/12, (L117-$R$8), $R$7, $N$7)), 0)</f>
        <v>0</v>
      </c>
      <c r="O117" s="5">
        <f>IF(AND(L117&gt;='Amort. Sched.-BASE'!$R$8, L117&lt;= ($R$7+$R$8)), (PPMT($N$8/12, (L117-$R$8), $R$7, $N$7)), 0)</f>
        <v>0</v>
      </c>
      <c r="P117" s="5">
        <f>IF(CreditAmort1BASE[[#This Row],[Month]]=R$8,N$7,0)</f>
        <v>0</v>
      </c>
      <c r="Q117" s="13">
        <f>IF(AND(L117&gt;='Amort. Sched.-BASE'!$R$8, L117&lt;= ($R$7+$R$8)), Q116+O117, 0)</f>
        <v>0</v>
      </c>
      <c r="R117" s="6" t="str">
        <f>IF(AND(L117&gt;='Amort. Sched.-BASE'!$R$8, L117&lt;= ($R$7+$R$8)), N117/M117, " ")</f>
        <v xml:space="preserve"> </v>
      </c>
      <c r="S117" s="21" t="str">
        <f>IF(AND(L117&gt;='Amort. Sched.-BASE'!$R$8, L117&lt;= ($R$7+$R$8)), O117/M117, " ")</f>
        <v xml:space="preserve"> </v>
      </c>
      <c r="U117" s="20">
        <f t="shared" si="19"/>
        <v>106</v>
      </c>
      <c r="V117" s="5">
        <f>IF(AND(U117&gt;='Amort. Sched.-BASE'!$AA$8, U117&lt;= ($AA$7+$AA$8)), PMT('Amort. Sched.-BASE'!$W$8/12, 'Amort. Sched.-BASE'!$AA$7, 'Amort. Sched.-BASE'!$W$7), 0)</f>
        <v>0</v>
      </c>
      <c r="W117" s="5">
        <f>IF(AND(U117&gt;='Amort. Sched.-BASE'!$AA$8, U117&lt;= ($AA$7+$AA$8)), (IPMT($W$8/12, (U117-$AA$8), $AA$7, $W$7)), 0)</f>
        <v>0</v>
      </c>
      <c r="X117" s="5">
        <f>IF(AND(U117&gt;='Amort. Sched.-BASE'!$AA$8, U117&lt;= ($AA$7+$AA$8)), (PPMT($W$8/12, (U117-$AA$8), $AA$7, $W$7)), 0)</f>
        <v>0</v>
      </c>
      <c r="Y117" s="5">
        <f>IF(CreditAmort2BASE[[#This Row],[Month]]=AA$8,W$7,0)</f>
        <v>0</v>
      </c>
      <c r="Z117" s="13">
        <f>IF(AND(U117&gt;='Amort. Sched.-BASE'!$AA$8, U117&lt;= ($AA$7+$AA$8)), Z116+X117, 0)</f>
        <v>0</v>
      </c>
      <c r="AA117" s="6" t="str">
        <f>IF(AND(U117&gt;='Amort. Sched.-BASE'!$AA$8, U117&lt;= ($AA$7+$AA$8)), W117/V117, " ")</f>
        <v xml:space="preserve"> </v>
      </c>
      <c r="AB117" s="21" t="str">
        <f>IF(AND(U117&gt;='Amort. Sched.-BASE'!$AA$8, U117&lt;= ($AA$7+$AA$8)), X117/V117, " ")</f>
        <v xml:space="preserve"> </v>
      </c>
      <c r="AD117" s="20">
        <f t="shared" si="20"/>
        <v>106</v>
      </c>
      <c r="AE117" s="5">
        <f t="shared" si="21"/>
        <v>0</v>
      </c>
      <c r="AF117" s="5">
        <f t="shared" si="22"/>
        <v>0</v>
      </c>
      <c r="AG117" s="5">
        <f t="shared" si="23"/>
        <v>0</v>
      </c>
      <c r="AH117" s="5">
        <f>IF(CreditAmort3BASE[[#This Row],[Month]]=AJ$8,AF$7,0)</f>
        <v>0</v>
      </c>
      <c r="AI117" s="13">
        <f t="shared" si="24"/>
        <v>0</v>
      </c>
      <c r="AJ117" s="6" t="str">
        <f t="shared" si="25"/>
        <v xml:space="preserve"> </v>
      </c>
      <c r="AK117" s="21" t="str">
        <f t="shared" si="26"/>
        <v xml:space="preserve"> </v>
      </c>
      <c r="AM117" s="20">
        <f t="shared" si="27"/>
        <v>106</v>
      </c>
      <c r="AN117" s="5">
        <f t="shared" si="28"/>
        <v>0</v>
      </c>
      <c r="AO117" s="5">
        <f t="shared" si="29"/>
        <v>0</v>
      </c>
      <c r="AP117" s="5">
        <f t="shared" si="30"/>
        <v>0</v>
      </c>
      <c r="AQ117" s="5">
        <f>IF(CreditAmort4BASE[[#This Row],[Month]]=AS$8,AO$7,0)</f>
        <v>0</v>
      </c>
      <c r="AR117" s="13">
        <f t="shared" si="31"/>
        <v>0</v>
      </c>
      <c r="AS117" s="6" t="str">
        <f t="shared" si="32"/>
        <v xml:space="preserve"> </v>
      </c>
      <c r="AT117" s="21" t="str">
        <f t="shared" si="33"/>
        <v xml:space="preserve"> </v>
      </c>
    </row>
    <row r="118" spans="3:46">
      <c r="C118" s="22">
        <f t="shared" si="17"/>
        <v>107</v>
      </c>
      <c r="D118" s="23">
        <f>IF(AND(C118&gt;='Amort. Sched.-BASE'!$I$8, C118&lt;= ($I$7+$I$8)), PMT('Amort. Sched.-BASE'!$E$8/12, 'Amort. Sched.-BASE'!$I$7, 'Amort. Sched.-BASE'!$E$7), 0)</f>
        <v>-1736.5864935892569</v>
      </c>
      <c r="E118" s="5">
        <f>IF(AND(C118&gt;='Amort. Sched.-BASE'!$I$8, C118&lt;= ($I$7+$I$8)), (IPMT($E$8/12, (C118-$I$8), $I$7, $E$7)), 0)</f>
        <v>-1258.096455004247</v>
      </c>
      <c r="F118" s="23">
        <f>IF(AND(C118&gt;='Amort. Sched.-BASE'!$I$8, C118&lt;= ($I$7+$I$8)), (PPMT($E$8/12, (C118-$I$8), $I$7, $E$7)), 0)</f>
        <v>-478.49003858500987</v>
      </c>
      <c r="G118" s="5">
        <f>IF(MortgageAmortBASE[[#This Row],[Month]]=I$8,E$7,0)</f>
        <v>0</v>
      </c>
      <c r="H118" s="13">
        <f>IF(AND(C118&gt;='Amort. Sched.-BASE'!$I$8, C118&lt;= ($I$7+$I$8)), H117+F118, 0)</f>
        <v>188235.978212052</v>
      </c>
      <c r="I118" s="24">
        <f>IF(AND(C118&gt;='Amort. Sched.-BASE'!$I$8, C118&lt;= ($I$7+$I$8)), E118/D118, " ")</f>
        <v>0.72446518480283428</v>
      </c>
      <c r="J118" s="25">
        <f>IF(AND(C118&gt;='Amort. Sched.-BASE'!$I$8, C118&lt;= ($I$7+$I$8)), F118/D118, " ")</f>
        <v>0.27553481519716572</v>
      </c>
      <c r="L118" s="20">
        <f t="shared" si="18"/>
        <v>107</v>
      </c>
      <c r="M118" s="5">
        <f>IF(AND(L118&gt;='Amort. Sched.-BASE'!$R$8, L118&lt;= ($R$7+$R$8)), PMT('Amort. Sched.-BASE'!$N$8/12, 'Amort. Sched.-BASE'!$R$7, 'Amort. Sched.-BASE'!$N$7), 0)</f>
        <v>0</v>
      </c>
      <c r="N118" s="5">
        <f>IF(AND(L118&gt;='Amort. Sched.-BASE'!$R$8, L118&lt;= ($R$7+$R$8)), (IPMT($N$8/12, (L118-$R$8), $R$7, $N$7)), 0)</f>
        <v>0</v>
      </c>
      <c r="O118" s="5">
        <f>IF(AND(L118&gt;='Amort. Sched.-BASE'!$R$8, L118&lt;= ($R$7+$R$8)), (PPMT($N$8/12, (L118-$R$8), $R$7, $N$7)), 0)</f>
        <v>0</v>
      </c>
      <c r="P118" s="5">
        <f>IF(CreditAmort1BASE[[#This Row],[Month]]=R$8,N$7,0)</f>
        <v>0</v>
      </c>
      <c r="Q118" s="13">
        <f>IF(AND(L118&gt;='Amort. Sched.-BASE'!$R$8, L118&lt;= ($R$7+$R$8)), Q117+O118, 0)</f>
        <v>0</v>
      </c>
      <c r="R118" s="6" t="str">
        <f>IF(AND(L118&gt;='Amort. Sched.-BASE'!$R$8, L118&lt;= ($R$7+$R$8)), N118/M118, " ")</f>
        <v xml:space="preserve"> </v>
      </c>
      <c r="S118" s="21" t="str">
        <f>IF(AND(L118&gt;='Amort. Sched.-BASE'!$R$8, L118&lt;= ($R$7+$R$8)), O118/M118, " ")</f>
        <v xml:space="preserve"> </v>
      </c>
      <c r="U118" s="20">
        <f t="shared" si="19"/>
        <v>107</v>
      </c>
      <c r="V118" s="5">
        <f>IF(AND(U118&gt;='Amort. Sched.-BASE'!$AA$8, U118&lt;= ($AA$7+$AA$8)), PMT('Amort. Sched.-BASE'!$W$8/12, 'Amort. Sched.-BASE'!$AA$7, 'Amort. Sched.-BASE'!$W$7), 0)</f>
        <v>0</v>
      </c>
      <c r="W118" s="5">
        <f>IF(AND(U118&gt;='Amort. Sched.-BASE'!$AA$8, U118&lt;= ($AA$7+$AA$8)), (IPMT($W$8/12, (U118-$AA$8), $AA$7, $W$7)), 0)</f>
        <v>0</v>
      </c>
      <c r="X118" s="5">
        <f>IF(AND(U118&gt;='Amort. Sched.-BASE'!$AA$8, U118&lt;= ($AA$7+$AA$8)), (PPMT($W$8/12, (U118-$AA$8), $AA$7, $W$7)), 0)</f>
        <v>0</v>
      </c>
      <c r="Y118" s="5">
        <f>IF(CreditAmort2BASE[[#This Row],[Month]]=AA$8,W$7,0)</f>
        <v>0</v>
      </c>
      <c r="Z118" s="13">
        <f>IF(AND(U118&gt;='Amort. Sched.-BASE'!$AA$8, U118&lt;= ($AA$7+$AA$8)), Z117+X118, 0)</f>
        <v>0</v>
      </c>
      <c r="AA118" s="6" t="str">
        <f>IF(AND(U118&gt;='Amort. Sched.-BASE'!$AA$8, U118&lt;= ($AA$7+$AA$8)), W118/V118, " ")</f>
        <v xml:space="preserve"> </v>
      </c>
      <c r="AB118" s="21" t="str">
        <f>IF(AND(U118&gt;='Amort. Sched.-BASE'!$AA$8, U118&lt;= ($AA$7+$AA$8)), X118/V118, " ")</f>
        <v xml:space="preserve"> </v>
      </c>
      <c r="AD118" s="20">
        <f t="shared" si="20"/>
        <v>107</v>
      </c>
      <c r="AE118" s="5">
        <f t="shared" si="21"/>
        <v>0</v>
      </c>
      <c r="AF118" s="5">
        <f t="shared" si="22"/>
        <v>0</v>
      </c>
      <c r="AG118" s="5">
        <f t="shared" si="23"/>
        <v>0</v>
      </c>
      <c r="AH118" s="5">
        <f>IF(CreditAmort3BASE[[#This Row],[Month]]=AJ$8,AF$7,0)</f>
        <v>0</v>
      </c>
      <c r="AI118" s="13">
        <f t="shared" si="24"/>
        <v>0</v>
      </c>
      <c r="AJ118" s="6" t="str">
        <f t="shared" si="25"/>
        <v xml:space="preserve"> </v>
      </c>
      <c r="AK118" s="21" t="str">
        <f t="shared" si="26"/>
        <v xml:space="preserve"> </v>
      </c>
      <c r="AM118" s="20">
        <f t="shared" si="27"/>
        <v>107</v>
      </c>
      <c r="AN118" s="5">
        <f t="shared" si="28"/>
        <v>0</v>
      </c>
      <c r="AO118" s="5">
        <f t="shared" si="29"/>
        <v>0</v>
      </c>
      <c r="AP118" s="5">
        <f t="shared" si="30"/>
        <v>0</v>
      </c>
      <c r="AQ118" s="5">
        <f>IF(CreditAmort4BASE[[#This Row],[Month]]=AS$8,AO$7,0)</f>
        <v>0</v>
      </c>
      <c r="AR118" s="13">
        <f t="shared" si="31"/>
        <v>0</v>
      </c>
      <c r="AS118" s="6" t="str">
        <f t="shared" si="32"/>
        <v xml:space="preserve"> </v>
      </c>
      <c r="AT118" s="21" t="str">
        <f t="shared" si="33"/>
        <v xml:space="preserve"> </v>
      </c>
    </row>
    <row r="119" spans="3:46">
      <c r="C119" s="22">
        <f t="shared" si="17"/>
        <v>108</v>
      </c>
      <c r="D119" s="23">
        <f>IF(AND(C119&gt;='Amort. Sched.-BASE'!$I$8, C119&lt;= ($I$7+$I$8)), PMT('Amort. Sched.-BASE'!$E$8/12, 'Amort. Sched.-BASE'!$I$7, 'Amort. Sched.-BASE'!$E$7), 0)</f>
        <v>-1736.5864935892569</v>
      </c>
      <c r="E119" s="5">
        <f>IF(AND(C119&gt;='Amort. Sched.-BASE'!$I$8, C119&lt;= ($I$7+$I$8)), (IPMT($E$8/12, (C119-$I$8), $I$7, $E$7)), 0)</f>
        <v>-1254.9065214136801</v>
      </c>
      <c r="F119" s="23">
        <f>IF(AND(C119&gt;='Amort. Sched.-BASE'!$I$8, C119&lt;= ($I$7+$I$8)), (PPMT($E$8/12, (C119-$I$8), $I$7, $E$7)), 0)</f>
        <v>-481.67997217557667</v>
      </c>
      <c r="G119" s="5">
        <f>IF(MortgageAmortBASE[[#This Row],[Month]]=I$8,E$7,0)</f>
        <v>0</v>
      </c>
      <c r="H119" s="13">
        <f>IF(AND(C119&gt;='Amort. Sched.-BASE'!$I$8, C119&lt;= ($I$7+$I$8)), H118+F119, 0)</f>
        <v>187754.29823987643</v>
      </c>
      <c r="I119" s="24">
        <f>IF(AND(C119&gt;='Amort. Sched.-BASE'!$I$8, C119&lt;= ($I$7+$I$8)), E119/D119, " ")</f>
        <v>0.72262828603485307</v>
      </c>
      <c r="J119" s="25">
        <f>IF(AND(C119&gt;='Amort. Sched.-BASE'!$I$8, C119&lt;= ($I$7+$I$8)), F119/D119, " ")</f>
        <v>0.27737171396514682</v>
      </c>
      <c r="L119" s="20">
        <f t="shared" si="18"/>
        <v>108</v>
      </c>
      <c r="M119" s="5">
        <f>IF(AND(L119&gt;='Amort. Sched.-BASE'!$R$8, L119&lt;= ($R$7+$R$8)), PMT('Amort. Sched.-BASE'!$N$8/12, 'Amort. Sched.-BASE'!$R$7, 'Amort. Sched.-BASE'!$N$7), 0)</f>
        <v>0</v>
      </c>
      <c r="N119" s="5">
        <f>IF(AND(L119&gt;='Amort. Sched.-BASE'!$R$8, L119&lt;= ($R$7+$R$8)), (IPMT($N$8/12, (L119-$R$8), $R$7, $N$7)), 0)</f>
        <v>0</v>
      </c>
      <c r="O119" s="5">
        <f>IF(AND(L119&gt;='Amort. Sched.-BASE'!$R$8, L119&lt;= ($R$7+$R$8)), (PPMT($N$8/12, (L119-$R$8), $R$7, $N$7)), 0)</f>
        <v>0</v>
      </c>
      <c r="P119" s="5">
        <f>IF(CreditAmort1BASE[[#This Row],[Month]]=R$8,N$7,0)</f>
        <v>0</v>
      </c>
      <c r="Q119" s="13">
        <f>IF(AND(L119&gt;='Amort. Sched.-BASE'!$R$8, L119&lt;= ($R$7+$R$8)), Q118+O119, 0)</f>
        <v>0</v>
      </c>
      <c r="R119" s="6" t="str">
        <f>IF(AND(L119&gt;='Amort. Sched.-BASE'!$R$8, L119&lt;= ($R$7+$R$8)), N119/M119, " ")</f>
        <v xml:space="preserve"> </v>
      </c>
      <c r="S119" s="21" t="str">
        <f>IF(AND(L119&gt;='Amort. Sched.-BASE'!$R$8, L119&lt;= ($R$7+$R$8)), O119/M119, " ")</f>
        <v xml:space="preserve"> </v>
      </c>
      <c r="U119" s="20">
        <f t="shared" si="19"/>
        <v>108</v>
      </c>
      <c r="V119" s="5">
        <f>IF(AND(U119&gt;='Amort. Sched.-BASE'!$AA$8, U119&lt;= ($AA$7+$AA$8)), PMT('Amort. Sched.-BASE'!$W$8/12, 'Amort. Sched.-BASE'!$AA$7, 'Amort. Sched.-BASE'!$W$7), 0)</f>
        <v>0</v>
      </c>
      <c r="W119" s="5">
        <f>IF(AND(U119&gt;='Amort. Sched.-BASE'!$AA$8, U119&lt;= ($AA$7+$AA$8)), (IPMT($W$8/12, (U119-$AA$8), $AA$7, $W$7)), 0)</f>
        <v>0</v>
      </c>
      <c r="X119" s="5">
        <f>IF(AND(U119&gt;='Amort. Sched.-BASE'!$AA$8, U119&lt;= ($AA$7+$AA$8)), (PPMT($W$8/12, (U119-$AA$8), $AA$7, $W$7)), 0)</f>
        <v>0</v>
      </c>
      <c r="Y119" s="5">
        <f>IF(CreditAmort2BASE[[#This Row],[Month]]=AA$8,W$7,0)</f>
        <v>0</v>
      </c>
      <c r="Z119" s="13">
        <f>IF(AND(U119&gt;='Amort. Sched.-BASE'!$AA$8, U119&lt;= ($AA$7+$AA$8)), Z118+X119, 0)</f>
        <v>0</v>
      </c>
      <c r="AA119" s="6" t="str">
        <f>IF(AND(U119&gt;='Amort. Sched.-BASE'!$AA$8, U119&lt;= ($AA$7+$AA$8)), W119/V119, " ")</f>
        <v xml:space="preserve"> </v>
      </c>
      <c r="AB119" s="21" t="str">
        <f>IF(AND(U119&gt;='Amort. Sched.-BASE'!$AA$8, U119&lt;= ($AA$7+$AA$8)), X119/V119, " ")</f>
        <v xml:space="preserve"> </v>
      </c>
      <c r="AD119" s="20">
        <f t="shared" si="20"/>
        <v>108</v>
      </c>
      <c r="AE119" s="5">
        <f t="shared" si="21"/>
        <v>0</v>
      </c>
      <c r="AF119" s="5">
        <f t="shared" si="22"/>
        <v>0</v>
      </c>
      <c r="AG119" s="5">
        <f t="shared" si="23"/>
        <v>0</v>
      </c>
      <c r="AH119" s="5">
        <f>IF(CreditAmort3BASE[[#This Row],[Month]]=AJ$8,AF$7,0)</f>
        <v>0</v>
      </c>
      <c r="AI119" s="13">
        <f t="shared" si="24"/>
        <v>0</v>
      </c>
      <c r="AJ119" s="6" t="str">
        <f t="shared" si="25"/>
        <v xml:space="preserve"> </v>
      </c>
      <c r="AK119" s="21" t="str">
        <f t="shared" si="26"/>
        <v xml:space="preserve"> </v>
      </c>
      <c r="AM119" s="20">
        <f t="shared" si="27"/>
        <v>108</v>
      </c>
      <c r="AN119" s="5">
        <f t="shared" si="28"/>
        <v>0</v>
      </c>
      <c r="AO119" s="5">
        <f t="shared" si="29"/>
        <v>0</v>
      </c>
      <c r="AP119" s="5">
        <f t="shared" si="30"/>
        <v>0</v>
      </c>
      <c r="AQ119" s="5">
        <f>IF(CreditAmort4BASE[[#This Row],[Month]]=AS$8,AO$7,0)</f>
        <v>0</v>
      </c>
      <c r="AR119" s="13">
        <f t="shared" si="31"/>
        <v>0</v>
      </c>
      <c r="AS119" s="6" t="str">
        <f t="shared" si="32"/>
        <v xml:space="preserve"> </v>
      </c>
      <c r="AT119" s="21" t="str">
        <f t="shared" si="33"/>
        <v xml:space="preserve"> </v>
      </c>
    </row>
    <row r="120" spans="3:46">
      <c r="C120" s="22">
        <f t="shared" si="17"/>
        <v>109</v>
      </c>
      <c r="D120" s="23">
        <f>IF(AND(C120&gt;='Amort. Sched.-BASE'!$I$8, C120&lt;= ($I$7+$I$8)), PMT('Amort. Sched.-BASE'!$E$8/12, 'Amort. Sched.-BASE'!$I$7, 'Amort. Sched.-BASE'!$E$7), 0)</f>
        <v>-1736.5864935892569</v>
      </c>
      <c r="E120" s="5">
        <f>IF(AND(C120&gt;='Amort. Sched.-BASE'!$I$8, C120&lt;= ($I$7+$I$8)), (IPMT($E$8/12, (C120-$I$8), $I$7, $E$7)), 0)</f>
        <v>-1251.6953215991764</v>
      </c>
      <c r="F120" s="23">
        <f>IF(AND(C120&gt;='Amort. Sched.-BASE'!$I$8, C120&lt;= ($I$7+$I$8)), (PPMT($E$8/12, (C120-$I$8), $I$7, $E$7)), 0)</f>
        <v>-484.89117199008047</v>
      </c>
      <c r="G120" s="5">
        <f>IF(MortgageAmortBASE[[#This Row],[Month]]=I$8,E$7,0)</f>
        <v>0</v>
      </c>
      <c r="H120" s="13">
        <f>IF(AND(C120&gt;='Amort. Sched.-BASE'!$I$8, C120&lt;= ($I$7+$I$8)), H119+F120, 0)</f>
        <v>187269.40706788635</v>
      </c>
      <c r="I120" s="24">
        <f>IF(AND(C120&gt;='Amort. Sched.-BASE'!$I$8, C120&lt;= ($I$7+$I$8)), E120/D120, " ")</f>
        <v>0.72077914127508558</v>
      </c>
      <c r="J120" s="25">
        <f>IF(AND(C120&gt;='Amort. Sched.-BASE'!$I$8, C120&lt;= ($I$7+$I$8)), F120/D120, " ")</f>
        <v>0.27922085872491448</v>
      </c>
      <c r="L120" s="20">
        <f t="shared" si="18"/>
        <v>109</v>
      </c>
      <c r="M120" s="5">
        <f>IF(AND(L120&gt;='Amort. Sched.-BASE'!$R$8, L120&lt;= ($R$7+$R$8)), PMT('Amort. Sched.-BASE'!$N$8/12, 'Amort. Sched.-BASE'!$R$7, 'Amort. Sched.-BASE'!$N$7), 0)</f>
        <v>0</v>
      </c>
      <c r="N120" s="5">
        <f>IF(AND(L120&gt;='Amort. Sched.-BASE'!$R$8, L120&lt;= ($R$7+$R$8)), (IPMT($N$8/12, (L120-$R$8), $R$7, $N$7)), 0)</f>
        <v>0</v>
      </c>
      <c r="O120" s="5">
        <f>IF(AND(L120&gt;='Amort. Sched.-BASE'!$R$8, L120&lt;= ($R$7+$R$8)), (PPMT($N$8/12, (L120-$R$8), $R$7, $N$7)), 0)</f>
        <v>0</v>
      </c>
      <c r="P120" s="5">
        <f>IF(CreditAmort1BASE[[#This Row],[Month]]=R$8,N$7,0)</f>
        <v>0</v>
      </c>
      <c r="Q120" s="13">
        <f>IF(AND(L120&gt;='Amort. Sched.-BASE'!$R$8, L120&lt;= ($R$7+$R$8)), Q119+O120, 0)</f>
        <v>0</v>
      </c>
      <c r="R120" s="6" t="str">
        <f>IF(AND(L120&gt;='Amort. Sched.-BASE'!$R$8, L120&lt;= ($R$7+$R$8)), N120/M120, " ")</f>
        <v xml:space="preserve"> </v>
      </c>
      <c r="S120" s="21" t="str">
        <f>IF(AND(L120&gt;='Amort. Sched.-BASE'!$R$8, L120&lt;= ($R$7+$R$8)), O120/M120, " ")</f>
        <v xml:space="preserve"> </v>
      </c>
      <c r="U120" s="20">
        <f t="shared" si="19"/>
        <v>109</v>
      </c>
      <c r="V120" s="5">
        <f>IF(AND(U120&gt;='Amort. Sched.-BASE'!$AA$8, U120&lt;= ($AA$7+$AA$8)), PMT('Amort. Sched.-BASE'!$W$8/12, 'Amort. Sched.-BASE'!$AA$7, 'Amort. Sched.-BASE'!$W$7), 0)</f>
        <v>0</v>
      </c>
      <c r="W120" s="5">
        <f>IF(AND(U120&gt;='Amort. Sched.-BASE'!$AA$8, U120&lt;= ($AA$7+$AA$8)), (IPMT($W$8/12, (U120-$AA$8), $AA$7, $W$7)), 0)</f>
        <v>0</v>
      </c>
      <c r="X120" s="5">
        <f>IF(AND(U120&gt;='Amort. Sched.-BASE'!$AA$8, U120&lt;= ($AA$7+$AA$8)), (PPMT($W$8/12, (U120-$AA$8), $AA$7, $W$7)), 0)</f>
        <v>0</v>
      </c>
      <c r="Y120" s="5">
        <f>IF(CreditAmort2BASE[[#This Row],[Month]]=AA$8,W$7,0)</f>
        <v>0</v>
      </c>
      <c r="Z120" s="13">
        <f>IF(AND(U120&gt;='Amort. Sched.-BASE'!$AA$8, U120&lt;= ($AA$7+$AA$8)), Z119+X120, 0)</f>
        <v>0</v>
      </c>
      <c r="AA120" s="6" t="str">
        <f>IF(AND(U120&gt;='Amort. Sched.-BASE'!$AA$8, U120&lt;= ($AA$7+$AA$8)), W120/V120, " ")</f>
        <v xml:space="preserve"> </v>
      </c>
      <c r="AB120" s="21" t="str">
        <f>IF(AND(U120&gt;='Amort. Sched.-BASE'!$AA$8, U120&lt;= ($AA$7+$AA$8)), X120/V120, " ")</f>
        <v xml:space="preserve"> </v>
      </c>
      <c r="AD120" s="20">
        <f t="shared" si="20"/>
        <v>109</v>
      </c>
      <c r="AE120" s="5">
        <f t="shared" si="21"/>
        <v>0</v>
      </c>
      <c r="AF120" s="5">
        <f t="shared" si="22"/>
        <v>0</v>
      </c>
      <c r="AG120" s="5">
        <f t="shared" si="23"/>
        <v>0</v>
      </c>
      <c r="AH120" s="5">
        <f>IF(CreditAmort3BASE[[#This Row],[Month]]=AJ$8,AF$7,0)</f>
        <v>0</v>
      </c>
      <c r="AI120" s="13">
        <f t="shared" si="24"/>
        <v>0</v>
      </c>
      <c r="AJ120" s="6" t="str">
        <f t="shared" si="25"/>
        <v xml:space="preserve"> </v>
      </c>
      <c r="AK120" s="21" t="str">
        <f t="shared" si="26"/>
        <v xml:space="preserve"> </v>
      </c>
      <c r="AM120" s="20">
        <f t="shared" si="27"/>
        <v>109</v>
      </c>
      <c r="AN120" s="5">
        <f t="shared" si="28"/>
        <v>0</v>
      </c>
      <c r="AO120" s="5">
        <f t="shared" si="29"/>
        <v>0</v>
      </c>
      <c r="AP120" s="5">
        <f t="shared" si="30"/>
        <v>0</v>
      </c>
      <c r="AQ120" s="5">
        <f>IF(CreditAmort4BASE[[#This Row],[Month]]=AS$8,AO$7,0)</f>
        <v>0</v>
      </c>
      <c r="AR120" s="13">
        <f t="shared" si="31"/>
        <v>0</v>
      </c>
      <c r="AS120" s="6" t="str">
        <f t="shared" si="32"/>
        <v xml:space="preserve"> </v>
      </c>
      <c r="AT120" s="21" t="str">
        <f t="shared" si="33"/>
        <v xml:space="preserve"> </v>
      </c>
    </row>
    <row r="121" spans="3:46">
      <c r="C121" s="22">
        <f t="shared" si="17"/>
        <v>110</v>
      </c>
      <c r="D121" s="23">
        <f>IF(AND(C121&gt;='Amort. Sched.-BASE'!$I$8, C121&lt;= ($I$7+$I$8)), PMT('Amort. Sched.-BASE'!$E$8/12, 'Amort. Sched.-BASE'!$I$7, 'Amort. Sched.-BASE'!$E$7), 0)</f>
        <v>-1736.5864935892569</v>
      </c>
      <c r="E121" s="5">
        <f>IF(AND(C121&gt;='Amort. Sched.-BASE'!$I$8, C121&lt;= ($I$7+$I$8)), (IPMT($E$8/12, (C121-$I$8), $I$7, $E$7)), 0)</f>
        <v>-1248.4627137859093</v>
      </c>
      <c r="F121" s="23">
        <f>IF(AND(C121&gt;='Amort. Sched.-BASE'!$I$8, C121&lt;= ($I$7+$I$8)), (PPMT($E$8/12, (C121-$I$8), $I$7, $E$7)), 0)</f>
        <v>-488.12377980334753</v>
      </c>
      <c r="G121" s="5">
        <f>IF(MortgageAmortBASE[[#This Row],[Month]]=I$8,E$7,0)</f>
        <v>0</v>
      </c>
      <c r="H121" s="13">
        <f>IF(AND(C121&gt;='Amort. Sched.-BASE'!$I$8, C121&lt;= ($I$7+$I$8)), H120+F121, 0)</f>
        <v>186781.28328808301</v>
      </c>
      <c r="I121" s="24">
        <f>IF(AND(C121&gt;='Amort. Sched.-BASE'!$I$8, C121&lt;= ($I$7+$I$8)), E121/D121, " ")</f>
        <v>0.7189176688835861</v>
      </c>
      <c r="J121" s="25">
        <f>IF(AND(C121&gt;='Amort. Sched.-BASE'!$I$8, C121&lt;= ($I$7+$I$8)), F121/D121, " ")</f>
        <v>0.28108233111641379</v>
      </c>
      <c r="L121" s="20">
        <f t="shared" si="18"/>
        <v>110</v>
      </c>
      <c r="M121" s="5">
        <f>IF(AND(L121&gt;='Amort. Sched.-BASE'!$R$8, L121&lt;= ($R$7+$R$8)), PMT('Amort. Sched.-BASE'!$N$8/12, 'Amort. Sched.-BASE'!$R$7, 'Amort. Sched.-BASE'!$N$7), 0)</f>
        <v>0</v>
      </c>
      <c r="N121" s="5">
        <f>IF(AND(L121&gt;='Amort. Sched.-BASE'!$R$8, L121&lt;= ($R$7+$R$8)), (IPMT($N$8/12, (L121-$R$8), $R$7, $N$7)), 0)</f>
        <v>0</v>
      </c>
      <c r="O121" s="5">
        <f>IF(AND(L121&gt;='Amort. Sched.-BASE'!$R$8, L121&lt;= ($R$7+$R$8)), (PPMT($N$8/12, (L121-$R$8), $R$7, $N$7)), 0)</f>
        <v>0</v>
      </c>
      <c r="P121" s="5">
        <f>IF(CreditAmort1BASE[[#This Row],[Month]]=R$8,N$7,0)</f>
        <v>0</v>
      </c>
      <c r="Q121" s="13">
        <f>IF(AND(L121&gt;='Amort. Sched.-BASE'!$R$8, L121&lt;= ($R$7+$R$8)), Q120+O121, 0)</f>
        <v>0</v>
      </c>
      <c r="R121" s="6" t="str">
        <f>IF(AND(L121&gt;='Amort. Sched.-BASE'!$R$8, L121&lt;= ($R$7+$R$8)), N121/M121, " ")</f>
        <v xml:space="preserve"> </v>
      </c>
      <c r="S121" s="21" t="str">
        <f>IF(AND(L121&gt;='Amort. Sched.-BASE'!$R$8, L121&lt;= ($R$7+$R$8)), O121/M121, " ")</f>
        <v xml:space="preserve"> </v>
      </c>
      <c r="U121" s="20">
        <f t="shared" si="19"/>
        <v>110</v>
      </c>
      <c r="V121" s="5">
        <f>IF(AND(U121&gt;='Amort. Sched.-BASE'!$AA$8, U121&lt;= ($AA$7+$AA$8)), PMT('Amort. Sched.-BASE'!$W$8/12, 'Amort. Sched.-BASE'!$AA$7, 'Amort. Sched.-BASE'!$W$7), 0)</f>
        <v>0</v>
      </c>
      <c r="W121" s="5">
        <f>IF(AND(U121&gt;='Amort. Sched.-BASE'!$AA$8, U121&lt;= ($AA$7+$AA$8)), (IPMT($W$8/12, (U121-$AA$8), $AA$7, $W$7)), 0)</f>
        <v>0</v>
      </c>
      <c r="X121" s="5">
        <f>IF(AND(U121&gt;='Amort. Sched.-BASE'!$AA$8, U121&lt;= ($AA$7+$AA$8)), (PPMT($W$8/12, (U121-$AA$8), $AA$7, $W$7)), 0)</f>
        <v>0</v>
      </c>
      <c r="Y121" s="5">
        <f>IF(CreditAmort2BASE[[#This Row],[Month]]=AA$8,W$7,0)</f>
        <v>0</v>
      </c>
      <c r="Z121" s="13">
        <f>IF(AND(U121&gt;='Amort. Sched.-BASE'!$AA$8, U121&lt;= ($AA$7+$AA$8)), Z120+X121, 0)</f>
        <v>0</v>
      </c>
      <c r="AA121" s="6" t="str">
        <f>IF(AND(U121&gt;='Amort. Sched.-BASE'!$AA$8, U121&lt;= ($AA$7+$AA$8)), W121/V121, " ")</f>
        <v xml:space="preserve"> </v>
      </c>
      <c r="AB121" s="21" t="str">
        <f>IF(AND(U121&gt;='Amort. Sched.-BASE'!$AA$8, U121&lt;= ($AA$7+$AA$8)), X121/V121, " ")</f>
        <v xml:space="preserve"> </v>
      </c>
      <c r="AD121" s="20">
        <f t="shared" si="20"/>
        <v>110</v>
      </c>
      <c r="AE121" s="5">
        <f t="shared" si="21"/>
        <v>0</v>
      </c>
      <c r="AF121" s="5">
        <f t="shared" si="22"/>
        <v>0</v>
      </c>
      <c r="AG121" s="5">
        <f t="shared" si="23"/>
        <v>0</v>
      </c>
      <c r="AH121" s="5">
        <f>IF(CreditAmort3BASE[[#This Row],[Month]]=AJ$8,AF$7,0)</f>
        <v>0</v>
      </c>
      <c r="AI121" s="13">
        <f t="shared" si="24"/>
        <v>0</v>
      </c>
      <c r="AJ121" s="6" t="str">
        <f t="shared" si="25"/>
        <v xml:space="preserve"> </v>
      </c>
      <c r="AK121" s="21" t="str">
        <f t="shared" si="26"/>
        <v xml:space="preserve"> </v>
      </c>
      <c r="AM121" s="20">
        <f t="shared" si="27"/>
        <v>110</v>
      </c>
      <c r="AN121" s="5">
        <f t="shared" si="28"/>
        <v>0</v>
      </c>
      <c r="AO121" s="5">
        <f t="shared" si="29"/>
        <v>0</v>
      </c>
      <c r="AP121" s="5">
        <f t="shared" si="30"/>
        <v>0</v>
      </c>
      <c r="AQ121" s="5">
        <f>IF(CreditAmort4BASE[[#This Row],[Month]]=AS$8,AO$7,0)</f>
        <v>0</v>
      </c>
      <c r="AR121" s="13">
        <f t="shared" si="31"/>
        <v>0</v>
      </c>
      <c r="AS121" s="6" t="str">
        <f t="shared" si="32"/>
        <v xml:space="preserve"> </v>
      </c>
      <c r="AT121" s="21" t="str">
        <f t="shared" si="33"/>
        <v xml:space="preserve"> </v>
      </c>
    </row>
    <row r="122" spans="3:46">
      <c r="C122" s="22">
        <f t="shared" si="17"/>
        <v>111</v>
      </c>
      <c r="D122" s="23">
        <f>IF(AND(C122&gt;='Amort. Sched.-BASE'!$I$8, C122&lt;= ($I$7+$I$8)), PMT('Amort. Sched.-BASE'!$E$8/12, 'Amort. Sched.-BASE'!$I$7, 'Amort. Sched.-BASE'!$E$7), 0)</f>
        <v>-1736.5864935892569</v>
      </c>
      <c r="E122" s="5">
        <f>IF(AND(C122&gt;='Amort. Sched.-BASE'!$I$8, C122&lt;= ($I$7+$I$8)), (IPMT($E$8/12, (C122-$I$8), $I$7, $E$7)), 0)</f>
        <v>-1245.208555253887</v>
      </c>
      <c r="F122" s="23">
        <f>IF(AND(C122&gt;='Amort. Sched.-BASE'!$I$8, C122&lt;= ($I$7+$I$8)), (PPMT($E$8/12, (C122-$I$8), $I$7, $E$7)), 0)</f>
        <v>-491.37793833536989</v>
      </c>
      <c r="G122" s="5">
        <f>IF(MortgageAmortBASE[[#This Row],[Month]]=I$8,E$7,0)</f>
        <v>0</v>
      </c>
      <c r="H122" s="13">
        <f>IF(AND(C122&gt;='Amort. Sched.-BASE'!$I$8, C122&lt;= ($I$7+$I$8)), H121+F122, 0)</f>
        <v>186289.90534974763</v>
      </c>
      <c r="I122" s="24">
        <f>IF(AND(C122&gt;='Amort. Sched.-BASE'!$I$8, C122&lt;= ($I$7+$I$8)), E122/D122, " ")</f>
        <v>0.71704378667614344</v>
      </c>
      <c r="J122" s="25">
        <f>IF(AND(C122&gt;='Amort. Sched.-BASE'!$I$8, C122&lt;= ($I$7+$I$8)), F122/D122, " ")</f>
        <v>0.28295621332385662</v>
      </c>
      <c r="L122" s="20">
        <f t="shared" si="18"/>
        <v>111</v>
      </c>
      <c r="M122" s="5">
        <f>IF(AND(L122&gt;='Amort. Sched.-BASE'!$R$8, L122&lt;= ($R$7+$R$8)), PMT('Amort. Sched.-BASE'!$N$8/12, 'Amort. Sched.-BASE'!$R$7, 'Amort. Sched.-BASE'!$N$7), 0)</f>
        <v>0</v>
      </c>
      <c r="N122" s="5">
        <f>IF(AND(L122&gt;='Amort. Sched.-BASE'!$R$8, L122&lt;= ($R$7+$R$8)), (IPMT($N$8/12, (L122-$R$8), $R$7, $N$7)), 0)</f>
        <v>0</v>
      </c>
      <c r="O122" s="5">
        <f>IF(AND(L122&gt;='Amort. Sched.-BASE'!$R$8, L122&lt;= ($R$7+$R$8)), (PPMT($N$8/12, (L122-$R$8), $R$7, $N$7)), 0)</f>
        <v>0</v>
      </c>
      <c r="P122" s="5">
        <f>IF(CreditAmort1BASE[[#This Row],[Month]]=R$8,N$7,0)</f>
        <v>0</v>
      </c>
      <c r="Q122" s="13">
        <f>IF(AND(L122&gt;='Amort. Sched.-BASE'!$R$8, L122&lt;= ($R$7+$R$8)), Q121+O122, 0)</f>
        <v>0</v>
      </c>
      <c r="R122" s="6" t="str">
        <f>IF(AND(L122&gt;='Amort. Sched.-BASE'!$R$8, L122&lt;= ($R$7+$R$8)), N122/M122, " ")</f>
        <v xml:space="preserve"> </v>
      </c>
      <c r="S122" s="21" t="str">
        <f>IF(AND(L122&gt;='Amort. Sched.-BASE'!$R$8, L122&lt;= ($R$7+$R$8)), O122/M122, " ")</f>
        <v xml:space="preserve"> </v>
      </c>
      <c r="U122" s="20">
        <f t="shared" si="19"/>
        <v>111</v>
      </c>
      <c r="V122" s="5">
        <f>IF(AND(U122&gt;='Amort. Sched.-BASE'!$AA$8, U122&lt;= ($AA$7+$AA$8)), PMT('Amort. Sched.-BASE'!$W$8/12, 'Amort. Sched.-BASE'!$AA$7, 'Amort. Sched.-BASE'!$W$7), 0)</f>
        <v>0</v>
      </c>
      <c r="W122" s="5">
        <f>IF(AND(U122&gt;='Amort. Sched.-BASE'!$AA$8, U122&lt;= ($AA$7+$AA$8)), (IPMT($W$8/12, (U122-$AA$8), $AA$7, $W$7)), 0)</f>
        <v>0</v>
      </c>
      <c r="X122" s="5">
        <f>IF(AND(U122&gt;='Amort. Sched.-BASE'!$AA$8, U122&lt;= ($AA$7+$AA$8)), (PPMT($W$8/12, (U122-$AA$8), $AA$7, $W$7)), 0)</f>
        <v>0</v>
      </c>
      <c r="Y122" s="5">
        <f>IF(CreditAmort2BASE[[#This Row],[Month]]=AA$8,W$7,0)</f>
        <v>0</v>
      </c>
      <c r="Z122" s="13">
        <f>IF(AND(U122&gt;='Amort. Sched.-BASE'!$AA$8, U122&lt;= ($AA$7+$AA$8)), Z121+X122, 0)</f>
        <v>0</v>
      </c>
      <c r="AA122" s="6" t="str">
        <f>IF(AND(U122&gt;='Amort. Sched.-BASE'!$AA$8, U122&lt;= ($AA$7+$AA$8)), W122/V122, " ")</f>
        <v xml:space="preserve"> </v>
      </c>
      <c r="AB122" s="21" t="str">
        <f>IF(AND(U122&gt;='Amort. Sched.-BASE'!$AA$8, U122&lt;= ($AA$7+$AA$8)), X122/V122, " ")</f>
        <v xml:space="preserve"> </v>
      </c>
      <c r="AD122" s="20">
        <f t="shared" si="20"/>
        <v>111</v>
      </c>
      <c r="AE122" s="5">
        <f t="shared" si="21"/>
        <v>0</v>
      </c>
      <c r="AF122" s="5">
        <f t="shared" si="22"/>
        <v>0</v>
      </c>
      <c r="AG122" s="5">
        <f t="shared" si="23"/>
        <v>0</v>
      </c>
      <c r="AH122" s="5">
        <f>IF(CreditAmort3BASE[[#This Row],[Month]]=AJ$8,AF$7,0)</f>
        <v>0</v>
      </c>
      <c r="AI122" s="13">
        <f t="shared" si="24"/>
        <v>0</v>
      </c>
      <c r="AJ122" s="6" t="str">
        <f t="shared" si="25"/>
        <v xml:space="preserve"> </v>
      </c>
      <c r="AK122" s="21" t="str">
        <f t="shared" si="26"/>
        <v xml:space="preserve"> </v>
      </c>
      <c r="AM122" s="20">
        <f t="shared" si="27"/>
        <v>111</v>
      </c>
      <c r="AN122" s="5">
        <f t="shared" si="28"/>
        <v>0</v>
      </c>
      <c r="AO122" s="5">
        <f t="shared" si="29"/>
        <v>0</v>
      </c>
      <c r="AP122" s="5">
        <f t="shared" si="30"/>
        <v>0</v>
      </c>
      <c r="AQ122" s="5">
        <f>IF(CreditAmort4BASE[[#This Row],[Month]]=AS$8,AO$7,0)</f>
        <v>0</v>
      </c>
      <c r="AR122" s="13">
        <f t="shared" si="31"/>
        <v>0</v>
      </c>
      <c r="AS122" s="6" t="str">
        <f t="shared" si="32"/>
        <v xml:space="preserve"> </v>
      </c>
      <c r="AT122" s="21" t="str">
        <f t="shared" si="33"/>
        <v xml:space="preserve"> </v>
      </c>
    </row>
    <row r="123" spans="3:46">
      <c r="C123" s="22">
        <f t="shared" si="17"/>
        <v>112</v>
      </c>
      <c r="D123" s="23">
        <f>IF(AND(C123&gt;='Amort. Sched.-BASE'!$I$8, C123&lt;= ($I$7+$I$8)), PMT('Amort. Sched.-BASE'!$E$8/12, 'Amort. Sched.-BASE'!$I$7, 'Amort. Sched.-BASE'!$E$7), 0)</f>
        <v>-1736.5864935892569</v>
      </c>
      <c r="E123" s="5">
        <f>IF(AND(C123&gt;='Amort. Sched.-BASE'!$I$8, C123&lt;= ($I$7+$I$8)), (IPMT($E$8/12, (C123-$I$8), $I$7, $E$7)), 0)</f>
        <v>-1241.9327023316512</v>
      </c>
      <c r="F123" s="23">
        <f>IF(AND(C123&gt;='Amort. Sched.-BASE'!$I$8, C123&lt;= ($I$7+$I$8)), (PPMT($E$8/12, (C123-$I$8), $I$7, $E$7)), 0)</f>
        <v>-494.65379125760569</v>
      </c>
      <c r="G123" s="5">
        <f>IF(MortgageAmortBASE[[#This Row],[Month]]=I$8,E$7,0)</f>
        <v>0</v>
      </c>
      <c r="H123" s="13">
        <f>IF(AND(C123&gt;='Amort. Sched.-BASE'!$I$8, C123&lt;= ($I$7+$I$8)), H122+F123, 0)</f>
        <v>185795.25155849001</v>
      </c>
      <c r="I123" s="24">
        <f>IF(AND(C123&gt;='Amort. Sched.-BASE'!$I$8, C123&lt;= ($I$7+$I$8)), E123/D123, " ")</f>
        <v>0.71515741192065108</v>
      </c>
      <c r="J123" s="25">
        <f>IF(AND(C123&gt;='Amort. Sched.-BASE'!$I$8, C123&lt;= ($I$7+$I$8)), F123/D123, " ")</f>
        <v>0.28484258807934898</v>
      </c>
      <c r="L123" s="20">
        <f t="shared" si="18"/>
        <v>112</v>
      </c>
      <c r="M123" s="5">
        <f>IF(AND(L123&gt;='Amort. Sched.-BASE'!$R$8, L123&lt;= ($R$7+$R$8)), PMT('Amort. Sched.-BASE'!$N$8/12, 'Amort. Sched.-BASE'!$R$7, 'Amort. Sched.-BASE'!$N$7), 0)</f>
        <v>0</v>
      </c>
      <c r="N123" s="5">
        <f>IF(AND(L123&gt;='Amort. Sched.-BASE'!$R$8, L123&lt;= ($R$7+$R$8)), (IPMT($N$8/12, (L123-$R$8), $R$7, $N$7)), 0)</f>
        <v>0</v>
      </c>
      <c r="O123" s="5">
        <f>IF(AND(L123&gt;='Amort. Sched.-BASE'!$R$8, L123&lt;= ($R$7+$R$8)), (PPMT($N$8/12, (L123-$R$8), $R$7, $N$7)), 0)</f>
        <v>0</v>
      </c>
      <c r="P123" s="5">
        <f>IF(CreditAmort1BASE[[#This Row],[Month]]=R$8,N$7,0)</f>
        <v>0</v>
      </c>
      <c r="Q123" s="13">
        <f>IF(AND(L123&gt;='Amort. Sched.-BASE'!$R$8, L123&lt;= ($R$7+$R$8)), Q122+O123, 0)</f>
        <v>0</v>
      </c>
      <c r="R123" s="6" t="str">
        <f>IF(AND(L123&gt;='Amort. Sched.-BASE'!$R$8, L123&lt;= ($R$7+$R$8)), N123/M123, " ")</f>
        <v xml:space="preserve"> </v>
      </c>
      <c r="S123" s="21" t="str">
        <f>IF(AND(L123&gt;='Amort. Sched.-BASE'!$R$8, L123&lt;= ($R$7+$R$8)), O123/M123, " ")</f>
        <v xml:space="preserve"> </v>
      </c>
      <c r="U123" s="20">
        <f t="shared" si="19"/>
        <v>112</v>
      </c>
      <c r="V123" s="5">
        <f>IF(AND(U123&gt;='Amort. Sched.-BASE'!$AA$8, U123&lt;= ($AA$7+$AA$8)), PMT('Amort. Sched.-BASE'!$W$8/12, 'Amort. Sched.-BASE'!$AA$7, 'Amort. Sched.-BASE'!$W$7), 0)</f>
        <v>0</v>
      </c>
      <c r="W123" s="5">
        <f>IF(AND(U123&gt;='Amort. Sched.-BASE'!$AA$8, U123&lt;= ($AA$7+$AA$8)), (IPMT($W$8/12, (U123-$AA$8), $AA$7, $W$7)), 0)</f>
        <v>0</v>
      </c>
      <c r="X123" s="5">
        <f>IF(AND(U123&gt;='Amort. Sched.-BASE'!$AA$8, U123&lt;= ($AA$7+$AA$8)), (PPMT($W$8/12, (U123-$AA$8), $AA$7, $W$7)), 0)</f>
        <v>0</v>
      </c>
      <c r="Y123" s="5">
        <f>IF(CreditAmort2BASE[[#This Row],[Month]]=AA$8,W$7,0)</f>
        <v>0</v>
      </c>
      <c r="Z123" s="13">
        <f>IF(AND(U123&gt;='Amort. Sched.-BASE'!$AA$8, U123&lt;= ($AA$7+$AA$8)), Z122+X123, 0)</f>
        <v>0</v>
      </c>
      <c r="AA123" s="6" t="str">
        <f>IF(AND(U123&gt;='Amort. Sched.-BASE'!$AA$8, U123&lt;= ($AA$7+$AA$8)), W123/V123, " ")</f>
        <v xml:space="preserve"> </v>
      </c>
      <c r="AB123" s="21" t="str">
        <f>IF(AND(U123&gt;='Amort. Sched.-BASE'!$AA$8, U123&lt;= ($AA$7+$AA$8)), X123/V123, " ")</f>
        <v xml:space="preserve"> </v>
      </c>
      <c r="AD123" s="20">
        <f t="shared" si="20"/>
        <v>112</v>
      </c>
      <c r="AE123" s="5">
        <f t="shared" si="21"/>
        <v>0</v>
      </c>
      <c r="AF123" s="5">
        <f t="shared" si="22"/>
        <v>0</v>
      </c>
      <c r="AG123" s="5">
        <f t="shared" si="23"/>
        <v>0</v>
      </c>
      <c r="AH123" s="5">
        <f>IF(CreditAmort3BASE[[#This Row],[Month]]=AJ$8,AF$7,0)</f>
        <v>0</v>
      </c>
      <c r="AI123" s="13">
        <f t="shared" si="24"/>
        <v>0</v>
      </c>
      <c r="AJ123" s="6" t="str">
        <f t="shared" si="25"/>
        <v xml:space="preserve"> </v>
      </c>
      <c r="AK123" s="21" t="str">
        <f t="shared" si="26"/>
        <v xml:space="preserve"> </v>
      </c>
      <c r="AM123" s="20">
        <f t="shared" si="27"/>
        <v>112</v>
      </c>
      <c r="AN123" s="5">
        <f t="shared" si="28"/>
        <v>0</v>
      </c>
      <c r="AO123" s="5">
        <f t="shared" si="29"/>
        <v>0</v>
      </c>
      <c r="AP123" s="5">
        <f t="shared" si="30"/>
        <v>0</v>
      </c>
      <c r="AQ123" s="5">
        <f>IF(CreditAmort4BASE[[#This Row],[Month]]=AS$8,AO$7,0)</f>
        <v>0</v>
      </c>
      <c r="AR123" s="13">
        <f t="shared" si="31"/>
        <v>0</v>
      </c>
      <c r="AS123" s="6" t="str">
        <f t="shared" si="32"/>
        <v xml:space="preserve"> </v>
      </c>
      <c r="AT123" s="21" t="str">
        <f t="shared" si="33"/>
        <v xml:space="preserve"> </v>
      </c>
    </row>
    <row r="124" spans="3:46">
      <c r="C124" s="22">
        <f t="shared" si="17"/>
        <v>113</v>
      </c>
      <c r="D124" s="23">
        <f>IF(AND(C124&gt;='Amort. Sched.-BASE'!$I$8, C124&lt;= ($I$7+$I$8)), PMT('Amort. Sched.-BASE'!$E$8/12, 'Amort. Sched.-BASE'!$I$7, 'Amort. Sched.-BASE'!$E$7), 0)</f>
        <v>-1736.5864935892569</v>
      </c>
      <c r="E124" s="5">
        <f>IF(AND(C124&gt;='Amort. Sched.-BASE'!$I$8, C124&lt;= ($I$7+$I$8)), (IPMT($E$8/12, (C124-$I$8), $I$7, $E$7)), 0)</f>
        <v>-1238.6350103899338</v>
      </c>
      <c r="F124" s="23">
        <f>IF(AND(C124&gt;='Amort. Sched.-BASE'!$I$8, C124&lt;= ($I$7+$I$8)), (PPMT($E$8/12, (C124-$I$8), $I$7, $E$7)), 0)</f>
        <v>-497.95148319932315</v>
      </c>
      <c r="G124" s="5">
        <f>IF(MortgageAmortBASE[[#This Row],[Month]]=I$8,E$7,0)</f>
        <v>0</v>
      </c>
      <c r="H124" s="13">
        <f>IF(AND(C124&gt;='Amort. Sched.-BASE'!$I$8, C124&lt;= ($I$7+$I$8)), H123+F124, 0)</f>
        <v>185297.3000752907</v>
      </c>
      <c r="I124" s="24">
        <f>IF(AND(C124&gt;='Amort. Sched.-BASE'!$I$8, C124&lt;= ($I$7+$I$8)), E124/D124, " ")</f>
        <v>0.71325846133345538</v>
      </c>
      <c r="J124" s="25">
        <f>IF(AND(C124&gt;='Amort. Sched.-BASE'!$I$8, C124&lt;= ($I$7+$I$8)), F124/D124, " ")</f>
        <v>0.28674153866654467</v>
      </c>
      <c r="L124" s="20">
        <f t="shared" si="18"/>
        <v>113</v>
      </c>
      <c r="M124" s="5">
        <f>IF(AND(L124&gt;='Amort. Sched.-BASE'!$R$8, L124&lt;= ($R$7+$R$8)), PMT('Amort. Sched.-BASE'!$N$8/12, 'Amort. Sched.-BASE'!$R$7, 'Amort. Sched.-BASE'!$N$7), 0)</f>
        <v>0</v>
      </c>
      <c r="N124" s="5">
        <f>IF(AND(L124&gt;='Amort. Sched.-BASE'!$R$8, L124&lt;= ($R$7+$R$8)), (IPMT($N$8/12, (L124-$R$8), $R$7, $N$7)), 0)</f>
        <v>0</v>
      </c>
      <c r="O124" s="5">
        <f>IF(AND(L124&gt;='Amort. Sched.-BASE'!$R$8, L124&lt;= ($R$7+$R$8)), (PPMT($N$8/12, (L124-$R$8), $R$7, $N$7)), 0)</f>
        <v>0</v>
      </c>
      <c r="P124" s="5">
        <f>IF(CreditAmort1BASE[[#This Row],[Month]]=R$8,N$7,0)</f>
        <v>0</v>
      </c>
      <c r="Q124" s="13">
        <f>IF(AND(L124&gt;='Amort. Sched.-BASE'!$R$8, L124&lt;= ($R$7+$R$8)), Q123+O124, 0)</f>
        <v>0</v>
      </c>
      <c r="R124" s="6" t="str">
        <f>IF(AND(L124&gt;='Amort. Sched.-BASE'!$R$8, L124&lt;= ($R$7+$R$8)), N124/M124, " ")</f>
        <v xml:space="preserve"> </v>
      </c>
      <c r="S124" s="21" t="str">
        <f>IF(AND(L124&gt;='Amort. Sched.-BASE'!$R$8, L124&lt;= ($R$7+$R$8)), O124/M124, " ")</f>
        <v xml:space="preserve"> </v>
      </c>
      <c r="U124" s="20">
        <f t="shared" si="19"/>
        <v>113</v>
      </c>
      <c r="V124" s="5">
        <f>IF(AND(U124&gt;='Amort. Sched.-BASE'!$AA$8, U124&lt;= ($AA$7+$AA$8)), PMT('Amort. Sched.-BASE'!$W$8/12, 'Amort. Sched.-BASE'!$AA$7, 'Amort. Sched.-BASE'!$W$7), 0)</f>
        <v>0</v>
      </c>
      <c r="W124" s="5">
        <f>IF(AND(U124&gt;='Amort. Sched.-BASE'!$AA$8, U124&lt;= ($AA$7+$AA$8)), (IPMT($W$8/12, (U124-$AA$8), $AA$7, $W$7)), 0)</f>
        <v>0</v>
      </c>
      <c r="X124" s="5">
        <f>IF(AND(U124&gt;='Amort. Sched.-BASE'!$AA$8, U124&lt;= ($AA$7+$AA$8)), (PPMT($W$8/12, (U124-$AA$8), $AA$7, $W$7)), 0)</f>
        <v>0</v>
      </c>
      <c r="Y124" s="5">
        <f>IF(CreditAmort2BASE[[#This Row],[Month]]=AA$8,W$7,0)</f>
        <v>0</v>
      </c>
      <c r="Z124" s="13">
        <f>IF(AND(U124&gt;='Amort. Sched.-BASE'!$AA$8, U124&lt;= ($AA$7+$AA$8)), Z123+X124, 0)</f>
        <v>0</v>
      </c>
      <c r="AA124" s="6" t="str">
        <f>IF(AND(U124&gt;='Amort. Sched.-BASE'!$AA$8, U124&lt;= ($AA$7+$AA$8)), W124/V124, " ")</f>
        <v xml:space="preserve"> </v>
      </c>
      <c r="AB124" s="21" t="str">
        <f>IF(AND(U124&gt;='Amort. Sched.-BASE'!$AA$8, U124&lt;= ($AA$7+$AA$8)), X124/V124, " ")</f>
        <v xml:space="preserve"> </v>
      </c>
      <c r="AD124" s="20">
        <f t="shared" si="20"/>
        <v>113</v>
      </c>
      <c r="AE124" s="5">
        <f t="shared" si="21"/>
        <v>0</v>
      </c>
      <c r="AF124" s="5">
        <f t="shared" si="22"/>
        <v>0</v>
      </c>
      <c r="AG124" s="5">
        <f t="shared" si="23"/>
        <v>0</v>
      </c>
      <c r="AH124" s="5">
        <f>IF(CreditAmort3BASE[[#This Row],[Month]]=AJ$8,AF$7,0)</f>
        <v>0</v>
      </c>
      <c r="AI124" s="13">
        <f t="shared" si="24"/>
        <v>0</v>
      </c>
      <c r="AJ124" s="6" t="str">
        <f t="shared" si="25"/>
        <v xml:space="preserve"> </v>
      </c>
      <c r="AK124" s="21" t="str">
        <f t="shared" si="26"/>
        <v xml:space="preserve"> </v>
      </c>
      <c r="AM124" s="20">
        <f t="shared" si="27"/>
        <v>113</v>
      </c>
      <c r="AN124" s="5">
        <f t="shared" si="28"/>
        <v>0</v>
      </c>
      <c r="AO124" s="5">
        <f t="shared" si="29"/>
        <v>0</v>
      </c>
      <c r="AP124" s="5">
        <f t="shared" si="30"/>
        <v>0</v>
      </c>
      <c r="AQ124" s="5">
        <f>IF(CreditAmort4BASE[[#This Row],[Month]]=AS$8,AO$7,0)</f>
        <v>0</v>
      </c>
      <c r="AR124" s="13">
        <f t="shared" si="31"/>
        <v>0</v>
      </c>
      <c r="AS124" s="6" t="str">
        <f t="shared" si="32"/>
        <v xml:space="preserve"> </v>
      </c>
      <c r="AT124" s="21" t="str">
        <f t="shared" si="33"/>
        <v xml:space="preserve"> </v>
      </c>
    </row>
    <row r="125" spans="3:46">
      <c r="C125" s="22">
        <f t="shared" si="17"/>
        <v>114</v>
      </c>
      <c r="D125" s="23">
        <f>IF(AND(C125&gt;='Amort. Sched.-BASE'!$I$8, C125&lt;= ($I$7+$I$8)), PMT('Amort. Sched.-BASE'!$E$8/12, 'Amort. Sched.-BASE'!$I$7, 'Amort. Sched.-BASE'!$E$7), 0)</f>
        <v>-1736.5864935892569</v>
      </c>
      <c r="E125" s="5">
        <f>IF(AND(C125&gt;='Amort. Sched.-BASE'!$I$8, C125&lt;= ($I$7+$I$8)), (IPMT($E$8/12, (C125-$I$8), $I$7, $E$7)), 0)</f>
        <v>-1235.3153338352718</v>
      </c>
      <c r="F125" s="23">
        <f>IF(AND(C125&gt;='Amort. Sched.-BASE'!$I$8, C125&lt;= ($I$7+$I$8)), (PPMT($E$8/12, (C125-$I$8), $I$7, $E$7)), 0)</f>
        <v>-501.27115975398533</v>
      </c>
      <c r="G125" s="5">
        <f>IF(MortgageAmortBASE[[#This Row],[Month]]=I$8,E$7,0)</f>
        <v>0</v>
      </c>
      <c r="H125" s="13">
        <f>IF(AND(C125&gt;='Amort. Sched.-BASE'!$I$8, C125&lt;= ($I$7+$I$8)), H124+F125, 0)</f>
        <v>184796.02891553671</v>
      </c>
      <c r="I125" s="24">
        <f>IF(AND(C125&gt;='Amort. Sched.-BASE'!$I$8, C125&lt;= ($I$7+$I$8)), E125/D125, " ")</f>
        <v>0.71134685107567852</v>
      </c>
      <c r="J125" s="25">
        <f>IF(AND(C125&gt;='Amort. Sched.-BASE'!$I$8, C125&lt;= ($I$7+$I$8)), F125/D125, " ")</f>
        <v>0.28865314892432165</v>
      </c>
      <c r="L125" s="20">
        <f t="shared" si="18"/>
        <v>114</v>
      </c>
      <c r="M125" s="5">
        <f>IF(AND(L125&gt;='Amort. Sched.-BASE'!$R$8, L125&lt;= ($R$7+$R$8)), PMT('Amort. Sched.-BASE'!$N$8/12, 'Amort. Sched.-BASE'!$R$7, 'Amort. Sched.-BASE'!$N$7), 0)</f>
        <v>0</v>
      </c>
      <c r="N125" s="5">
        <f>IF(AND(L125&gt;='Amort. Sched.-BASE'!$R$8, L125&lt;= ($R$7+$R$8)), (IPMT($N$8/12, (L125-$R$8), $R$7, $N$7)), 0)</f>
        <v>0</v>
      </c>
      <c r="O125" s="5">
        <f>IF(AND(L125&gt;='Amort. Sched.-BASE'!$R$8, L125&lt;= ($R$7+$R$8)), (PPMT($N$8/12, (L125-$R$8), $R$7, $N$7)), 0)</f>
        <v>0</v>
      </c>
      <c r="P125" s="5">
        <f>IF(CreditAmort1BASE[[#This Row],[Month]]=R$8,N$7,0)</f>
        <v>0</v>
      </c>
      <c r="Q125" s="13">
        <f>IF(AND(L125&gt;='Amort. Sched.-BASE'!$R$8, L125&lt;= ($R$7+$R$8)), Q124+O125, 0)</f>
        <v>0</v>
      </c>
      <c r="R125" s="6" t="str">
        <f>IF(AND(L125&gt;='Amort. Sched.-BASE'!$R$8, L125&lt;= ($R$7+$R$8)), N125/M125, " ")</f>
        <v xml:space="preserve"> </v>
      </c>
      <c r="S125" s="21" t="str">
        <f>IF(AND(L125&gt;='Amort. Sched.-BASE'!$R$8, L125&lt;= ($R$7+$R$8)), O125/M125, " ")</f>
        <v xml:space="preserve"> </v>
      </c>
      <c r="U125" s="20">
        <f t="shared" si="19"/>
        <v>114</v>
      </c>
      <c r="V125" s="5">
        <f>IF(AND(U125&gt;='Amort. Sched.-BASE'!$AA$8, U125&lt;= ($AA$7+$AA$8)), PMT('Amort. Sched.-BASE'!$W$8/12, 'Amort. Sched.-BASE'!$AA$7, 'Amort. Sched.-BASE'!$W$7), 0)</f>
        <v>0</v>
      </c>
      <c r="W125" s="5">
        <f>IF(AND(U125&gt;='Amort. Sched.-BASE'!$AA$8, U125&lt;= ($AA$7+$AA$8)), (IPMT($W$8/12, (U125-$AA$8), $AA$7, $W$7)), 0)</f>
        <v>0</v>
      </c>
      <c r="X125" s="5">
        <f>IF(AND(U125&gt;='Amort. Sched.-BASE'!$AA$8, U125&lt;= ($AA$7+$AA$8)), (PPMT($W$8/12, (U125-$AA$8), $AA$7, $W$7)), 0)</f>
        <v>0</v>
      </c>
      <c r="Y125" s="5">
        <f>IF(CreditAmort2BASE[[#This Row],[Month]]=AA$8,W$7,0)</f>
        <v>0</v>
      </c>
      <c r="Z125" s="13">
        <f>IF(AND(U125&gt;='Amort. Sched.-BASE'!$AA$8, U125&lt;= ($AA$7+$AA$8)), Z124+X125, 0)</f>
        <v>0</v>
      </c>
      <c r="AA125" s="6" t="str">
        <f>IF(AND(U125&gt;='Amort. Sched.-BASE'!$AA$8, U125&lt;= ($AA$7+$AA$8)), W125/V125, " ")</f>
        <v xml:space="preserve"> </v>
      </c>
      <c r="AB125" s="21" t="str">
        <f>IF(AND(U125&gt;='Amort. Sched.-BASE'!$AA$8, U125&lt;= ($AA$7+$AA$8)), X125/V125, " ")</f>
        <v xml:space="preserve"> </v>
      </c>
      <c r="AD125" s="20">
        <f t="shared" si="20"/>
        <v>114</v>
      </c>
      <c r="AE125" s="5">
        <f t="shared" si="21"/>
        <v>0</v>
      </c>
      <c r="AF125" s="5">
        <f t="shared" si="22"/>
        <v>0</v>
      </c>
      <c r="AG125" s="5">
        <f t="shared" si="23"/>
        <v>0</v>
      </c>
      <c r="AH125" s="5">
        <f>IF(CreditAmort3BASE[[#This Row],[Month]]=AJ$8,AF$7,0)</f>
        <v>0</v>
      </c>
      <c r="AI125" s="13">
        <f t="shared" si="24"/>
        <v>0</v>
      </c>
      <c r="AJ125" s="6" t="str">
        <f t="shared" si="25"/>
        <v xml:space="preserve"> </v>
      </c>
      <c r="AK125" s="21" t="str">
        <f t="shared" si="26"/>
        <v xml:space="preserve"> </v>
      </c>
      <c r="AM125" s="20">
        <f t="shared" si="27"/>
        <v>114</v>
      </c>
      <c r="AN125" s="5">
        <f t="shared" si="28"/>
        <v>0</v>
      </c>
      <c r="AO125" s="5">
        <f t="shared" si="29"/>
        <v>0</v>
      </c>
      <c r="AP125" s="5">
        <f t="shared" si="30"/>
        <v>0</v>
      </c>
      <c r="AQ125" s="5">
        <f>IF(CreditAmort4BASE[[#This Row],[Month]]=AS$8,AO$7,0)</f>
        <v>0</v>
      </c>
      <c r="AR125" s="13">
        <f t="shared" si="31"/>
        <v>0</v>
      </c>
      <c r="AS125" s="6" t="str">
        <f t="shared" si="32"/>
        <v xml:space="preserve"> </v>
      </c>
      <c r="AT125" s="21" t="str">
        <f t="shared" si="33"/>
        <v xml:space="preserve"> </v>
      </c>
    </row>
    <row r="126" spans="3:46">
      <c r="C126" s="22">
        <f t="shared" si="17"/>
        <v>115</v>
      </c>
      <c r="D126" s="23">
        <f>IF(AND(C126&gt;='Amort. Sched.-BASE'!$I$8, C126&lt;= ($I$7+$I$8)), PMT('Amort. Sched.-BASE'!$E$8/12, 'Amort. Sched.-BASE'!$I$7, 'Amort. Sched.-BASE'!$E$7), 0)</f>
        <v>-1736.5864935892569</v>
      </c>
      <c r="E126" s="5">
        <f>IF(AND(C126&gt;='Amort. Sched.-BASE'!$I$8, C126&lt;= ($I$7+$I$8)), (IPMT($E$8/12, (C126-$I$8), $I$7, $E$7)), 0)</f>
        <v>-1231.9735261035783</v>
      </c>
      <c r="F126" s="23">
        <f>IF(AND(C126&gt;='Amort. Sched.-BASE'!$I$8, C126&lt;= ($I$7+$I$8)), (PPMT($E$8/12, (C126-$I$8), $I$7, $E$7)), 0)</f>
        <v>-504.6129674856785</v>
      </c>
      <c r="G126" s="5">
        <f>IF(MortgageAmortBASE[[#This Row],[Month]]=I$8,E$7,0)</f>
        <v>0</v>
      </c>
      <c r="H126" s="13">
        <f>IF(AND(C126&gt;='Amort. Sched.-BASE'!$I$8, C126&lt;= ($I$7+$I$8)), H125+F126, 0)</f>
        <v>184291.41594805103</v>
      </c>
      <c r="I126" s="24">
        <f>IF(AND(C126&gt;='Amort. Sched.-BASE'!$I$8, C126&lt;= ($I$7+$I$8)), E126/D126, " ")</f>
        <v>0.70942249674951618</v>
      </c>
      <c r="J126" s="25">
        <f>IF(AND(C126&gt;='Amort. Sched.-BASE'!$I$8, C126&lt;= ($I$7+$I$8)), F126/D126, " ")</f>
        <v>0.29057750325048376</v>
      </c>
      <c r="L126" s="20">
        <f t="shared" si="18"/>
        <v>115</v>
      </c>
      <c r="M126" s="5">
        <f>IF(AND(L126&gt;='Amort. Sched.-BASE'!$R$8, L126&lt;= ($R$7+$R$8)), PMT('Amort. Sched.-BASE'!$N$8/12, 'Amort. Sched.-BASE'!$R$7, 'Amort. Sched.-BASE'!$N$7), 0)</f>
        <v>0</v>
      </c>
      <c r="N126" s="5">
        <f>IF(AND(L126&gt;='Amort. Sched.-BASE'!$R$8, L126&lt;= ($R$7+$R$8)), (IPMT($N$8/12, (L126-$R$8), $R$7, $N$7)), 0)</f>
        <v>0</v>
      </c>
      <c r="O126" s="5">
        <f>IF(AND(L126&gt;='Amort. Sched.-BASE'!$R$8, L126&lt;= ($R$7+$R$8)), (PPMT($N$8/12, (L126-$R$8), $R$7, $N$7)), 0)</f>
        <v>0</v>
      </c>
      <c r="P126" s="5">
        <f>IF(CreditAmort1BASE[[#This Row],[Month]]=R$8,N$7,0)</f>
        <v>0</v>
      </c>
      <c r="Q126" s="13">
        <f>IF(AND(L126&gt;='Amort. Sched.-BASE'!$R$8, L126&lt;= ($R$7+$R$8)), Q125+O126, 0)</f>
        <v>0</v>
      </c>
      <c r="R126" s="6" t="str">
        <f>IF(AND(L126&gt;='Amort. Sched.-BASE'!$R$8, L126&lt;= ($R$7+$R$8)), N126/M126, " ")</f>
        <v xml:space="preserve"> </v>
      </c>
      <c r="S126" s="21" t="str">
        <f>IF(AND(L126&gt;='Amort. Sched.-BASE'!$R$8, L126&lt;= ($R$7+$R$8)), O126/M126, " ")</f>
        <v xml:space="preserve"> </v>
      </c>
      <c r="U126" s="20">
        <f t="shared" si="19"/>
        <v>115</v>
      </c>
      <c r="V126" s="5">
        <f>IF(AND(U126&gt;='Amort. Sched.-BASE'!$AA$8, U126&lt;= ($AA$7+$AA$8)), PMT('Amort. Sched.-BASE'!$W$8/12, 'Amort. Sched.-BASE'!$AA$7, 'Amort. Sched.-BASE'!$W$7), 0)</f>
        <v>0</v>
      </c>
      <c r="W126" s="5">
        <f>IF(AND(U126&gt;='Amort. Sched.-BASE'!$AA$8, U126&lt;= ($AA$7+$AA$8)), (IPMT($W$8/12, (U126-$AA$8), $AA$7, $W$7)), 0)</f>
        <v>0</v>
      </c>
      <c r="X126" s="5">
        <f>IF(AND(U126&gt;='Amort. Sched.-BASE'!$AA$8, U126&lt;= ($AA$7+$AA$8)), (PPMT($W$8/12, (U126-$AA$8), $AA$7, $W$7)), 0)</f>
        <v>0</v>
      </c>
      <c r="Y126" s="5">
        <f>IF(CreditAmort2BASE[[#This Row],[Month]]=AA$8,W$7,0)</f>
        <v>0</v>
      </c>
      <c r="Z126" s="13">
        <f>IF(AND(U126&gt;='Amort. Sched.-BASE'!$AA$8, U126&lt;= ($AA$7+$AA$8)), Z125+X126, 0)</f>
        <v>0</v>
      </c>
      <c r="AA126" s="6" t="str">
        <f>IF(AND(U126&gt;='Amort. Sched.-BASE'!$AA$8, U126&lt;= ($AA$7+$AA$8)), W126/V126, " ")</f>
        <v xml:space="preserve"> </v>
      </c>
      <c r="AB126" s="21" t="str">
        <f>IF(AND(U126&gt;='Amort. Sched.-BASE'!$AA$8, U126&lt;= ($AA$7+$AA$8)), X126/V126, " ")</f>
        <v xml:space="preserve"> </v>
      </c>
      <c r="AD126" s="20">
        <f t="shared" si="20"/>
        <v>115</v>
      </c>
      <c r="AE126" s="5">
        <f t="shared" si="21"/>
        <v>0</v>
      </c>
      <c r="AF126" s="5">
        <f t="shared" si="22"/>
        <v>0</v>
      </c>
      <c r="AG126" s="5">
        <f t="shared" si="23"/>
        <v>0</v>
      </c>
      <c r="AH126" s="5">
        <f>IF(CreditAmort3BASE[[#This Row],[Month]]=AJ$8,AF$7,0)</f>
        <v>0</v>
      </c>
      <c r="AI126" s="13">
        <f t="shared" si="24"/>
        <v>0</v>
      </c>
      <c r="AJ126" s="6" t="str">
        <f t="shared" si="25"/>
        <v xml:space="preserve"> </v>
      </c>
      <c r="AK126" s="21" t="str">
        <f t="shared" si="26"/>
        <v xml:space="preserve"> </v>
      </c>
      <c r="AM126" s="20">
        <f t="shared" si="27"/>
        <v>115</v>
      </c>
      <c r="AN126" s="5">
        <f t="shared" si="28"/>
        <v>0</v>
      </c>
      <c r="AO126" s="5">
        <f t="shared" si="29"/>
        <v>0</v>
      </c>
      <c r="AP126" s="5">
        <f t="shared" si="30"/>
        <v>0</v>
      </c>
      <c r="AQ126" s="5">
        <f>IF(CreditAmort4BASE[[#This Row],[Month]]=AS$8,AO$7,0)</f>
        <v>0</v>
      </c>
      <c r="AR126" s="13">
        <f t="shared" si="31"/>
        <v>0</v>
      </c>
      <c r="AS126" s="6" t="str">
        <f t="shared" si="32"/>
        <v xml:space="preserve"> </v>
      </c>
      <c r="AT126" s="21" t="str">
        <f t="shared" si="33"/>
        <v xml:space="preserve"> </v>
      </c>
    </row>
    <row r="127" spans="3:46">
      <c r="C127" s="22">
        <f t="shared" si="17"/>
        <v>116</v>
      </c>
      <c r="D127" s="23">
        <f>IF(AND(C127&gt;='Amort. Sched.-BASE'!$I$8, C127&lt;= ($I$7+$I$8)), PMT('Amort. Sched.-BASE'!$E$8/12, 'Amort. Sched.-BASE'!$I$7, 'Amort. Sched.-BASE'!$E$7), 0)</f>
        <v>-1736.5864935892569</v>
      </c>
      <c r="E127" s="5">
        <f>IF(AND(C127&gt;='Amort. Sched.-BASE'!$I$8, C127&lt;= ($I$7+$I$8)), (IPMT($E$8/12, (C127-$I$8), $I$7, $E$7)), 0)</f>
        <v>-1228.6094396536739</v>
      </c>
      <c r="F127" s="23">
        <f>IF(AND(C127&gt;='Amort. Sched.-BASE'!$I$8, C127&lt;= ($I$7+$I$8)), (PPMT($E$8/12, (C127-$I$8), $I$7, $E$7)), 0)</f>
        <v>-507.97705393558294</v>
      </c>
      <c r="G127" s="5">
        <f>IF(MortgageAmortBASE[[#This Row],[Month]]=I$8,E$7,0)</f>
        <v>0</v>
      </c>
      <c r="H127" s="13">
        <f>IF(AND(C127&gt;='Amort. Sched.-BASE'!$I$8, C127&lt;= ($I$7+$I$8)), H126+F127, 0)</f>
        <v>183783.43889411545</v>
      </c>
      <c r="I127" s="24">
        <f>IF(AND(C127&gt;='Amort. Sched.-BASE'!$I$8, C127&lt;= ($I$7+$I$8)), E127/D127, " ")</f>
        <v>0.70748531339451304</v>
      </c>
      <c r="J127" s="25">
        <f>IF(AND(C127&gt;='Amort. Sched.-BASE'!$I$8, C127&lt;= ($I$7+$I$8)), F127/D127, " ")</f>
        <v>0.29251468660548696</v>
      </c>
      <c r="L127" s="20">
        <f t="shared" si="18"/>
        <v>116</v>
      </c>
      <c r="M127" s="5">
        <f>IF(AND(L127&gt;='Amort. Sched.-BASE'!$R$8, L127&lt;= ($R$7+$R$8)), PMT('Amort. Sched.-BASE'!$N$8/12, 'Amort. Sched.-BASE'!$R$7, 'Amort. Sched.-BASE'!$N$7), 0)</f>
        <v>0</v>
      </c>
      <c r="N127" s="5">
        <f>IF(AND(L127&gt;='Amort. Sched.-BASE'!$R$8, L127&lt;= ($R$7+$R$8)), (IPMT($N$8/12, (L127-$R$8), $R$7, $N$7)), 0)</f>
        <v>0</v>
      </c>
      <c r="O127" s="5">
        <f>IF(AND(L127&gt;='Amort. Sched.-BASE'!$R$8, L127&lt;= ($R$7+$R$8)), (PPMT($N$8/12, (L127-$R$8), $R$7, $N$7)), 0)</f>
        <v>0</v>
      </c>
      <c r="P127" s="5">
        <f>IF(CreditAmort1BASE[[#This Row],[Month]]=R$8,N$7,0)</f>
        <v>0</v>
      </c>
      <c r="Q127" s="13">
        <f>IF(AND(L127&gt;='Amort. Sched.-BASE'!$R$8, L127&lt;= ($R$7+$R$8)), Q126+O127, 0)</f>
        <v>0</v>
      </c>
      <c r="R127" s="6" t="str">
        <f>IF(AND(L127&gt;='Amort. Sched.-BASE'!$R$8, L127&lt;= ($R$7+$R$8)), N127/M127, " ")</f>
        <v xml:space="preserve"> </v>
      </c>
      <c r="S127" s="21" t="str">
        <f>IF(AND(L127&gt;='Amort. Sched.-BASE'!$R$8, L127&lt;= ($R$7+$R$8)), O127/M127, " ")</f>
        <v xml:space="preserve"> </v>
      </c>
      <c r="U127" s="20">
        <f t="shared" si="19"/>
        <v>116</v>
      </c>
      <c r="V127" s="5">
        <f>IF(AND(U127&gt;='Amort. Sched.-BASE'!$AA$8, U127&lt;= ($AA$7+$AA$8)), PMT('Amort. Sched.-BASE'!$W$8/12, 'Amort. Sched.-BASE'!$AA$7, 'Amort. Sched.-BASE'!$W$7), 0)</f>
        <v>0</v>
      </c>
      <c r="W127" s="5">
        <f>IF(AND(U127&gt;='Amort. Sched.-BASE'!$AA$8, U127&lt;= ($AA$7+$AA$8)), (IPMT($W$8/12, (U127-$AA$8), $AA$7, $W$7)), 0)</f>
        <v>0</v>
      </c>
      <c r="X127" s="5">
        <f>IF(AND(U127&gt;='Amort. Sched.-BASE'!$AA$8, U127&lt;= ($AA$7+$AA$8)), (PPMT($W$8/12, (U127-$AA$8), $AA$7, $W$7)), 0)</f>
        <v>0</v>
      </c>
      <c r="Y127" s="5">
        <f>IF(CreditAmort2BASE[[#This Row],[Month]]=AA$8,W$7,0)</f>
        <v>0</v>
      </c>
      <c r="Z127" s="13">
        <f>IF(AND(U127&gt;='Amort. Sched.-BASE'!$AA$8, U127&lt;= ($AA$7+$AA$8)), Z126+X127, 0)</f>
        <v>0</v>
      </c>
      <c r="AA127" s="6" t="str">
        <f>IF(AND(U127&gt;='Amort. Sched.-BASE'!$AA$8, U127&lt;= ($AA$7+$AA$8)), W127/V127, " ")</f>
        <v xml:space="preserve"> </v>
      </c>
      <c r="AB127" s="21" t="str">
        <f>IF(AND(U127&gt;='Amort. Sched.-BASE'!$AA$8, U127&lt;= ($AA$7+$AA$8)), X127/V127, " ")</f>
        <v xml:space="preserve"> </v>
      </c>
      <c r="AD127" s="20">
        <f t="shared" si="20"/>
        <v>116</v>
      </c>
      <c r="AE127" s="5">
        <f t="shared" si="21"/>
        <v>0</v>
      </c>
      <c r="AF127" s="5">
        <f t="shared" si="22"/>
        <v>0</v>
      </c>
      <c r="AG127" s="5">
        <f t="shared" si="23"/>
        <v>0</v>
      </c>
      <c r="AH127" s="5">
        <f>IF(CreditAmort3BASE[[#This Row],[Month]]=AJ$8,AF$7,0)</f>
        <v>0</v>
      </c>
      <c r="AI127" s="13">
        <f t="shared" si="24"/>
        <v>0</v>
      </c>
      <c r="AJ127" s="6" t="str">
        <f t="shared" si="25"/>
        <v xml:space="preserve"> </v>
      </c>
      <c r="AK127" s="21" t="str">
        <f t="shared" si="26"/>
        <v xml:space="preserve"> </v>
      </c>
      <c r="AM127" s="20">
        <f t="shared" si="27"/>
        <v>116</v>
      </c>
      <c r="AN127" s="5">
        <f t="shared" si="28"/>
        <v>0</v>
      </c>
      <c r="AO127" s="5">
        <f t="shared" si="29"/>
        <v>0</v>
      </c>
      <c r="AP127" s="5">
        <f t="shared" si="30"/>
        <v>0</v>
      </c>
      <c r="AQ127" s="5">
        <f>IF(CreditAmort4BASE[[#This Row],[Month]]=AS$8,AO$7,0)</f>
        <v>0</v>
      </c>
      <c r="AR127" s="13">
        <f t="shared" si="31"/>
        <v>0</v>
      </c>
      <c r="AS127" s="6" t="str">
        <f t="shared" si="32"/>
        <v xml:space="preserve"> </v>
      </c>
      <c r="AT127" s="21" t="str">
        <f t="shared" si="33"/>
        <v xml:space="preserve"> </v>
      </c>
    </row>
    <row r="128" spans="3:46">
      <c r="C128" s="22">
        <f t="shared" si="17"/>
        <v>117</v>
      </c>
      <c r="D128" s="23">
        <f>IF(AND(C128&gt;='Amort. Sched.-BASE'!$I$8, C128&lt;= ($I$7+$I$8)), PMT('Amort. Sched.-BASE'!$E$8/12, 'Amort. Sched.-BASE'!$I$7, 'Amort. Sched.-BASE'!$E$7), 0)</f>
        <v>-1736.5864935892569</v>
      </c>
      <c r="E128" s="5">
        <f>IF(AND(C128&gt;='Amort. Sched.-BASE'!$I$8, C128&lt;= ($I$7+$I$8)), (IPMT($E$8/12, (C128-$I$8), $I$7, $E$7)), 0)</f>
        <v>-1225.22292596077</v>
      </c>
      <c r="F128" s="23">
        <f>IF(AND(C128&gt;='Amort. Sched.-BASE'!$I$8, C128&lt;= ($I$7+$I$8)), (PPMT($E$8/12, (C128-$I$8), $I$7, $E$7)), 0)</f>
        <v>-511.36356762848692</v>
      </c>
      <c r="G128" s="5">
        <f>IF(MortgageAmortBASE[[#This Row],[Month]]=I$8,E$7,0)</f>
        <v>0</v>
      </c>
      <c r="H128" s="13">
        <f>IF(AND(C128&gt;='Amort. Sched.-BASE'!$I$8, C128&lt;= ($I$7+$I$8)), H127+F128, 0)</f>
        <v>183272.07532648696</v>
      </c>
      <c r="I128" s="24">
        <f>IF(AND(C128&gt;='Amort. Sched.-BASE'!$I$8, C128&lt;= ($I$7+$I$8)), E128/D128, " ")</f>
        <v>0.70553521548380982</v>
      </c>
      <c r="J128" s="25">
        <f>IF(AND(C128&gt;='Amort. Sched.-BASE'!$I$8, C128&lt;= ($I$7+$I$8)), F128/D128, " ")</f>
        <v>0.29446478451619024</v>
      </c>
      <c r="L128" s="20">
        <f t="shared" si="18"/>
        <v>117</v>
      </c>
      <c r="M128" s="5">
        <f>IF(AND(L128&gt;='Amort. Sched.-BASE'!$R$8, L128&lt;= ($R$7+$R$8)), PMT('Amort. Sched.-BASE'!$N$8/12, 'Amort. Sched.-BASE'!$R$7, 'Amort. Sched.-BASE'!$N$7), 0)</f>
        <v>0</v>
      </c>
      <c r="N128" s="5">
        <f>IF(AND(L128&gt;='Amort. Sched.-BASE'!$R$8, L128&lt;= ($R$7+$R$8)), (IPMT($N$8/12, (L128-$R$8), $R$7, $N$7)), 0)</f>
        <v>0</v>
      </c>
      <c r="O128" s="5">
        <f>IF(AND(L128&gt;='Amort. Sched.-BASE'!$R$8, L128&lt;= ($R$7+$R$8)), (PPMT($N$8/12, (L128-$R$8), $R$7, $N$7)), 0)</f>
        <v>0</v>
      </c>
      <c r="P128" s="5">
        <f>IF(CreditAmort1BASE[[#This Row],[Month]]=R$8,N$7,0)</f>
        <v>0</v>
      </c>
      <c r="Q128" s="13">
        <f>IF(AND(L128&gt;='Amort. Sched.-BASE'!$R$8, L128&lt;= ($R$7+$R$8)), Q127+O128, 0)</f>
        <v>0</v>
      </c>
      <c r="R128" s="6" t="str">
        <f>IF(AND(L128&gt;='Amort. Sched.-BASE'!$R$8, L128&lt;= ($R$7+$R$8)), N128/M128, " ")</f>
        <v xml:space="preserve"> </v>
      </c>
      <c r="S128" s="21" t="str">
        <f>IF(AND(L128&gt;='Amort. Sched.-BASE'!$R$8, L128&lt;= ($R$7+$R$8)), O128/M128, " ")</f>
        <v xml:space="preserve"> </v>
      </c>
      <c r="U128" s="20">
        <f t="shared" si="19"/>
        <v>117</v>
      </c>
      <c r="V128" s="5">
        <f>IF(AND(U128&gt;='Amort. Sched.-BASE'!$AA$8, U128&lt;= ($AA$7+$AA$8)), PMT('Amort. Sched.-BASE'!$W$8/12, 'Amort. Sched.-BASE'!$AA$7, 'Amort. Sched.-BASE'!$W$7), 0)</f>
        <v>0</v>
      </c>
      <c r="W128" s="5">
        <f>IF(AND(U128&gt;='Amort. Sched.-BASE'!$AA$8, U128&lt;= ($AA$7+$AA$8)), (IPMT($W$8/12, (U128-$AA$8), $AA$7, $W$7)), 0)</f>
        <v>0</v>
      </c>
      <c r="X128" s="5">
        <f>IF(AND(U128&gt;='Amort. Sched.-BASE'!$AA$8, U128&lt;= ($AA$7+$AA$8)), (PPMT($W$8/12, (U128-$AA$8), $AA$7, $W$7)), 0)</f>
        <v>0</v>
      </c>
      <c r="Y128" s="5">
        <f>IF(CreditAmort2BASE[[#This Row],[Month]]=AA$8,W$7,0)</f>
        <v>0</v>
      </c>
      <c r="Z128" s="13">
        <f>IF(AND(U128&gt;='Amort. Sched.-BASE'!$AA$8, U128&lt;= ($AA$7+$AA$8)), Z127+X128, 0)</f>
        <v>0</v>
      </c>
      <c r="AA128" s="6" t="str">
        <f>IF(AND(U128&gt;='Amort. Sched.-BASE'!$AA$8, U128&lt;= ($AA$7+$AA$8)), W128/V128, " ")</f>
        <v xml:space="preserve"> </v>
      </c>
      <c r="AB128" s="21" t="str">
        <f>IF(AND(U128&gt;='Amort. Sched.-BASE'!$AA$8, U128&lt;= ($AA$7+$AA$8)), X128/V128, " ")</f>
        <v xml:space="preserve"> </v>
      </c>
      <c r="AD128" s="20">
        <f t="shared" si="20"/>
        <v>117</v>
      </c>
      <c r="AE128" s="5">
        <f t="shared" si="21"/>
        <v>0</v>
      </c>
      <c r="AF128" s="5">
        <f t="shared" si="22"/>
        <v>0</v>
      </c>
      <c r="AG128" s="5">
        <f t="shared" si="23"/>
        <v>0</v>
      </c>
      <c r="AH128" s="5">
        <f>IF(CreditAmort3BASE[[#This Row],[Month]]=AJ$8,AF$7,0)</f>
        <v>0</v>
      </c>
      <c r="AI128" s="13">
        <f t="shared" si="24"/>
        <v>0</v>
      </c>
      <c r="AJ128" s="6" t="str">
        <f t="shared" si="25"/>
        <v xml:space="preserve"> </v>
      </c>
      <c r="AK128" s="21" t="str">
        <f t="shared" si="26"/>
        <v xml:space="preserve"> </v>
      </c>
      <c r="AM128" s="20">
        <f t="shared" si="27"/>
        <v>117</v>
      </c>
      <c r="AN128" s="5">
        <f t="shared" si="28"/>
        <v>0</v>
      </c>
      <c r="AO128" s="5">
        <f t="shared" si="29"/>
        <v>0</v>
      </c>
      <c r="AP128" s="5">
        <f t="shared" si="30"/>
        <v>0</v>
      </c>
      <c r="AQ128" s="5">
        <f>IF(CreditAmort4BASE[[#This Row],[Month]]=AS$8,AO$7,0)</f>
        <v>0</v>
      </c>
      <c r="AR128" s="13">
        <f t="shared" si="31"/>
        <v>0</v>
      </c>
      <c r="AS128" s="6" t="str">
        <f t="shared" si="32"/>
        <v xml:space="preserve"> </v>
      </c>
      <c r="AT128" s="21" t="str">
        <f t="shared" si="33"/>
        <v xml:space="preserve"> </v>
      </c>
    </row>
    <row r="129" spans="3:46">
      <c r="C129" s="22">
        <f t="shared" si="17"/>
        <v>118</v>
      </c>
      <c r="D129" s="23">
        <f>IF(AND(C129&gt;='Amort. Sched.-BASE'!$I$8, C129&lt;= ($I$7+$I$8)), PMT('Amort. Sched.-BASE'!$E$8/12, 'Amort. Sched.-BASE'!$I$7, 'Amort. Sched.-BASE'!$E$7), 0)</f>
        <v>-1736.5864935892569</v>
      </c>
      <c r="E129" s="5">
        <f>IF(AND(C129&gt;='Amort. Sched.-BASE'!$I$8, C129&lt;= ($I$7+$I$8)), (IPMT($E$8/12, (C129-$I$8), $I$7, $E$7)), 0)</f>
        <v>-1221.8138355099136</v>
      </c>
      <c r="F129" s="23">
        <f>IF(AND(C129&gt;='Amort. Sched.-BASE'!$I$8, C129&lt;= ($I$7+$I$8)), (PPMT($E$8/12, (C129-$I$8), $I$7, $E$7)), 0)</f>
        <v>-514.77265807934339</v>
      </c>
      <c r="G129" s="5">
        <f>IF(MortgageAmortBASE[[#This Row],[Month]]=I$8,E$7,0)</f>
        <v>0</v>
      </c>
      <c r="H129" s="13">
        <f>IF(AND(C129&gt;='Amort. Sched.-BASE'!$I$8, C129&lt;= ($I$7+$I$8)), H128+F129, 0)</f>
        <v>182757.30266840762</v>
      </c>
      <c r="I129" s="24">
        <f>IF(AND(C129&gt;='Amort. Sched.-BASE'!$I$8, C129&lt;= ($I$7+$I$8)), E129/D129, " ")</f>
        <v>0.70357211692036858</v>
      </c>
      <c r="J129" s="25">
        <f>IF(AND(C129&gt;='Amort. Sched.-BASE'!$I$8, C129&lt;= ($I$7+$I$8)), F129/D129, " ")</f>
        <v>0.29642788307963147</v>
      </c>
      <c r="L129" s="20">
        <f t="shared" si="18"/>
        <v>118</v>
      </c>
      <c r="M129" s="5">
        <f>IF(AND(L129&gt;='Amort. Sched.-BASE'!$R$8, L129&lt;= ($R$7+$R$8)), PMT('Amort. Sched.-BASE'!$N$8/12, 'Amort. Sched.-BASE'!$R$7, 'Amort. Sched.-BASE'!$N$7), 0)</f>
        <v>0</v>
      </c>
      <c r="N129" s="5">
        <f>IF(AND(L129&gt;='Amort. Sched.-BASE'!$R$8, L129&lt;= ($R$7+$R$8)), (IPMT($N$8/12, (L129-$R$8), $R$7, $N$7)), 0)</f>
        <v>0</v>
      </c>
      <c r="O129" s="5">
        <f>IF(AND(L129&gt;='Amort. Sched.-BASE'!$R$8, L129&lt;= ($R$7+$R$8)), (PPMT($N$8/12, (L129-$R$8), $R$7, $N$7)), 0)</f>
        <v>0</v>
      </c>
      <c r="P129" s="5">
        <f>IF(CreditAmort1BASE[[#This Row],[Month]]=R$8,N$7,0)</f>
        <v>0</v>
      </c>
      <c r="Q129" s="13">
        <f>IF(AND(L129&gt;='Amort. Sched.-BASE'!$R$8, L129&lt;= ($R$7+$R$8)), Q128+O129, 0)</f>
        <v>0</v>
      </c>
      <c r="R129" s="6" t="str">
        <f>IF(AND(L129&gt;='Amort. Sched.-BASE'!$R$8, L129&lt;= ($R$7+$R$8)), N129/M129, " ")</f>
        <v xml:space="preserve"> </v>
      </c>
      <c r="S129" s="21" t="str">
        <f>IF(AND(L129&gt;='Amort. Sched.-BASE'!$R$8, L129&lt;= ($R$7+$R$8)), O129/M129, " ")</f>
        <v xml:space="preserve"> </v>
      </c>
      <c r="U129" s="20">
        <f t="shared" si="19"/>
        <v>118</v>
      </c>
      <c r="V129" s="5">
        <f>IF(AND(U129&gt;='Amort. Sched.-BASE'!$AA$8, U129&lt;= ($AA$7+$AA$8)), PMT('Amort. Sched.-BASE'!$W$8/12, 'Amort. Sched.-BASE'!$AA$7, 'Amort. Sched.-BASE'!$W$7), 0)</f>
        <v>0</v>
      </c>
      <c r="W129" s="5">
        <f>IF(AND(U129&gt;='Amort. Sched.-BASE'!$AA$8, U129&lt;= ($AA$7+$AA$8)), (IPMT($W$8/12, (U129-$AA$8), $AA$7, $W$7)), 0)</f>
        <v>0</v>
      </c>
      <c r="X129" s="5">
        <f>IF(AND(U129&gt;='Amort. Sched.-BASE'!$AA$8, U129&lt;= ($AA$7+$AA$8)), (PPMT($W$8/12, (U129-$AA$8), $AA$7, $W$7)), 0)</f>
        <v>0</v>
      </c>
      <c r="Y129" s="5">
        <f>IF(CreditAmort2BASE[[#This Row],[Month]]=AA$8,W$7,0)</f>
        <v>0</v>
      </c>
      <c r="Z129" s="13">
        <f>IF(AND(U129&gt;='Amort. Sched.-BASE'!$AA$8, U129&lt;= ($AA$7+$AA$8)), Z128+X129, 0)</f>
        <v>0</v>
      </c>
      <c r="AA129" s="6" t="str">
        <f>IF(AND(U129&gt;='Amort. Sched.-BASE'!$AA$8, U129&lt;= ($AA$7+$AA$8)), W129/V129, " ")</f>
        <v xml:space="preserve"> </v>
      </c>
      <c r="AB129" s="21" t="str">
        <f>IF(AND(U129&gt;='Amort. Sched.-BASE'!$AA$8, U129&lt;= ($AA$7+$AA$8)), X129/V129, " ")</f>
        <v xml:space="preserve"> </v>
      </c>
      <c r="AD129" s="20">
        <f t="shared" si="20"/>
        <v>118</v>
      </c>
      <c r="AE129" s="5">
        <f t="shared" si="21"/>
        <v>0</v>
      </c>
      <c r="AF129" s="5">
        <f t="shared" si="22"/>
        <v>0</v>
      </c>
      <c r="AG129" s="5">
        <f t="shared" si="23"/>
        <v>0</v>
      </c>
      <c r="AH129" s="5">
        <f>IF(CreditAmort3BASE[[#This Row],[Month]]=AJ$8,AF$7,0)</f>
        <v>0</v>
      </c>
      <c r="AI129" s="13">
        <f t="shared" si="24"/>
        <v>0</v>
      </c>
      <c r="AJ129" s="6" t="str">
        <f t="shared" si="25"/>
        <v xml:space="preserve"> </v>
      </c>
      <c r="AK129" s="21" t="str">
        <f t="shared" si="26"/>
        <v xml:space="preserve"> </v>
      </c>
      <c r="AM129" s="20">
        <f t="shared" si="27"/>
        <v>118</v>
      </c>
      <c r="AN129" s="5">
        <f t="shared" si="28"/>
        <v>0</v>
      </c>
      <c r="AO129" s="5">
        <f t="shared" si="29"/>
        <v>0</v>
      </c>
      <c r="AP129" s="5">
        <f t="shared" si="30"/>
        <v>0</v>
      </c>
      <c r="AQ129" s="5">
        <f>IF(CreditAmort4BASE[[#This Row],[Month]]=AS$8,AO$7,0)</f>
        <v>0</v>
      </c>
      <c r="AR129" s="13">
        <f t="shared" si="31"/>
        <v>0</v>
      </c>
      <c r="AS129" s="6" t="str">
        <f t="shared" si="32"/>
        <v xml:space="preserve"> </v>
      </c>
      <c r="AT129" s="21" t="str">
        <f t="shared" si="33"/>
        <v xml:space="preserve"> </v>
      </c>
    </row>
    <row r="130" spans="3:46">
      <c r="C130" s="22">
        <f t="shared" si="17"/>
        <v>119</v>
      </c>
      <c r="D130" s="23">
        <f>IF(AND(C130&gt;='Amort. Sched.-BASE'!$I$8, C130&lt;= ($I$7+$I$8)), PMT('Amort. Sched.-BASE'!$E$8/12, 'Amort. Sched.-BASE'!$I$7, 'Amort. Sched.-BASE'!$E$7), 0)</f>
        <v>-1736.5864935892569</v>
      </c>
      <c r="E130" s="5">
        <f>IF(AND(C130&gt;='Amort. Sched.-BASE'!$I$8, C130&lt;= ($I$7+$I$8)), (IPMT($E$8/12, (C130-$I$8), $I$7, $E$7)), 0)</f>
        <v>-1218.3820177893847</v>
      </c>
      <c r="F130" s="23">
        <f>IF(AND(C130&gt;='Amort. Sched.-BASE'!$I$8, C130&lt;= ($I$7+$I$8)), (PPMT($E$8/12, (C130-$I$8), $I$7, $E$7)), 0)</f>
        <v>-518.20447579987251</v>
      </c>
      <c r="G130" s="5">
        <f>IF(MortgageAmortBASE[[#This Row],[Month]]=I$8,E$7,0)</f>
        <v>0</v>
      </c>
      <c r="H130" s="13">
        <f>IF(AND(C130&gt;='Amort. Sched.-BASE'!$I$8, C130&lt;= ($I$7+$I$8)), H129+F130, 0)</f>
        <v>182239.09819260775</v>
      </c>
      <c r="I130" s="24">
        <f>IF(AND(C130&gt;='Amort. Sched.-BASE'!$I$8, C130&lt;= ($I$7+$I$8)), E130/D130, " ")</f>
        <v>0.70159593103317108</v>
      </c>
      <c r="J130" s="25">
        <f>IF(AND(C130&gt;='Amort. Sched.-BASE'!$I$8, C130&lt;= ($I$7+$I$8)), F130/D130, " ")</f>
        <v>0.29840406896682908</v>
      </c>
      <c r="L130" s="20">
        <f t="shared" si="18"/>
        <v>119</v>
      </c>
      <c r="M130" s="5">
        <f>IF(AND(L130&gt;='Amort. Sched.-BASE'!$R$8, L130&lt;= ($R$7+$R$8)), PMT('Amort. Sched.-BASE'!$N$8/12, 'Amort. Sched.-BASE'!$R$7, 'Amort. Sched.-BASE'!$N$7), 0)</f>
        <v>0</v>
      </c>
      <c r="N130" s="5">
        <f>IF(AND(L130&gt;='Amort. Sched.-BASE'!$R$8, L130&lt;= ($R$7+$R$8)), (IPMT($N$8/12, (L130-$R$8), $R$7, $N$7)), 0)</f>
        <v>0</v>
      </c>
      <c r="O130" s="5">
        <f>IF(AND(L130&gt;='Amort. Sched.-BASE'!$R$8, L130&lt;= ($R$7+$R$8)), (PPMT($N$8/12, (L130-$R$8), $R$7, $N$7)), 0)</f>
        <v>0</v>
      </c>
      <c r="P130" s="5">
        <f>IF(CreditAmort1BASE[[#This Row],[Month]]=R$8,N$7,0)</f>
        <v>0</v>
      </c>
      <c r="Q130" s="13">
        <f>IF(AND(L130&gt;='Amort. Sched.-BASE'!$R$8, L130&lt;= ($R$7+$R$8)), Q129+O130, 0)</f>
        <v>0</v>
      </c>
      <c r="R130" s="6" t="str">
        <f>IF(AND(L130&gt;='Amort. Sched.-BASE'!$R$8, L130&lt;= ($R$7+$R$8)), N130/M130, " ")</f>
        <v xml:space="preserve"> </v>
      </c>
      <c r="S130" s="21" t="str">
        <f>IF(AND(L130&gt;='Amort. Sched.-BASE'!$R$8, L130&lt;= ($R$7+$R$8)), O130/M130, " ")</f>
        <v xml:space="preserve"> </v>
      </c>
      <c r="U130" s="22">
        <f t="shared" si="19"/>
        <v>119</v>
      </c>
      <c r="V130" s="23">
        <f>IF(AND(U130&gt;='Amort. Sched.-BASE'!$AA$8, U130&lt;= ($AA$7+$AA$8)), PMT('Amort. Sched.-BASE'!$W$8/12, 'Amort. Sched.-BASE'!$AA$7, 'Amort. Sched.-BASE'!$W$7), 0)</f>
        <v>0</v>
      </c>
      <c r="W130" s="5">
        <f>IF(AND(U130&gt;='Amort. Sched.-BASE'!$AA$8, U130&lt;= ($AA$7+$AA$8)), (IPMT($W$8/12, (U130-$AA$8), $AA$7, $W$7)), 0)</f>
        <v>0</v>
      </c>
      <c r="X130" s="23">
        <f>IF(AND(U130&gt;='Amort. Sched.-BASE'!$AA$8, U130&lt;= ($AA$7+$AA$8)), (PPMT($W$8/12, (U130-$AA$8), $AA$7, $W$7)), 0)</f>
        <v>0</v>
      </c>
      <c r="Y130" s="5">
        <f>IF(CreditAmort2BASE[[#This Row],[Month]]=AA$8,W$7,0)</f>
        <v>0</v>
      </c>
      <c r="Z130" s="13">
        <f>IF(AND(U130&gt;='Amort. Sched.-BASE'!$AA$8, U130&lt;= ($AA$7+$AA$8)), Z129+X130, 0)</f>
        <v>0</v>
      </c>
      <c r="AA130" s="24" t="str">
        <f>IF(AND(U130&gt;='Amort. Sched.-BASE'!$AA$8, U130&lt;= ($AA$7+$AA$8)), W130/V130, " ")</f>
        <v xml:space="preserve"> </v>
      </c>
      <c r="AB130" s="25" t="str">
        <f>IF(AND(U130&gt;='Amort. Sched.-BASE'!$AA$8, U130&lt;= ($AA$7+$AA$8)), X130/V130, " ")</f>
        <v xml:space="preserve"> </v>
      </c>
      <c r="AD130" s="20">
        <f t="shared" si="20"/>
        <v>119</v>
      </c>
      <c r="AE130" s="5">
        <f t="shared" si="21"/>
        <v>0</v>
      </c>
      <c r="AF130" s="5">
        <f t="shared" si="22"/>
        <v>0</v>
      </c>
      <c r="AG130" s="5">
        <f t="shared" si="23"/>
        <v>0</v>
      </c>
      <c r="AH130" s="5">
        <f>IF(CreditAmort3BASE[[#This Row],[Month]]=AJ$8,AF$7,0)</f>
        <v>0</v>
      </c>
      <c r="AI130" s="13">
        <f t="shared" si="24"/>
        <v>0</v>
      </c>
      <c r="AJ130" s="6" t="str">
        <f t="shared" si="25"/>
        <v xml:space="preserve"> </v>
      </c>
      <c r="AK130" s="21" t="str">
        <f t="shared" si="26"/>
        <v xml:space="preserve"> </v>
      </c>
      <c r="AM130" s="20">
        <f t="shared" si="27"/>
        <v>119</v>
      </c>
      <c r="AN130" s="5">
        <f t="shared" si="28"/>
        <v>0</v>
      </c>
      <c r="AO130" s="5">
        <f t="shared" si="29"/>
        <v>0</v>
      </c>
      <c r="AP130" s="5">
        <f t="shared" si="30"/>
        <v>0</v>
      </c>
      <c r="AQ130" s="5">
        <f>IF(CreditAmort4BASE[[#This Row],[Month]]=AS$8,AO$7,0)</f>
        <v>0</v>
      </c>
      <c r="AR130" s="13">
        <f t="shared" si="31"/>
        <v>0</v>
      </c>
      <c r="AS130" s="6" t="str">
        <f t="shared" si="32"/>
        <v xml:space="preserve"> </v>
      </c>
      <c r="AT130" s="21" t="str">
        <f t="shared" si="33"/>
        <v xml:space="preserve"> </v>
      </c>
    </row>
    <row r="131" spans="3:46">
      <c r="C131" s="22">
        <f t="shared" si="17"/>
        <v>120</v>
      </c>
      <c r="D131" s="23">
        <f>IF(AND(C131&gt;='Amort. Sched.-BASE'!$I$8, C131&lt;= ($I$7+$I$8)), PMT('Amort. Sched.-BASE'!$E$8/12, 'Amort. Sched.-BASE'!$I$7, 'Amort. Sched.-BASE'!$E$7), 0)</f>
        <v>-1736.5864935892569</v>
      </c>
      <c r="E131" s="5">
        <f>IF(AND(C131&gt;='Amort. Sched.-BASE'!$I$8, C131&lt;= ($I$7+$I$8)), (IPMT($E$8/12, (C131-$I$8), $I$7, $E$7)), 0)</f>
        <v>-1214.9273212840519</v>
      </c>
      <c r="F131" s="23">
        <f>IF(AND(C131&gt;='Amort. Sched.-BASE'!$I$8, C131&lt;= ($I$7+$I$8)), (PPMT($E$8/12, (C131-$I$8), $I$7, $E$7)), 0)</f>
        <v>-521.65917230520495</v>
      </c>
      <c r="G131" s="5">
        <f>IF(MortgageAmortBASE[[#This Row],[Month]]=I$8,E$7,0)</f>
        <v>0</v>
      </c>
      <c r="H131" s="13">
        <f>IF(AND(C131&gt;='Amort. Sched.-BASE'!$I$8, C131&lt;= ($I$7+$I$8)), H130+F131, 0)</f>
        <v>181717.43902030255</v>
      </c>
      <c r="I131" s="24">
        <f>IF(AND(C131&gt;='Amort. Sched.-BASE'!$I$8, C131&lt;= ($I$7+$I$8)), E131/D131, " ")</f>
        <v>0.69960657057339204</v>
      </c>
      <c r="J131" s="25">
        <f>IF(AND(C131&gt;='Amort. Sched.-BASE'!$I$8, C131&lt;= ($I$7+$I$8)), F131/D131, " ")</f>
        <v>0.30039342942660791</v>
      </c>
      <c r="L131" s="20">
        <f t="shared" si="18"/>
        <v>120</v>
      </c>
      <c r="M131" s="5">
        <f>IF(AND(L131&gt;='Amort. Sched.-BASE'!$R$8, L131&lt;= ($R$7+$R$8)), PMT('Amort. Sched.-BASE'!$N$8/12, 'Amort. Sched.-BASE'!$R$7, 'Amort. Sched.-BASE'!$N$7), 0)</f>
        <v>0</v>
      </c>
      <c r="N131" s="5">
        <f>IF(AND(L131&gt;='Amort. Sched.-BASE'!$R$8, L131&lt;= ($R$7+$R$8)), (IPMT($N$8/12, (L131-$R$8), $R$7, $N$7)), 0)</f>
        <v>0</v>
      </c>
      <c r="O131" s="5">
        <f>IF(AND(L131&gt;='Amort. Sched.-BASE'!$R$8, L131&lt;= ($R$7+$R$8)), (PPMT($N$8/12, (L131-$R$8), $R$7, $N$7)), 0)</f>
        <v>0</v>
      </c>
      <c r="P131" s="5">
        <f>IF(CreditAmort1BASE[[#This Row],[Month]]=R$8,N$7,0)</f>
        <v>0</v>
      </c>
      <c r="Q131" s="13">
        <f>IF(AND(L131&gt;='Amort. Sched.-BASE'!$R$8, L131&lt;= ($R$7+$R$8)), Q130+O131, 0)</f>
        <v>0</v>
      </c>
      <c r="R131" s="6" t="str">
        <f>IF(AND(L131&gt;='Amort. Sched.-BASE'!$R$8, L131&lt;= ($R$7+$R$8)), N131/M131, " ")</f>
        <v xml:space="preserve"> </v>
      </c>
      <c r="S131" s="21" t="str">
        <f>IF(AND(L131&gt;='Amort. Sched.-BASE'!$R$8, L131&lt;= ($R$7+$R$8)), O131/M131, " ")</f>
        <v xml:space="preserve"> </v>
      </c>
      <c r="U131" s="22">
        <f t="shared" si="19"/>
        <v>120</v>
      </c>
      <c r="V131" s="23">
        <f>IF(AND(U131&gt;='Amort. Sched.-BASE'!$AA$8, U131&lt;= ($AA$7+$AA$8)), PMT('Amort. Sched.-BASE'!$W$8/12, 'Amort. Sched.-BASE'!$AA$7, 'Amort. Sched.-BASE'!$W$7), 0)</f>
        <v>0</v>
      </c>
      <c r="W131" s="5">
        <f>IF(AND(U131&gt;='Amort. Sched.-BASE'!$AA$8, U131&lt;= ($AA$7+$AA$8)), (IPMT($W$8/12, (U131-$AA$8), $AA$7, $W$7)), 0)</f>
        <v>0</v>
      </c>
      <c r="X131" s="23">
        <f>IF(AND(U131&gt;='Amort. Sched.-BASE'!$AA$8, U131&lt;= ($AA$7+$AA$8)), (PPMT($W$8/12, (U131-$AA$8), $AA$7, $W$7)), 0)</f>
        <v>0</v>
      </c>
      <c r="Y131" s="5">
        <f>IF(CreditAmort2BASE[[#This Row],[Month]]=AA$8,W$7,0)</f>
        <v>0</v>
      </c>
      <c r="Z131" s="13">
        <f>IF(AND(U131&gt;='Amort. Sched.-BASE'!$AA$8, U131&lt;= ($AA$7+$AA$8)), Z130+X131, 0)</f>
        <v>0</v>
      </c>
      <c r="AA131" s="24" t="str">
        <f>IF(AND(U131&gt;='Amort. Sched.-BASE'!$AA$8, U131&lt;= ($AA$7+$AA$8)), W131/V131, " ")</f>
        <v xml:space="preserve"> </v>
      </c>
      <c r="AB131" s="25" t="str">
        <f>IF(AND(U131&gt;='Amort. Sched.-BASE'!$AA$8, U131&lt;= ($AA$7+$AA$8)), X131/V131, " ")</f>
        <v xml:space="preserve"> </v>
      </c>
      <c r="AD131" s="20">
        <f t="shared" si="20"/>
        <v>120</v>
      </c>
      <c r="AE131" s="5">
        <f t="shared" si="21"/>
        <v>0</v>
      </c>
      <c r="AF131" s="5">
        <f t="shared" si="22"/>
        <v>0</v>
      </c>
      <c r="AG131" s="5">
        <f t="shared" si="23"/>
        <v>0</v>
      </c>
      <c r="AH131" s="5">
        <f>IF(CreditAmort3BASE[[#This Row],[Month]]=AJ$8,AF$7,0)</f>
        <v>0</v>
      </c>
      <c r="AI131" s="13">
        <f t="shared" si="24"/>
        <v>0</v>
      </c>
      <c r="AJ131" s="6" t="str">
        <f t="shared" si="25"/>
        <v xml:space="preserve"> </v>
      </c>
      <c r="AK131" s="21" t="str">
        <f t="shared" si="26"/>
        <v xml:space="preserve"> </v>
      </c>
      <c r="AM131" s="20">
        <f t="shared" si="27"/>
        <v>120</v>
      </c>
      <c r="AN131" s="5">
        <f t="shared" si="28"/>
        <v>0</v>
      </c>
      <c r="AO131" s="5">
        <f t="shared" si="29"/>
        <v>0</v>
      </c>
      <c r="AP131" s="5">
        <f t="shared" si="30"/>
        <v>0</v>
      </c>
      <c r="AQ131" s="5">
        <f>IF(CreditAmort4BASE[[#This Row],[Month]]=AS$8,AO$7,0)</f>
        <v>0</v>
      </c>
      <c r="AR131" s="13">
        <f t="shared" si="31"/>
        <v>0</v>
      </c>
      <c r="AS131" s="6" t="str">
        <f t="shared" si="32"/>
        <v xml:space="preserve"> </v>
      </c>
      <c r="AT131" s="21" t="str">
        <f t="shared" si="33"/>
        <v xml:space="preserve"> </v>
      </c>
    </row>
    <row r="132" spans="3:46">
      <c r="C132" s="22">
        <f t="shared" si="17"/>
        <v>121</v>
      </c>
      <c r="D132" s="23">
        <f>IF(AND(C132&gt;='Amort. Sched.-BASE'!$I$8, C132&lt;= ($I$7+$I$8)), PMT('Amort. Sched.-BASE'!$E$8/12, 'Amort. Sched.-BASE'!$I$7, 'Amort. Sched.-BASE'!$E$7), 0)</f>
        <v>-1736.5864935892569</v>
      </c>
      <c r="E132" s="5">
        <f>IF(AND(C132&gt;='Amort. Sched.-BASE'!$I$8, C132&lt;= ($I$7+$I$8)), (IPMT($E$8/12, (C132-$I$8), $I$7, $E$7)), 0)</f>
        <v>-1211.449593468684</v>
      </c>
      <c r="F132" s="23">
        <f>IF(AND(C132&gt;='Amort. Sched.-BASE'!$I$8, C132&lt;= ($I$7+$I$8)), (PPMT($E$8/12, (C132-$I$8), $I$7, $E$7)), 0)</f>
        <v>-525.13690012057305</v>
      </c>
      <c r="G132" s="5">
        <f>IF(MortgageAmortBASE[[#This Row],[Month]]=I$8,E$7,0)</f>
        <v>0</v>
      </c>
      <c r="H132" s="13">
        <f>IF(AND(C132&gt;='Amort. Sched.-BASE'!$I$8, C132&lt;= ($I$7+$I$8)), H131+F132, 0)</f>
        <v>181192.30212018199</v>
      </c>
      <c r="I132" s="24">
        <f>IF(AND(C132&gt;='Amort. Sched.-BASE'!$I$8, C132&lt;= ($I$7+$I$8)), E132/D132, " ")</f>
        <v>0.69760394771054812</v>
      </c>
      <c r="J132" s="25">
        <f>IF(AND(C132&gt;='Amort. Sched.-BASE'!$I$8, C132&lt;= ($I$7+$I$8)), F132/D132, " ")</f>
        <v>0.30239605228945199</v>
      </c>
      <c r="L132" s="20">
        <f t="shared" si="18"/>
        <v>121</v>
      </c>
      <c r="M132" s="5">
        <f>IF(AND(L132&gt;='Amort. Sched.-BASE'!$R$8, L132&lt;= ($R$7+$R$8)), PMT('Amort. Sched.-BASE'!$N$8/12, 'Amort. Sched.-BASE'!$R$7, 'Amort. Sched.-BASE'!$N$7), 0)</f>
        <v>0</v>
      </c>
      <c r="N132" s="5">
        <f>IF(AND(L132&gt;='Amort. Sched.-BASE'!$R$8, L132&lt;= ($R$7+$R$8)), (IPMT($N$8/12, (L132-$R$8), $R$7, $N$7)), 0)</f>
        <v>0</v>
      </c>
      <c r="O132" s="5">
        <f>IF(AND(L132&gt;='Amort. Sched.-BASE'!$R$8, L132&lt;= ($R$7+$R$8)), (PPMT($N$8/12, (L132-$R$8), $R$7, $N$7)), 0)</f>
        <v>0</v>
      </c>
      <c r="P132" s="5">
        <f>IF(CreditAmort1BASE[[#This Row],[Month]]=R$8,N$7,0)</f>
        <v>0</v>
      </c>
      <c r="Q132" s="13">
        <f>IF(AND(L132&gt;='Amort. Sched.-BASE'!$R$8, L132&lt;= ($R$7+$R$8)), Q131+O132, 0)</f>
        <v>0</v>
      </c>
      <c r="R132" s="6" t="str">
        <f>IF(AND(L132&gt;='Amort. Sched.-BASE'!$R$8, L132&lt;= ($R$7+$R$8)), N132/M132, " ")</f>
        <v xml:space="preserve"> </v>
      </c>
      <c r="S132" s="21" t="str">
        <f>IF(AND(L132&gt;='Amort. Sched.-BASE'!$R$8, L132&lt;= ($R$7+$R$8)), O132/M132, " ")</f>
        <v xml:space="preserve"> </v>
      </c>
      <c r="U132" s="22">
        <f t="shared" si="19"/>
        <v>121</v>
      </c>
      <c r="V132" s="23">
        <f>IF(AND(U132&gt;='Amort. Sched.-BASE'!$AA$8, U132&lt;= ($AA$7+$AA$8)), PMT('Amort. Sched.-BASE'!$W$8/12, 'Amort. Sched.-BASE'!$AA$7, 'Amort. Sched.-BASE'!$W$7), 0)</f>
        <v>0</v>
      </c>
      <c r="W132" s="5">
        <f>IF(AND(U132&gt;='Amort. Sched.-BASE'!$AA$8, U132&lt;= ($AA$7+$AA$8)), (IPMT($W$8/12, (U132-$AA$8), $AA$7, $W$7)), 0)</f>
        <v>0</v>
      </c>
      <c r="X132" s="23">
        <f>IF(AND(U132&gt;='Amort. Sched.-BASE'!$AA$8, U132&lt;= ($AA$7+$AA$8)), (PPMT($W$8/12, (U132-$AA$8), $AA$7, $W$7)), 0)</f>
        <v>0</v>
      </c>
      <c r="Y132" s="5">
        <f>IF(CreditAmort2BASE[[#This Row],[Month]]=AA$8,W$7,0)</f>
        <v>0</v>
      </c>
      <c r="Z132" s="13">
        <f>IF(AND(U132&gt;='Amort. Sched.-BASE'!$AA$8, U132&lt;= ($AA$7+$AA$8)), Z131+X132, 0)</f>
        <v>0</v>
      </c>
      <c r="AA132" s="24" t="str">
        <f>IF(AND(U132&gt;='Amort. Sched.-BASE'!$AA$8, U132&lt;= ($AA$7+$AA$8)), W132/V132, " ")</f>
        <v xml:space="preserve"> </v>
      </c>
      <c r="AB132" s="25" t="str">
        <f>IF(AND(U132&gt;='Amort. Sched.-BASE'!$AA$8, U132&lt;= ($AA$7+$AA$8)), X132/V132, " ")</f>
        <v xml:space="preserve"> </v>
      </c>
      <c r="AD132" s="20">
        <f t="shared" si="20"/>
        <v>121</v>
      </c>
      <c r="AE132" s="5">
        <f t="shared" si="21"/>
        <v>0</v>
      </c>
      <c r="AF132" s="5">
        <f t="shared" si="22"/>
        <v>0</v>
      </c>
      <c r="AG132" s="5">
        <f t="shared" si="23"/>
        <v>0</v>
      </c>
      <c r="AH132" s="5">
        <f>IF(CreditAmort3BASE[[#This Row],[Month]]=AJ$8,AF$7,0)</f>
        <v>0</v>
      </c>
      <c r="AI132" s="13">
        <f t="shared" si="24"/>
        <v>0</v>
      </c>
      <c r="AJ132" s="6" t="str">
        <f t="shared" si="25"/>
        <v xml:space="preserve"> </v>
      </c>
      <c r="AK132" s="21" t="str">
        <f t="shared" si="26"/>
        <v xml:space="preserve"> </v>
      </c>
      <c r="AM132" s="20">
        <f t="shared" si="27"/>
        <v>121</v>
      </c>
      <c r="AN132" s="5">
        <f t="shared" si="28"/>
        <v>0</v>
      </c>
      <c r="AO132" s="5">
        <f t="shared" si="29"/>
        <v>0</v>
      </c>
      <c r="AP132" s="5">
        <f t="shared" si="30"/>
        <v>0</v>
      </c>
      <c r="AQ132" s="5">
        <f>IF(CreditAmort4BASE[[#This Row],[Month]]=AS$8,AO$7,0)</f>
        <v>0</v>
      </c>
      <c r="AR132" s="13">
        <f t="shared" si="31"/>
        <v>0</v>
      </c>
      <c r="AS132" s="6" t="str">
        <f t="shared" si="32"/>
        <v xml:space="preserve"> </v>
      </c>
      <c r="AT132" s="21" t="str">
        <f t="shared" si="33"/>
        <v xml:space="preserve"> </v>
      </c>
    </row>
    <row r="133" spans="3:46">
      <c r="C133" s="22">
        <f t="shared" si="17"/>
        <v>122</v>
      </c>
      <c r="D133" s="23">
        <f>IF(AND(C133&gt;='Amort. Sched.-BASE'!$I$8, C133&lt;= ($I$7+$I$8)), PMT('Amort. Sched.-BASE'!$E$8/12, 'Amort. Sched.-BASE'!$I$7, 'Amort. Sched.-BASE'!$E$7), 0)</f>
        <v>-1736.5864935892569</v>
      </c>
      <c r="E133" s="5">
        <f>IF(AND(C133&gt;='Amort. Sched.-BASE'!$I$8, C133&lt;= ($I$7+$I$8)), (IPMT($E$8/12, (C133-$I$8), $I$7, $E$7)), 0)</f>
        <v>-1207.9486808012136</v>
      </c>
      <c r="F133" s="23">
        <f>IF(AND(C133&gt;='Amort. Sched.-BASE'!$I$8, C133&lt;= ($I$7+$I$8)), (PPMT($E$8/12, (C133-$I$8), $I$7, $E$7)), 0)</f>
        <v>-528.63781278804345</v>
      </c>
      <c r="G133" s="5">
        <f>IF(MortgageAmortBASE[[#This Row],[Month]]=I$8,E$7,0)</f>
        <v>0</v>
      </c>
      <c r="H133" s="13">
        <f>IF(AND(C133&gt;='Amort. Sched.-BASE'!$I$8, C133&lt;= ($I$7+$I$8)), H132+F133, 0)</f>
        <v>180663.66430739395</v>
      </c>
      <c r="I133" s="24">
        <f>IF(AND(C133&gt;='Amort. Sched.-BASE'!$I$8, C133&lt;= ($I$7+$I$8)), E133/D133, " ")</f>
        <v>0.69558797402861849</v>
      </c>
      <c r="J133" s="25">
        <f>IF(AND(C133&gt;='Amort. Sched.-BASE'!$I$8, C133&lt;= ($I$7+$I$8)), F133/D133, " ")</f>
        <v>0.30441202597138167</v>
      </c>
      <c r="L133" s="20">
        <f t="shared" si="18"/>
        <v>122</v>
      </c>
      <c r="M133" s="5">
        <f>IF(AND(L133&gt;='Amort. Sched.-BASE'!$R$8, L133&lt;= ($R$7+$R$8)), PMT('Amort. Sched.-BASE'!$N$8/12, 'Amort. Sched.-BASE'!$R$7, 'Amort. Sched.-BASE'!$N$7), 0)</f>
        <v>0</v>
      </c>
      <c r="N133" s="5">
        <f>IF(AND(L133&gt;='Amort. Sched.-BASE'!$R$8, L133&lt;= ($R$7+$R$8)), (IPMT($N$8/12, (L133-$R$8), $R$7, $N$7)), 0)</f>
        <v>0</v>
      </c>
      <c r="O133" s="5">
        <f>IF(AND(L133&gt;='Amort. Sched.-BASE'!$R$8, L133&lt;= ($R$7+$R$8)), (PPMT($N$8/12, (L133-$R$8), $R$7, $N$7)), 0)</f>
        <v>0</v>
      </c>
      <c r="P133" s="5">
        <f>IF(CreditAmort1BASE[[#This Row],[Month]]=R$8,N$7,0)</f>
        <v>0</v>
      </c>
      <c r="Q133" s="13">
        <f>IF(AND(L133&gt;='Amort. Sched.-BASE'!$R$8, L133&lt;= ($R$7+$R$8)), Q132+O133, 0)</f>
        <v>0</v>
      </c>
      <c r="R133" s="6" t="str">
        <f>IF(AND(L133&gt;='Amort. Sched.-BASE'!$R$8, L133&lt;= ($R$7+$R$8)), N133/M133, " ")</f>
        <v xml:space="preserve"> </v>
      </c>
      <c r="S133" s="21" t="str">
        <f>IF(AND(L133&gt;='Amort. Sched.-BASE'!$R$8, L133&lt;= ($R$7+$R$8)), O133/M133, " ")</f>
        <v xml:space="preserve"> </v>
      </c>
      <c r="U133" s="22">
        <f t="shared" si="19"/>
        <v>122</v>
      </c>
      <c r="V133" s="23">
        <f>IF(AND(U133&gt;='Amort. Sched.-BASE'!$AA$8, U133&lt;= ($AA$7+$AA$8)), PMT('Amort. Sched.-BASE'!$W$8/12, 'Amort. Sched.-BASE'!$AA$7, 'Amort. Sched.-BASE'!$W$7), 0)</f>
        <v>0</v>
      </c>
      <c r="W133" s="5">
        <f>IF(AND(U133&gt;='Amort. Sched.-BASE'!$AA$8, U133&lt;= ($AA$7+$AA$8)), (IPMT($W$8/12, (U133-$AA$8), $AA$7, $W$7)), 0)</f>
        <v>0</v>
      </c>
      <c r="X133" s="23">
        <f>IF(AND(U133&gt;='Amort. Sched.-BASE'!$AA$8, U133&lt;= ($AA$7+$AA$8)), (PPMT($W$8/12, (U133-$AA$8), $AA$7, $W$7)), 0)</f>
        <v>0</v>
      </c>
      <c r="Y133" s="5">
        <f>IF(CreditAmort2BASE[[#This Row],[Month]]=AA$8,W$7,0)</f>
        <v>0</v>
      </c>
      <c r="Z133" s="13">
        <f>IF(AND(U133&gt;='Amort. Sched.-BASE'!$AA$8, U133&lt;= ($AA$7+$AA$8)), Z132+X133, 0)</f>
        <v>0</v>
      </c>
      <c r="AA133" s="24" t="str">
        <f>IF(AND(U133&gt;='Amort. Sched.-BASE'!$AA$8, U133&lt;= ($AA$7+$AA$8)), W133/V133, " ")</f>
        <v xml:space="preserve"> </v>
      </c>
      <c r="AB133" s="25" t="str">
        <f>IF(AND(U133&gt;='Amort. Sched.-BASE'!$AA$8, U133&lt;= ($AA$7+$AA$8)), X133/V133, " ")</f>
        <v xml:space="preserve"> </v>
      </c>
      <c r="AD133" s="20">
        <f t="shared" si="20"/>
        <v>122</v>
      </c>
      <c r="AE133" s="5">
        <f t="shared" si="21"/>
        <v>0</v>
      </c>
      <c r="AF133" s="5">
        <f t="shared" si="22"/>
        <v>0</v>
      </c>
      <c r="AG133" s="5">
        <f t="shared" si="23"/>
        <v>0</v>
      </c>
      <c r="AH133" s="5">
        <f>IF(CreditAmort3BASE[[#This Row],[Month]]=AJ$8,AF$7,0)</f>
        <v>0</v>
      </c>
      <c r="AI133" s="13">
        <f t="shared" si="24"/>
        <v>0</v>
      </c>
      <c r="AJ133" s="6" t="str">
        <f t="shared" si="25"/>
        <v xml:space="preserve"> </v>
      </c>
      <c r="AK133" s="21" t="str">
        <f t="shared" si="26"/>
        <v xml:space="preserve"> </v>
      </c>
      <c r="AM133" s="20">
        <f t="shared" si="27"/>
        <v>122</v>
      </c>
      <c r="AN133" s="5">
        <f t="shared" si="28"/>
        <v>0</v>
      </c>
      <c r="AO133" s="5">
        <f t="shared" si="29"/>
        <v>0</v>
      </c>
      <c r="AP133" s="5">
        <f t="shared" si="30"/>
        <v>0</v>
      </c>
      <c r="AQ133" s="5">
        <f>IF(CreditAmort4BASE[[#This Row],[Month]]=AS$8,AO$7,0)</f>
        <v>0</v>
      </c>
      <c r="AR133" s="13">
        <f t="shared" si="31"/>
        <v>0</v>
      </c>
      <c r="AS133" s="6" t="str">
        <f t="shared" si="32"/>
        <v xml:space="preserve"> </v>
      </c>
      <c r="AT133" s="21" t="str">
        <f t="shared" si="33"/>
        <v xml:space="preserve"> </v>
      </c>
    </row>
    <row r="134" spans="3:46">
      <c r="C134" s="22">
        <f t="shared" si="17"/>
        <v>123</v>
      </c>
      <c r="D134" s="23">
        <f>IF(AND(C134&gt;='Amort. Sched.-BASE'!$I$8, C134&lt;= ($I$7+$I$8)), PMT('Amort. Sched.-BASE'!$E$8/12, 'Amort. Sched.-BASE'!$I$7, 'Amort. Sched.-BASE'!$E$7), 0)</f>
        <v>-1736.5864935892569</v>
      </c>
      <c r="E134" s="5">
        <f>IF(AND(C134&gt;='Amort. Sched.-BASE'!$I$8, C134&lt;= ($I$7+$I$8)), (IPMT($E$8/12, (C134-$I$8), $I$7, $E$7)), 0)</f>
        <v>-1204.4244287159599</v>
      </c>
      <c r="F134" s="23">
        <f>IF(AND(C134&gt;='Amort. Sched.-BASE'!$I$8, C134&lt;= ($I$7+$I$8)), (PPMT($E$8/12, (C134-$I$8), $I$7, $E$7)), 0)</f>
        <v>-532.16206487329714</v>
      </c>
      <c r="G134" s="5">
        <f>IF(MortgageAmortBASE[[#This Row],[Month]]=I$8,E$7,0)</f>
        <v>0</v>
      </c>
      <c r="H134" s="13">
        <f>IF(AND(C134&gt;='Amort. Sched.-BASE'!$I$8, C134&lt;= ($I$7+$I$8)), H133+F134, 0)</f>
        <v>180131.50224252066</v>
      </c>
      <c r="I134" s="24">
        <f>IF(AND(C134&gt;='Amort. Sched.-BASE'!$I$8, C134&lt;= ($I$7+$I$8)), E134/D134, " ")</f>
        <v>0.6935585605221426</v>
      </c>
      <c r="J134" s="25">
        <f>IF(AND(C134&gt;='Amort. Sched.-BASE'!$I$8, C134&lt;= ($I$7+$I$8)), F134/D134, " ")</f>
        <v>0.30644143947785757</v>
      </c>
      <c r="L134" s="20">
        <f t="shared" si="18"/>
        <v>123</v>
      </c>
      <c r="M134" s="5">
        <f>IF(AND(L134&gt;='Amort. Sched.-BASE'!$R$8, L134&lt;= ($R$7+$R$8)), PMT('Amort. Sched.-BASE'!$N$8/12, 'Amort. Sched.-BASE'!$R$7, 'Amort. Sched.-BASE'!$N$7), 0)</f>
        <v>0</v>
      </c>
      <c r="N134" s="5">
        <f>IF(AND(L134&gt;='Amort. Sched.-BASE'!$R$8, L134&lt;= ($R$7+$R$8)), (IPMT($N$8/12, (L134-$R$8), $R$7, $N$7)), 0)</f>
        <v>0</v>
      </c>
      <c r="O134" s="5">
        <f>IF(AND(L134&gt;='Amort. Sched.-BASE'!$R$8, L134&lt;= ($R$7+$R$8)), (PPMT($N$8/12, (L134-$R$8), $R$7, $N$7)), 0)</f>
        <v>0</v>
      </c>
      <c r="P134" s="5">
        <f>IF(CreditAmort1BASE[[#This Row],[Month]]=R$8,N$7,0)</f>
        <v>0</v>
      </c>
      <c r="Q134" s="13">
        <f>IF(AND(L134&gt;='Amort. Sched.-BASE'!$R$8, L134&lt;= ($R$7+$R$8)), Q133+O134, 0)</f>
        <v>0</v>
      </c>
      <c r="R134" s="6" t="str">
        <f>IF(AND(L134&gt;='Amort. Sched.-BASE'!$R$8, L134&lt;= ($R$7+$R$8)), N134/M134, " ")</f>
        <v xml:space="preserve"> </v>
      </c>
      <c r="S134" s="21" t="str">
        <f>IF(AND(L134&gt;='Amort. Sched.-BASE'!$R$8, L134&lt;= ($R$7+$R$8)), O134/M134, " ")</f>
        <v xml:space="preserve"> </v>
      </c>
      <c r="U134" s="22">
        <f t="shared" si="19"/>
        <v>123</v>
      </c>
      <c r="V134" s="23">
        <f>IF(AND(U134&gt;='Amort. Sched.-BASE'!$AA$8, U134&lt;= ($AA$7+$AA$8)), PMT('Amort. Sched.-BASE'!$W$8/12, 'Amort. Sched.-BASE'!$AA$7, 'Amort. Sched.-BASE'!$W$7), 0)</f>
        <v>0</v>
      </c>
      <c r="W134" s="5">
        <f>IF(AND(U134&gt;='Amort. Sched.-BASE'!$AA$8, U134&lt;= ($AA$7+$AA$8)), (IPMT($W$8/12, (U134-$AA$8), $AA$7, $W$7)), 0)</f>
        <v>0</v>
      </c>
      <c r="X134" s="23">
        <f>IF(AND(U134&gt;='Amort. Sched.-BASE'!$AA$8, U134&lt;= ($AA$7+$AA$8)), (PPMT($W$8/12, (U134-$AA$8), $AA$7, $W$7)), 0)</f>
        <v>0</v>
      </c>
      <c r="Y134" s="5">
        <f>IF(CreditAmort2BASE[[#This Row],[Month]]=AA$8,W$7,0)</f>
        <v>0</v>
      </c>
      <c r="Z134" s="13">
        <f>IF(AND(U134&gt;='Amort. Sched.-BASE'!$AA$8, U134&lt;= ($AA$7+$AA$8)), Z133+X134, 0)</f>
        <v>0</v>
      </c>
      <c r="AA134" s="24" t="str">
        <f>IF(AND(U134&gt;='Amort. Sched.-BASE'!$AA$8, U134&lt;= ($AA$7+$AA$8)), W134/V134, " ")</f>
        <v xml:space="preserve"> </v>
      </c>
      <c r="AB134" s="25" t="str">
        <f>IF(AND(U134&gt;='Amort. Sched.-BASE'!$AA$8, U134&lt;= ($AA$7+$AA$8)), X134/V134, " ")</f>
        <v xml:space="preserve"> </v>
      </c>
      <c r="AD134" s="20">
        <f t="shared" si="20"/>
        <v>123</v>
      </c>
      <c r="AE134" s="5">
        <f t="shared" si="21"/>
        <v>0</v>
      </c>
      <c r="AF134" s="5">
        <f t="shared" si="22"/>
        <v>0</v>
      </c>
      <c r="AG134" s="5">
        <f t="shared" si="23"/>
        <v>0</v>
      </c>
      <c r="AH134" s="5">
        <f>IF(CreditAmort3BASE[[#This Row],[Month]]=AJ$8,AF$7,0)</f>
        <v>0</v>
      </c>
      <c r="AI134" s="13">
        <f t="shared" si="24"/>
        <v>0</v>
      </c>
      <c r="AJ134" s="6" t="str">
        <f t="shared" si="25"/>
        <v xml:space="preserve"> </v>
      </c>
      <c r="AK134" s="21" t="str">
        <f t="shared" si="26"/>
        <v xml:space="preserve"> </v>
      </c>
      <c r="AM134" s="20">
        <f t="shared" si="27"/>
        <v>123</v>
      </c>
      <c r="AN134" s="5">
        <f t="shared" si="28"/>
        <v>0</v>
      </c>
      <c r="AO134" s="5">
        <f t="shared" si="29"/>
        <v>0</v>
      </c>
      <c r="AP134" s="5">
        <f t="shared" si="30"/>
        <v>0</v>
      </c>
      <c r="AQ134" s="5">
        <f>IF(CreditAmort4BASE[[#This Row],[Month]]=AS$8,AO$7,0)</f>
        <v>0</v>
      </c>
      <c r="AR134" s="13">
        <f t="shared" si="31"/>
        <v>0</v>
      </c>
      <c r="AS134" s="6" t="str">
        <f t="shared" si="32"/>
        <v xml:space="preserve"> </v>
      </c>
      <c r="AT134" s="21" t="str">
        <f t="shared" si="33"/>
        <v xml:space="preserve"> </v>
      </c>
    </row>
    <row r="135" spans="3:46">
      <c r="C135" s="22">
        <f t="shared" si="17"/>
        <v>124</v>
      </c>
      <c r="D135" s="23">
        <f>IF(AND(C135&gt;='Amort. Sched.-BASE'!$I$8, C135&lt;= ($I$7+$I$8)), PMT('Amort. Sched.-BASE'!$E$8/12, 'Amort. Sched.-BASE'!$I$7, 'Amort. Sched.-BASE'!$E$7), 0)</f>
        <v>-1736.5864935892569</v>
      </c>
      <c r="E135" s="5">
        <f>IF(AND(C135&gt;='Amort. Sched.-BASE'!$I$8, C135&lt;= ($I$7+$I$8)), (IPMT($E$8/12, (C135-$I$8), $I$7, $E$7)), 0)</f>
        <v>-1200.8766816168045</v>
      </c>
      <c r="F135" s="23">
        <f>IF(AND(C135&gt;='Amort. Sched.-BASE'!$I$8, C135&lt;= ($I$7+$I$8)), (PPMT($E$8/12, (C135-$I$8), $I$7, $E$7)), 0)</f>
        <v>-535.70981197245226</v>
      </c>
      <c r="G135" s="5">
        <f>IF(MortgageAmortBASE[[#This Row],[Month]]=I$8,E$7,0)</f>
        <v>0</v>
      </c>
      <c r="H135" s="13">
        <f>IF(AND(C135&gt;='Amort. Sched.-BASE'!$I$8, C135&lt;= ($I$7+$I$8)), H134+F135, 0)</f>
        <v>179595.7924305482</v>
      </c>
      <c r="I135" s="24">
        <f>IF(AND(C135&gt;='Amort. Sched.-BASE'!$I$8, C135&lt;= ($I$7+$I$8)), E135/D135, " ")</f>
        <v>0.69151561759229008</v>
      </c>
      <c r="J135" s="25">
        <f>IF(AND(C135&gt;='Amort. Sched.-BASE'!$I$8, C135&lt;= ($I$7+$I$8)), F135/D135, " ")</f>
        <v>0.30848438240770981</v>
      </c>
      <c r="L135" s="20">
        <f t="shared" si="18"/>
        <v>124</v>
      </c>
      <c r="M135" s="5">
        <f>IF(AND(L135&gt;='Amort. Sched.-BASE'!$R$8, L135&lt;= ($R$7+$R$8)), PMT('Amort. Sched.-BASE'!$N$8/12, 'Amort. Sched.-BASE'!$R$7, 'Amort. Sched.-BASE'!$N$7), 0)</f>
        <v>0</v>
      </c>
      <c r="N135" s="5">
        <f>IF(AND(L135&gt;='Amort. Sched.-BASE'!$R$8, L135&lt;= ($R$7+$R$8)), (IPMT($N$8/12, (L135-$R$8), $R$7, $N$7)), 0)</f>
        <v>0</v>
      </c>
      <c r="O135" s="5">
        <f>IF(AND(L135&gt;='Amort. Sched.-BASE'!$R$8, L135&lt;= ($R$7+$R$8)), (PPMT($N$8/12, (L135-$R$8), $R$7, $N$7)), 0)</f>
        <v>0</v>
      </c>
      <c r="P135" s="5">
        <f>IF(CreditAmort1BASE[[#This Row],[Month]]=R$8,N$7,0)</f>
        <v>0</v>
      </c>
      <c r="Q135" s="13">
        <f>IF(AND(L135&gt;='Amort. Sched.-BASE'!$R$8, L135&lt;= ($R$7+$R$8)), Q134+O135, 0)</f>
        <v>0</v>
      </c>
      <c r="R135" s="6" t="str">
        <f>IF(AND(L135&gt;='Amort. Sched.-BASE'!$R$8, L135&lt;= ($R$7+$R$8)), N135/M135, " ")</f>
        <v xml:space="preserve"> </v>
      </c>
      <c r="S135" s="21" t="str">
        <f>IF(AND(L135&gt;='Amort. Sched.-BASE'!$R$8, L135&lt;= ($R$7+$R$8)), O135/M135, " ")</f>
        <v xml:space="preserve"> </v>
      </c>
      <c r="U135" s="22">
        <f t="shared" si="19"/>
        <v>124</v>
      </c>
      <c r="V135" s="23">
        <f>IF(AND(U135&gt;='Amort. Sched.-BASE'!$AA$8, U135&lt;= ($AA$7+$AA$8)), PMT('Amort. Sched.-BASE'!$W$8/12, 'Amort. Sched.-BASE'!$AA$7, 'Amort. Sched.-BASE'!$W$7), 0)</f>
        <v>0</v>
      </c>
      <c r="W135" s="5">
        <f>IF(AND(U135&gt;='Amort. Sched.-BASE'!$AA$8, U135&lt;= ($AA$7+$AA$8)), (IPMT($W$8/12, (U135-$AA$8), $AA$7, $W$7)), 0)</f>
        <v>0</v>
      </c>
      <c r="X135" s="23">
        <f>IF(AND(U135&gt;='Amort. Sched.-BASE'!$AA$8, U135&lt;= ($AA$7+$AA$8)), (PPMT($W$8/12, (U135-$AA$8), $AA$7, $W$7)), 0)</f>
        <v>0</v>
      </c>
      <c r="Y135" s="5">
        <f>IF(CreditAmort2BASE[[#This Row],[Month]]=AA$8,W$7,0)</f>
        <v>0</v>
      </c>
      <c r="Z135" s="13">
        <f>IF(AND(U135&gt;='Amort. Sched.-BASE'!$AA$8, U135&lt;= ($AA$7+$AA$8)), Z134+X135, 0)</f>
        <v>0</v>
      </c>
      <c r="AA135" s="24" t="str">
        <f>IF(AND(U135&gt;='Amort. Sched.-BASE'!$AA$8, U135&lt;= ($AA$7+$AA$8)), W135/V135, " ")</f>
        <v xml:space="preserve"> </v>
      </c>
      <c r="AB135" s="25" t="str">
        <f>IF(AND(U135&gt;='Amort. Sched.-BASE'!$AA$8, U135&lt;= ($AA$7+$AA$8)), X135/V135, " ")</f>
        <v xml:space="preserve"> </v>
      </c>
      <c r="AD135" s="20">
        <f t="shared" si="20"/>
        <v>124</v>
      </c>
      <c r="AE135" s="5">
        <f t="shared" si="21"/>
        <v>0</v>
      </c>
      <c r="AF135" s="5">
        <f t="shared" si="22"/>
        <v>0</v>
      </c>
      <c r="AG135" s="5">
        <f t="shared" si="23"/>
        <v>0</v>
      </c>
      <c r="AH135" s="5">
        <f>IF(CreditAmort3BASE[[#This Row],[Month]]=AJ$8,AF$7,0)</f>
        <v>0</v>
      </c>
      <c r="AI135" s="13">
        <f t="shared" si="24"/>
        <v>0</v>
      </c>
      <c r="AJ135" s="6" t="str">
        <f t="shared" si="25"/>
        <v xml:space="preserve"> </v>
      </c>
      <c r="AK135" s="21" t="str">
        <f t="shared" si="26"/>
        <v xml:space="preserve"> </v>
      </c>
      <c r="AM135" s="20">
        <f t="shared" si="27"/>
        <v>124</v>
      </c>
      <c r="AN135" s="5">
        <f t="shared" si="28"/>
        <v>0</v>
      </c>
      <c r="AO135" s="5">
        <f t="shared" si="29"/>
        <v>0</v>
      </c>
      <c r="AP135" s="5">
        <f t="shared" si="30"/>
        <v>0</v>
      </c>
      <c r="AQ135" s="5">
        <f>IF(CreditAmort4BASE[[#This Row],[Month]]=AS$8,AO$7,0)</f>
        <v>0</v>
      </c>
      <c r="AR135" s="13">
        <f t="shared" si="31"/>
        <v>0</v>
      </c>
      <c r="AS135" s="6" t="str">
        <f t="shared" si="32"/>
        <v xml:space="preserve"> </v>
      </c>
      <c r="AT135" s="21" t="str">
        <f t="shared" si="33"/>
        <v xml:space="preserve"> </v>
      </c>
    </row>
    <row r="136" spans="3:46">
      <c r="C136" s="22">
        <f t="shared" si="17"/>
        <v>125</v>
      </c>
      <c r="D136" s="23">
        <f>IF(AND(C136&gt;='Amort. Sched.-BASE'!$I$8, C136&lt;= ($I$7+$I$8)), PMT('Amort. Sched.-BASE'!$E$8/12, 'Amort. Sched.-BASE'!$I$7, 'Amort. Sched.-BASE'!$E$7), 0)</f>
        <v>-1736.5864935892569</v>
      </c>
      <c r="E136" s="5">
        <f>IF(AND(C136&gt;='Amort. Sched.-BASE'!$I$8, C136&lt;= ($I$7+$I$8)), (IPMT($E$8/12, (C136-$I$8), $I$7, $E$7)), 0)</f>
        <v>-1197.3052828703217</v>
      </c>
      <c r="F136" s="23">
        <f>IF(AND(C136&gt;='Amort. Sched.-BASE'!$I$8, C136&lt;= ($I$7+$I$8)), (PPMT($E$8/12, (C136-$I$8), $I$7, $E$7)), 0)</f>
        <v>-539.28121071893543</v>
      </c>
      <c r="G136" s="5">
        <f>IF(MortgageAmortBASE[[#This Row],[Month]]=I$8,E$7,0)</f>
        <v>0</v>
      </c>
      <c r="H136" s="13">
        <f>IF(AND(C136&gt;='Amort. Sched.-BASE'!$I$8, C136&lt;= ($I$7+$I$8)), H135+F136, 0)</f>
        <v>179056.51121982926</v>
      </c>
      <c r="I136" s="24">
        <f>IF(AND(C136&gt;='Amort. Sched.-BASE'!$I$8, C136&lt;= ($I$7+$I$8)), E136/D136, " ")</f>
        <v>0.6894590550429055</v>
      </c>
      <c r="J136" s="25">
        <f>IF(AND(C136&gt;='Amort. Sched.-BASE'!$I$8, C136&lt;= ($I$7+$I$8)), F136/D136, " ")</f>
        <v>0.31054094495709467</v>
      </c>
      <c r="L136" s="20">
        <f t="shared" si="18"/>
        <v>125</v>
      </c>
      <c r="M136" s="5">
        <f>IF(AND(L136&gt;='Amort. Sched.-BASE'!$R$8, L136&lt;= ($R$7+$R$8)), PMT('Amort. Sched.-BASE'!$N$8/12, 'Amort. Sched.-BASE'!$R$7, 'Amort. Sched.-BASE'!$N$7), 0)</f>
        <v>0</v>
      </c>
      <c r="N136" s="5">
        <f>IF(AND(L136&gt;='Amort. Sched.-BASE'!$R$8, L136&lt;= ($R$7+$R$8)), (IPMT($N$8/12, (L136-$R$8), $R$7, $N$7)), 0)</f>
        <v>0</v>
      </c>
      <c r="O136" s="5">
        <f>IF(AND(L136&gt;='Amort. Sched.-BASE'!$R$8, L136&lt;= ($R$7+$R$8)), (PPMT($N$8/12, (L136-$R$8), $R$7, $N$7)), 0)</f>
        <v>0</v>
      </c>
      <c r="P136" s="5">
        <f>IF(CreditAmort1BASE[[#This Row],[Month]]=R$8,N$7,0)</f>
        <v>0</v>
      </c>
      <c r="Q136" s="13">
        <f>IF(AND(L136&gt;='Amort. Sched.-BASE'!$R$8, L136&lt;= ($R$7+$R$8)), Q135+O136, 0)</f>
        <v>0</v>
      </c>
      <c r="R136" s="6" t="str">
        <f>IF(AND(L136&gt;='Amort. Sched.-BASE'!$R$8, L136&lt;= ($R$7+$R$8)), N136/M136, " ")</f>
        <v xml:space="preserve"> </v>
      </c>
      <c r="S136" s="21" t="str">
        <f>IF(AND(L136&gt;='Amort. Sched.-BASE'!$R$8, L136&lt;= ($R$7+$R$8)), O136/M136, " ")</f>
        <v xml:space="preserve"> </v>
      </c>
      <c r="U136" s="22">
        <f t="shared" si="19"/>
        <v>125</v>
      </c>
      <c r="V136" s="23">
        <f>IF(AND(U136&gt;='Amort. Sched.-BASE'!$AA$8, U136&lt;= ($AA$7+$AA$8)), PMT('Amort. Sched.-BASE'!$W$8/12, 'Amort. Sched.-BASE'!$AA$7, 'Amort. Sched.-BASE'!$W$7), 0)</f>
        <v>0</v>
      </c>
      <c r="W136" s="5">
        <f>IF(AND(U136&gt;='Amort. Sched.-BASE'!$AA$8, U136&lt;= ($AA$7+$AA$8)), (IPMT($W$8/12, (U136-$AA$8), $AA$7, $W$7)), 0)</f>
        <v>0</v>
      </c>
      <c r="X136" s="23">
        <f>IF(AND(U136&gt;='Amort. Sched.-BASE'!$AA$8, U136&lt;= ($AA$7+$AA$8)), (PPMT($W$8/12, (U136-$AA$8), $AA$7, $W$7)), 0)</f>
        <v>0</v>
      </c>
      <c r="Y136" s="5">
        <f>IF(CreditAmort2BASE[[#This Row],[Month]]=AA$8,W$7,0)</f>
        <v>0</v>
      </c>
      <c r="Z136" s="13">
        <f>IF(AND(U136&gt;='Amort. Sched.-BASE'!$AA$8, U136&lt;= ($AA$7+$AA$8)), Z135+X136, 0)</f>
        <v>0</v>
      </c>
      <c r="AA136" s="24" t="str">
        <f>IF(AND(U136&gt;='Amort. Sched.-BASE'!$AA$8, U136&lt;= ($AA$7+$AA$8)), W136/V136, " ")</f>
        <v xml:space="preserve"> </v>
      </c>
      <c r="AB136" s="25" t="str">
        <f>IF(AND(U136&gt;='Amort. Sched.-BASE'!$AA$8, U136&lt;= ($AA$7+$AA$8)), X136/V136, " ")</f>
        <v xml:space="preserve"> </v>
      </c>
      <c r="AD136" s="20">
        <f t="shared" si="20"/>
        <v>125</v>
      </c>
      <c r="AE136" s="5">
        <f t="shared" si="21"/>
        <v>0</v>
      </c>
      <c r="AF136" s="5">
        <f t="shared" si="22"/>
        <v>0</v>
      </c>
      <c r="AG136" s="5">
        <f t="shared" si="23"/>
        <v>0</v>
      </c>
      <c r="AH136" s="5">
        <f>IF(CreditAmort3BASE[[#This Row],[Month]]=AJ$8,AF$7,0)</f>
        <v>0</v>
      </c>
      <c r="AI136" s="13">
        <f t="shared" si="24"/>
        <v>0</v>
      </c>
      <c r="AJ136" s="6" t="str">
        <f t="shared" si="25"/>
        <v xml:space="preserve"> </v>
      </c>
      <c r="AK136" s="21" t="str">
        <f t="shared" si="26"/>
        <v xml:space="preserve"> </v>
      </c>
      <c r="AM136" s="20">
        <f t="shared" si="27"/>
        <v>125</v>
      </c>
      <c r="AN136" s="5">
        <f t="shared" si="28"/>
        <v>0</v>
      </c>
      <c r="AO136" s="5">
        <f t="shared" si="29"/>
        <v>0</v>
      </c>
      <c r="AP136" s="5">
        <f t="shared" si="30"/>
        <v>0</v>
      </c>
      <c r="AQ136" s="5">
        <f>IF(CreditAmort4BASE[[#This Row],[Month]]=AS$8,AO$7,0)</f>
        <v>0</v>
      </c>
      <c r="AR136" s="13">
        <f t="shared" si="31"/>
        <v>0</v>
      </c>
      <c r="AS136" s="6" t="str">
        <f t="shared" si="32"/>
        <v xml:space="preserve"> </v>
      </c>
      <c r="AT136" s="21" t="str">
        <f t="shared" si="33"/>
        <v xml:space="preserve"> </v>
      </c>
    </row>
    <row r="137" spans="3:46">
      <c r="C137" s="22">
        <f t="shared" si="17"/>
        <v>126</v>
      </c>
      <c r="D137" s="23">
        <f>IF(AND(C137&gt;='Amort. Sched.-BASE'!$I$8, C137&lt;= ($I$7+$I$8)), PMT('Amort. Sched.-BASE'!$E$8/12, 'Amort. Sched.-BASE'!$I$7, 'Amort. Sched.-BASE'!$E$7), 0)</f>
        <v>-1736.5864935892569</v>
      </c>
      <c r="E137" s="5">
        <f>IF(AND(C137&gt;='Amort. Sched.-BASE'!$I$8, C137&lt;= ($I$7+$I$8)), (IPMT($E$8/12, (C137-$I$8), $I$7, $E$7)), 0)</f>
        <v>-1193.710074798862</v>
      </c>
      <c r="F137" s="23">
        <f>IF(AND(C137&gt;='Amort. Sched.-BASE'!$I$8, C137&lt;= ($I$7+$I$8)), (PPMT($E$8/12, (C137-$I$8), $I$7, $E$7)), 0)</f>
        <v>-542.87641879039495</v>
      </c>
      <c r="G137" s="5">
        <f>IF(MortgageAmortBASE[[#This Row],[Month]]=I$8,E$7,0)</f>
        <v>0</v>
      </c>
      <c r="H137" s="13">
        <f>IF(AND(C137&gt;='Amort. Sched.-BASE'!$I$8, C137&lt;= ($I$7+$I$8)), H136+F137, 0)</f>
        <v>178513.63480103886</v>
      </c>
      <c r="I137" s="24">
        <f>IF(AND(C137&gt;='Amort. Sched.-BASE'!$I$8, C137&lt;= ($I$7+$I$8)), E137/D137, " ")</f>
        <v>0.68738878207652476</v>
      </c>
      <c r="J137" s="25">
        <f>IF(AND(C137&gt;='Amort. Sched.-BASE'!$I$8, C137&lt;= ($I$7+$I$8)), F137/D137, " ")</f>
        <v>0.31261121792347524</v>
      </c>
      <c r="L137" s="20">
        <f t="shared" si="18"/>
        <v>126</v>
      </c>
      <c r="M137" s="5">
        <f>IF(AND(L137&gt;='Amort. Sched.-BASE'!$R$8, L137&lt;= ($R$7+$R$8)), PMT('Amort. Sched.-BASE'!$N$8/12, 'Amort. Sched.-BASE'!$R$7, 'Amort. Sched.-BASE'!$N$7), 0)</f>
        <v>0</v>
      </c>
      <c r="N137" s="5">
        <f>IF(AND(L137&gt;='Amort. Sched.-BASE'!$R$8, L137&lt;= ($R$7+$R$8)), (IPMT($N$8/12, (L137-$R$8), $R$7, $N$7)), 0)</f>
        <v>0</v>
      </c>
      <c r="O137" s="5">
        <f>IF(AND(L137&gt;='Amort. Sched.-BASE'!$R$8, L137&lt;= ($R$7+$R$8)), (PPMT($N$8/12, (L137-$R$8), $R$7, $N$7)), 0)</f>
        <v>0</v>
      </c>
      <c r="P137" s="5">
        <f>IF(CreditAmort1BASE[[#This Row],[Month]]=R$8,N$7,0)</f>
        <v>0</v>
      </c>
      <c r="Q137" s="13">
        <f>IF(AND(L137&gt;='Amort. Sched.-BASE'!$R$8, L137&lt;= ($R$7+$R$8)), Q136+O137, 0)</f>
        <v>0</v>
      </c>
      <c r="R137" s="6" t="str">
        <f>IF(AND(L137&gt;='Amort. Sched.-BASE'!$R$8, L137&lt;= ($R$7+$R$8)), N137/M137, " ")</f>
        <v xml:space="preserve"> </v>
      </c>
      <c r="S137" s="21" t="str">
        <f>IF(AND(L137&gt;='Amort. Sched.-BASE'!$R$8, L137&lt;= ($R$7+$R$8)), O137/M137, " ")</f>
        <v xml:space="preserve"> </v>
      </c>
      <c r="U137" s="22">
        <f t="shared" si="19"/>
        <v>126</v>
      </c>
      <c r="V137" s="23">
        <f>IF(AND(U137&gt;='Amort. Sched.-BASE'!$AA$8, U137&lt;= ($AA$7+$AA$8)), PMT('Amort. Sched.-BASE'!$W$8/12, 'Amort. Sched.-BASE'!$AA$7, 'Amort. Sched.-BASE'!$W$7), 0)</f>
        <v>0</v>
      </c>
      <c r="W137" s="5">
        <f>IF(AND(U137&gt;='Amort. Sched.-BASE'!$AA$8, U137&lt;= ($AA$7+$AA$8)), (IPMT($W$8/12, (U137-$AA$8), $AA$7, $W$7)), 0)</f>
        <v>0</v>
      </c>
      <c r="X137" s="23">
        <f>IF(AND(U137&gt;='Amort. Sched.-BASE'!$AA$8, U137&lt;= ($AA$7+$AA$8)), (PPMT($W$8/12, (U137-$AA$8), $AA$7, $W$7)), 0)</f>
        <v>0</v>
      </c>
      <c r="Y137" s="5">
        <f>IF(CreditAmort2BASE[[#This Row],[Month]]=AA$8,W$7,0)</f>
        <v>0</v>
      </c>
      <c r="Z137" s="13">
        <f>IF(AND(U137&gt;='Amort. Sched.-BASE'!$AA$8, U137&lt;= ($AA$7+$AA$8)), Z136+X137, 0)</f>
        <v>0</v>
      </c>
      <c r="AA137" s="24" t="str">
        <f>IF(AND(U137&gt;='Amort. Sched.-BASE'!$AA$8, U137&lt;= ($AA$7+$AA$8)), W137/V137, " ")</f>
        <v xml:space="preserve"> </v>
      </c>
      <c r="AB137" s="25" t="str">
        <f>IF(AND(U137&gt;='Amort. Sched.-BASE'!$AA$8, U137&lt;= ($AA$7+$AA$8)), X137/V137, " ")</f>
        <v xml:space="preserve"> </v>
      </c>
      <c r="AD137" s="20">
        <f t="shared" si="20"/>
        <v>126</v>
      </c>
      <c r="AE137" s="5">
        <f t="shared" si="21"/>
        <v>0</v>
      </c>
      <c r="AF137" s="5">
        <f t="shared" si="22"/>
        <v>0</v>
      </c>
      <c r="AG137" s="5">
        <f t="shared" si="23"/>
        <v>0</v>
      </c>
      <c r="AH137" s="5">
        <f>IF(CreditAmort3BASE[[#This Row],[Month]]=AJ$8,AF$7,0)</f>
        <v>0</v>
      </c>
      <c r="AI137" s="13">
        <f t="shared" si="24"/>
        <v>0</v>
      </c>
      <c r="AJ137" s="6" t="str">
        <f t="shared" si="25"/>
        <v xml:space="preserve"> </v>
      </c>
      <c r="AK137" s="21" t="str">
        <f t="shared" si="26"/>
        <v xml:space="preserve"> </v>
      </c>
      <c r="AM137" s="20">
        <f t="shared" si="27"/>
        <v>126</v>
      </c>
      <c r="AN137" s="5">
        <f t="shared" si="28"/>
        <v>0</v>
      </c>
      <c r="AO137" s="5">
        <f t="shared" si="29"/>
        <v>0</v>
      </c>
      <c r="AP137" s="5">
        <f t="shared" si="30"/>
        <v>0</v>
      </c>
      <c r="AQ137" s="5">
        <f>IF(CreditAmort4BASE[[#This Row],[Month]]=AS$8,AO$7,0)</f>
        <v>0</v>
      </c>
      <c r="AR137" s="13">
        <f t="shared" si="31"/>
        <v>0</v>
      </c>
      <c r="AS137" s="6" t="str">
        <f t="shared" si="32"/>
        <v xml:space="preserve"> </v>
      </c>
      <c r="AT137" s="21" t="str">
        <f t="shared" si="33"/>
        <v xml:space="preserve"> </v>
      </c>
    </row>
    <row r="138" spans="3:46">
      <c r="C138" s="22">
        <f t="shared" si="17"/>
        <v>127</v>
      </c>
      <c r="D138" s="23">
        <f>IF(AND(C138&gt;='Amort. Sched.-BASE'!$I$8, C138&lt;= ($I$7+$I$8)), PMT('Amort. Sched.-BASE'!$E$8/12, 'Amort. Sched.-BASE'!$I$7, 'Amort. Sched.-BASE'!$E$7), 0)</f>
        <v>-1736.5864935892569</v>
      </c>
      <c r="E138" s="5">
        <f>IF(AND(C138&gt;='Amort. Sched.-BASE'!$I$8, C138&lt;= ($I$7+$I$8)), (IPMT($E$8/12, (C138-$I$8), $I$7, $E$7)), 0)</f>
        <v>-1190.0908986735924</v>
      </c>
      <c r="F138" s="23">
        <f>IF(AND(C138&gt;='Amort. Sched.-BASE'!$I$8, C138&lt;= ($I$7+$I$8)), (PPMT($E$8/12, (C138-$I$8), $I$7, $E$7)), 0)</f>
        <v>-546.49559491566424</v>
      </c>
      <c r="G138" s="5">
        <f>IF(MortgageAmortBASE[[#This Row],[Month]]=I$8,E$7,0)</f>
        <v>0</v>
      </c>
      <c r="H138" s="13">
        <f>IF(AND(C138&gt;='Amort. Sched.-BASE'!$I$8, C138&lt;= ($I$7+$I$8)), H137+F138, 0)</f>
        <v>177967.13920612319</v>
      </c>
      <c r="I138" s="24">
        <f>IF(AND(C138&gt;='Amort. Sched.-BASE'!$I$8, C138&lt;= ($I$7+$I$8)), E138/D138, " ")</f>
        <v>0.68530470729036808</v>
      </c>
      <c r="J138" s="25">
        <f>IF(AND(C138&gt;='Amort. Sched.-BASE'!$I$8, C138&lt;= ($I$7+$I$8)), F138/D138, " ")</f>
        <v>0.31469529270963176</v>
      </c>
      <c r="L138" s="20">
        <f t="shared" si="18"/>
        <v>127</v>
      </c>
      <c r="M138" s="5">
        <f>IF(AND(L138&gt;='Amort. Sched.-BASE'!$R$8, L138&lt;= ($R$7+$R$8)), PMT('Amort. Sched.-BASE'!$N$8/12, 'Amort. Sched.-BASE'!$R$7, 'Amort. Sched.-BASE'!$N$7), 0)</f>
        <v>0</v>
      </c>
      <c r="N138" s="5">
        <f>IF(AND(L138&gt;='Amort. Sched.-BASE'!$R$8, L138&lt;= ($R$7+$R$8)), (IPMT($N$8/12, (L138-$R$8), $R$7, $N$7)), 0)</f>
        <v>0</v>
      </c>
      <c r="O138" s="5">
        <f>IF(AND(L138&gt;='Amort. Sched.-BASE'!$R$8, L138&lt;= ($R$7+$R$8)), (PPMT($N$8/12, (L138-$R$8), $R$7, $N$7)), 0)</f>
        <v>0</v>
      </c>
      <c r="P138" s="5">
        <f>IF(CreditAmort1BASE[[#This Row],[Month]]=R$8,N$7,0)</f>
        <v>0</v>
      </c>
      <c r="Q138" s="13">
        <f>IF(AND(L138&gt;='Amort. Sched.-BASE'!$R$8, L138&lt;= ($R$7+$R$8)), Q137+O138, 0)</f>
        <v>0</v>
      </c>
      <c r="R138" s="6" t="str">
        <f>IF(AND(L138&gt;='Amort. Sched.-BASE'!$R$8, L138&lt;= ($R$7+$R$8)), N138/M138, " ")</f>
        <v xml:space="preserve"> </v>
      </c>
      <c r="S138" s="21" t="str">
        <f>IF(AND(L138&gt;='Amort. Sched.-BASE'!$R$8, L138&lt;= ($R$7+$R$8)), O138/M138, " ")</f>
        <v xml:space="preserve"> </v>
      </c>
      <c r="U138" s="22">
        <f t="shared" si="19"/>
        <v>127</v>
      </c>
      <c r="V138" s="23">
        <f>IF(AND(U138&gt;='Amort. Sched.-BASE'!$AA$8, U138&lt;= ($AA$7+$AA$8)), PMT('Amort. Sched.-BASE'!$W$8/12, 'Amort. Sched.-BASE'!$AA$7, 'Amort. Sched.-BASE'!$W$7), 0)</f>
        <v>0</v>
      </c>
      <c r="W138" s="5">
        <f>IF(AND(U138&gt;='Amort. Sched.-BASE'!$AA$8, U138&lt;= ($AA$7+$AA$8)), (IPMT($W$8/12, (U138-$AA$8), $AA$7, $W$7)), 0)</f>
        <v>0</v>
      </c>
      <c r="X138" s="23">
        <f>IF(AND(U138&gt;='Amort. Sched.-BASE'!$AA$8, U138&lt;= ($AA$7+$AA$8)), (PPMT($W$8/12, (U138-$AA$8), $AA$7, $W$7)), 0)</f>
        <v>0</v>
      </c>
      <c r="Y138" s="5">
        <f>IF(CreditAmort2BASE[[#This Row],[Month]]=AA$8,W$7,0)</f>
        <v>0</v>
      </c>
      <c r="Z138" s="13">
        <f>IF(AND(U138&gt;='Amort. Sched.-BASE'!$AA$8, U138&lt;= ($AA$7+$AA$8)), Z137+X138, 0)</f>
        <v>0</v>
      </c>
      <c r="AA138" s="24" t="str">
        <f>IF(AND(U138&gt;='Amort. Sched.-BASE'!$AA$8, U138&lt;= ($AA$7+$AA$8)), W138/V138, " ")</f>
        <v xml:space="preserve"> </v>
      </c>
      <c r="AB138" s="25" t="str">
        <f>IF(AND(U138&gt;='Amort. Sched.-BASE'!$AA$8, U138&lt;= ($AA$7+$AA$8)), X138/V138, " ")</f>
        <v xml:space="preserve"> </v>
      </c>
      <c r="AD138" s="20">
        <f t="shared" si="20"/>
        <v>127</v>
      </c>
      <c r="AE138" s="5">
        <f t="shared" si="21"/>
        <v>0</v>
      </c>
      <c r="AF138" s="5">
        <f t="shared" si="22"/>
        <v>0</v>
      </c>
      <c r="AG138" s="5">
        <f t="shared" si="23"/>
        <v>0</v>
      </c>
      <c r="AH138" s="5">
        <f>IF(CreditAmort3BASE[[#This Row],[Month]]=AJ$8,AF$7,0)</f>
        <v>0</v>
      </c>
      <c r="AI138" s="13">
        <f t="shared" si="24"/>
        <v>0</v>
      </c>
      <c r="AJ138" s="6" t="str">
        <f t="shared" si="25"/>
        <v xml:space="preserve"> </v>
      </c>
      <c r="AK138" s="21" t="str">
        <f t="shared" si="26"/>
        <v xml:space="preserve"> </v>
      </c>
      <c r="AM138" s="20">
        <f t="shared" si="27"/>
        <v>127</v>
      </c>
      <c r="AN138" s="5">
        <f t="shared" si="28"/>
        <v>0</v>
      </c>
      <c r="AO138" s="5">
        <f t="shared" si="29"/>
        <v>0</v>
      </c>
      <c r="AP138" s="5">
        <f t="shared" si="30"/>
        <v>0</v>
      </c>
      <c r="AQ138" s="5">
        <f>IF(CreditAmort4BASE[[#This Row],[Month]]=AS$8,AO$7,0)</f>
        <v>0</v>
      </c>
      <c r="AR138" s="13">
        <f t="shared" si="31"/>
        <v>0</v>
      </c>
      <c r="AS138" s="6" t="str">
        <f t="shared" si="32"/>
        <v xml:space="preserve"> </v>
      </c>
      <c r="AT138" s="21" t="str">
        <f t="shared" si="33"/>
        <v xml:space="preserve"> </v>
      </c>
    </row>
    <row r="139" spans="3:46">
      <c r="C139" s="22">
        <f t="shared" si="17"/>
        <v>128</v>
      </c>
      <c r="D139" s="23">
        <f>IF(AND(C139&gt;='Amort. Sched.-BASE'!$I$8, C139&lt;= ($I$7+$I$8)), PMT('Amort. Sched.-BASE'!$E$8/12, 'Amort. Sched.-BASE'!$I$7, 'Amort. Sched.-BASE'!$E$7), 0)</f>
        <v>-1736.5864935892569</v>
      </c>
      <c r="E139" s="5">
        <f>IF(AND(C139&gt;='Amort. Sched.-BASE'!$I$8, C139&lt;= ($I$7+$I$8)), (IPMT($E$8/12, (C139-$I$8), $I$7, $E$7)), 0)</f>
        <v>-1186.4475947074882</v>
      </c>
      <c r="F139" s="23">
        <f>IF(AND(C139&gt;='Amort. Sched.-BASE'!$I$8, C139&lt;= ($I$7+$I$8)), (PPMT($E$8/12, (C139-$I$8), $I$7, $E$7)), 0)</f>
        <v>-550.13889888176868</v>
      </c>
      <c r="G139" s="5">
        <f>IF(MortgageAmortBASE[[#This Row],[Month]]=I$8,E$7,0)</f>
        <v>0</v>
      </c>
      <c r="H139" s="13">
        <f>IF(AND(C139&gt;='Amort. Sched.-BASE'!$I$8, C139&lt;= ($I$7+$I$8)), H138+F139, 0)</f>
        <v>177417.00030724143</v>
      </c>
      <c r="I139" s="24">
        <f>IF(AND(C139&gt;='Amort. Sched.-BASE'!$I$8, C139&lt;= ($I$7+$I$8)), E139/D139, " ")</f>
        <v>0.68320673867230397</v>
      </c>
      <c r="J139" s="25">
        <f>IF(AND(C139&gt;='Amort. Sched.-BASE'!$I$8, C139&lt;= ($I$7+$I$8)), F139/D139, " ")</f>
        <v>0.31679326132769597</v>
      </c>
      <c r="L139" s="20">
        <f t="shared" si="18"/>
        <v>128</v>
      </c>
      <c r="M139" s="5">
        <f>IF(AND(L139&gt;='Amort. Sched.-BASE'!$R$8, L139&lt;= ($R$7+$R$8)), PMT('Amort. Sched.-BASE'!$N$8/12, 'Amort. Sched.-BASE'!$R$7, 'Amort. Sched.-BASE'!$N$7), 0)</f>
        <v>0</v>
      </c>
      <c r="N139" s="5">
        <f>IF(AND(L139&gt;='Amort. Sched.-BASE'!$R$8, L139&lt;= ($R$7+$R$8)), (IPMT($N$8/12, (L139-$R$8), $R$7, $N$7)), 0)</f>
        <v>0</v>
      </c>
      <c r="O139" s="5">
        <f>IF(AND(L139&gt;='Amort. Sched.-BASE'!$R$8, L139&lt;= ($R$7+$R$8)), (PPMT($N$8/12, (L139-$R$8), $R$7, $N$7)), 0)</f>
        <v>0</v>
      </c>
      <c r="P139" s="5">
        <f>IF(CreditAmort1BASE[[#This Row],[Month]]=R$8,N$7,0)</f>
        <v>0</v>
      </c>
      <c r="Q139" s="13">
        <f>IF(AND(L139&gt;='Amort. Sched.-BASE'!$R$8, L139&lt;= ($R$7+$R$8)), Q138+O139, 0)</f>
        <v>0</v>
      </c>
      <c r="R139" s="6" t="str">
        <f>IF(AND(L139&gt;='Amort. Sched.-BASE'!$R$8, L139&lt;= ($R$7+$R$8)), N139/M139, " ")</f>
        <v xml:space="preserve"> </v>
      </c>
      <c r="S139" s="21" t="str">
        <f>IF(AND(L139&gt;='Amort. Sched.-BASE'!$R$8, L139&lt;= ($R$7+$R$8)), O139/M139, " ")</f>
        <v xml:space="preserve"> </v>
      </c>
      <c r="U139" s="22">
        <f t="shared" si="19"/>
        <v>128</v>
      </c>
      <c r="V139" s="23">
        <f>IF(AND(U139&gt;='Amort. Sched.-BASE'!$AA$8, U139&lt;= ($AA$7+$AA$8)), PMT('Amort. Sched.-BASE'!$W$8/12, 'Amort. Sched.-BASE'!$AA$7, 'Amort. Sched.-BASE'!$W$7), 0)</f>
        <v>0</v>
      </c>
      <c r="W139" s="5">
        <f>IF(AND(U139&gt;='Amort. Sched.-BASE'!$AA$8, U139&lt;= ($AA$7+$AA$8)), (IPMT($W$8/12, (U139-$AA$8), $AA$7, $W$7)), 0)</f>
        <v>0</v>
      </c>
      <c r="X139" s="23">
        <f>IF(AND(U139&gt;='Amort. Sched.-BASE'!$AA$8, U139&lt;= ($AA$7+$AA$8)), (PPMT($W$8/12, (U139-$AA$8), $AA$7, $W$7)), 0)</f>
        <v>0</v>
      </c>
      <c r="Y139" s="5">
        <f>IF(CreditAmort2BASE[[#This Row],[Month]]=AA$8,W$7,0)</f>
        <v>0</v>
      </c>
      <c r="Z139" s="13">
        <f>IF(AND(U139&gt;='Amort. Sched.-BASE'!$AA$8, U139&lt;= ($AA$7+$AA$8)), Z138+X139, 0)</f>
        <v>0</v>
      </c>
      <c r="AA139" s="24" t="str">
        <f>IF(AND(U139&gt;='Amort. Sched.-BASE'!$AA$8, U139&lt;= ($AA$7+$AA$8)), W139/V139, " ")</f>
        <v xml:space="preserve"> </v>
      </c>
      <c r="AB139" s="25" t="str">
        <f>IF(AND(U139&gt;='Amort. Sched.-BASE'!$AA$8, U139&lt;= ($AA$7+$AA$8)), X139/V139, " ")</f>
        <v xml:space="preserve"> </v>
      </c>
      <c r="AD139" s="20">
        <f t="shared" si="20"/>
        <v>128</v>
      </c>
      <c r="AE139" s="5">
        <f t="shared" si="21"/>
        <v>0</v>
      </c>
      <c r="AF139" s="5">
        <f t="shared" si="22"/>
        <v>0</v>
      </c>
      <c r="AG139" s="5">
        <f t="shared" si="23"/>
        <v>0</v>
      </c>
      <c r="AH139" s="5">
        <f>IF(CreditAmort3BASE[[#This Row],[Month]]=AJ$8,AF$7,0)</f>
        <v>0</v>
      </c>
      <c r="AI139" s="13">
        <f t="shared" si="24"/>
        <v>0</v>
      </c>
      <c r="AJ139" s="6" t="str">
        <f t="shared" si="25"/>
        <v xml:space="preserve"> </v>
      </c>
      <c r="AK139" s="21" t="str">
        <f t="shared" si="26"/>
        <v xml:space="preserve"> </v>
      </c>
      <c r="AM139" s="20">
        <f t="shared" si="27"/>
        <v>128</v>
      </c>
      <c r="AN139" s="5">
        <f t="shared" si="28"/>
        <v>0</v>
      </c>
      <c r="AO139" s="5">
        <f t="shared" si="29"/>
        <v>0</v>
      </c>
      <c r="AP139" s="5">
        <f t="shared" si="30"/>
        <v>0</v>
      </c>
      <c r="AQ139" s="5">
        <f>IF(CreditAmort4BASE[[#This Row],[Month]]=AS$8,AO$7,0)</f>
        <v>0</v>
      </c>
      <c r="AR139" s="13">
        <f t="shared" si="31"/>
        <v>0</v>
      </c>
      <c r="AS139" s="6" t="str">
        <f t="shared" si="32"/>
        <v xml:space="preserve"> </v>
      </c>
      <c r="AT139" s="21" t="str">
        <f t="shared" si="33"/>
        <v xml:space="preserve"> </v>
      </c>
    </row>
    <row r="140" spans="3:46">
      <c r="C140" s="22">
        <f t="shared" si="17"/>
        <v>129</v>
      </c>
      <c r="D140" s="23">
        <f>IF(AND(C140&gt;='Amort. Sched.-BASE'!$I$8, C140&lt;= ($I$7+$I$8)), PMT('Amort. Sched.-BASE'!$E$8/12, 'Amort. Sched.-BASE'!$I$7, 'Amort. Sched.-BASE'!$E$7), 0)</f>
        <v>-1736.5864935892569</v>
      </c>
      <c r="E140" s="5">
        <f>IF(AND(C140&gt;='Amort. Sched.-BASE'!$I$8, C140&lt;= ($I$7+$I$8)), (IPMT($E$8/12, (C140-$I$8), $I$7, $E$7)), 0)</f>
        <v>-1182.7800020482762</v>
      </c>
      <c r="F140" s="23">
        <f>IF(AND(C140&gt;='Amort. Sched.-BASE'!$I$8, C140&lt;= ($I$7+$I$8)), (PPMT($E$8/12, (C140-$I$8), $I$7, $E$7)), 0)</f>
        <v>-553.80649154098046</v>
      </c>
      <c r="G140" s="5">
        <f>IF(MortgageAmortBASE[[#This Row],[Month]]=I$8,E$7,0)</f>
        <v>0</v>
      </c>
      <c r="H140" s="13">
        <f>IF(AND(C140&gt;='Amort. Sched.-BASE'!$I$8, C140&lt;= ($I$7+$I$8)), H139+F140, 0)</f>
        <v>176863.19381570045</v>
      </c>
      <c r="I140" s="24">
        <f>IF(AND(C140&gt;='Amort. Sched.-BASE'!$I$8, C140&lt;= ($I$7+$I$8)), E140/D140, " ")</f>
        <v>0.68109478359678588</v>
      </c>
      <c r="J140" s="25">
        <f>IF(AND(C140&gt;='Amort. Sched.-BASE'!$I$8, C140&lt;= ($I$7+$I$8)), F140/D140, " ")</f>
        <v>0.31890521640321395</v>
      </c>
      <c r="L140" s="20">
        <f t="shared" si="18"/>
        <v>129</v>
      </c>
      <c r="M140" s="5">
        <f>IF(AND(L140&gt;='Amort. Sched.-BASE'!$R$8, L140&lt;= ($R$7+$R$8)), PMT('Amort. Sched.-BASE'!$N$8/12, 'Amort. Sched.-BASE'!$R$7, 'Amort. Sched.-BASE'!$N$7), 0)</f>
        <v>0</v>
      </c>
      <c r="N140" s="5">
        <f>IF(AND(L140&gt;='Amort. Sched.-BASE'!$R$8, L140&lt;= ($R$7+$R$8)), (IPMT($N$8/12, (L140-$R$8), $R$7, $N$7)), 0)</f>
        <v>0</v>
      </c>
      <c r="O140" s="5">
        <f>IF(AND(L140&gt;='Amort. Sched.-BASE'!$R$8, L140&lt;= ($R$7+$R$8)), (PPMT($N$8/12, (L140-$R$8), $R$7, $N$7)), 0)</f>
        <v>0</v>
      </c>
      <c r="P140" s="5">
        <f>IF(CreditAmort1BASE[[#This Row],[Month]]=R$8,N$7,0)</f>
        <v>0</v>
      </c>
      <c r="Q140" s="13">
        <f>IF(AND(L140&gt;='Amort. Sched.-BASE'!$R$8, L140&lt;= ($R$7+$R$8)), Q139+O140, 0)</f>
        <v>0</v>
      </c>
      <c r="R140" s="6" t="str">
        <f>IF(AND(L140&gt;='Amort. Sched.-BASE'!$R$8, L140&lt;= ($R$7+$R$8)), N140/M140, " ")</f>
        <v xml:space="preserve"> </v>
      </c>
      <c r="S140" s="21" t="str">
        <f>IF(AND(L140&gt;='Amort. Sched.-BASE'!$R$8, L140&lt;= ($R$7+$R$8)), O140/M140, " ")</f>
        <v xml:space="preserve"> </v>
      </c>
      <c r="U140" s="22">
        <f t="shared" si="19"/>
        <v>129</v>
      </c>
      <c r="V140" s="23">
        <f>IF(AND(U140&gt;='Amort. Sched.-BASE'!$AA$8, U140&lt;= ($AA$7+$AA$8)), PMT('Amort. Sched.-BASE'!$W$8/12, 'Amort. Sched.-BASE'!$AA$7, 'Amort. Sched.-BASE'!$W$7), 0)</f>
        <v>0</v>
      </c>
      <c r="W140" s="5">
        <f>IF(AND(U140&gt;='Amort. Sched.-BASE'!$AA$8, U140&lt;= ($AA$7+$AA$8)), (IPMT($W$8/12, (U140-$AA$8), $AA$7, $W$7)), 0)</f>
        <v>0</v>
      </c>
      <c r="X140" s="23">
        <f>IF(AND(U140&gt;='Amort. Sched.-BASE'!$AA$8, U140&lt;= ($AA$7+$AA$8)), (PPMT($W$8/12, (U140-$AA$8), $AA$7, $W$7)), 0)</f>
        <v>0</v>
      </c>
      <c r="Y140" s="5">
        <f>IF(CreditAmort2BASE[[#This Row],[Month]]=AA$8,W$7,0)</f>
        <v>0</v>
      </c>
      <c r="Z140" s="13">
        <f>IF(AND(U140&gt;='Amort. Sched.-BASE'!$AA$8, U140&lt;= ($AA$7+$AA$8)), Z139+X140, 0)</f>
        <v>0</v>
      </c>
      <c r="AA140" s="24" t="str">
        <f>IF(AND(U140&gt;='Amort. Sched.-BASE'!$AA$8, U140&lt;= ($AA$7+$AA$8)), W140/V140, " ")</f>
        <v xml:space="preserve"> </v>
      </c>
      <c r="AB140" s="25" t="str">
        <f>IF(AND(U140&gt;='Amort. Sched.-BASE'!$AA$8, U140&lt;= ($AA$7+$AA$8)), X140/V140, " ")</f>
        <v xml:space="preserve"> </v>
      </c>
      <c r="AD140" s="20">
        <f t="shared" si="20"/>
        <v>129</v>
      </c>
      <c r="AE140" s="5">
        <f t="shared" si="21"/>
        <v>0</v>
      </c>
      <c r="AF140" s="5">
        <f t="shared" si="22"/>
        <v>0</v>
      </c>
      <c r="AG140" s="5">
        <f t="shared" si="23"/>
        <v>0</v>
      </c>
      <c r="AH140" s="5">
        <f>IF(CreditAmort3BASE[[#This Row],[Month]]=AJ$8,AF$7,0)</f>
        <v>0</v>
      </c>
      <c r="AI140" s="13">
        <f t="shared" si="24"/>
        <v>0</v>
      </c>
      <c r="AJ140" s="6" t="str">
        <f t="shared" si="25"/>
        <v xml:space="preserve"> </v>
      </c>
      <c r="AK140" s="21" t="str">
        <f t="shared" si="26"/>
        <v xml:space="preserve"> </v>
      </c>
      <c r="AM140" s="20">
        <f t="shared" si="27"/>
        <v>129</v>
      </c>
      <c r="AN140" s="5">
        <f t="shared" si="28"/>
        <v>0</v>
      </c>
      <c r="AO140" s="5">
        <f t="shared" si="29"/>
        <v>0</v>
      </c>
      <c r="AP140" s="5">
        <f t="shared" si="30"/>
        <v>0</v>
      </c>
      <c r="AQ140" s="5">
        <f>IF(CreditAmort4BASE[[#This Row],[Month]]=AS$8,AO$7,0)</f>
        <v>0</v>
      </c>
      <c r="AR140" s="13">
        <f t="shared" si="31"/>
        <v>0</v>
      </c>
      <c r="AS140" s="6" t="str">
        <f t="shared" si="32"/>
        <v xml:space="preserve"> </v>
      </c>
      <c r="AT140" s="21" t="str">
        <f t="shared" si="33"/>
        <v xml:space="preserve"> </v>
      </c>
    </row>
    <row r="141" spans="3:46">
      <c r="C141" s="22">
        <f t="shared" si="17"/>
        <v>130</v>
      </c>
      <c r="D141" s="23">
        <f>IF(AND(C141&gt;='Amort. Sched.-BASE'!$I$8, C141&lt;= ($I$7+$I$8)), PMT('Amort. Sched.-BASE'!$E$8/12, 'Amort. Sched.-BASE'!$I$7, 'Amort. Sched.-BASE'!$E$7), 0)</f>
        <v>-1736.5864935892569</v>
      </c>
      <c r="E141" s="5">
        <f>IF(AND(C141&gt;='Amort. Sched.-BASE'!$I$8, C141&lt;= ($I$7+$I$8)), (IPMT($E$8/12, (C141-$I$8), $I$7, $E$7)), 0)</f>
        <v>-1179.0879587713366</v>
      </c>
      <c r="F141" s="23">
        <f>IF(AND(C141&gt;='Amort. Sched.-BASE'!$I$8, C141&lt;= ($I$7+$I$8)), (PPMT($E$8/12, (C141-$I$8), $I$7, $E$7)), 0)</f>
        <v>-557.49853481792036</v>
      </c>
      <c r="G141" s="5">
        <f>IF(MortgageAmortBASE[[#This Row],[Month]]=I$8,E$7,0)</f>
        <v>0</v>
      </c>
      <c r="H141" s="13">
        <f>IF(AND(C141&gt;='Amort. Sched.-BASE'!$I$8, C141&lt;= ($I$7+$I$8)), H140+F141, 0)</f>
        <v>176305.69528088253</v>
      </c>
      <c r="I141" s="24">
        <f>IF(AND(C141&gt;='Amort. Sched.-BASE'!$I$8, C141&lt;= ($I$7+$I$8)), E141/D141, " ")</f>
        <v>0.67896874882076463</v>
      </c>
      <c r="J141" s="25">
        <f>IF(AND(C141&gt;='Amort. Sched.-BASE'!$I$8, C141&lt;= ($I$7+$I$8)), F141/D141, " ")</f>
        <v>0.32103125117923537</v>
      </c>
      <c r="L141" s="20">
        <f t="shared" ref="L141:L204" si="34">L140+1</f>
        <v>130</v>
      </c>
      <c r="M141" s="5">
        <f>IF(AND(L141&gt;='Amort. Sched.-BASE'!$R$8, L141&lt;= ($R$7+$R$8)), PMT('Amort. Sched.-BASE'!$N$8/12, 'Amort. Sched.-BASE'!$R$7, 'Amort. Sched.-BASE'!$N$7), 0)</f>
        <v>0</v>
      </c>
      <c r="N141" s="5">
        <f>IF(AND(L141&gt;='Amort. Sched.-BASE'!$R$8, L141&lt;= ($R$7+$R$8)), (IPMT($N$8/12, (L141-$R$8), $R$7, $N$7)), 0)</f>
        <v>0</v>
      </c>
      <c r="O141" s="5">
        <f>IF(AND(L141&gt;='Amort. Sched.-BASE'!$R$8, L141&lt;= ($R$7+$R$8)), (PPMT($N$8/12, (L141-$R$8), $R$7, $N$7)), 0)</f>
        <v>0</v>
      </c>
      <c r="P141" s="5">
        <f>IF(CreditAmort1BASE[[#This Row],[Month]]=R$8,N$7,0)</f>
        <v>0</v>
      </c>
      <c r="Q141" s="13">
        <f>IF(AND(L141&gt;='Amort. Sched.-BASE'!$R$8, L141&lt;= ($R$7+$R$8)), Q140+O141, 0)</f>
        <v>0</v>
      </c>
      <c r="R141" s="6" t="str">
        <f>IF(AND(L141&gt;='Amort. Sched.-BASE'!$R$8, L141&lt;= ($R$7+$R$8)), N141/M141, " ")</f>
        <v xml:space="preserve"> </v>
      </c>
      <c r="S141" s="21" t="str">
        <f>IF(AND(L141&gt;='Amort. Sched.-BASE'!$R$8, L141&lt;= ($R$7+$R$8)), O141/M141, " ")</f>
        <v xml:space="preserve"> </v>
      </c>
      <c r="U141" s="22">
        <f t="shared" ref="U141:U204" si="35">U140+1</f>
        <v>130</v>
      </c>
      <c r="V141" s="23">
        <f>IF(AND(U141&gt;='Amort. Sched.-BASE'!$AA$8, U141&lt;= ($AA$7+$AA$8)), PMT('Amort. Sched.-BASE'!$W$8/12, 'Amort. Sched.-BASE'!$AA$7, 'Amort. Sched.-BASE'!$W$7), 0)</f>
        <v>0</v>
      </c>
      <c r="W141" s="5">
        <f>IF(AND(U141&gt;='Amort. Sched.-BASE'!$AA$8, U141&lt;= ($AA$7+$AA$8)), (IPMT($W$8/12, (U141-$AA$8), $AA$7, $W$7)), 0)</f>
        <v>0</v>
      </c>
      <c r="X141" s="23">
        <f>IF(AND(U141&gt;='Amort. Sched.-BASE'!$AA$8, U141&lt;= ($AA$7+$AA$8)), (PPMT($W$8/12, (U141-$AA$8), $AA$7, $W$7)), 0)</f>
        <v>0</v>
      </c>
      <c r="Y141" s="5">
        <f>IF(CreditAmort2BASE[[#This Row],[Month]]=AA$8,W$7,0)</f>
        <v>0</v>
      </c>
      <c r="Z141" s="13">
        <f>IF(AND(U141&gt;='Amort. Sched.-BASE'!$AA$8, U141&lt;= ($AA$7+$AA$8)), Z140+X141, 0)</f>
        <v>0</v>
      </c>
      <c r="AA141" s="24" t="str">
        <f>IF(AND(U141&gt;='Amort. Sched.-BASE'!$AA$8, U141&lt;= ($AA$7+$AA$8)), W141/V141, " ")</f>
        <v xml:space="preserve"> </v>
      </c>
      <c r="AB141" s="25" t="str">
        <f>IF(AND(U141&gt;='Amort. Sched.-BASE'!$AA$8, U141&lt;= ($AA$7+$AA$8)), X141/V141, " ")</f>
        <v xml:space="preserve"> </v>
      </c>
      <c r="AD141" s="20">
        <f t="shared" ref="AD141:AD204" si="36">AD140+1</f>
        <v>130</v>
      </c>
      <c r="AE141" s="5">
        <f t="shared" ref="AE141:AE204" si="37">IF(AND(AD141&gt;=$AJ$8, AD141&lt;= ($AJ$7+$AJ$8)), PMT($AF$8/12, $AJ$7, $AF$7), 0)</f>
        <v>0</v>
      </c>
      <c r="AF141" s="5">
        <f t="shared" ref="AF141:AF204" si="38">IF(AND(AD141&gt;=$AJ$8, AD141&lt;= ($AJ$7+$AJ$8)), (IPMT($AF$8/12, (AD141-$AJ$8), $AJ$7, $AF$7)), 0)</f>
        <v>0</v>
      </c>
      <c r="AG141" s="5">
        <f t="shared" ref="AG141:AG204" si="39">IF(AND(AD141&gt;=$AJ$8, AD141&lt;= ($AJ$7+$AJ$8)), (PPMT($AF$8/12, (AD141-$AJ$8), $AJ$7, $AF$7)), 0)</f>
        <v>0</v>
      </c>
      <c r="AH141" s="5">
        <f>IF(CreditAmort3BASE[[#This Row],[Month]]=AJ$8,AF$7,0)</f>
        <v>0</v>
      </c>
      <c r="AI141" s="13">
        <f t="shared" ref="AI141:AI204" si="40">IF(AND(AD141&gt;=$AJ$8, AD141&lt;= ($AJ$7+$AJ$8)), AI140+AG141, 0)</f>
        <v>0</v>
      </c>
      <c r="AJ141" s="6" t="str">
        <f t="shared" ref="AJ141:AJ204" si="41">IF(AND(AD141&gt;=$AJ$8, AD141&lt;= ($AJ$7+$AJ$8)), AF141/AE141, " ")</f>
        <v xml:space="preserve"> </v>
      </c>
      <c r="AK141" s="21" t="str">
        <f t="shared" ref="AK141:AK204" si="42">IF(AND(AD141&gt;=$AJ$8, AD141&lt;= ($AJ$7+$AJ$8)), AG141/AE141, " ")</f>
        <v xml:space="preserve"> </v>
      </c>
      <c r="AM141" s="20">
        <f t="shared" ref="AM141:AM204" si="43">AM140+1</f>
        <v>130</v>
      </c>
      <c r="AN141" s="5">
        <f t="shared" ref="AN141:AN204" si="44">IF(AND(AM141&gt;=$AS$8, AM141&lt;= ($AS$7+$AS$8)), PMT($AO$8/12, $AS$7, $AO$7), 0)</f>
        <v>0</v>
      </c>
      <c r="AO141" s="5">
        <f t="shared" ref="AO141:AO204" si="45">IF(AND(AM141&gt;=$AS$8, AM141&lt;= ($AS$7+$AS$8)), (IPMT($AO$8/12, (AM141-$AS$8), $AS$7, $AO$7)), 0)</f>
        <v>0</v>
      </c>
      <c r="AP141" s="5">
        <f t="shared" ref="AP141:AP204" si="46">IF(AND(AM141&gt;=$AS$8, AM141&lt;= ($AS$7+$AS$8)), (PPMT($AO$8/12, (AM141-$AS$8), $AS$7, $AO$7)), 0)</f>
        <v>0</v>
      </c>
      <c r="AQ141" s="5">
        <f>IF(CreditAmort4BASE[[#This Row],[Month]]=AS$8,AO$7,0)</f>
        <v>0</v>
      </c>
      <c r="AR141" s="13">
        <f t="shared" ref="AR141:AR204" si="47">IF(AND(AM141&gt;=$AS$8, AM141&lt;= ($AS$7+$AS$8)), AR140+AP141, 0)</f>
        <v>0</v>
      </c>
      <c r="AS141" s="6" t="str">
        <f t="shared" ref="AS141:AS204" si="48">IF(AND(AM141&gt;=$AS$8, AM141&lt;= ($AS$7+$AS$8)), AO141/AN141, " ")</f>
        <v xml:space="preserve"> </v>
      </c>
      <c r="AT141" s="21" t="str">
        <f t="shared" ref="AT141:AT204" si="49">IF(AND(AM141&gt;=$AS$8, AM141&lt;= ($AS$7+$AS$8)), AP141/AN141, " ")</f>
        <v xml:space="preserve"> </v>
      </c>
    </row>
    <row r="142" spans="3:46">
      <c r="C142" s="22">
        <f t="shared" si="17"/>
        <v>131</v>
      </c>
      <c r="D142" s="23">
        <f>IF(AND(C142&gt;='Amort. Sched.-BASE'!$I$8, C142&lt;= ($I$7+$I$8)), PMT('Amort. Sched.-BASE'!$E$8/12, 'Amort. Sched.-BASE'!$I$7, 'Amort. Sched.-BASE'!$E$7), 0)</f>
        <v>-1736.5864935892569</v>
      </c>
      <c r="E142" s="5">
        <f>IF(AND(C142&gt;='Amort. Sched.-BASE'!$I$8, C142&lt;= ($I$7+$I$8)), (IPMT($E$8/12, (C142-$I$8), $I$7, $E$7)), 0)</f>
        <v>-1175.3713018725505</v>
      </c>
      <c r="F142" s="23">
        <f>IF(AND(C142&gt;='Amort. Sched.-BASE'!$I$8, C142&lt;= ($I$7+$I$8)), (PPMT($E$8/12, (C142-$I$8), $I$7, $E$7)), 0)</f>
        <v>-561.2151917167065</v>
      </c>
      <c r="G142" s="5">
        <f>IF(MortgageAmortBASE[[#This Row],[Month]]=I$8,E$7,0)</f>
        <v>0</v>
      </c>
      <c r="H142" s="13">
        <f>IF(AND(C142&gt;='Amort. Sched.-BASE'!$I$8, C142&lt;= ($I$7+$I$8)), H141+F142, 0)</f>
        <v>175744.48008916582</v>
      </c>
      <c r="I142" s="24">
        <f>IF(AND(C142&gt;='Amort. Sched.-BASE'!$I$8, C142&lt;= ($I$7+$I$8)), E142/D142, " ")</f>
        <v>0.67682854047956975</v>
      </c>
      <c r="J142" s="25">
        <f>IF(AND(C142&gt;='Amort. Sched.-BASE'!$I$8, C142&lt;= ($I$7+$I$8)), F142/D142, " ")</f>
        <v>0.3231714595204303</v>
      </c>
      <c r="L142" s="20">
        <f t="shared" si="34"/>
        <v>131</v>
      </c>
      <c r="M142" s="5">
        <f>IF(AND(L142&gt;='Amort. Sched.-BASE'!$R$8, L142&lt;= ($R$7+$R$8)), PMT('Amort. Sched.-BASE'!$N$8/12, 'Amort. Sched.-BASE'!$R$7, 'Amort. Sched.-BASE'!$N$7), 0)</f>
        <v>0</v>
      </c>
      <c r="N142" s="5">
        <f>IF(AND(L142&gt;='Amort. Sched.-BASE'!$R$8, L142&lt;= ($R$7+$R$8)), (IPMT($N$8/12, (L142-$R$8), $R$7, $N$7)), 0)</f>
        <v>0</v>
      </c>
      <c r="O142" s="5">
        <f>IF(AND(L142&gt;='Amort. Sched.-BASE'!$R$8, L142&lt;= ($R$7+$R$8)), (PPMT($N$8/12, (L142-$R$8), $R$7, $N$7)), 0)</f>
        <v>0</v>
      </c>
      <c r="P142" s="5">
        <f>IF(CreditAmort1BASE[[#This Row],[Month]]=R$8,N$7,0)</f>
        <v>0</v>
      </c>
      <c r="Q142" s="13">
        <f>IF(AND(L142&gt;='Amort. Sched.-BASE'!$R$8, L142&lt;= ($R$7+$R$8)), Q141+O142, 0)</f>
        <v>0</v>
      </c>
      <c r="R142" s="6" t="str">
        <f>IF(AND(L142&gt;='Amort. Sched.-BASE'!$R$8, L142&lt;= ($R$7+$R$8)), N142/M142, " ")</f>
        <v xml:space="preserve"> </v>
      </c>
      <c r="S142" s="21" t="str">
        <f>IF(AND(L142&gt;='Amort. Sched.-BASE'!$R$8, L142&lt;= ($R$7+$R$8)), O142/M142, " ")</f>
        <v xml:space="preserve"> </v>
      </c>
      <c r="U142" s="22">
        <f t="shared" si="35"/>
        <v>131</v>
      </c>
      <c r="V142" s="23">
        <f>IF(AND(U142&gt;='Amort. Sched.-BASE'!$AA$8, U142&lt;= ($AA$7+$AA$8)), PMT('Amort. Sched.-BASE'!$W$8/12, 'Amort. Sched.-BASE'!$AA$7, 'Amort. Sched.-BASE'!$W$7), 0)</f>
        <v>0</v>
      </c>
      <c r="W142" s="5">
        <f>IF(AND(U142&gt;='Amort. Sched.-BASE'!$AA$8, U142&lt;= ($AA$7+$AA$8)), (IPMT($W$8/12, (U142-$AA$8), $AA$7, $W$7)), 0)</f>
        <v>0</v>
      </c>
      <c r="X142" s="23">
        <f>IF(AND(U142&gt;='Amort. Sched.-BASE'!$AA$8, U142&lt;= ($AA$7+$AA$8)), (PPMT($W$8/12, (U142-$AA$8), $AA$7, $W$7)), 0)</f>
        <v>0</v>
      </c>
      <c r="Y142" s="5">
        <f>IF(CreditAmort2BASE[[#This Row],[Month]]=AA$8,W$7,0)</f>
        <v>0</v>
      </c>
      <c r="Z142" s="13">
        <f>IF(AND(U142&gt;='Amort. Sched.-BASE'!$AA$8, U142&lt;= ($AA$7+$AA$8)), Z141+X142, 0)</f>
        <v>0</v>
      </c>
      <c r="AA142" s="24" t="str">
        <f>IF(AND(U142&gt;='Amort. Sched.-BASE'!$AA$8, U142&lt;= ($AA$7+$AA$8)), W142/V142, " ")</f>
        <v xml:space="preserve"> </v>
      </c>
      <c r="AB142" s="25" t="str">
        <f>IF(AND(U142&gt;='Amort. Sched.-BASE'!$AA$8, U142&lt;= ($AA$7+$AA$8)), X142/V142, " ")</f>
        <v xml:space="preserve"> </v>
      </c>
      <c r="AD142" s="20">
        <f t="shared" si="36"/>
        <v>131</v>
      </c>
      <c r="AE142" s="5">
        <f t="shared" si="37"/>
        <v>0</v>
      </c>
      <c r="AF142" s="5">
        <f t="shared" si="38"/>
        <v>0</v>
      </c>
      <c r="AG142" s="5">
        <f t="shared" si="39"/>
        <v>0</v>
      </c>
      <c r="AH142" s="5">
        <f>IF(CreditAmort3BASE[[#This Row],[Month]]=AJ$8,AF$7,0)</f>
        <v>0</v>
      </c>
      <c r="AI142" s="13">
        <f t="shared" si="40"/>
        <v>0</v>
      </c>
      <c r="AJ142" s="6" t="str">
        <f t="shared" si="41"/>
        <v xml:space="preserve"> </v>
      </c>
      <c r="AK142" s="21" t="str">
        <f t="shared" si="42"/>
        <v xml:space="preserve"> </v>
      </c>
      <c r="AM142" s="20">
        <f t="shared" si="43"/>
        <v>131</v>
      </c>
      <c r="AN142" s="5">
        <f t="shared" si="44"/>
        <v>0</v>
      </c>
      <c r="AO142" s="5">
        <f t="shared" si="45"/>
        <v>0</v>
      </c>
      <c r="AP142" s="5">
        <f t="shared" si="46"/>
        <v>0</v>
      </c>
      <c r="AQ142" s="5">
        <f>IF(CreditAmort4BASE[[#This Row],[Month]]=AS$8,AO$7,0)</f>
        <v>0</v>
      </c>
      <c r="AR142" s="13">
        <f t="shared" si="47"/>
        <v>0</v>
      </c>
      <c r="AS142" s="6" t="str">
        <f t="shared" si="48"/>
        <v xml:space="preserve"> </v>
      </c>
      <c r="AT142" s="21" t="str">
        <f t="shared" si="49"/>
        <v xml:space="preserve"> </v>
      </c>
    </row>
    <row r="143" spans="3:46">
      <c r="C143" s="22">
        <f t="shared" si="17"/>
        <v>132</v>
      </c>
      <c r="D143" s="23">
        <f>IF(AND(C143&gt;='Amort. Sched.-BASE'!$I$8, C143&lt;= ($I$7+$I$8)), PMT('Amort. Sched.-BASE'!$E$8/12, 'Amort. Sched.-BASE'!$I$7, 'Amort. Sched.-BASE'!$E$7), 0)</f>
        <v>-1736.5864935892569</v>
      </c>
      <c r="E143" s="5">
        <f>IF(AND(C143&gt;='Amort. Sched.-BASE'!$I$8, C143&lt;= ($I$7+$I$8)), (IPMT($E$8/12, (C143-$I$8), $I$7, $E$7)), 0)</f>
        <v>-1171.6298672611058</v>
      </c>
      <c r="F143" s="23">
        <f>IF(AND(C143&gt;='Amort. Sched.-BASE'!$I$8, C143&lt;= ($I$7+$I$8)), (PPMT($E$8/12, (C143-$I$8), $I$7, $E$7)), 0)</f>
        <v>-564.95662632815129</v>
      </c>
      <c r="G143" s="5">
        <f>IF(MortgageAmortBASE[[#This Row],[Month]]=I$8,E$7,0)</f>
        <v>0</v>
      </c>
      <c r="H143" s="13">
        <f>IF(AND(C143&gt;='Amort. Sched.-BASE'!$I$8, C143&lt;= ($I$7+$I$8)), H142+F143, 0)</f>
        <v>175179.52346283768</v>
      </c>
      <c r="I143" s="24">
        <f>IF(AND(C143&gt;='Amort. Sched.-BASE'!$I$8, C143&lt;= ($I$7+$I$8)), E143/D143, " ")</f>
        <v>0.67467406408276698</v>
      </c>
      <c r="J143" s="25">
        <f>IF(AND(C143&gt;='Amort. Sched.-BASE'!$I$8, C143&lt;= ($I$7+$I$8)), F143/D143, " ")</f>
        <v>0.32532593591723319</v>
      </c>
      <c r="L143" s="20">
        <f t="shared" si="34"/>
        <v>132</v>
      </c>
      <c r="M143" s="5">
        <f>IF(AND(L143&gt;='Amort. Sched.-BASE'!$R$8, L143&lt;= ($R$7+$R$8)), PMT('Amort. Sched.-BASE'!$N$8/12, 'Amort. Sched.-BASE'!$R$7, 'Amort. Sched.-BASE'!$N$7), 0)</f>
        <v>0</v>
      </c>
      <c r="N143" s="5">
        <f>IF(AND(L143&gt;='Amort. Sched.-BASE'!$R$8, L143&lt;= ($R$7+$R$8)), (IPMT($N$8/12, (L143-$R$8), $R$7, $N$7)), 0)</f>
        <v>0</v>
      </c>
      <c r="O143" s="5">
        <f>IF(AND(L143&gt;='Amort. Sched.-BASE'!$R$8, L143&lt;= ($R$7+$R$8)), (PPMT($N$8/12, (L143-$R$8), $R$7, $N$7)), 0)</f>
        <v>0</v>
      </c>
      <c r="P143" s="5">
        <f>IF(CreditAmort1BASE[[#This Row],[Month]]=R$8,N$7,0)</f>
        <v>0</v>
      </c>
      <c r="Q143" s="13">
        <f>IF(AND(L143&gt;='Amort. Sched.-BASE'!$R$8, L143&lt;= ($R$7+$R$8)), Q142+O143, 0)</f>
        <v>0</v>
      </c>
      <c r="R143" s="6" t="str">
        <f>IF(AND(L143&gt;='Amort. Sched.-BASE'!$R$8, L143&lt;= ($R$7+$R$8)), N143/M143, " ")</f>
        <v xml:space="preserve"> </v>
      </c>
      <c r="S143" s="21" t="str">
        <f>IF(AND(L143&gt;='Amort. Sched.-BASE'!$R$8, L143&lt;= ($R$7+$R$8)), O143/M143, " ")</f>
        <v xml:space="preserve"> </v>
      </c>
      <c r="U143" s="22">
        <f t="shared" si="35"/>
        <v>132</v>
      </c>
      <c r="V143" s="23">
        <f>IF(AND(U143&gt;='Amort. Sched.-BASE'!$AA$8, U143&lt;= ($AA$7+$AA$8)), PMT('Amort. Sched.-BASE'!$W$8/12, 'Amort. Sched.-BASE'!$AA$7, 'Amort. Sched.-BASE'!$W$7), 0)</f>
        <v>0</v>
      </c>
      <c r="W143" s="5">
        <f>IF(AND(U143&gt;='Amort. Sched.-BASE'!$AA$8, U143&lt;= ($AA$7+$AA$8)), (IPMT($W$8/12, (U143-$AA$8), $AA$7, $W$7)), 0)</f>
        <v>0</v>
      </c>
      <c r="X143" s="23">
        <f>IF(AND(U143&gt;='Amort. Sched.-BASE'!$AA$8, U143&lt;= ($AA$7+$AA$8)), (PPMT($W$8/12, (U143-$AA$8), $AA$7, $W$7)), 0)</f>
        <v>0</v>
      </c>
      <c r="Y143" s="5">
        <f>IF(CreditAmort2BASE[[#This Row],[Month]]=AA$8,W$7,0)</f>
        <v>0</v>
      </c>
      <c r="Z143" s="13">
        <f>IF(AND(U143&gt;='Amort. Sched.-BASE'!$AA$8, U143&lt;= ($AA$7+$AA$8)), Z142+X143, 0)</f>
        <v>0</v>
      </c>
      <c r="AA143" s="24" t="str">
        <f>IF(AND(U143&gt;='Amort. Sched.-BASE'!$AA$8, U143&lt;= ($AA$7+$AA$8)), W143/V143, " ")</f>
        <v xml:space="preserve"> </v>
      </c>
      <c r="AB143" s="25" t="str">
        <f>IF(AND(U143&gt;='Amort. Sched.-BASE'!$AA$8, U143&lt;= ($AA$7+$AA$8)), X143/V143, " ")</f>
        <v xml:space="preserve"> </v>
      </c>
      <c r="AD143" s="20">
        <f t="shared" si="36"/>
        <v>132</v>
      </c>
      <c r="AE143" s="5">
        <f t="shared" si="37"/>
        <v>0</v>
      </c>
      <c r="AF143" s="5">
        <f t="shared" si="38"/>
        <v>0</v>
      </c>
      <c r="AG143" s="5">
        <f t="shared" si="39"/>
        <v>0</v>
      </c>
      <c r="AH143" s="5">
        <f>IF(CreditAmort3BASE[[#This Row],[Month]]=AJ$8,AF$7,0)</f>
        <v>0</v>
      </c>
      <c r="AI143" s="13">
        <f t="shared" si="40"/>
        <v>0</v>
      </c>
      <c r="AJ143" s="6" t="str">
        <f t="shared" si="41"/>
        <v xml:space="preserve"> </v>
      </c>
      <c r="AK143" s="21" t="str">
        <f t="shared" si="42"/>
        <v xml:space="preserve"> </v>
      </c>
      <c r="AM143" s="20">
        <f t="shared" si="43"/>
        <v>132</v>
      </c>
      <c r="AN143" s="5">
        <f t="shared" si="44"/>
        <v>0</v>
      </c>
      <c r="AO143" s="5">
        <f t="shared" si="45"/>
        <v>0</v>
      </c>
      <c r="AP143" s="5">
        <f t="shared" si="46"/>
        <v>0</v>
      </c>
      <c r="AQ143" s="5">
        <f>IF(CreditAmort4BASE[[#This Row],[Month]]=AS$8,AO$7,0)</f>
        <v>0</v>
      </c>
      <c r="AR143" s="13">
        <f t="shared" si="47"/>
        <v>0</v>
      </c>
      <c r="AS143" s="6" t="str">
        <f t="shared" si="48"/>
        <v xml:space="preserve"> </v>
      </c>
      <c r="AT143" s="21" t="str">
        <f t="shared" si="49"/>
        <v xml:space="preserve"> </v>
      </c>
    </row>
    <row r="144" spans="3:46">
      <c r="C144" s="22">
        <f t="shared" si="17"/>
        <v>133</v>
      </c>
      <c r="D144" s="23">
        <f>IF(AND(C144&gt;='Amort. Sched.-BASE'!$I$8, C144&lt;= ($I$7+$I$8)), PMT('Amort. Sched.-BASE'!$E$8/12, 'Amort. Sched.-BASE'!$I$7, 'Amort. Sched.-BASE'!$E$7), 0)</f>
        <v>-1736.5864935892569</v>
      </c>
      <c r="E144" s="5">
        <f>IF(AND(C144&gt;='Amort. Sched.-BASE'!$I$8, C144&lt;= ($I$7+$I$8)), (IPMT($E$8/12, (C144-$I$8), $I$7, $E$7)), 0)</f>
        <v>-1167.8634897522513</v>
      </c>
      <c r="F144" s="23">
        <f>IF(AND(C144&gt;='Amort. Sched.-BASE'!$I$8, C144&lt;= ($I$7+$I$8)), (PPMT($E$8/12, (C144-$I$8), $I$7, $E$7)), 0)</f>
        <v>-568.72300383700554</v>
      </c>
      <c r="G144" s="5">
        <f>IF(MortgageAmortBASE[[#This Row],[Month]]=I$8,E$7,0)</f>
        <v>0</v>
      </c>
      <c r="H144" s="13">
        <f>IF(AND(C144&gt;='Amort. Sched.-BASE'!$I$8, C144&lt;= ($I$7+$I$8)), H143+F144, 0)</f>
        <v>174610.80045900066</v>
      </c>
      <c r="I144" s="24">
        <f>IF(AND(C144&gt;='Amort. Sched.-BASE'!$I$8, C144&lt;= ($I$7+$I$8)), E144/D144, " ")</f>
        <v>0.67250522450998529</v>
      </c>
      <c r="J144" s="25">
        <f>IF(AND(C144&gt;='Amort. Sched.-BASE'!$I$8, C144&lt;= ($I$7+$I$8)), F144/D144, " ")</f>
        <v>0.32749477549001471</v>
      </c>
      <c r="L144" s="20">
        <f t="shared" si="34"/>
        <v>133</v>
      </c>
      <c r="M144" s="5">
        <f>IF(AND(L144&gt;='Amort. Sched.-BASE'!$R$8, L144&lt;= ($R$7+$R$8)), PMT('Amort. Sched.-BASE'!$N$8/12, 'Amort. Sched.-BASE'!$R$7, 'Amort. Sched.-BASE'!$N$7), 0)</f>
        <v>0</v>
      </c>
      <c r="N144" s="5">
        <f>IF(AND(L144&gt;='Amort. Sched.-BASE'!$R$8, L144&lt;= ($R$7+$R$8)), (IPMT($N$8/12, (L144-$R$8), $R$7, $N$7)), 0)</f>
        <v>0</v>
      </c>
      <c r="O144" s="5">
        <f>IF(AND(L144&gt;='Amort. Sched.-BASE'!$R$8, L144&lt;= ($R$7+$R$8)), (PPMT($N$8/12, (L144-$R$8), $R$7, $N$7)), 0)</f>
        <v>0</v>
      </c>
      <c r="P144" s="5">
        <f>IF(CreditAmort1BASE[[#This Row],[Month]]=R$8,N$7,0)</f>
        <v>0</v>
      </c>
      <c r="Q144" s="13">
        <f>IF(AND(L144&gt;='Amort. Sched.-BASE'!$R$8, L144&lt;= ($R$7+$R$8)), Q143+O144, 0)</f>
        <v>0</v>
      </c>
      <c r="R144" s="6" t="str">
        <f>IF(AND(L144&gt;='Amort. Sched.-BASE'!$R$8, L144&lt;= ($R$7+$R$8)), N144/M144, " ")</f>
        <v xml:space="preserve"> </v>
      </c>
      <c r="S144" s="21" t="str">
        <f>IF(AND(L144&gt;='Amort. Sched.-BASE'!$R$8, L144&lt;= ($R$7+$R$8)), O144/M144, " ")</f>
        <v xml:space="preserve"> </v>
      </c>
      <c r="U144" s="22">
        <f t="shared" si="35"/>
        <v>133</v>
      </c>
      <c r="V144" s="23">
        <f>IF(AND(U144&gt;='Amort. Sched.-BASE'!$AA$8, U144&lt;= ($AA$7+$AA$8)), PMT('Amort. Sched.-BASE'!$W$8/12, 'Amort. Sched.-BASE'!$AA$7, 'Amort. Sched.-BASE'!$W$7), 0)</f>
        <v>0</v>
      </c>
      <c r="W144" s="5">
        <f>IF(AND(U144&gt;='Amort. Sched.-BASE'!$AA$8, U144&lt;= ($AA$7+$AA$8)), (IPMT($W$8/12, (U144-$AA$8), $AA$7, $W$7)), 0)</f>
        <v>0</v>
      </c>
      <c r="X144" s="23">
        <f>IF(AND(U144&gt;='Amort. Sched.-BASE'!$AA$8, U144&lt;= ($AA$7+$AA$8)), (PPMT($W$8/12, (U144-$AA$8), $AA$7, $W$7)), 0)</f>
        <v>0</v>
      </c>
      <c r="Y144" s="5">
        <f>IF(CreditAmort2BASE[[#This Row],[Month]]=AA$8,W$7,0)</f>
        <v>0</v>
      </c>
      <c r="Z144" s="13">
        <f>IF(AND(U144&gt;='Amort. Sched.-BASE'!$AA$8, U144&lt;= ($AA$7+$AA$8)), Z143+X144, 0)</f>
        <v>0</v>
      </c>
      <c r="AA144" s="24" t="str">
        <f>IF(AND(U144&gt;='Amort. Sched.-BASE'!$AA$8, U144&lt;= ($AA$7+$AA$8)), W144/V144, " ")</f>
        <v xml:space="preserve"> </v>
      </c>
      <c r="AB144" s="25" t="str">
        <f>IF(AND(U144&gt;='Amort. Sched.-BASE'!$AA$8, U144&lt;= ($AA$7+$AA$8)), X144/V144, " ")</f>
        <v xml:space="preserve"> </v>
      </c>
      <c r="AD144" s="20">
        <f t="shared" si="36"/>
        <v>133</v>
      </c>
      <c r="AE144" s="5">
        <f t="shared" si="37"/>
        <v>0</v>
      </c>
      <c r="AF144" s="5">
        <f t="shared" si="38"/>
        <v>0</v>
      </c>
      <c r="AG144" s="5">
        <f t="shared" si="39"/>
        <v>0</v>
      </c>
      <c r="AH144" s="5">
        <f>IF(CreditAmort3BASE[[#This Row],[Month]]=AJ$8,AF$7,0)</f>
        <v>0</v>
      </c>
      <c r="AI144" s="13">
        <f t="shared" si="40"/>
        <v>0</v>
      </c>
      <c r="AJ144" s="6" t="str">
        <f t="shared" si="41"/>
        <v xml:space="preserve"> </v>
      </c>
      <c r="AK144" s="21" t="str">
        <f t="shared" si="42"/>
        <v xml:space="preserve"> </v>
      </c>
      <c r="AM144" s="20">
        <f t="shared" si="43"/>
        <v>133</v>
      </c>
      <c r="AN144" s="5">
        <f t="shared" si="44"/>
        <v>0</v>
      </c>
      <c r="AO144" s="5">
        <f t="shared" si="45"/>
        <v>0</v>
      </c>
      <c r="AP144" s="5">
        <f t="shared" si="46"/>
        <v>0</v>
      </c>
      <c r="AQ144" s="5">
        <f>IF(CreditAmort4BASE[[#This Row],[Month]]=AS$8,AO$7,0)</f>
        <v>0</v>
      </c>
      <c r="AR144" s="13">
        <f t="shared" si="47"/>
        <v>0</v>
      </c>
      <c r="AS144" s="6" t="str">
        <f t="shared" si="48"/>
        <v xml:space="preserve"> </v>
      </c>
      <c r="AT144" s="21" t="str">
        <f t="shared" si="49"/>
        <v xml:space="preserve"> </v>
      </c>
    </row>
    <row r="145" spans="3:46">
      <c r="C145" s="22">
        <f t="shared" si="17"/>
        <v>134</v>
      </c>
      <c r="D145" s="23">
        <f>IF(AND(C145&gt;='Amort. Sched.-BASE'!$I$8, C145&lt;= ($I$7+$I$8)), PMT('Amort. Sched.-BASE'!$E$8/12, 'Amort. Sched.-BASE'!$I$7, 'Amort. Sched.-BASE'!$E$7), 0)</f>
        <v>-1736.5864935892569</v>
      </c>
      <c r="E145" s="5">
        <f>IF(AND(C145&gt;='Amort. Sched.-BASE'!$I$8, C145&lt;= ($I$7+$I$8)), (IPMT($E$8/12, (C145-$I$8), $I$7, $E$7)), 0)</f>
        <v>-1164.0720030600046</v>
      </c>
      <c r="F145" s="23">
        <f>IF(AND(C145&gt;='Amort. Sched.-BASE'!$I$8, C145&lt;= ($I$7+$I$8)), (PPMT($E$8/12, (C145-$I$8), $I$7, $E$7)), 0)</f>
        <v>-572.51449052925227</v>
      </c>
      <c r="G145" s="5">
        <f>IF(MortgageAmortBASE[[#This Row],[Month]]=I$8,E$7,0)</f>
        <v>0</v>
      </c>
      <c r="H145" s="13">
        <f>IF(AND(C145&gt;='Amort. Sched.-BASE'!$I$8, C145&lt;= ($I$7+$I$8)), H144+F145, 0)</f>
        <v>174038.28596847141</v>
      </c>
      <c r="I145" s="24">
        <f>IF(AND(C145&gt;='Amort. Sched.-BASE'!$I$8, C145&lt;= ($I$7+$I$8)), E145/D145, " ")</f>
        <v>0.67032192600671847</v>
      </c>
      <c r="J145" s="25">
        <f>IF(AND(C145&gt;='Amort. Sched.-BASE'!$I$8, C145&lt;= ($I$7+$I$8)), F145/D145, " ")</f>
        <v>0.32967807399328147</v>
      </c>
      <c r="L145" s="20">
        <f t="shared" si="34"/>
        <v>134</v>
      </c>
      <c r="M145" s="5">
        <f>IF(AND(L145&gt;='Amort. Sched.-BASE'!$R$8, L145&lt;= ($R$7+$R$8)), PMT('Amort. Sched.-BASE'!$N$8/12, 'Amort. Sched.-BASE'!$R$7, 'Amort. Sched.-BASE'!$N$7), 0)</f>
        <v>0</v>
      </c>
      <c r="N145" s="5">
        <f>IF(AND(L145&gt;='Amort. Sched.-BASE'!$R$8, L145&lt;= ($R$7+$R$8)), (IPMT($N$8/12, (L145-$R$8), $R$7, $N$7)), 0)</f>
        <v>0</v>
      </c>
      <c r="O145" s="5">
        <f>IF(AND(L145&gt;='Amort. Sched.-BASE'!$R$8, L145&lt;= ($R$7+$R$8)), (PPMT($N$8/12, (L145-$R$8), $R$7, $N$7)), 0)</f>
        <v>0</v>
      </c>
      <c r="P145" s="5">
        <f>IF(CreditAmort1BASE[[#This Row],[Month]]=R$8,N$7,0)</f>
        <v>0</v>
      </c>
      <c r="Q145" s="13">
        <f>IF(AND(L145&gt;='Amort. Sched.-BASE'!$R$8, L145&lt;= ($R$7+$R$8)), Q144+O145, 0)</f>
        <v>0</v>
      </c>
      <c r="R145" s="6" t="str">
        <f>IF(AND(L145&gt;='Amort. Sched.-BASE'!$R$8, L145&lt;= ($R$7+$R$8)), N145/M145, " ")</f>
        <v xml:space="preserve"> </v>
      </c>
      <c r="S145" s="21" t="str">
        <f>IF(AND(L145&gt;='Amort. Sched.-BASE'!$R$8, L145&lt;= ($R$7+$R$8)), O145/M145, " ")</f>
        <v xml:space="preserve"> </v>
      </c>
      <c r="U145" s="22">
        <f t="shared" si="35"/>
        <v>134</v>
      </c>
      <c r="V145" s="23">
        <f>IF(AND(U145&gt;='Amort. Sched.-BASE'!$AA$8, U145&lt;= ($AA$7+$AA$8)), PMT('Amort. Sched.-BASE'!$W$8/12, 'Amort. Sched.-BASE'!$AA$7, 'Amort. Sched.-BASE'!$W$7), 0)</f>
        <v>0</v>
      </c>
      <c r="W145" s="5">
        <f>IF(AND(U145&gt;='Amort. Sched.-BASE'!$AA$8, U145&lt;= ($AA$7+$AA$8)), (IPMT($W$8/12, (U145-$AA$8), $AA$7, $W$7)), 0)</f>
        <v>0</v>
      </c>
      <c r="X145" s="23">
        <f>IF(AND(U145&gt;='Amort. Sched.-BASE'!$AA$8, U145&lt;= ($AA$7+$AA$8)), (PPMT($W$8/12, (U145-$AA$8), $AA$7, $W$7)), 0)</f>
        <v>0</v>
      </c>
      <c r="Y145" s="5">
        <f>IF(CreditAmort2BASE[[#This Row],[Month]]=AA$8,W$7,0)</f>
        <v>0</v>
      </c>
      <c r="Z145" s="13">
        <f>IF(AND(U145&gt;='Amort. Sched.-BASE'!$AA$8, U145&lt;= ($AA$7+$AA$8)), Z144+X145, 0)</f>
        <v>0</v>
      </c>
      <c r="AA145" s="24" t="str">
        <f>IF(AND(U145&gt;='Amort. Sched.-BASE'!$AA$8, U145&lt;= ($AA$7+$AA$8)), W145/V145, " ")</f>
        <v xml:space="preserve"> </v>
      </c>
      <c r="AB145" s="25" t="str">
        <f>IF(AND(U145&gt;='Amort. Sched.-BASE'!$AA$8, U145&lt;= ($AA$7+$AA$8)), X145/V145, " ")</f>
        <v xml:space="preserve"> </v>
      </c>
      <c r="AD145" s="20">
        <f t="shared" si="36"/>
        <v>134</v>
      </c>
      <c r="AE145" s="5">
        <f t="shared" si="37"/>
        <v>0</v>
      </c>
      <c r="AF145" s="5">
        <f t="shared" si="38"/>
        <v>0</v>
      </c>
      <c r="AG145" s="5">
        <f t="shared" si="39"/>
        <v>0</v>
      </c>
      <c r="AH145" s="5">
        <f>IF(CreditAmort3BASE[[#This Row],[Month]]=AJ$8,AF$7,0)</f>
        <v>0</v>
      </c>
      <c r="AI145" s="13">
        <f t="shared" si="40"/>
        <v>0</v>
      </c>
      <c r="AJ145" s="6" t="str">
        <f t="shared" si="41"/>
        <v xml:space="preserve"> </v>
      </c>
      <c r="AK145" s="21" t="str">
        <f t="shared" si="42"/>
        <v xml:space="preserve"> </v>
      </c>
      <c r="AM145" s="20">
        <f t="shared" si="43"/>
        <v>134</v>
      </c>
      <c r="AN145" s="5">
        <f t="shared" si="44"/>
        <v>0</v>
      </c>
      <c r="AO145" s="5">
        <f t="shared" si="45"/>
        <v>0</v>
      </c>
      <c r="AP145" s="5">
        <f t="shared" si="46"/>
        <v>0</v>
      </c>
      <c r="AQ145" s="5">
        <f>IF(CreditAmort4BASE[[#This Row],[Month]]=AS$8,AO$7,0)</f>
        <v>0</v>
      </c>
      <c r="AR145" s="13">
        <f t="shared" si="47"/>
        <v>0</v>
      </c>
      <c r="AS145" s="6" t="str">
        <f t="shared" si="48"/>
        <v xml:space="preserve"> </v>
      </c>
      <c r="AT145" s="21" t="str">
        <f t="shared" si="49"/>
        <v xml:space="preserve"> </v>
      </c>
    </row>
    <row r="146" spans="3:46">
      <c r="C146" s="22">
        <f t="shared" si="17"/>
        <v>135</v>
      </c>
      <c r="D146" s="23">
        <f>IF(AND(C146&gt;='Amort. Sched.-BASE'!$I$8, C146&lt;= ($I$7+$I$8)), PMT('Amort. Sched.-BASE'!$E$8/12, 'Amort. Sched.-BASE'!$I$7, 'Amort. Sched.-BASE'!$E$7), 0)</f>
        <v>-1736.5864935892569</v>
      </c>
      <c r="E146" s="5">
        <f>IF(AND(C146&gt;='Amort. Sched.-BASE'!$I$8, C146&lt;= ($I$7+$I$8)), (IPMT($E$8/12, (C146-$I$8), $I$7, $E$7)), 0)</f>
        <v>-1160.2552397898098</v>
      </c>
      <c r="F146" s="23">
        <f>IF(AND(C146&gt;='Amort. Sched.-BASE'!$I$8, C146&lt;= ($I$7+$I$8)), (PPMT($E$8/12, (C146-$I$8), $I$7, $E$7)), 0)</f>
        <v>-576.33125379944727</v>
      </c>
      <c r="G146" s="5">
        <f>IF(MortgageAmortBASE[[#This Row],[Month]]=I$8,E$7,0)</f>
        <v>0</v>
      </c>
      <c r="H146" s="13">
        <f>IF(AND(C146&gt;='Amort. Sched.-BASE'!$I$8, C146&lt;= ($I$7+$I$8)), H145+F146, 0)</f>
        <v>173461.95471467197</v>
      </c>
      <c r="I146" s="24">
        <f>IF(AND(C146&gt;='Amort. Sched.-BASE'!$I$8, C146&lt;= ($I$7+$I$8)), E146/D146, " ")</f>
        <v>0.66812407218009673</v>
      </c>
      <c r="J146" s="25">
        <f>IF(AND(C146&gt;='Amort. Sched.-BASE'!$I$8, C146&lt;= ($I$7+$I$8)), F146/D146, " ")</f>
        <v>0.33187592781990333</v>
      </c>
      <c r="L146" s="20">
        <f t="shared" si="34"/>
        <v>135</v>
      </c>
      <c r="M146" s="5">
        <f>IF(AND(L146&gt;='Amort. Sched.-BASE'!$R$8, L146&lt;= ($R$7+$R$8)), PMT('Amort. Sched.-BASE'!$N$8/12, 'Amort. Sched.-BASE'!$R$7, 'Amort. Sched.-BASE'!$N$7), 0)</f>
        <v>0</v>
      </c>
      <c r="N146" s="5">
        <f>IF(AND(L146&gt;='Amort. Sched.-BASE'!$R$8, L146&lt;= ($R$7+$R$8)), (IPMT($N$8/12, (L146-$R$8), $R$7, $N$7)), 0)</f>
        <v>0</v>
      </c>
      <c r="O146" s="5">
        <f>IF(AND(L146&gt;='Amort. Sched.-BASE'!$R$8, L146&lt;= ($R$7+$R$8)), (PPMT($N$8/12, (L146-$R$8), $R$7, $N$7)), 0)</f>
        <v>0</v>
      </c>
      <c r="P146" s="5">
        <f>IF(CreditAmort1BASE[[#This Row],[Month]]=R$8,N$7,0)</f>
        <v>0</v>
      </c>
      <c r="Q146" s="13">
        <f>IF(AND(L146&gt;='Amort. Sched.-BASE'!$R$8, L146&lt;= ($R$7+$R$8)), Q145+O146, 0)</f>
        <v>0</v>
      </c>
      <c r="R146" s="6" t="str">
        <f>IF(AND(L146&gt;='Amort. Sched.-BASE'!$R$8, L146&lt;= ($R$7+$R$8)), N146/M146, " ")</f>
        <v xml:space="preserve"> </v>
      </c>
      <c r="S146" s="21" t="str">
        <f>IF(AND(L146&gt;='Amort. Sched.-BASE'!$R$8, L146&lt;= ($R$7+$R$8)), O146/M146, " ")</f>
        <v xml:space="preserve"> </v>
      </c>
      <c r="U146" s="22">
        <f t="shared" si="35"/>
        <v>135</v>
      </c>
      <c r="V146" s="23">
        <f>IF(AND(U146&gt;='Amort. Sched.-BASE'!$AA$8, U146&lt;= ($AA$7+$AA$8)), PMT('Amort. Sched.-BASE'!$W$8/12, 'Amort. Sched.-BASE'!$AA$7, 'Amort. Sched.-BASE'!$W$7), 0)</f>
        <v>0</v>
      </c>
      <c r="W146" s="5">
        <f>IF(AND(U146&gt;='Amort. Sched.-BASE'!$AA$8, U146&lt;= ($AA$7+$AA$8)), (IPMT($W$8/12, (U146-$AA$8), $AA$7, $W$7)), 0)</f>
        <v>0</v>
      </c>
      <c r="X146" s="23">
        <f>IF(AND(U146&gt;='Amort. Sched.-BASE'!$AA$8, U146&lt;= ($AA$7+$AA$8)), (PPMT($W$8/12, (U146-$AA$8), $AA$7, $W$7)), 0)</f>
        <v>0</v>
      </c>
      <c r="Y146" s="5">
        <f>IF(CreditAmort2BASE[[#This Row],[Month]]=AA$8,W$7,0)</f>
        <v>0</v>
      </c>
      <c r="Z146" s="13">
        <f>IF(AND(U146&gt;='Amort. Sched.-BASE'!$AA$8, U146&lt;= ($AA$7+$AA$8)), Z145+X146, 0)</f>
        <v>0</v>
      </c>
      <c r="AA146" s="24" t="str">
        <f>IF(AND(U146&gt;='Amort. Sched.-BASE'!$AA$8, U146&lt;= ($AA$7+$AA$8)), W146/V146, " ")</f>
        <v xml:space="preserve"> </v>
      </c>
      <c r="AB146" s="25" t="str">
        <f>IF(AND(U146&gt;='Amort. Sched.-BASE'!$AA$8, U146&lt;= ($AA$7+$AA$8)), X146/V146, " ")</f>
        <v xml:space="preserve"> </v>
      </c>
      <c r="AD146" s="20">
        <f t="shared" si="36"/>
        <v>135</v>
      </c>
      <c r="AE146" s="5">
        <f t="shared" si="37"/>
        <v>0</v>
      </c>
      <c r="AF146" s="5">
        <f t="shared" si="38"/>
        <v>0</v>
      </c>
      <c r="AG146" s="5">
        <f t="shared" si="39"/>
        <v>0</v>
      </c>
      <c r="AH146" s="5">
        <f>IF(CreditAmort3BASE[[#This Row],[Month]]=AJ$8,AF$7,0)</f>
        <v>0</v>
      </c>
      <c r="AI146" s="13">
        <f t="shared" si="40"/>
        <v>0</v>
      </c>
      <c r="AJ146" s="6" t="str">
        <f t="shared" si="41"/>
        <v xml:space="preserve"> </v>
      </c>
      <c r="AK146" s="21" t="str">
        <f t="shared" si="42"/>
        <v xml:space="preserve"> </v>
      </c>
      <c r="AM146" s="20">
        <f t="shared" si="43"/>
        <v>135</v>
      </c>
      <c r="AN146" s="5">
        <f t="shared" si="44"/>
        <v>0</v>
      </c>
      <c r="AO146" s="5">
        <f t="shared" si="45"/>
        <v>0</v>
      </c>
      <c r="AP146" s="5">
        <f t="shared" si="46"/>
        <v>0</v>
      </c>
      <c r="AQ146" s="5">
        <f>IF(CreditAmort4BASE[[#This Row],[Month]]=AS$8,AO$7,0)</f>
        <v>0</v>
      </c>
      <c r="AR146" s="13">
        <f t="shared" si="47"/>
        <v>0</v>
      </c>
      <c r="AS146" s="6" t="str">
        <f t="shared" si="48"/>
        <v xml:space="preserve"> </v>
      </c>
      <c r="AT146" s="21" t="str">
        <f t="shared" si="49"/>
        <v xml:space="preserve"> </v>
      </c>
    </row>
    <row r="147" spans="3:46">
      <c r="C147" s="22">
        <f t="shared" si="17"/>
        <v>136</v>
      </c>
      <c r="D147" s="23">
        <f>IF(AND(C147&gt;='Amort. Sched.-BASE'!$I$8, C147&lt;= ($I$7+$I$8)), PMT('Amort. Sched.-BASE'!$E$8/12, 'Amort. Sched.-BASE'!$I$7, 'Amort. Sched.-BASE'!$E$7), 0)</f>
        <v>-1736.5864935892569</v>
      </c>
      <c r="E147" s="5">
        <f>IF(AND(C147&gt;='Amort. Sched.-BASE'!$I$8, C147&lt;= ($I$7+$I$8)), (IPMT($E$8/12, (C147-$I$8), $I$7, $E$7)), 0)</f>
        <v>-1156.4130314311467</v>
      </c>
      <c r="F147" s="23">
        <f>IF(AND(C147&gt;='Amort. Sched.-BASE'!$I$8, C147&lt;= ($I$7+$I$8)), (PPMT($E$8/12, (C147-$I$8), $I$7, $E$7)), 0)</f>
        <v>-580.17346215811028</v>
      </c>
      <c r="G147" s="5">
        <f>IF(MortgageAmortBASE[[#This Row],[Month]]=I$8,E$7,0)</f>
        <v>0</v>
      </c>
      <c r="H147" s="13">
        <f>IF(AND(C147&gt;='Amort. Sched.-BASE'!$I$8, C147&lt;= ($I$7+$I$8)), H146+F147, 0)</f>
        <v>172881.78125251387</v>
      </c>
      <c r="I147" s="24">
        <f>IF(AND(C147&gt;='Amort. Sched.-BASE'!$I$8, C147&lt;= ($I$7+$I$8)), E147/D147, " ")</f>
        <v>0.66591156599463064</v>
      </c>
      <c r="J147" s="25">
        <f>IF(AND(C147&gt;='Amort. Sched.-BASE'!$I$8, C147&lt;= ($I$7+$I$8)), F147/D147, " ")</f>
        <v>0.33408843400536942</v>
      </c>
      <c r="L147" s="20">
        <f t="shared" si="34"/>
        <v>136</v>
      </c>
      <c r="M147" s="5">
        <f>IF(AND(L147&gt;='Amort. Sched.-BASE'!$R$8, L147&lt;= ($R$7+$R$8)), PMT('Amort. Sched.-BASE'!$N$8/12, 'Amort. Sched.-BASE'!$R$7, 'Amort. Sched.-BASE'!$N$7), 0)</f>
        <v>0</v>
      </c>
      <c r="N147" s="5">
        <f>IF(AND(L147&gt;='Amort. Sched.-BASE'!$R$8, L147&lt;= ($R$7+$R$8)), (IPMT($N$8/12, (L147-$R$8), $R$7, $N$7)), 0)</f>
        <v>0</v>
      </c>
      <c r="O147" s="5">
        <f>IF(AND(L147&gt;='Amort. Sched.-BASE'!$R$8, L147&lt;= ($R$7+$R$8)), (PPMT($N$8/12, (L147-$R$8), $R$7, $N$7)), 0)</f>
        <v>0</v>
      </c>
      <c r="P147" s="5">
        <f>IF(CreditAmort1BASE[[#This Row],[Month]]=R$8,N$7,0)</f>
        <v>0</v>
      </c>
      <c r="Q147" s="13">
        <f>IF(AND(L147&gt;='Amort. Sched.-BASE'!$R$8, L147&lt;= ($R$7+$R$8)), Q146+O147, 0)</f>
        <v>0</v>
      </c>
      <c r="R147" s="6" t="str">
        <f>IF(AND(L147&gt;='Amort. Sched.-BASE'!$R$8, L147&lt;= ($R$7+$R$8)), N147/M147, " ")</f>
        <v xml:space="preserve"> </v>
      </c>
      <c r="S147" s="21" t="str">
        <f>IF(AND(L147&gt;='Amort. Sched.-BASE'!$R$8, L147&lt;= ($R$7+$R$8)), O147/M147, " ")</f>
        <v xml:space="preserve"> </v>
      </c>
      <c r="U147" s="22">
        <f t="shared" si="35"/>
        <v>136</v>
      </c>
      <c r="V147" s="23">
        <f>IF(AND(U147&gt;='Amort. Sched.-BASE'!$AA$8, U147&lt;= ($AA$7+$AA$8)), PMT('Amort. Sched.-BASE'!$W$8/12, 'Amort. Sched.-BASE'!$AA$7, 'Amort. Sched.-BASE'!$W$7), 0)</f>
        <v>0</v>
      </c>
      <c r="W147" s="5">
        <f>IF(AND(U147&gt;='Amort. Sched.-BASE'!$AA$8, U147&lt;= ($AA$7+$AA$8)), (IPMT($W$8/12, (U147-$AA$8), $AA$7, $W$7)), 0)</f>
        <v>0</v>
      </c>
      <c r="X147" s="23">
        <f>IF(AND(U147&gt;='Amort. Sched.-BASE'!$AA$8, U147&lt;= ($AA$7+$AA$8)), (PPMT($W$8/12, (U147-$AA$8), $AA$7, $W$7)), 0)</f>
        <v>0</v>
      </c>
      <c r="Y147" s="5">
        <f>IF(CreditAmort2BASE[[#This Row],[Month]]=AA$8,W$7,0)</f>
        <v>0</v>
      </c>
      <c r="Z147" s="13">
        <f>IF(AND(U147&gt;='Amort. Sched.-BASE'!$AA$8, U147&lt;= ($AA$7+$AA$8)), Z146+X147, 0)</f>
        <v>0</v>
      </c>
      <c r="AA147" s="24" t="str">
        <f>IF(AND(U147&gt;='Amort. Sched.-BASE'!$AA$8, U147&lt;= ($AA$7+$AA$8)), W147/V147, " ")</f>
        <v xml:space="preserve"> </v>
      </c>
      <c r="AB147" s="25" t="str">
        <f>IF(AND(U147&gt;='Amort. Sched.-BASE'!$AA$8, U147&lt;= ($AA$7+$AA$8)), X147/V147, " ")</f>
        <v xml:space="preserve"> </v>
      </c>
      <c r="AD147" s="20">
        <f t="shared" si="36"/>
        <v>136</v>
      </c>
      <c r="AE147" s="5">
        <f t="shared" si="37"/>
        <v>0</v>
      </c>
      <c r="AF147" s="5">
        <f t="shared" si="38"/>
        <v>0</v>
      </c>
      <c r="AG147" s="5">
        <f t="shared" si="39"/>
        <v>0</v>
      </c>
      <c r="AH147" s="5">
        <f>IF(CreditAmort3BASE[[#This Row],[Month]]=AJ$8,AF$7,0)</f>
        <v>0</v>
      </c>
      <c r="AI147" s="13">
        <f t="shared" si="40"/>
        <v>0</v>
      </c>
      <c r="AJ147" s="6" t="str">
        <f t="shared" si="41"/>
        <v xml:space="preserve"> </v>
      </c>
      <c r="AK147" s="21" t="str">
        <f t="shared" si="42"/>
        <v xml:space="preserve"> </v>
      </c>
      <c r="AM147" s="20">
        <f t="shared" si="43"/>
        <v>136</v>
      </c>
      <c r="AN147" s="5">
        <f t="shared" si="44"/>
        <v>0</v>
      </c>
      <c r="AO147" s="5">
        <f t="shared" si="45"/>
        <v>0</v>
      </c>
      <c r="AP147" s="5">
        <f t="shared" si="46"/>
        <v>0</v>
      </c>
      <c r="AQ147" s="5">
        <f>IF(CreditAmort4BASE[[#This Row],[Month]]=AS$8,AO$7,0)</f>
        <v>0</v>
      </c>
      <c r="AR147" s="13">
        <f t="shared" si="47"/>
        <v>0</v>
      </c>
      <c r="AS147" s="6" t="str">
        <f t="shared" si="48"/>
        <v xml:space="preserve"> </v>
      </c>
      <c r="AT147" s="21" t="str">
        <f t="shared" si="49"/>
        <v xml:space="preserve"> </v>
      </c>
    </row>
    <row r="148" spans="3:46">
      <c r="C148" s="22">
        <f t="shared" si="17"/>
        <v>137</v>
      </c>
      <c r="D148" s="23">
        <f>IF(AND(C148&gt;='Amort. Sched.-BASE'!$I$8, C148&lt;= ($I$7+$I$8)), PMT('Amort. Sched.-BASE'!$E$8/12, 'Amort. Sched.-BASE'!$I$7, 'Amort. Sched.-BASE'!$E$7), 0)</f>
        <v>-1736.5864935892569</v>
      </c>
      <c r="E148" s="5">
        <f>IF(AND(C148&gt;='Amort. Sched.-BASE'!$I$8, C148&lt;= ($I$7+$I$8)), (IPMT($E$8/12, (C148-$I$8), $I$7, $E$7)), 0)</f>
        <v>-1152.5452083500925</v>
      </c>
      <c r="F148" s="23">
        <f>IF(AND(C148&gt;='Amort. Sched.-BASE'!$I$8, C148&lt;= ($I$7+$I$8)), (PPMT($E$8/12, (C148-$I$8), $I$7, $E$7)), 0)</f>
        <v>-584.04128523916427</v>
      </c>
      <c r="G148" s="5">
        <f>IF(MortgageAmortBASE[[#This Row],[Month]]=I$8,E$7,0)</f>
        <v>0</v>
      </c>
      <c r="H148" s="13">
        <f>IF(AND(C148&gt;='Amort. Sched.-BASE'!$I$8, C148&lt;= ($I$7+$I$8)), H147+F148, 0)</f>
        <v>172297.73996727471</v>
      </c>
      <c r="I148" s="24">
        <f>IF(AND(C148&gt;='Amort. Sched.-BASE'!$I$8, C148&lt;= ($I$7+$I$8)), E148/D148, " ")</f>
        <v>0.66368430976792814</v>
      </c>
      <c r="J148" s="25">
        <f>IF(AND(C148&gt;='Amort. Sched.-BASE'!$I$8, C148&lt;= ($I$7+$I$8)), F148/D148, " ")</f>
        <v>0.33631569023207181</v>
      </c>
      <c r="L148" s="20">
        <f t="shared" si="34"/>
        <v>137</v>
      </c>
      <c r="M148" s="5">
        <f>IF(AND(L148&gt;='Amort. Sched.-BASE'!$R$8, L148&lt;= ($R$7+$R$8)), PMT('Amort. Sched.-BASE'!$N$8/12, 'Amort. Sched.-BASE'!$R$7, 'Amort. Sched.-BASE'!$N$7), 0)</f>
        <v>0</v>
      </c>
      <c r="N148" s="5">
        <f>IF(AND(L148&gt;='Amort. Sched.-BASE'!$R$8, L148&lt;= ($R$7+$R$8)), (IPMT($N$8/12, (L148-$R$8), $R$7, $N$7)), 0)</f>
        <v>0</v>
      </c>
      <c r="O148" s="5">
        <f>IF(AND(L148&gt;='Amort. Sched.-BASE'!$R$8, L148&lt;= ($R$7+$R$8)), (PPMT($N$8/12, (L148-$R$8), $R$7, $N$7)), 0)</f>
        <v>0</v>
      </c>
      <c r="P148" s="5">
        <f>IF(CreditAmort1BASE[[#This Row],[Month]]=R$8,N$7,0)</f>
        <v>0</v>
      </c>
      <c r="Q148" s="13">
        <f>IF(AND(L148&gt;='Amort. Sched.-BASE'!$R$8, L148&lt;= ($R$7+$R$8)), Q147+O148, 0)</f>
        <v>0</v>
      </c>
      <c r="R148" s="6" t="str">
        <f>IF(AND(L148&gt;='Amort. Sched.-BASE'!$R$8, L148&lt;= ($R$7+$R$8)), N148/M148, " ")</f>
        <v xml:space="preserve"> </v>
      </c>
      <c r="S148" s="21" t="str">
        <f>IF(AND(L148&gt;='Amort. Sched.-BASE'!$R$8, L148&lt;= ($R$7+$R$8)), O148/M148, " ")</f>
        <v xml:space="preserve"> </v>
      </c>
      <c r="U148" s="22">
        <f t="shared" si="35"/>
        <v>137</v>
      </c>
      <c r="V148" s="23">
        <f>IF(AND(U148&gt;='Amort. Sched.-BASE'!$AA$8, U148&lt;= ($AA$7+$AA$8)), PMT('Amort. Sched.-BASE'!$W$8/12, 'Amort. Sched.-BASE'!$AA$7, 'Amort. Sched.-BASE'!$W$7), 0)</f>
        <v>0</v>
      </c>
      <c r="W148" s="5">
        <f>IF(AND(U148&gt;='Amort. Sched.-BASE'!$AA$8, U148&lt;= ($AA$7+$AA$8)), (IPMT($W$8/12, (U148-$AA$8), $AA$7, $W$7)), 0)</f>
        <v>0</v>
      </c>
      <c r="X148" s="23">
        <f>IF(AND(U148&gt;='Amort. Sched.-BASE'!$AA$8, U148&lt;= ($AA$7+$AA$8)), (PPMT($W$8/12, (U148-$AA$8), $AA$7, $W$7)), 0)</f>
        <v>0</v>
      </c>
      <c r="Y148" s="5">
        <f>IF(CreditAmort2BASE[[#This Row],[Month]]=AA$8,W$7,0)</f>
        <v>0</v>
      </c>
      <c r="Z148" s="13">
        <f>IF(AND(U148&gt;='Amort. Sched.-BASE'!$AA$8, U148&lt;= ($AA$7+$AA$8)), Z147+X148, 0)</f>
        <v>0</v>
      </c>
      <c r="AA148" s="24" t="str">
        <f>IF(AND(U148&gt;='Amort. Sched.-BASE'!$AA$8, U148&lt;= ($AA$7+$AA$8)), W148/V148, " ")</f>
        <v xml:space="preserve"> </v>
      </c>
      <c r="AB148" s="25" t="str">
        <f>IF(AND(U148&gt;='Amort. Sched.-BASE'!$AA$8, U148&lt;= ($AA$7+$AA$8)), X148/V148, " ")</f>
        <v xml:space="preserve"> </v>
      </c>
      <c r="AD148" s="20">
        <f t="shared" si="36"/>
        <v>137</v>
      </c>
      <c r="AE148" s="5">
        <f t="shared" si="37"/>
        <v>0</v>
      </c>
      <c r="AF148" s="5">
        <f t="shared" si="38"/>
        <v>0</v>
      </c>
      <c r="AG148" s="5">
        <f t="shared" si="39"/>
        <v>0</v>
      </c>
      <c r="AH148" s="5">
        <f>IF(CreditAmort3BASE[[#This Row],[Month]]=AJ$8,AF$7,0)</f>
        <v>0</v>
      </c>
      <c r="AI148" s="13">
        <f t="shared" si="40"/>
        <v>0</v>
      </c>
      <c r="AJ148" s="6" t="str">
        <f t="shared" si="41"/>
        <v xml:space="preserve"> </v>
      </c>
      <c r="AK148" s="21" t="str">
        <f t="shared" si="42"/>
        <v xml:space="preserve"> </v>
      </c>
      <c r="AM148" s="20">
        <f t="shared" si="43"/>
        <v>137</v>
      </c>
      <c r="AN148" s="5">
        <f t="shared" si="44"/>
        <v>0</v>
      </c>
      <c r="AO148" s="5">
        <f t="shared" si="45"/>
        <v>0</v>
      </c>
      <c r="AP148" s="5">
        <f t="shared" si="46"/>
        <v>0</v>
      </c>
      <c r="AQ148" s="5">
        <f>IF(CreditAmort4BASE[[#This Row],[Month]]=AS$8,AO$7,0)</f>
        <v>0</v>
      </c>
      <c r="AR148" s="13">
        <f t="shared" si="47"/>
        <v>0</v>
      </c>
      <c r="AS148" s="6" t="str">
        <f t="shared" si="48"/>
        <v xml:space="preserve"> </v>
      </c>
      <c r="AT148" s="21" t="str">
        <f t="shared" si="49"/>
        <v xml:space="preserve"> </v>
      </c>
    </row>
    <row r="149" spans="3:46">
      <c r="C149" s="22">
        <f t="shared" si="17"/>
        <v>138</v>
      </c>
      <c r="D149" s="23">
        <f>IF(AND(C149&gt;='Amort. Sched.-BASE'!$I$8, C149&lt;= ($I$7+$I$8)), PMT('Amort. Sched.-BASE'!$E$8/12, 'Amort. Sched.-BASE'!$I$7, 'Amort. Sched.-BASE'!$E$7), 0)</f>
        <v>-1736.5864935892569</v>
      </c>
      <c r="E149" s="5">
        <f>IF(AND(C149&gt;='Amort. Sched.-BASE'!$I$8, C149&lt;= ($I$7+$I$8)), (IPMT($E$8/12, (C149-$I$8), $I$7, $E$7)), 0)</f>
        <v>-1148.6515997818315</v>
      </c>
      <c r="F149" s="23">
        <f>IF(AND(C149&gt;='Amort. Sched.-BASE'!$I$8, C149&lt;= ($I$7+$I$8)), (PPMT($E$8/12, (C149-$I$8), $I$7, $E$7)), 0)</f>
        <v>-587.93489380742551</v>
      </c>
      <c r="G149" s="5">
        <f>IF(MortgageAmortBASE[[#This Row],[Month]]=I$8,E$7,0)</f>
        <v>0</v>
      </c>
      <c r="H149" s="13">
        <f>IF(AND(C149&gt;='Amort. Sched.-BASE'!$I$8, C149&lt;= ($I$7+$I$8)), H148+F149, 0)</f>
        <v>171709.80507346729</v>
      </c>
      <c r="I149" s="24">
        <f>IF(AND(C149&gt;='Amort. Sched.-BASE'!$I$8, C149&lt;= ($I$7+$I$8)), E149/D149, " ")</f>
        <v>0.66144220516638108</v>
      </c>
      <c r="J149" s="25">
        <f>IF(AND(C149&gt;='Amort. Sched.-BASE'!$I$8, C149&lt;= ($I$7+$I$8)), F149/D149, " ")</f>
        <v>0.33855779483361903</v>
      </c>
      <c r="L149" s="20">
        <f t="shared" si="34"/>
        <v>138</v>
      </c>
      <c r="M149" s="5">
        <f>IF(AND(L149&gt;='Amort. Sched.-BASE'!$R$8, L149&lt;= ($R$7+$R$8)), PMT('Amort. Sched.-BASE'!$N$8/12, 'Amort. Sched.-BASE'!$R$7, 'Amort. Sched.-BASE'!$N$7), 0)</f>
        <v>0</v>
      </c>
      <c r="N149" s="5">
        <f>IF(AND(L149&gt;='Amort. Sched.-BASE'!$R$8, L149&lt;= ($R$7+$R$8)), (IPMT($N$8/12, (L149-$R$8), $R$7, $N$7)), 0)</f>
        <v>0</v>
      </c>
      <c r="O149" s="5">
        <f>IF(AND(L149&gt;='Amort. Sched.-BASE'!$R$8, L149&lt;= ($R$7+$R$8)), (PPMT($N$8/12, (L149-$R$8), $R$7, $N$7)), 0)</f>
        <v>0</v>
      </c>
      <c r="P149" s="5">
        <f>IF(CreditAmort1BASE[[#This Row],[Month]]=R$8,N$7,0)</f>
        <v>0</v>
      </c>
      <c r="Q149" s="13">
        <f>IF(AND(L149&gt;='Amort. Sched.-BASE'!$R$8, L149&lt;= ($R$7+$R$8)), Q148+O149, 0)</f>
        <v>0</v>
      </c>
      <c r="R149" s="6" t="str">
        <f>IF(AND(L149&gt;='Amort. Sched.-BASE'!$R$8, L149&lt;= ($R$7+$R$8)), N149/M149, " ")</f>
        <v xml:space="preserve"> </v>
      </c>
      <c r="S149" s="21" t="str">
        <f>IF(AND(L149&gt;='Amort. Sched.-BASE'!$R$8, L149&lt;= ($R$7+$R$8)), O149/M149, " ")</f>
        <v xml:space="preserve"> </v>
      </c>
      <c r="U149" s="22">
        <f t="shared" si="35"/>
        <v>138</v>
      </c>
      <c r="V149" s="23">
        <f>IF(AND(U149&gt;='Amort. Sched.-BASE'!$AA$8, U149&lt;= ($AA$7+$AA$8)), PMT('Amort. Sched.-BASE'!$W$8/12, 'Amort. Sched.-BASE'!$AA$7, 'Amort. Sched.-BASE'!$W$7), 0)</f>
        <v>0</v>
      </c>
      <c r="W149" s="5">
        <f>IF(AND(U149&gt;='Amort. Sched.-BASE'!$AA$8, U149&lt;= ($AA$7+$AA$8)), (IPMT($W$8/12, (U149-$AA$8), $AA$7, $W$7)), 0)</f>
        <v>0</v>
      </c>
      <c r="X149" s="23">
        <f>IF(AND(U149&gt;='Amort. Sched.-BASE'!$AA$8, U149&lt;= ($AA$7+$AA$8)), (PPMT($W$8/12, (U149-$AA$8), $AA$7, $W$7)), 0)</f>
        <v>0</v>
      </c>
      <c r="Y149" s="5">
        <f>IF(CreditAmort2BASE[[#This Row],[Month]]=AA$8,W$7,0)</f>
        <v>0</v>
      </c>
      <c r="Z149" s="13">
        <f>IF(AND(U149&gt;='Amort. Sched.-BASE'!$AA$8, U149&lt;= ($AA$7+$AA$8)), Z148+X149, 0)</f>
        <v>0</v>
      </c>
      <c r="AA149" s="24" t="str">
        <f>IF(AND(U149&gt;='Amort. Sched.-BASE'!$AA$8, U149&lt;= ($AA$7+$AA$8)), W149/V149, " ")</f>
        <v xml:space="preserve"> </v>
      </c>
      <c r="AB149" s="25" t="str">
        <f>IF(AND(U149&gt;='Amort. Sched.-BASE'!$AA$8, U149&lt;= ($AA$7+$AA$8)), X149/V149, " ")</f>
        <v xml:space="preserve"> </v>
      </c>
      <c r="AD149" s="20">
        <f t="shared" si="36"/>
        <v>138</v>
      </c>
      <c r="AE149" s="5">
        <f t="shared" si="37"/>
        <v>0</v>
      </c>
      <c r="AF149" s="5">
        <f t="shared" si="38"/>
        <v>0</v>
      </c>
      <c r="AG149" s="5">
        <f t="shared" si="39"/>
        <v>0</v>
      </c>
      <c r="AH149" s="5">
        <f>IF(CreditAmort3BASE[[#This Row],[Month]]=AJ$8,AF$7,0)</f>
        <v>0</v>
      </c>
      <c r="AI149" s="13">
        <f t="shared" si="40"/>
        <v>0</v>
      </c>
      <c r="AJ149" s="6" t="str">
        <f t="shared" si="41"/>
        <v xml:space="preserve"> </v>
      </c>
      <c r="AK149" s="21" t="str">
        <f t="shared" si="42"/>
        <v xml:space="preserve"> </v>
      </c>
      <c r="AM149" s="20">
        <f t="shared" si="43"/>
        <v>138</v>
      </c>
      <c r="AN149" s="5">
        <f t="shared" si="44"/>
        <v>0</v>
      </c>
      <c r="AO149" s="5">
        <f t="shared" si="45"/>
        <v>0</v>
      </c>
      <c r="AP149" s="5">
        <f t="shared" si="46"/>
        <v>0</v>
      </c>
      <c r="AQ149" s="5">
        <f>IF(CreditAmort4BASE[[#This Row],[Month]]=AS$8,AO$7,0)</f>
        <v>0</v>
      </c>
      <c r="AR149" s="13">
        <f t="shared" si="47"/>
        <v>0</v>
      </c>
      <c r="AS149" s="6" t="str">
        <f t="shared" si="48"/>
        <v xml:space="preserve"> </v>
      </c>
      <c r="AT149" s="21" t="str">
        <f t="shared" si="49"/>
        <v xml:space="preserve"> </v>
      </c>
    </row>
    <row r="150" spans="3:46">
      <c r="C150" s="22">
        <f t="shared" si="17"/>
        <v>139</v>
      </c>
      <c r="D150" s="23">
        <f>IF(AND(C150&gt;='Amort. Sched.-BASE'!$I$8, C150&lt;= ($I$7+$I$8)), PMT('Amort. Sched.-BASE'!$E$8/12, 'Amort. Sched.-BASE'!$I$7, 'Amort. Sched.-BASE'!$E$7), 0)</f>
        <v>-1736.5864935892569</v>
      </c>
      <c r="E150" s="5">
        <f>IF(AND(C150&gt;='Amort. Sched.-BASE'!$I$8, C150&lt;= ($I$7+$I$8)), (IPMT($E$8/12, (C150-$I$8), $I$7, $E$7)), 0)</f>
        <v>-1144.7320338231152</v>
      </c>
      <c r="F150" s="23">
        <f>IF(AND(C150&gt;='Amort. Sched.-BASE'!$I$8, C150&lt;= ($I$7+$I$8)), (PPMT($E$8/12, (C150-$I$8), $I$7, $E$7)), 0)</f>
        <v>-591.85445976614164</v>
      </c>
      <c r="G150" s="5">
        <f>IF(MortgageAmortBASE[[#This Row],[Month]]=I$8,E$7,0)</f>
        <v>0</v>
      </c>
      <c r="H150" s="13">
        <f>IF(AND(C150&gt;='Amort. Sched.-BASE'!$I$8, C150&lt;= ($I$7+$I$8)), H149+F150, 0)</f>
        <v>171117.95061370113</v>
      </c>
      <c r="I150" s="24">
        <f>IF(AND(C150&gt;='Amort. Sched.-BASE'!$I$8, C150&lt;= ($I$7+$I$8)), E150/D150, " ")</f>
        <v>0.65918515320082349</v>
      </c>
      <c r="J150" s="25">
        <f>IF(AND(C150&gt;='Amort. Sched.-BASE'!$I$8, C150&lt;= ($I$7+$I$8)), F150/D150, " ")</f>
        <v>0.34081484679917645</v>
      </c>
      <c r="L150" s="20">
        <f t="shared" si="34"/>
        <v>139</v>
      </c>
      <c r="M150" s="5">
        <f>IF(AND(L150&gt;='Amort. Sched.-BASE'!$R$8, L150&lt;= ($R$7+$R$8)), PMT('Amort. Sched.-BASE'!$N$8/12, 'Amort. Sched.-BASE'!$R$7, 'Amort. Sched.-BASE'!$N$7), 0)</f>
        <v>0</v>
      </c>
      <c r="N150" s="5">
        <f>IF(AND(L150&gt;='Amort. Sched.-BASE'!$R$8, L150&lt;= ($R$7+$R$8)), (IPMT($N$8/12, (L150-$R$8), $R$7, $N$7)), 0)</f>
        <v>0</v>
      </c>
      <c r="O150" s="5">
        <f>IF(AND(L150&gt;='Amort. Sched.-BASE'!$R$8, L150&lt;= ($R$7+$R$8)), (PPMT($N$8/12, (L150-$R$8), $R$7, $N$7)), 0)</f>
        <v>0</v>
      </c>
      <c r="P150" s="5">
        <f>IF(CreditAmort1BASE[[#This Row],[Month]]=R$8,N$7,0)</f>
        <v>0</v>
      </c>
      <c r="Q150" s="13">
        <f>IF(AND(L150&gt;='Amort. Sched.-BASE'!$R$8, L150&lt;= ($R$7+$R$8)), Q149+O150, 0)</f>
        <v>0</v>
      </c>
      <c r="R150" s="6" t="str">
        <f>IF(AND(L150&gt;='Amort. Sched.-BASE'!$R$8, L150&lt;= ($R$7+$R$8)), N150/M150, " ")</f>
        <v xml:space="preserve"> </v>
      </c>
      <c r="S150" s="21" t="str">
        <f>IF(AND(L150&gt;='Amort. Sched.-BASE'!$R$8, L150&lt;= ($R$7+$R$8)), O150/M150, " ")</f>
        <v xml:space="preserve"> </v>
      </c>
      <c r="U150" s="22">
        <f t="shared" si="35"/>
        <v>139</v>
      </c>
      <c r="V150" s="23">
        <f>IF(AND(U150&gt;='Amort. Sched.-BASE'!$AA$8, U150&lt;= ($AA$7+$AA$8)), PMT('Amort. Sched.-BASE'!$W$8/12, 'Amort. Sched.-BASE'!$AA$7, 'Amort. Sched.-BASE'!$W$7), 0)</f>
        <v>0</v>
      </c>
      <c r="W150" s="5">
        <f>IF(AND(U150&gt;='Amort. Sched.-BASE'!$AA$8, U150&lt;= ($AA$7+$AA$8)), (IPMT($W$8/12, (U150-$AA$8), $AA$7, $W$7)), 0)</f>
        <v>0</v>
      </c>
      <c r="X150" s="23">
        <f>IF(AND(U150&gt;='Amort. Sched.-BASE'!$AA$8, U150&lt;= ($AA$7+$AA$8)), (PPMT($W$8/12, (U150-$AA$8), $AA$7, $W$7)), 0)</f>
        <v>0</v>
      </c>
      <c r="Y150" s="5">
        <f>IF(CreditAmort2BASE[[#This Row],[Month]]=AA$8,W$7,0)</f>
        <v>0</v>
      </c>
      <c r="Z150" s="13">
        <f>IF(AND(U150&gt;='Amort. Sched.-BASE'!$AA$8, U150&lt;= ($AA$7+$AA$8)), Z149+X150, 0)</f>
        <v>0</v>
      </c>
      <c r="AA150" s="24" t="str">
        <f>IF(AND(U150&gt;='Amort. Sched.-BASE'!$AA$8, U150&lt;= ($AA$7+$AA$8)), W150/V150, " ")</f>
        <v xml:space="preserve"> </v>
      </c>
      <c r="AB150" s="25" t="str">
        <f>IF(AND(U150&gt;='Amort. Sched.-BASE'!$AA$8, U150&lt;= ($AA$7+$AA$8)), X150/V150, " ")</f>
        <v xml:space="preserve"> </v>
      </c>
      <c r="AD150" s="20">
        <f t="shared" si="36"/>
        <v>139</v>
      </c>
      <c r="AE150" s="5">
        <f t="shared" si="37"/>
        <v>0</v>
      </c>
      <c r="AF150" s="5">
        <f t="shared" si="38"/>
        <v>0</v>
      </c>
      <c r="AG150" s="5">
        <f t="shared" si="39"/>
        <v>0</v>
      </c>
      <c r="AH150" s="5">
        <f>IF(CreditAmort3BASE[[#This Row],[Month]]=AJ$8,AF$7,0)</f>
        <v>0</v>
      </c>
      <c r="AI150" s="13">
        <f t="shared" si="40"/>
        <v>0</v>
      </c>
      <c r="AJ150" s="6" t="str">
        <f t="shared" si="41"/>
        <v xml:space="preserve"> </v>
      </c>
      <c r="AK150" s="21" t="str">
        <f t="shared" si="42"/>
        <v xml:space="preserve"> </v>
      </c>
      <c r="AM150" s="20">
        <f t="shared" si="43"/>
        <v>139</v>
      </c>
      <c r="AN150" s="5">
        <f t="shared" si="44"/>
        <v>0</v>
      </c>
      <c r="AO150" s="5">
        <f t="shared" si="45"/>
        <v>0</v>
      </c>
      <c r="AP150" s="5">
        <f t="shared" si="46"/>
        <v>0</v>
      </c>
      <c r="AQ150" s="5">
        <f>IF(CreditAmort4BASE[[#This Row],[Month]]=AS$8,AO$7,0)</f>
        <v>0</v>
      </c>
      <c r="AR150" s="13">
        <f t="shared" si="47"/>
        <v>0</v>
      </c>
      <c r="AS150" s="6" t="str">
        <f t="shared" si="48"/>
        <v xml:space="preserve"> </v>
      </c>
      <c r="AT150" s="21" t="str">
        <f t="shared" si="49"/>
        <v xml:space="preserve"> </v>
      </c>
    </row>
    <row r="151" spans="3:46">
      <c r="C151" s="22">
        <f t="shared" si="17"/>
        <v>140</v>
      </c>
      <c r="D151" s="23">
        <f>IF(AND(C151&gt;='Amort. Sched.-BASE'!$I$8, C151&lt;= ($I$7+$I$8)), PMT('Amort. Sched.-BASE'!$E$8/12, 'Amort. Sched.-BASE'!$I$7, 'Amort. Sched.-BASE'!$E$7), 0)</f>
        <v>-1736.5864935892569</v>
      </c>
      <c r="E151" s="5">
        <f>IF(AND(C151&gt;='Amort. Sched.-BASE'!$I$8, C151&lt;= ($I$7+$I$8)), (IPMT($E$8/12, (C151-$I$8), $I$7, $E$7)), 0)</f>
        <v>-1140.7863374246745</v>
      </c>
      <c r="F151" s="23">
        <f>IF(AND(C151&gt;='Amort. Sched.-BASE'!$I$8, C151&lt;= ($I$7+$I$8)), (PPMT($E$8/12, (C151-$I$8), $I$7, $E$7)), 0)</f>
        <v>-595.80015616458252</v>
      </c>
      <c r="G151" s="5">
        <f>IF(MortgageAmortBASE[[#This Row],[Month]]=I$8,E$7,0)</f>
        <v>0</v>
      </c>
      <c r="H151" s="13">
        <f>IF(AND(C151&gt;='Amort. Sched.-BASE'!$I$8, C151&lt;= ($I$7+$I$8)), H150+F151, 0)</f>
        <v>170522.15045753654</v>
      </c>
      <c r="I151" s="24">
        <f>IF(AND(C151&gt;='Amort. Sched.-BASE'!$I$8, C151&lt;= ($I$7+$I$8)), E151/D151, " ")</f>
        <v>0.6569130542221624</v>
      </c>
      <c r="J151" s="25">
        <f>IF(AND(C151&gt;='Amort. Sched.-BASE'!$I$8, C151&lt;= ($I$7+$I$8)), F151/D151, " ")</f>
        <v>0.3430869457778376</v>
      </c>
      <c r="L151" s="20">
        <f t="shared" si="34"/>
        <v>140</v>
      </c>
      <c r="M151" s="5">
        <f>IF(AND(L151&gt;='Amort. Sched.-BASE'!$R$8, L151&lt;= ($R$7+$R$8)), PMT('Amort. Sched.-BASE'!$N$8/12, 'Amort. Sched.-BASE'!$R$7, 'Amort. Sched.-BASE'!$N$7), 0)</f>
        <v>0</v>
      </c>
      <c r="N151" s="5">
        <f>IF(AND(L151&gt;='Amort. Sched.-BASE'!$R$8, L151&lt;= ($R$7+$R$8)), (IPMT($N$8/12, (L151-$R$8), $R$7, $N$7)), 0)</f>
        <v>0</v>
      </c>
      <c r="O151" s="5">
        <f>IF(AND(L151&gt;='Amort. Sched.-BASE'!$R$8, L151&lt;= ($R$7+$R$8)), (PPMT($N$8/12, (L151-$R$8), $R$7, $N$7)), 0)</f>
        <v>0</v>
      </c>
      <c r="P151" s="5">
        <f>IF(CreditAmort1BASE[[#This Row],[Month]]=R$8,N$7,0)</f>
        <v>0</v>
      </c>
      <c r="Q151" s="13">
        <f>IF(AND(L151&gt;='Amort. Sched.-BASE'!$R$8, L151&lt;= ($R$7+$R$8)), Q150+O151, 0)</f>
        <v>0</v>
      </c>
      <c r="R151" s="6" t="str">
        <f>IF(AND(L151&gt;='Amort. Sched.-BASE'!$R$8, L151&lt;= ($R$7+$R$8)), N151/M151, " ")</f>
        <v xml:space="preserve"> </v>
      </c>
      <c r="S151" s="21" t="str">
        <f>IF(AND(L151&gt;='Amort. Sched.-BASE'!$R$8, L151&lt;= ($R$7+$R$8)), O151/M151, " ")</f>
        <v xml:space="preserve"> </v>
      </c>
      <c r="U151" s="22">
        <f t="shared" si="35"/>
        <v>140</v>
      </c>
      <c r="V151" s="23">
        <f>IF(AND(U151&gt;='Amort. Sched.-BASE'!$AA$8, U151&lt;= ($AA$7+$AA$8)), PMT('Amort. Sched.-BASE'!$W$8/12, 'Amort. Sched.-BASE'!$AA$7, 'Amort. Sched.-BASE'!$W$7), 0)</f>
        <v>0</v>
      </c>
      <c r="W151" s="5">
        <f>IF(AND(U151&gt;='Amort. Sched.-BASE'!$AA$8, U151&lt;= ($AA$7+$AA$8)), (IPMT($W$8/12, (U151-$AA$8), $AA$7, $W$7)), 0)</f>
        <v>0</v>
      </c>
      <c r="X151" s="23">
        <f>IF(AND(U151&gt;='Amort. Sched.-BASE'!$AA$8, U151&lt;= ($AA$7+$AA$8)), (PPMT($W$8/12, (U151-$AA$8), $AA$7, $W$7)), 0)</f>
        <v>0</v>
      </c>
      <c r="Y151" s="5">
        <f>IF(CreditAmort2BASE[[#This Row],[Month]]=AA$8,W$7,0)</f>
        <v>0</v>
      </c>
      <c r="Z151" s="13">
        <f>IF(AND(U151&gt;='Amort. Sched.-BASE'!$AA$8, U151&lt;= ($AA$7+$AA$8)), Z150+X151, 0)</f>
        <v>0</v>
      </c>
      <c r="AA151" s="24" t="str">
        <f>IF(AND(U151&gt;='Amort. Sched.-BASE'!$AA$8, U151&lt;= ($AA$7+$AA$8)), W151/V151, " ")</f>
        <v xml:space="preserve"> </v>
      </c>
      <c r="AB151" s="25" t="str">
        <f>IF(AND(U151&gt;='Amort. Sched.-BASE'!$AA$8, U151&lt;= ($AA$7+$AA$8)), X151/V151, " ")</f>
        <v xml:space="preserve"> </v>
      </c>
      <c r="AD151" s="20">
        <f t="shared" si="36"/>
        <v>140</v>
      </c>
      <c r="AE151" s="5">
        <f t="shared" si="37"/>
        <v>0</v>
      </c>
      <c r="AF151" s="5">
        <f t="shared" si="38"/>
        <v>0</v>
      </c>
      <c r="AG151" s="5">
        <f t="shared" si="39"/>
        <v>0</v>
      </c>
      <c r="AH151" s="5">
        <f>IF(CreditAmort3BASE[[#This Row],[Month]]=AJ$8,AF$7,0)</f>
        <v>0</v>
      </c>
      <c r="AI151" s="13">
        <f t="shared" si="40"/>
        <v>0</v>
      </c>
      <c r="AJ151" s="6" t="str">
        <f t="shared" si="41"/>
        <v xml:space="preserve"> </v>
      </c>
      <c r="AK151" s="21" t="str">
        <f t="shared" si="42"/>
        <v xml:space="preserve"> </v>
      </c>
      <c r="AM151" s="20">
        <f t="shared" si="43"/>
        <v>140</v>
      </c>
      <c r="AN151" s="5">
        <f t="shared" si="44"/>
        <v>0</v>
      </c>
      <c r="AO151" s="5">
        <f t="shared" si="45"/>
        <v>0</v>
      </c>
      <c r="AP151" s="5">
        <f t="shared" si="46"/>
        <v>0</v>
      </c>
      <c r="AQ151" s="5">
        <f>IF(CreditAmort4BASE[[#This Row],[Month]]=AS$8,AO$7,0)</f>
        <v>0</v>
      </c>
      <c r="AR151" s="13">
        <f t="shared" si="47"/>
        <v>0</v>
      </c>
      <c r="AS151" s="6" t="str">
        <f t="shared" si="48"/>
        <v xml:space="preserve"> </v>
      </c>
      <c r="AT151" s="21" t="str">
        <f t="shared" si="49"/>
        <v xml:space="preserve"> </v>
      </c>
    </row>
    <row r="152" spans="3:46">
      <c r="C152" s="22">
        <f t="shared" si="17"/>
        <v>141</v>
      </c>
      <c r="D152" s="23">
        <f>IF(AND(C152&gt;='Amort. Sched.-BASE'!$I$8, C152&lt;= ($I$7+$I$8)), PMT('Amort. Sched.-BASE'!$E$8/12, 'Amort. Sched.-BASE'!$I$7, 'Amort. Sched.-BASE'!$E$7), 0)</f>
        <v>-1736.5864935892569</v>
      </c>
      <c r="E152" s="5">
        <f>IF(AND(C152&gt;='Amort. Sched.-BASE'!$I$8, C152&lt;= ($I$7+$I$8)), (IPMT($E$8/12, (C152-$I$8), $I$7, $E$7)), 0)</f>
        <v>-1136.8143363835773</v>
      </c>
      <c r="F152" s="23">
        <f>IF(AND(C152&gt;='Amort. Sched.-BASE'!$I$8, C152&lt;= ($I$7+$I$8)), (PPMT($E$8/12, (C152-$I$8), $I$7, $E$7)), 0)</f>
        <v>-599.77215720567983</v>
      </c>
      <c r="G152" s="5">
        <f>IF(MortgageAmortBASE[[#This Row],[Month]]=I$8,E$7,0)</f>
        <v>0</v>
      </c>
      <c r="H152" s="13">
        <f>IF(AND(C152&gt;='Amort. Sched.-BASE'!$I$8, C152&lt;= ($I$7+$I$8)), H151+F152, 0)</f>
        <v>169922.37830033086</v>
      </c>
      <c r="I152" s="24">
        <f>IF(AND(C152&gt;='Amort. Sched.-BASE'!$I$8, C152&lt;= ($I$7+$I$8)), E152/D152, " ")</f>
        <v>0.65462580791697689</v>
      </c>
      <c r="J152" s="25">
        <f>IF(AND(C152&gt;='Amort. Sched.-BASE'!$I$8, C152&lt;= ($I$7+$I$8)), F152/D152, " ")</f>
        <v>0.34537419208302328</v>
      </c>
      <c r="L152" s="20">
        <f t="shared" si="34"/>
        <v>141</v>
      </c>
      <c r="M152" s="5">
        <f>IF(AND(L152&gt;='Amort. Sched.-BASE'!$R$8, L152&lt;= ($R$7+$R$8)), PMT('Amort. Sched.-BASE'!$N$8/12, 'Amort. Sched.-BASE'!$R$7, 'Amort. Sched.-BASE'!$N$7), 0)</f>
        <v>0</v>
      </c>
      <c r="N152" s="5">
        <f>IF(AND(L152&gt;='Amort. Sched.-BASE'!$R$8, L152&lt;= ($R$7+$R$8)), (IPMT($N$8/12, (L152-$R$8), $R$7, $N$7)), 0)</f>
        <v>0</v>
      </c>
      <c r="O152" s="5">
        <f>IF(AND(L152&gt;='Amort. Sched.-BASE'!$R$8, L152&lt;= ($R$7+$R$8)), (PPMT($N$8/12, (L152-$R$8), $R$7, $N$7)), 0)</f>
        <v>0</v>
      </c>
      <c r="P152" s="5">
        <f>IF(CreditAmort1BASE[[#This Row],[Month]]=R$8,N$7,0)</f>
        <v>0</v>
      </c>
      <c r="Q152" s="13">
        <f>IF(AND(L152&gt;='Amort. Sched.-BASE'!$R$8, L152&lt;= ($R$7+$R$8)), Q151+O152, 0)</f>
        <v>0</v>
      </c>
      <c r="R152" s="6" t="str">
        <f>IF(AND(L152&gt;='Amort. Sched.-BASE'!$R$8, L152&lt;= ($R$7+$R$8)), N152/M152, " ")</f>
        <v xml:space="preserve"> </v>
      </c>
      <c r="S152" s="21" t="str">
        <f>IF(AND(L152&gt;='Amort. Sched.-BASE'!$R$8, L152&lt;= ($R$7+$R$8)), O152/M152, " ")</f>
        <v xml:space="preserve"> </v>
      </c>
      <c r="U152" s="22">
        <f t="shared" si="35"/>
        <v>141</v>
      </c>
      <c r="V152" s="23">
        <f>IF(AND(U152&gt;='Amort. Sched.-BASE'!$AA$8, U152&lt;= ($AA$7+$AA$8)), PMT('Amort. Sched.-BASE'!$W$8/12, 'Amort. Sched.-BASE'!$AA$7, 'Amort. Sched.-BASE'!$W$7), 0)</f>
        <v>0</v>
      </c>
      <c r="W152" s="5">
        <f>IF(AND(U152&gt;='Amort. Sched.-BASE'!$AA$8, U152&lt;= ($AA$7+$AA$8)), (IPMT($W$8/12, (U152-$AA$8), $AA$7, $W$7)), 0)</f>
        <v>0</v>
      </c>
      <c r="X152" s="23">
        <f>IF(AND(U152&gt;='Amort. Sched.-BASE'!$AA$8, U152&lt;= ($AA$7+$AA$8)), (PPMT($W$8/12, (U152-$AA$8), $AA$7, $W$7)), 0)</f>
        <v>0</v>
      </c>
      <c r="Y152" s="5">
        <f>IF(CreditAmort2BASE[[#This Row],[Month]]=AA$8,W$7,0)</f>
        <v>0</v>
      </c>
      <c r="Z152" s="13">
        <f>IF(AND(U152&gt;='Amort. Sched.-BASE'!$AA$8, U152&lt;= ($AA$7+$AA$8)), Z151+X152, 0)</f>
        <v>0</v>
      </c>
      <c r="AA152" s="24" t="str">
        <f>IF(AND(U152&gt;='Amort. Sched.-BASE'!$AA$8, U152&lt;= ($AA$7+$AA$8)), W152/V152, " ")</f>
        <v xml:space="preserve"> </v>
      </c>
      <c r="AB152" s="25" t="str">
        <f>IF(AND(U152&gt;='Amort. Sched.-BASE'!$AA$8, U152&lt;= ($AA$7+$AA$8)), X152/V152, " ")</f>
        <v xml:space="preserve"> </v>
      </c>
      <c r="AD152" s="20">
        <f t="shared" si="36"/>
        <v>141</v>
      </c>
      <c r="AE152" s="5">
        <f t="shared" si="37"/>
        <v>0</v>
      </c>
      <c r="AF152" s="5">
        <f t="shared" si="38"/>
        <v>0</v>
      </c>
      <c r="AG152" s="5">
        <f t="shared" si="39"/>
        <v>0</v>
      </c>
      <c r="AH152" s="5">
        <f>IF(CreditAmort3BASE[[#This Row],[Month]]=AJ$8,AF$7,0)</f>
        <v>0</v>
      </c>
      <c r="AI152" s="13">
        <f t="shared" si="40"/>
        <v>0</v>
      </c>
      <c r="AJ152" s="6" t="str">
        <f t="shared" si="41"/>
        <v xml:space="preserve"> </v>
      </c>
      <c r="AK152" s="21" t="str">
        <f t="shared" si="42"/>
        <v xml:space="preserve"> </v>
      </c>
      <c r="AM152" s="20">
        <f t="shared" si="43"/>
        <v>141</v>
      </c>
      <c r="AN152" s="5">
        <f t="shared" si="44"/>
        <v>0</v>
      </c>
      <c r="AO152" s="5">
        <f t="shared" si="45"/>
        <v>0</v>
      </c>
      <c r="AP152" s="5">
        <f t="shared" si="46"/>
        <v>0</v>
      </c>
      <c r="AQ152" s="5">
        <f>IF(CreditAmort4BASE[[#This Row],[Month]]=AS$8,AO$7,0)</f>
        <v>0</v>
      </c>
      <c r="AR152" s="13">
        <f t="shared" si="47"/>
        <v>0</v>
      </c>
      <c r="AS152" s="6" t="str">
        <f t="shared" si="48"/>
        <v xml:space="preserve"> </v>
      </c>
      <c r="AT152" s="21" t="str">
        <f t="shared" si="49"/>
        <v xml:space="preserve"> </v>
      </c>
    </row>
    <row r="153" spans="3:46">
      <c r="C153" s="22">
        <f t="shared" si="17"/>
        <v>142</v>
      </c>
      <c r="D153" s="23">
        <f>IF(AND(C153&gt;='Amort. Sched.-BASE'!$I$8, C153&lt;= ($I$7+$I$8)), PMT('Amort. Sched.-BASE'!$E$8/12, 'Amort. Sched.-BASE'!$I$7, 'Amort. Sched.-BASE'!$E$7), 0)</f>
        <v>-1736.5864935892569</v>
      </c>
      <c r="E153" s="5">
        <f>IF(AND(C153&gt;='Amort. Sched.-BASE'!$I$8, C153&lt;= ($I$7+$I$8)), (IPMT($E$8/12, (C153-$I$8), $I$7, $E$7)), 0)</f>
        <v>-1132.8158553355393</v>
      </c>
      <c r="F153" s="23">
        <f>IF(AND(C153&gt;='Amort. Sched.-BASE'!$I$8, C153&lt;= ($I$7+$I$8)), (PPMT($E$8/12, (C153-$I$8), $I$7, $E$7)), 0)</f>
        <v>-603.77063825371761</v>
      </c>
      <c r="G153" s="5">
        <f>IF(MortgageAmortBASE[[#This Row],[Month]]=I$8,E$7,0)</f>
        <v>0</v>
      </c>
      <c r="H153" s="13">
        <f>IF(AND(C153&gt;='Amort. Sched.-BASE'!$I$8, C153&lt;= ($I$7+$I$8)), H152+F153, 0)</f>
        <v>169318.60766207715</v>
      </c>
      <c r="I153" s="24">
        <f>IF(AND(C153&gt;='Amort. Sched.-BASE'!$I$8, C153&lt;= ($I$7+$I$8)), E153/D153, " ")</f>
        <v>0.65232331330309001</v>
      </c>
      <c r="J153" s="25">
        <f>IF(AND(C153&gt;='Amort. Sched.-BASE'!$I$8, C153&lt;= ($I$7+$I$8)), F153/D153, " ")</f>
        <v>0.34767668669691004</v>
      </c>
      <c r="L153" s="20">
        <f t="shared" si="34"/>
        <v>142</v>
      </c>
      <c r="M153" s="5">
        <f>IF(AND(L153&gt;='Amort. Sched.-BASE'!$R$8, L153&lt;= ($R$7+$R$8)), PMT('Amort. Sched.-BASE'!$N$8/12, 'Amort. Sched.-BASE'!$R$7, 'Amort. Sched.-BASE'!$N$7), 0)</f>
        <v>0</v>
      </c>
      <c r="N153" s="5">
        <f>IF(AND(L153&gt;='Amort. Sched.-BASE'!$R$8, L153&lt;= ($R$7+$R$8)), (IPMT($N$8/12, (L153-$R$8), $R$7, $N$7)), 0)</f>
        <v>0</v>
      </c>
      <c r="O153" s="5">
        <f>IF(AND(L153&gt;='Amort. Sched.-BASE'!$R$8, L153&lt;= ($R$7+$R$8)), (PPMT($N$8/12, (L153-$R$8), $R$7, $N$7)), 0)</f>
        <v>0</v>
      </c>
      <c r="P153" s="5">
        <f>IF(CreditAmort1BASE[[#This Row],[Month]]=R$8,N$7,0)</f>
        <v>0</v>
      </c>
      <c r="Q153" s="13">
        <f>IF(AND(L153&gt;='Amort. Sched.-BASE'!$R$8, L153&lt;= ($R$7+$R$8)), Q152+O153, 0)</f>
        <v>0</v>
      </c>
      <c r="R153" s="6" t="str">
        <f>IF(AND(L153&gt;='Amort. Sched.-BASE'!$R$8, L153&lt;= ($R$7+$R$8)), N153/M153, " ")</f>
        <v xml:space="preserve"> </v>
      </c>
      <c r="S153" s="21" t="str">
        <f>IF(AND(L153&gt;='Amort. Sched.-BASE'!$R$8, L153&lt;= ($R$7+$R$8)), O153/M153, " ")</f>
        <v xml:space="preserve"> </v>
      </c>
      <c r="U153" s="22">
        <f t="shared" si="35"/>
        <v>142</v>
      </c>
      <c r="V153" s="23">
        <f>IF(AND(U153&gt;='Amort. Sched.-BASE'!$AA$8, U153&lt;= ($AA$7+$AA$8)), PMT('Amort. Sched.-BASE'!$W$8/12, 'Amort. Sched.-BASE'!$AA$7, 'Amort. Sched.-BASE'!$W$7), 0)</f>
        <v>0</v>
      </c>
      <c r="W153" s="5">
        <f>IF(AND(U153&gt;='Amort. Sched.-BASE'!$AA$8, U153&lt;= ($AA$7+$AA$8)), (IPMT($W$8/12, (U153-$AA$8), $AA$7, $W$7)), 0)</f>
        <v>0</v>
      </c>
      <c r="X153" s="23">
        <f>IF(AND(U153&gt;='Amort. Sched.-BASE'!$AA$8, U153&lt;= ($AA$7+$AA$8)), (PPMT($W$8/12, (U153-$AA$8), $AA$7, $W$7)), 0)</f>
        <v>0</v>
      </c>
      <c r="Y153" s="5">
        <f>IF(CreditAmort2BASE[[#This Row],[Month]]=AA$8,W$7,0)</f>
        <v>0</v>
      </c>
      <c r="Z153" s="13">
        <f>IF(AND(U153&gt;='Amort. Sched.-BASE'!$AA$8, U153&lt;= ($AA$7+$AA$8)), Z152+X153, 0)</f>
        <v>0</v>
      </c>
      <c r="AA153" s="24" t="str">
        <f>IF(AND(U153&gt;='Amort. Sched.-BASE'!$AA$8, U153&lt;= ($AA$7+$AA$8)), W153/V153, " ")</f>
        <v xml:space="preserve"> </v>
      </c>
      <c r="AB153" s="25" t="str">
        <f>IF(AND(U153&gt;='Amort. Sched.-BASE'!$AA$8, U153&lt;= ($AA$7+$AA$8)), X153/V153, " ")</f>
        <v xml:space="preserve"> </v>
      </c>
      <c r="AD153" s="20">
        <f t="shared" si="36"/>
        <v>142</v>
      </c>
      <c r="AE153" s="5">
        <f t="shared" si="37"/>
        <v>0</v>
      </c>
      <c r="AF153" s="5">
        <f t="shared" si="38"/>
        <v>0</v>
      </c>
      <c r="AG153" s="5">
        <f t="shared" si="39"/>
        <v>0</v>
      </c>
      <c r="AH153" s="5">
        <f>IF(CreditAmort3BASE[[#This Row],[Month]]=AJ$8,AF$7,0)</f>
        <v>0</v>
      </c>
      <c r="AI153" s="13">
        <f t="shared" si="40"/>
        <v>0</v>
      </c>
      <c r="AJ153" s="6" t="str">
        <f t="shared" si="41"/>
        <v xml:space="preserve"> </v>
      </c>
      <c r="AK153" s="21" t="str">
        <f t="shared" si="42"/>
        <v xml:space="preserve"> </v>
      </c>
      <c r="AM153" s="20">
        <f t="shared" si="43"/>
        <v>142</v>
      </c>
      <c r="AN153" s="5">
        <f t="shared" si="44"/>
        <v>0</v>
      </c>
      <c r="AO153" s="5">
        <f t="shared" si="45"/>
        <v>0</v>
      </c>
      <c r="AP153" s="5">
        <f t="shared" si="46"/>
        <v>0</v>
      </c>
      <c r="AQ153" s="5">
        <f>IF(CreditAmort4BASE[[#This Row],[Month]]=AS$8,AO$7,0)</f>
        <v>0</v>
      </c>
      <c r="AR153" s="13">
        <f t="shared" si="47"/>
        <v>0</v>
      </c>
      <c r="AS153" s="6" t="str">
        <f t="shared" si="48"/>
        <v xml:space="preserve"> </v>
      </c>
      <c r="AT153" s="21" t="str">
        <f t="shared" si="49"/>
        <v xml:space="preserve"> </v>
      </c>
    </row>
    <row r="154" spans="3:46">
      <c r="C154" s="22">
        <f t="shared" si="17"/>
        <v>143</v>
      </c>
      <c r="D154" s="23">
        <f>IF(AND(C154&gt;='Amort. Sched.-BASE'!$I$8, C154&lt;= ($I$7+$I$8)), PMT('Amort. Sched.-BASE'!$E$8/12, 'Amort. Sched.-BASE'!$I$7, 'Amort. Sched.-BASE'!$E$7), 0)</f>
        <v>-1736.5864935892569</v>
      </c>
      <c r="E154" s="5">
        <f>IF(AND(C154&gt;='Amort. Sched.-BASE'!$I$8, C154&lt;= ($I$7+$I$8)), (IPMT($E$8/12, (C154-$I$8), $I$7, $E$7)), 0)</f>
        <v>-1128.7907177471814</v>
      </c>
      <c r="F154" s="23">
        <f>IF(AND(C154&gt;='Amort. Sched.-BASE'!$I$8, C154&lt;= ($I$7+$I$8)), (PPMT($E$8/12, (C154-$I$8), $I$7, $E$7)), 0)</f>
        <v>-607.79577584207561</v>
      </c>
      <c r="G154" s="5">
        <f>IF(MortgageAmortBASE[[#This Row],[Month]]=I$8,E$7,0)</f>
        <v>0</v>
      </c>
      <c r="H154" s="13">
        <f>IF(AND(C154&gt;='Amort. Sched.-BASE'!$I$8, C154&lt;= ($I$7+$I$8)), H153+F154, 0)</f>
        <v>168710.81188623508</v>
      </c>
      <c r="I154" s="24">
        <f>IF(AND(C154&gt;='Amort. Sched.-BASE'!$I$8, C154&lt;= ($I$7+$I$8)), E154/D154, " ")</f>
        <v>0.65000546872511067</v>
      </c>
      <c r="J154" s="25">
        <f>IF(AND(C154&gt;='Amort. Sched.-BASE'!$I$8, C154&lt;= ($I$7+$I$8)), F154/D154, " ")</f>
        <v>0.34999453127488939</v>
      </c>
      <c r="L154" s="20">
        <f t="shared" si="34"/>
        <v>143</v>
      </c>
      <c r="M154" s="5">
        <f>IF(AND(L154&gt;='Amort. Sched.-BASE'!$R$8, L154&lt;= ($R$7+$R$8)), PMT('Amort. Sched.-BASE'!$N$8/12, 'Amort. Sched.-BASE'!$R$7, 'Amort. Sched.-BASE'!$N$7), 0)</f>
        <v>0</v>
      </c>
      <c r="N154" s="5">
        <f>IF(AND(L154&gt;='Amort. Sched.-BASE'!$R$8, L154&lt;= ($R$7+$R$8)), (IPMT($N$8/12, (L154-$R$8), $R$7, $N$7)), 0)</f>
        <v>0</v>
      </c>
      <c r="O154" s="5">
        <f>IF(AND(L154&gt;='Amort. Sched.-BASE'!$R$8, L154&lt;= ($R$7+$R$8)), (PPMT($N$8/12, (L154-$R$8), $R$7, $N$7)), 0)</f>
        <v>0</v>
      </c>
      <c r="P154" s="5">
        <f>IF(CreditAmort1BASE[[#This Row],[Month]]=R$8,N$7,0)</f>
        <v>0</v>
      </c>
      <c r="Q154" s="13">
        <f>IF(AND(L154&gt;='Amort. Sched.-BASE'!$R$8, L154&lt;= ($R$7+$R$8)), Q153+O154, 0)</f>
        <v>0</v>
      </c>
      <c r="R154" s="6" t="str">
        <f>IF(AND(L154&gt;='Amort. Sched.-BASE'!$R$8, L154&lt;= ($R$7+$R$8)), N154/M154, " ")</f>
        <v xml:space="preserve"> </v>
      </c>
      <c r="S154" s="21" t="str">
        <f>IF(AND(L154&gt;='Amort. Sched.-BASE'!$R$8, L154&lt;= ($R$7+$R$8)), O154/M154, " ")</f>
        <v xml:space="preserve"> </v>
      </c>
      <c r="U154" s="22">
        <f t="shared" si="35"/>
        <v>143</v>
      </c>
      <c r="V154" s="23">
        <f>IF(AND(U154&gt;='Amort. Sched.-BASE'!$AA$8, U154&lt;= ($AA$7+$AA$8)), PMT('Amort. Sched.-BASE'!$W$8/12, 'Amort. Sched.-BASE'!$AA$7, 'Amort. Sched.-BASE'!$W$7), 0)</f>
        <v>0</v>
      </c>
      <c r="W154" s="5">
        <f>IF(AND(U154&gt;='Amort. Sched.-BASE'!$AA$8, U154&lt;= ($AA$7+$AA$8)), (IPMT($W$8/12, (U154-$AA$8), $AA$7, $W$7)), 0)</f>
        <v>0</v>
      </c>
      <c r="X154" s="23">
        <f>IF(AND(U154&gt;='Amort. Sched.-BASE'!$AA$8, U154&lt;= ($AA$7+$AA$8)), (PPMT($W$8/12, (U154-$AA$8), $AA$7, $W$7)), 0)</f>
        <v>0</v>
      </c>
      <c r="Y154" s="5">
        <f>IF(CreditAmort2BASE[[#This Row],[Month]]=AA$8,W$7,0)</f>
        <v>0</v>
      </c>
      <c r="Z154" s="13">
        <f>IF(AND(U154&gt;='Amort. Sched.-BASE'!$AA$8, U154&lt;= ($AA$7+$AA$8)), Z153+X154, 0)</f>
        <v>0</v>
      </c>
      <c r="AA154" s="24" t="str">
        <f>IF(AND(U154&gt;='Amort. Sched.-BASE'!$AA$8, U154&lt;= ($AA$7+$AA$8)), W154/V154, " ")</f>
        <v xml:space="preserve"> </v>
      </c>
      <c r="AB154" s="25" t="str">
        <f>IF(AND(U154&gt;='Amort. Sched.-BASE'!$AA$8, U154&lt;= ($AA$7+$AA$8)), X154/V154, " ")</f>
        <v xml:space="preserve"> </v>
      </c>
      <c r="AD154" s="20">
        <f t="shared" si="36"/>
        <v>143</v>
      </c>
      <c r="AE154" s="5">
        <f t="shared" si="37"/>
        <v>0</v>
      </c>
      <c r="AF154" s="5">
        <f t="shared" si="38"/>
        <v>0</v>
      </c>
      <c r="AG154" s="5">
        <f t="shared" si="39"/>
        <v>0</v>
      </c>
      <c r="AH154" s="5">
        <f>IF(CreditAmort3BASE[[#This Row],[Month]]=AJ$8,AF$7,0)</f>
        <v>0</v>
      </c>
      <c r="AI154" s="13">
        <f t="shared" si="40"/>
        <v>0</v>
      </c>
      <c r="AJ154" s="6" t="str">
        <f t="shared" si="41"/>
        <v xml:space="preserve"> </v>
      </c>
      <c r="AK154" s="21" t="str">
        <f t="shared" si="42"/>
        <v xml:space="preserve"> </v>
      </c>
      <c r="AM154" s="20">
        <f t="shared" si="43"/>
        <v>143</v>
      </c>
      <c r="AN154" s="5">
        <f t="shared" si="44"/>
        <v>0</v>
      </c>
      <c r="AO154" s="5">
        <f t="shared" si="45"/>
        <v>0</v>
      </c>
      <c r="AP154" s="5">
        <f t="shared" si="46"/>
        <v>0</v>
      </c>
      <c r="AQ154" s="5">
        <f>IF(CreditAmort4BASE[[#This Row],[Month]]=AS$8,AO$7,0)</f>
        <v>0</v>
      </c>
      <c r="AR154" s="13">
        <f t="shared" si="47"/>
        <v>0</v>
      </c>
      <c r="AS154" s="6" t="str">
        <f t="shared" si="48"/>
        <v xml:space="preserve"> </v>
      </c>
      <c r="AT154" s="21" t="str">
        <f t="shared" si="49"/>
        <v xml:space="preserve"> </v>
      </c>
    </row>
    <row r="155" spans="3:46">
      <c r="C155" s="22">
        <f t="shared" si="17"/>
        <v>144</v>
      </c>
      <c r="D155" s="23">
        <f>IF(AND(C155&gt;='Amort. Sched.-BASE'!$I$8, C155&lt;= ($I$7+$I$8)), PMT('Amort. Sched.-BASE'!$E$8/12, 'Amort. Sched.-BASE'!$I$7, 'Amort. Sched.-BASE'!$E$7), 0)</f>
        <v>-1736.5864935892569</v>
      </c>
      <c r="E155" s="5">
        <f>IF(AND(C155&gt;='Amort. Sched.-BASE'!$I$8, C155&lt;= ($I$7+$I$8)), (IPMT($E$8/12, (C155-$I$8), $I$7, $E$7)), 0)</f>
        <v>-1124.7387459082343</v>
      </c>
      <c r="F155" s="23">
        <f>IF(AND(C155&gt;='Amort. Sched.-BASE'!$I$8, C155&lt;= ($I$7+$I$8)), (PPMT($E$8/12, (C155-$I$8), $I$7, $E$7)), 0)</f>
        <v>-611.84774768102284</v>
      </c>
      <c r="G155" s="5">
        <f>IF(MortgageAmortBASE[[#This Row],[Month]]=I$8,E$7,0)</f>
        <v>0</v>
      </c>
      <c r="H155" s="13">
        <f>IF(AND(C155&gt;='Amort. Sched.-BASE'!$I$8, C155&lt;= ($I$7+$I$8)), H154+F155, 0)</f>
        <v>168098.96413855406</v>
      </c>
      <c r="I155" s="24">
        <f>IF(AND(C155&gt;='Amort. Sched.-BASE'!$I$8, C155&lt;= ($I$7+$I$8)), E155/D155, " ")</f>
        <v>0.64767217184994486</v>
      </c>
      <c r="J155" s="25">
        <f>IF(AND(C155&gt;='Amort. Sched.-BASE'!$I$8, C155&lt;= ($I$7+$I$8)), F155/D155, " ")</f>
        <v>0.35232782815005531</v>
      </c>
      <c r="L155" s="20">
        <f t="shared" si="34"/>
        <v>144</v>
      </c>
      <c r="M155" s="5">
        <f>IF(AND(L155&gt;='Amort. Sched.-BASE'!$R$8, L155&lt;= ($R$7+$R$8)), PMT('Amort. Sched.-BASE'!$N$8/12, 'Amort. Sched.-BASE'!$R$7, 'Amort. Sched.-BASE'!$N$7), 0)</f>
        <v>0</v>
      </c>
      <c r="N155" s="5">
        <f>IF(AND(L155&gt;='Amort. Sched.-BASE'!$R$8, L155&lt;= ($R$7+$R$8)), (IPMT($N$8/12, (L155-$R$8), $R$7, $N$7)), 0)</f>
        <v>0</v>
      </c>
      <c r="O155" s="5">
        <f>IF(AND(L155&gt;='Amort. Sched.-BASE'!$R$8, L155&lt;= ($R$7+$R$8)), (PPMT($N$8/12, (L155-$R$8), $R$7, $N$7)), 0)</f>
        <v>0</v>
      </c>
      <c r="P155" s="5">
        <f>IF(CreditAmort1BASE[[#This Row],[Month]]=R$8,N$7,0)</f>
        <v>0</v>
      </c>
      <c r="Q155" s="13">
        <f>IF(AND(L155&gt;='Amort. Sched.-BASE'!$R$8, L155&lt;= ($R$7+$R$8)), Q154+O155, 0)</f>
        <v>0</v>
      </c>
      <c r="R155" s="6" t="str">
        <f>IF(AND(L155&gt;='Amort. Sched.-BASE'!$R$8, L155&lt;= ($R$7+$R$8)), N155/M155, " ")</f>
        <v xml:space="preserve"> </v>
      </c>
      <c r="S155" s="21" t="str">
        <f>IF(AND(L155&gt;='Amort. Sched.-BASE'!$R$8, L155&lt;= ($R$7+$R$8)), O155/M155, " ")</f>
        <v xml:space="preserve"> </v>
      </c>
      <c r="U155" s="22">
        <f t="shared" si="35"/>
        <v>144</v>
      </c>
      <c r="V155" s="23">
        <f>IF(AND(U155&gt;='Amort. Sched.-BASE'!$AA$8, U155&lt;= ($AA$7+$AA$8)), PMT('Amort. Sched.-BASE'!$W$8/12, 'Amort. Sched.-BASE'!$AA$7, 'Amort. Sched.-BASE'!$W$7), 0)</f>
        <v>0</v>
      </c>
      <c r="W155" s="5">
        <f>IF(AND(U155&gt;='Amort. Sched.-BASE'!$AA$8, U155&lt;= ($AA$7+$AA$8)), (IPMT($W$8/12, (U155-$AA$8), $AA$7, $W$7)), 0)</f>
        <v>0</v>
      </c>
      <c r="X155" s="23">
        <f>IF(AND(U155&gt;='Amort. Sched.-BASE'!$AA$8, U155&lt;= ($AA$7+$AA$8)), (PPMT($W$8/12, (U155-$AA$8), $AA$7, $W$7)), 0)</f>
        <v>0</v>
      </c>
      <c r="Y155" s="5">
        <f>IF(CreditAmort2BASE[[#This Row],[Month]]=AA$8,W$7,0)</f>
        <v>0</v>
      </c>
      <c r="Z155" s="13">
        <f>IF(AND(U155&gt;='Amort. Sched.-BASE'!$AA$8, U155&lt;= ($AA$7+$AA$8)), Z154+X155, 0)</f>
        <v>0</v>
      </c>
      <c r="AA155" s="24" t="str">
        <f>IF(AND(U155&gt;='Amort. Sched.-BASE'!$AA$8, U155&lt;= ($AA$7+$AA$8)), W155/V155, " ")</f>
        <v xml:space="preserve"> </v>
      </c>
      <c r="AB155" s="25" t="str">
        <f>IF(AND(U155&gt;='Amort. Sched.-BASE'!$AA$8, U155&lt;= ($AA$7+$AA$8)), X155/V155, " ")</f>
        <v xml:space="preserve"> </v>
      </c>
      <c r="AD155" s="20">
        <f t="shared" si="36"/>
        <v>144</v>
      </c>
      <c r="AE155" s="5">
        <f t="shared" si="37"/>
        <v>0</v>
      </c>
      <c r="AF155" s="5">
        <f t="shared" si="38"/>
        <v>0</v>
      </c>
      <c r="AG155" s="5">
        <f t="shared" si="39"/>
        <v>0</v>
      </c>
      <c r="AH155" s="5">
        <f>IF(CreditAmort3BASE[[#This Row],[Month]]=AJ$8,AF$7,0)</f>
        <v>0</v>
      </c>
      <c r="AI155" s="13">
        <f t="shared" si="40"/>
        <v>0</v>
      </c>
      <c r="AJ155" s="6" t="str">
        <f t="shared" si="41"/>
        <v xml:space="preserve"> </v>
      </c>
      <c r="AK155" s="21" t="str">
        <f t="shared" si="42"/>
        <v xml:space="preserve"> </v>
      </c>
      <c r="AM155" s="20">
        <f t="shared" si="43"/>
        <v>144</v>
      </c>
      <c r="AN155" s="5">
        <f t="shared" si="44"/>
        <v>0</v>
      </c>
      <c r="AO155" s="5">
        <f t="shared" si="45"/>
        <v>0</v>
      </c>
      <c r="AP155" s="5">
        <f t="shared" si="46"/>
        <v>0</v>
      </c>
      <c r="AQ155" s="5">
        <f>IF(CreditAmort4BASE[[#This Row],[Month]]=AS$8,AO$7,0)</f>
        <v>0</v>
      </c>
      <c r="AR155" s="13">
        <f t="shared" si="47"/>
        <v>0</v>
      </c>
      <c r="AS155" s="6" t="str">
        <f t="shared" si="48"/>
        <v xml:space="preserve"> </v>
      </c>
      <c r="AT155" s="21" t="str">
        <f t="shared" si="49"/>
        <v xml:space="preserve"> </v>
      </c>
    </row>
    <row r="156" spans="3:46">
      <c r="C156" s="22">
        <f t="shared" si="17"/>
        <v>145</v>
      </c>
      <c r="D156" s="23">
        <f>IF(AND(C156&gt;='Amort. Sched.-BASE'!$I$8, C156&lt;= ($I$7+$I$8)), PMT('Amort. Sched.-BASE'!$E$8/12, 'Amort. Sched.-BASE'!$I$7, 'Amort. Sched.-BASE'!$E$7), 0)</f>
        <v>-1736.5864935892569</v>
      </c>
      <c r="E156" s="5">
        <f>IF(AND(C156&gt;='Amort. Sched.-BASE'!$I$8, C156&lt;= ($I$7+$I$8)), (IPMT($E$8/12, (C156-$I$8), $I$7, $E$7)), 0)</f>
        <v>-1120.6597609236937</v>
      </c>
      <c r="F156" s="23">
        <f>IF(AND(C156&gt;='Amort. Sched.-BASE'!$I$8, C156&lt;= ($I$7+$I$8)), (PPMT($E$8/12, (C156-$I$8), $I$7, $E$7)), 0)</f>
        <v>-615.92673266556312</v>
      </c>
      <c r="G156" s="5">
        <f>IF(MortgageAmortBASE[[#This Row],[Month]]=I$8,E$7,0)</f>
        <v>0</v>
      </c>
      <c r="H156" s="13">
        <f>IF(AND(C156&gt;='Amort. Sched.-BASE'!$I$8, C156&lt;= ($I$7+$I$8)), H155+F156, 0)</f>
        <v>167483.03740588849</v>
      </c>
      <c r="I156" s="24">
        <f>IF(AND(C156&gt;='Amort. Sched.-BASE'!$I$8, C156&lt;= ($I$7+$I$8)), E156/D156, " ")</f>
        <v>0.64532331966227752</v>
      </c>
      <c r="J156" s="25">
        <f>IF(AND(C156&gt;='Amort. Sched.-BASE'!$I$8, C156&lt;= ($I$7+$I$8)), F156/D156, " ")</f>
        <v>0.35467668033772243</v>
      </c>
      <c r="L156" s="20">
        <f t="shared" si="34"/>
        <v>145</v>
      </c>
      <c r="M156" s="5">
        <f>IF(AND(L156&gt;='Amort. Sched.-BASE'!$R$8, L156&lt;= ($R$7+$R$8)), PMT('Amort. Sched.-BASE'!$N$8/12, 'Amort. Sched.-BASE'!$R$7, 'Amort. Sched.-BASE'!$N$7), 0)</f>
        <v>0</v>
      </c>
      <c r="N156" s="5">
        <f>IF(AND(L156&gt;='Amort. Sched.-BASE'!$R$8, L156&lt;= ($R$7+$R$8)), (IPMT($N$8/12, (L156-$R$8), $R$7, $N$7)), 0)</f>
        <v>0</v>
      </c>
      <c r="O156" s="5">
        <f>IF(AND(L156&gt;='Amort. Sched.-BASE'!$R$8, L156&lt;= ($R$7+$R$8)), (PPMT($N$8/12, (L156-$R$8), $R$7, $N$7)), 0)</f>
        <v>0</v>
      </c>
      <c r="P156" s="5">
        <f>IF(CreditAmort1BASE[[#This Row],[Month]]=R$8,N$7,0)</f>
        <v>0</v>
      </c>
      <c r="Q156" s="13">
        <f>IF(AND(L156&gt;='Amort. Sched.-BASE'!$R$8, L156&lt;= ($R$7+$R$8)), Q155+O156, 0)</f>
        <v>0</v>
      </c>
      <c r="R156" s="6" t="str">
        <f>IF(AND(L156&gt;='Amort. Sched.-BASE'!$R$8, L156&lt;= ($R$7+$R$8)), N156/M156, " ")</f>
        <v xml:space="preserve"> </v>
      </c>
      <c r="S156" s="21" t="str">
        <f>IF(AND(L156&gt;='Amort. Sched.-BASE'!$R$8, L156&lt;= ($R$7+$R$8)), O156/M156, " ")</f>
        <v xml:space="preserve"> </v>
      </c>
      <c r="U156" s="22">
        <f t="shared" si="35"/>
        <v>145</v>
      </c>
      <c r="V156" s="23">
        <f>IF(AND(U156&gt;='Amort. Sched.-BASE'!$AA$8, U156&lt;= ($AA$7+$AA$8)), PMT('Amort. Sched.-BASE'!$W$8/12, 'Amort. Sched.-BASE'!$AA$7, 'Amort. Sched.-BASE'!$W$7), 0)</f>
        <v>0</v>
      </c>
      <c r="W156" s="5">
        <f>IF(AND(U156&gt;='Amort. Sched.-BASE'!$AA$8, U156&lt;= ($AA$7+$AA$8)), (IPMT($W$8/12, (U156-$AA$8), $AA$7, $W$7)), 0)</f>
        <v>0</v>
      </c>
      <c r="X156" s="23">
        <f>IF(AND(U156&gt;='Amort. Sched.-BASE'!$AA$8, U156&lt;= ($AA$7+$AA$8)), (PPMT($W$8/12, (U156-$AA$8), $AA$7, $W$7)), 0)</f>
        <v>0</v>
      </c>
      <c r="Y156" s="5">
        <f>IF(CreditAmort2BASE[[#This Row],[Month]]=AA$8,W$7,0)</f>
        <v>0</v>
      </c>
      <c r="Z156" s="13">
        <f>IF(AND(U156&gt;='Amort. Sched.-BASE'!$AA$8, U156&lt;= ($AA$7+$AA$8)), Z155+X156, 0)</f>
        <v>0</v>
      </c>
      <c r="AA156" s="24" t="str">
        <f>IF(AND(U156&gt;='Amort. Sched.-BASE'!$AA$8, U156&lt;= ($AA$7+$AA$8)), W156/V156, " ")</f>
        <v xml:space="preserve"> </v>
      </c>
      <c r="AB156" s="25" t="str">
        <f>IF(AND(U156&gt;='Amort. Sched.-BASE'!$AA$8, U156&lt;= ($AA$7+$AA$8)), X156/V156, " ")</f>
        <v xml:space="preserve"> </v>
      </c>
      <c r="AD156" s="20">
        <f t="shared" si="36"/>
        <v>145</v>
      </c>
      <c r="AE156" s="5">
        <f t="shared" si="37"/>
        <v>0</v>
      </c>
      <c r="AF156" s="5">
        <f t="shared" si="38"/>
        <v>0</v>
      </c>
      <c r="AG156" s="5">
        <f t="shared" si="39"/>
        <v>0</v>
      </c>
      <c r="AH156" s="5">
        <f>IF(CreditAmort3BASE[[#This Row],[Month]]=AJ$8,AF$7,0)</f>
        <v>0</v>
      </c>
      <c r="AI156" s="13">
        <f t="shared" si="40"/>
        <v>0</v>
      </c>
      <c r="AJ156" s="6" t="str">
        <f t="shared" si="41"/>
        <v xml:space="preserve"> </v>
      </c>
      <c r="AK156" s="21" t="str">
        <f t="shared" si="42"/>
        <v xml:space="preserve"> </v>
      </c>
      <c r="AM156" s="20">
        <f t="shared" si="43"/>
        <v>145</v>
      </c>
      <c r="AN156" s="5">
        <f t="shared" si="44"/>
        <v>0</v>
      </c>
      <c r="AO156" s="5">
        <f t="shared" si="45"/>
        <v>0</v>
      </c>
      <c r="AP156" s="5">
        <f t="shared" si="46"/>
        <v>0</v>
      </c>
      <c r="AQ156" s="5">
        <f>IF(CreditAmort4BASE[[#This Row],[Month]]=AS$8,AO$7,0)</f>
        <v>0</v>
      </c>
      <c r="AR156" s="13">
        <f t="shared" si="47"/>
        <v>0</v>
      </c>
      <c r="AS156" s="6" t="str">
        <f t="shared" si="48"/>
        <v xml:space="preserve"> </v>
      </c>
      <c r="AT156" s="21" t="str">
        <f t="shared" si="49"/>
        <v xml:space="preserve"> </v>
      </c>
    </row>
    <row r="157" spans="3:46">
      <c r="C157" s="22">
        <f t="shared" si="17"/>
        <v>146</v>
      </c>
      <c r="D157" s="23">
        <f>IF(AND(C157&gt;='Amort. Sched.-BASE'!$I$8, C157&lt;= ($I$7+$I$8)), PMT('Amort. Sched.-BASE'!$E$8/12, 'Amort. Sched.-BASE'!$I$7, 'Amort. Sched.-BASE'!$E$7), 0)</f>
        <v>-1736.5864935892569</v>
      </c>
      <c r="E157" s="5">
        <f>IF(AND(C157&gt;='Amort. Sched.-BASE'!$I$8, C157&lt;= ($I$7+$I$8)), (IPMT($E$8/12, (C157-$I$8), $I$7, $E$7)), 0)</f>
        <v>-1116.5535827059236</v>
      </c>
      <c r="F157" s="23">
        <f>IF(AND(C157&gt;='Amort. Sched.-BASE'!$I$8, C157&lt;= ($I$7+$I$8)), (PPMT($E$8/12, (C157-$I$8), $I$7, $E$7)), 0)</f>
        <v>-620.03291088333344</v>
      </c>
      <c r="G157" s="5">
        <f>IF(MortgageAmortBASE[[#This Row],[Month]]=I$8,E$7,0)</f>
        <v>0</v>
      </c>
      <c r="H157" s="13">
        <f>IF(AND(C157&gt;='Amort. Sched.-BASE'!$I$8, C157&lt;= ($I$7+$I$8)), H156+F157, 0)</f>
        <v>166863.00449500515</v>
      </c>
      <c r="I157" s="24">
        <f>IF(AND(C157&gt;='Amort. Sched.-BASE'!$I$8, C157&lt;= ($I$7+$I$8)), E157/D157, " ")</f>
        <v>0.64295880846002629</v>
      </c>
      <c r="J157" s="25">
        <f>IF(AND(C157&gt;='Amort. Sched.-BASE'!$I$8, C157&lt;= ($I$7+$I$8)), F157/D157, " ")</f>
        <v>0.35704119153997388</v>
      </c>
      <c r="L157" s="20">
        <f t="shared" si="34"/>
        <v>146</v>
      </c>
      <c r="M157" s="5">
        <f>IF(AND(L157&gt;='Amort. Sched.-BASE'!$R$8, L157&lt;= ($R$7+$R$8)), PMT('Amort. Sched.-BASE'!$N$8/12, 'Amort. Sched.-BASE'!$R$7, 'Amort. Sched.-BASE'!$N$7), 0)</f>
        <v>0</v>
      </c>
      <c r="N157" s="5">
        <f>IF(AND(L157&gt;='Amort. Sched.-BASE'!$R$8, L157&lt;= ($R$7+$R$8)), (IPMT($N$8/12, (L157-$R$8), $R$7, $N$7)), 0)</f>
        <v>0</v>
      </c>
      <c r="O157" s="5">
        <f>IF(AND(L157&gt;='Amort. Sched.-BASE'!$R$8, L157&lt;= ($R$7+$R$8)), (PPMT($N$8/12, (L157-$R$8), $R$7, $N$7)), 0)</f>
        <v>0</v>
      </c>
      <c r="P157" s="5">
        <f>IF(CreditAmort1BASE[[#This Row],[Month]]=R$8,N$7,0)</f>
        <v>0</v>
      </c>
      <c r="Q157" s="13">
        <f>IF(AND(L157&gt;='Amort. Sched.-BASE'!$R$8, L157&lt;= ($R$7+$R$8)), Q156+O157, 0)</f>
        <v>0</v>
      </c>
      <c r="R157" s="6" t="str">
        <f>IF(AND(L157&gt;='Amort. Sched.-BASE'!$R$8, L157&lt;= ($R$7+$R$8)), N157/M157, " ")</f>
        <v xml:space="preserve"> </v>
      </c>
      <c r="S157" s="21" t="str">
        <f>IF(AND(L157&gt;='Amort. Sched.-BASE'!$R$8, L157&lt;= ($R$7+$R$8)), O157/M157, " ")</f>
        <v xml:space="preserve"> </v>
      </c>
      <c r="U157" s="22">
        <f t="shared" si="35"/>
        <v>146</v>
      </c>
      <c r="V157" s="23">
        <f>IF(AND(U157&gt;='Amort. Sched.-BASE'!$AA$8, U157&lt;= ($AA$7+$AA$8)), PMT('Amort. Sched.-BASE'!$W$8/12, 'Amort. Sched.-BASE'!$AA$7, 'Amort. Sched.-BASE'!$W$7), 0)</f>
        <v>0</v>
      </c>
      <c r="W157" s="5">
        <f>IF(AND(U157&gt;='Amort. Sched.-BASE'!$AA$8, U157&lt;= ($AA$7+$AA$8)), (IPMT($W$8/12, (U157-$AA$8), $AA$7, $W$7)), 0)</f>
        <v>0</v>
      </c>
      <c r="X157" s="23">
        <f>IF(AND(U157&gt;='Amort. Sched.-BASE'!$AA$8, U157&lt;= ($AA$7+$AA$8)), (PPMT($W$8/12, (U157-$AA$8), $AA$7, $W$7)), 0)</f>
        <v>0</v>
      </c>
      <c r="Y157" s="5">
        <f>IF(CreditAmort2BASE[[#This Row],[Month]]=AA$8,W$7,0)</f>
        <v>0</v>
      </c>
      <c r="Z157" s="13">
        <f>IF(AND(U157&gt;='Amort. Sched.-BASE'!$AA$8, U157&lt;= ($AA$7+$AA$8)), Z156+X157, 0)</f>
        <v>0</v>
      </c>
      <c r="AA157" s="24" t="str">
        <f>IF(AND(U157&gt;='Amort. Sched.-BASE'!$AA$8, U157&lt;= ($AA$7+$AA$8)), W157/V157, " ")</f>
        <v xml:space="preserve"> </v>
      </c>
      <c r="AB157" s="25" t="str">
        <f>IF(AND(U157&gt;='Amort. Sched.-BASE'!$AA$8, U157&lt;= ($AA$7+$AA$8)), X157/V157, " ")</f>
        <v xml:space="preserve"> </v>
      </c>
      <c r="AD157" s="20">
        <f t="shared" si="36"/>
        <v>146</v>
      </c>
      <c r="AE157" s="5">
        <f t="shared" si="37"/>
        <v>0</v>
      </c>
      <c r="AF157" s="5">
        <f t="shared" si="38"/>
        <v>0</v>
      </c>
      <c r="AG157" s="5">
        <f t="shared" si="39"/>
        <v>0</v>
      </c>
      <c r="AH157" s="5">
        <f>IF(CreditAmort3BASE[[#This Row],[Month]]=AJ$8,AF$7,0)</f>
        <v>0</v>
      </c>
      <c r="AI157" s="13">
        <f t="shared" si="40"/>
        <v>0</v>
      </c>
      <c r="AJ157" s="6" t="str">
        <f t="shared" si="41"/>
        <v xml:space="preserve"> </v>
      </c>
      <c r="AK157" s="21" t="str">
        <f t="shared" si="42"/>
        <v xml:space="preserve"> </v>
      </c>
      <c r="AM157" s="20">
        <f t="shared" si="43"/>
        <v>146</v>
      </c>
      <c r="AN157" s="5">
        <f t="shared" si="44"/>
        <v>0</v>
      </c>
      <c r="AO157" s="5">
        <f t="shared" si="45"/>
        <v>0</v>
      </c>
      <c r="AP157" s="5">
        <f t="shared" si="46"/>
        <v>0</v>
      </c>
      <c r="AQ157" s="5">
        <f>IF(CreditAmort4BASE[[#This Row],[Month]]=AS$8,AO$7,0)</f>
        <v>0</v>
      </c>
      <c r="AR157" s="13">
        <f t="shared" si="47"/>
        <v>0</v>
      </c>
      <c r="AS157" s="6" t="str">
        <f t="shared" si="48"/>
        <v xml:space="preserve"> </v>
      </c>
      <c r="AT157" s="21" t="str">
        <f t="shared" si="49"/>
        <v xml:space="preserve"> </v>
      </c>
    </row>
    <row r="158" spans="3:46">
      <c r="C158" s="22">
        <f t="shared" si="17"/>
        <v>147</v>
      </c>
      <c r="D158" s="23">
        <f>IF(AND(C158&gt;='Amort. Sched.-BASE'!$I$8, C158&lt;= ($I$7+$I$8)), PMT('Amort. Sched.-BASE'!$E$8/12, 'Amort. Sched.-BASE'!$I$7, 'Amort. Sched.-BASE'!$E$7), 0)</f>
        <v>-1736.5864935892569</v>
      </c>
      <c r="E158" s="5">
        <f>IF(AND(C158&gt;='Amort. Sched.-BASE'!$I$8, C158&lt;= ($I$7+$I$8)), (IPMT($E$8/12, (C158-$I$8), $I$7, $E$7)), 0)</f>
        <v>-1112.4200299667011</v>
      </c>
      <c r="F158" s="23">
        <f>IF(AND(C158&gt;='Amort. Sched.-BASE'!$I$8, C158&lt;= ($I$7+$I$8)), (PPMT($E$8/12, (C158-$I$8), $I$7, $E$7)), 0)</f>
        <v>-624.16646362255563</v>
      </c>
      <c r="G158" s="5">
        <f>IF(MortgageAmortBASE[[#This Row],[Month]]=I$8,E$7,0)</f>
        <v>0</v>
      </c>
      <c r="H158" s="13">
        <f>IF(AND(C158&gt;='Amort. Sched.-BASE'!$I$8, C158&lt;= ($I$7+$I$8)), H157+F158, 0)</f>
        <v>166238.83803138259</v>
      </c>
      <c r="I158" s="24">
        <f>IF(AND(C158&gt;='Amort. Sched.-BASE'!$I$8, C158&lt;= ($I$7+$I$8)), E158/D158, " ")</f>
        <v>0.6405785338497596</v>
      </c>
      <c r="J158" s="25">
        <f>IF(AND(C158&gt;='Amort. Sched.-BASE'!$I$8, C158&lt;= ($I$7+$I$8)), F158/D158, " ")</f>
        <v>0.35942146615024034</v>
      </c>
      <c r="L158" s="20">
        <f t="shared" si="34"/>
        <v>147</v>
      </c>
      <c r="M158" s="5">
        <f>IF(AND(L158&gt;='Amort. Sched.-BASE'!$R$8, L158&lt;= ($R$7+$R$8)), PMT('Amort. Sched.-BASE'!$N$8/12, 'Amort. Sched.-BASE'!$R$7, 'Amort. Sched.-BASE'!$N$7), 0)</f>
        <v>0</v>
      </c>
      <c r="N158" s="5">
        <f>IF(AND(L158&gt;='Amort. Sched.-BASE'!$R$8, L158&lt;= ($R$7+$R$8)), (IPMT($N$8/12, (L158-$R$8), $R$7, $N$7)), 0)</f>
        <v>0</v>
      </c>
      <c r="O158" s="5">
        <f>IF(AND(L158&gt;='Amort. Sched.-BASE'!$R$8, L158&lt;= ($R$7+$R$8)), (PPMT($N$8/12, (L158-$R$8), $R$7, $N$7)), 0)</f>
        <v>0</v>
      </c>
      <c r="P158" s="5">
        <f>IF(CreditAmort1BASE[[#This Row],[Month]]=R$8,N$7,0)</f>
        <v>0</v>
      </c>
      <c r="Q158" s="13">
        <f>IF(AND(L158&gt;='Amort. Sched.-BASE'!$R$8, L158&lt;= ($R$7+$R$8)), Q157+O158, 0)</f>
        <v>0</v>
      </c>
      <c r="R158" s="6" t="str">
        <f>IF(AND(L158&gt;='Amort. Sched.-BASE'!$R$8, L158&lt;= ($R$7+$R$8)), N158/M158, " ")</f>
        <v xml:space="preserve"> </v>
      </c>
      <c r="S158" s="21" t="str">
        <f>IF(AND(L158&gt;='Amort. Sched.-BASE'!$R$8, L158&lt;= ($R$7+$R$8)), O158/M158, " ")</f>
        <v xml:space="preserve"> </v>
      </c>
      <c r="U158" s="22">
        <f t="shared" si="35"/>
        <v>147</v>
      </c>
      <c r="V158" s="23">
        <f>IF(AND(U158&gt;='Amort. Sched.-BASE'!$AA$8, U158&lt;= ($AA$7+$AA$8)), PMT('Amort. Sched.-BASE'!$W$8/12, 'Amort. Sched.-BASE'!$AA$7, 'Amort. Sched.-BASE'!$W$7), 0)</f>
        <v>0</v>
      </c>
      <c r="W158" s="5">
        <f>IF(AND(U158&gt;='Amort. Sched.-BASE'!$AA$8, U158&lt;= ($AA$7+$AA$8)), (IPMT($W$8/12, (U158-$AA$8), $AA$7, $W$7)), 0)</f>
        <v>0</v>
      </c>
      <c r="X158" s="23">
        <f>IF(AND(U158&gt;='Amort. Sched.-BASE'!$AA$8, U158&lt;= ($AA$7+$AA$8)), (PPMT($W$8/12, (U158-$AA$8), $AA$7, $W$7)), 0)</f>
        <v>0</v>
      </c>
      <c r="Y158" s="5">
        <f>IF(CreditAmort2BASE[[#This Row],[Month]]=AA$8,W$7,0)</f>
        <v>0</v>
      </c>
      <c r="Z158" s="13">
        <f>IF(AND(U158&gt;='Amort. Sched.-BASE'!$AA$8, U158&lt;= ($AA$7+$AA$8)), Z157+X158, 0)</f>
        <v>0</v>
      </c>
      <c r="AA158" s="24" t="str">
        <f>IF(AND(U158&gt;='Amort. Sched.-BASE'!$AA$8, U158&lt;= ($AA$7+$AA$8)), W158/V158, " ")</f>
        <v xml:space="preserve"> </v>
      </c>
      <c r="AB158" s="25" t="str">
        <f>IF(AND(U158&gt;='Amort. Sched.-BASE'!$AA$8, U158&lt;= ($AA$7+$AA$8)), X158/V158, " ")</f>
        <v xml:space="preserve"> </v>
      </c>
      <c r="AD158" s="20">
        <f t="shared" si="36"/>
        <v>147</v>
      </c>
      <c r="AE158" s="5">
        <f t="shared" si="37"/>
        <v>0</v>
      </c>
      <c r="AF158" s="5">
        <f t="shared" si="38"/>
        <v>0</v>
      </c>
      <c r="AG158" s="5">
        <f t="shared" si="39"/>
        <v>0</v>
      </c>
      <c r="AH158" s="5">
        <f>IF(CreditAmort3BASE[[#This Row],[Month]]=AJ$8,AF$7,0)</f>
        <v>0</v>
      </c>
      <c r="AI158" s="13">
        <f t="shared" si="40"/>
        <v>0</v>
      </c>
      <c r="AJ158" s="6" t="str">
        <f t="shared" si="41"/>
        <v xml:space="preserve"> </v>
      </c>
      <c r="AK158" s="21" t="str">
        <f t="shared" si="42"/>
        <v xml:space="preserve"> </v>
      </c>
      <c r="AM158" s="20">
        <f t="shared" si="43"/>
        <v>147</v>
      </c>
      <c r="AN158" s="5">
        <f t="shared" si="44"/>
        <v>0</v>
      </c>
      <c r="AO158" s="5">
        <f t="shared" si="45"/>
        <v>0</v>
      </c>
      <c r="AP158" s="5">
        <f t="shared" si="46"/>
        <v>0</v>
      </c>
      <c r="AQ158" s="5">
        <f>IF(CreditAmort4BASE[[#This Row],[Month]]=AS$8,AO$7,0)</f>
        <v>0</v>
      </c>
      <c r="AR158" s="13">
        <f t="shared" si="47"/>
        <v>0</v>
      </c>
      <c r="AS158" s="6" t="str">
        <f t="shared" si="48"/>
        <v xml:space="preserve"> </v>
      </c>
      <c r="AT158" s="21" t="str">
        <f t="shared" si="49"/>
        <v xml:space="preserve"> </v>
      </c>
    </row>
    <row r="159" spans="3:46">
      <c r="C159" s="22">
        <f t="shared" si="17"/>
        <v>148</v>
      </c>
      <c r="D159" s="23">
        <f>IF(AND(C159&gt;='Amort. Sched.-BASE'!$I$8, C159&lt;= ($I$7+$I$8)), PMT('Amort. Sched.-BASE'!$E$8/12, 'Amort. Sched.-BASE'!$I$7, 'Amort. Sched.-BASE'!$E$7), 0)</f>
        <v>-1736.5864935892569</v>
      </c>
      <c r="E159" s="5">
        <f>IF(AND(C159&gt;='Amort. Sched.-BASE'!$I$8, C159&lt;= ($I$7+$I$8)), (IPMT($E$8/12, (C159-$I$8), $I$7, $E$7)), 0)</f>
        <v>-1108.2589202092176</v>
      </c>
      <c r="F159" s="23">
        <f>IF(AND(C159&gt;='Amort. Sched.-BASE'!$I$8, C159&lt;= ($I$7+$I$8)), (PPMT($E$8/12, (C159-$I$8), $I$7, $E$7)), 0)</f>
        <v>-628.32757338003944</v>
      </c>
      <c r="G159" s="5">
        <f>IF(MortgageAmortBASE[[#This Row],[Month]]=I$8,E$7,0)</f>
        <v>0</v>
      </c>
      <c r="H159" s="13">
        <f>IF(AND(C159&gt;='Amort. Sched.-BASE'!$I$8, C159&lt;= ($I$7+$I$8)), H158+F159, 0)</f>
        <v>165610.51045800257</v>
      </c>
      <c r="I159" s="24">
        <f>IF(AND(C159&gt;='Amort. Sched.-BASE'!$I$8, C159&lt;= ($I$7+$I$8)), E159/D159, " ")</f>
        <v>0.63818239074209149</v>
      </c>
      <c r="J159" s="25">
        <f>IF(AND(C159&gt;='Amort. Sched.-BASE'!$I$8, C159&lt;= ($I$7+$I$8)), F159/D159, " ")</f>
        <v>0.36181760925790868</v>
      </c>
      <c r="L159" s="20">
        <f t="shared" si="34"/>
        <v>148</v>
      </c>
      <c r="M159" s="5">
        <f>IF(AND(L159&gt;='Amort. Sched.-BASE'!$R$8, L159&lt;= ($R$7+$R$8)), PMT('Amort. Sched.-BASE'!$N$8/12, 'Amort. Sched.-BASE'!$R$7, 'Amort. Sched.-BASE'!$N$7), 0)</f>
        <v>0</v>
      </c>
      <c r="N159" s="5">
        <f>IF(AND(L159&gt;='Amort. Sched.-BASE'!$R$8, L159&lt;= ($R$7+$R$8)), (IPMT($N$8/12, (L159-$R$8), $R$7, $N$7)), 0)</f>
        <v>0</v>
      </c>
      <c r="O159" s="5">
        <f>IF(AND(L159&gt;='Amort. Sched.-BASE'!$R$8, L159&lt;= ($R$7+$R$8)), (PPMT($N$8/12, (L159-$R$8), $R$7, $N$7)), 0)</f>
        <v>0</v>
      </c>
      <c r="P159" s="5">
        <f>IF(CreditAmort1BASE[[#This Row],[Month]]=R$8,N$7,0)</f>
        <v>0</v>
      </c>
      <c r="Q159" s="13">
        <f>IF(AND(L159&gt;='Amort. Sched.-BASE'!$R$8, L159&lt;= ($R$7+$R$8)), Q158+O159, 0)</f>
        <v>0</v>
      </c>
      <c r="R159" s="6" t="str">
        <f>IF(AND(L159&gt;='Amort. Sched.-BASE'!$R$8, L159&lt;= ($R$7+$R$8)), N159/M159, " ")</f>
        <v xml:space="preserve"> </v>
      </c>
      <c r="S159" s="21" t="str">
        <f>IF(AND(L159&gt;='Amort. Sched.-BASE'!$R$8, L159&lt;= ($R$7+$R$8)), O159/M159, " ")</f>
        <v xml:space="preserve"> </v>
      </c>
      <c r="U159" s="22">
        <f t="shared" si="35"/>
        <v>148</v>
      </c>
      <c r="V159" s="23">
        <f>IF(AND(U159&gt;='Amort. Sched.-BASE'!$AA$8, U159&lt;= ($AA$7+$AA$8)), PMT('Amort. Sched.-BASE'!$W$8/12, 'Amort. Sched.-BASE'!$AA$7, 'Amort. Sched.-BASE'!$W$7), 0)</f>
        <v>0</v>
      </c>
      <c r="W159" s="5">
        <f>IF(AND(U159&gt;='Amort. Sched.-BASE'!$AA$8, U159&lt;= ($AA$7+$AA$8)), (IPMT($W$8/12, (U159-$AA$8), $AA$7, $W$7)), 0)</f>
        <v>0</v>
      </c>
      <c r="X159" s="23">
        <f>IF(AND(U159&gt;='Amort. Sched.-BASE'!$AA$8, U159&lt;= ($AA$7+$AA$8)), (PPMT($W$8/12, (U159-$AA$8), $AA$7, $W$7)), 0)</f>
        <v>0</v>
      </c>
      <c r="Y159" s="5">
        <f>IF(CreditAmort2BASE[[#This Row],[Month]]=AA$8,W$7,0)</f>
        <v>0</v>
      </c>
      <c r="Z159" s="13">
        <f>IF(AND(U159&gt;='Amort. Sched.-BASE'!$AA$8, U159&lt;= ($AA$7+$AA$8)), Z158+X159, 0)</f>
        <v>0</v>
      </c>
      <c r="AA159" s="24" t="str">
        <f>IF(AND(U159&gt;='Amort. Sched.-BASE'!$AA$8, U159&lt;= ($AA$7+$AA$8)), W159/V159, " ")</f>
        <v xml:space="preserve"> </v>
      </c>
      <c r="AB159" s="25" t="str">
        <f>IF(AND(U159&gt;='Amort. Sched.-BASE'!$AA$8, U159&lt;= ($AA$7+$AA$8)), X159/V159, " ")</f>
        <v xml:space="preserve"> </v>
      </c>
      <c r="AD159" s="20">
        <f t="shared" si="36"/>
        <v>148</v>
      </c>
      <c r="AE159" s="5">
        <f t="shared" si="37"/>
        <v>0</v>
      </c>
      <c r="AF159" s="5">
        <f t="shared" si="38"/>
        <v>0</v>
      </c>
      <c r="AG159" s="5">
        <f t="shared" si="39"/>
        <v>0</v>
      </c>
      <c r="AH159" s="5">
        <f>IF(CreditAmort3BASE[[#This Row],[Month]]=AJ$8,AF$7,0)</f>
        <v>0</v>
      </c>
      <c r="AI159" s="13">
        <f t="shared" si="40"/>
        <v>0</v>
      </c>
      <c r="AJ159" s="6" t="str">
        <f t="shared" si="41"/>
        <v xml:space="preserve"> </v>
      </c>
      <c r="AK159" s="21" t="str">
        <f t="shared" si="42"/>
        <v xml:space="preserve"> </v>
      </c>
      <c r="AM159" s="20">
        <f t="shared" si="43"/>
        <v>148</v>
      </c>
      <c r="AN159" s="5">
        <f t="shared" si="44"/>
        <v>0</v>
      </c>
      <c r="AO159" s="5">
        <f t="shared" si="45"/>
        <v>0</v>
      </c>
      <c r="AP159" s="5">
        <f t="shared" si="46"/>
        <v>0</v>
      </c>
      <c r="AQ159" s="5">
        <f>IF(CreditAmort4BASE[[#This Row],[Month]]=AS$8,AO$7,0)</f>
        <v>0</v>
      </c>
      <c r="AR159" s="13">
        <f t="shared" si="47"/>
        <v>0</v>
      </c>
      <c r="AS159" s="6" t="str">
        <f t="shared" si="48"/>
        <v xml:space="preserve"> </v>
      </c>
      <c r="AT159" s="21" t="str">
        <f t="shared" si="49"/>
        <v xml:space="preserve"> </v>
      </c>
    </row>
    <row r="160" spans="3:46">
      <c r="C160" s="22">
        <f t="shared" si="17"/>
        <v>149</v>
      </c>
      <c r="D160" s="23">
        <f>IF(AND(C160&gt;='Amort. Sched.-BASE'!$I$8, C160&lt;= ($I$7+$I$8)), PMT('Amort. Sched.-BASE'!$E$8/12, 'Amort. Sched.-BASE'!$I$7, 'Amort. Sched.-BASE'!$E$7), 0)</f>
        <v>-1736.5864935892569</v>
      </c>
      <c r="E160" s="5">
        <f>IF(AND(C160&gt;='Amort. Sched.-BASE'!$I$8, C160&lt;= ($I$7+$I$8)), (IPMT($E$8/12, (C160-$I$8), $I$7, $E$7)), 0)</f>
        <v>-1104.0700697200173</v>
      </c>
      <c r="F160" s="23">
        <f>IF(AND(C160&gt;='Amort. Sched.-BASE'!$I$8, C160&lt;= ($I$7+$I$8)), (PPMT($E$8/12, (C160-$I$8), $I$7, $E$7)), 0)</f>
        <v>-632.5164238692397</v>
      </c>
      <c r="G160" s="5">
        <f>IF(MortgageAmortBASE[[#This Row],[Month]]=I$8,E$7,0)</f>
        <v>0</v>
      </c>
      <c r="H160" s="13">
        <f>IF(AND(C160&gt;='Amort. Sched.-BASE'!$I$8, C160&lt;= ($I$7+$I$8)), H159+F160, 0)</f>
        <v>164977.99403413333</v>
      </c>
      <c r="I160" s="24">
        <f>IF(AND(C160&gt;='Amort. Sched.-BASE'!$I$8, C160&lt;= ($I$7+$I$8)), E160/D160, " ")</f>
        <v>0.63577027334703873</v>
      </c>
      <c r="J160" s="25">
        <f>IF(AND(C160&gt;='Amort. Sched.-BASE'!$I$8, C160&lt;= ($I$7+$I$8)), F160/D160, " ")</f>
        <v>0.36422972665296138</v>
      </c>
      <c r="L160" s="20">
        <f t="shared" si="34"/>
        <v>149</v>
      </c>
      <c r="M160" s="5">
        <f>IF(AND(L160&gt;='Amort. Sched.-BASE'!$R$8, L160&lt;= ($R$7+$R$8)), PMT('Amort. Sched.-BASE'!$N$8/12, 'Amort. Sched.-BASE'!$R$7, 'Amort. Sched.-BASE'!$N$7), 0)</f>
        <v>0</v>
      </c>
      <c r="N160" s="5">
        <f>IF(AND(L160&gt;='Amort. Sched.-BASE'!$R$8, L160&lt;= ($R$7+$R$8)), (IPMT($N$8/12, (L160-$R$8), $R$7, $N$7)), 0)</f>
        <v>0</v>
      </c>
      <c r="O160" s="5">
        <f>IF(AND(L160&gt;='Amort. Sched.-BASE'!$R$8, L160&lt;= ($R$7+$R$8)), (PPMT($N$8/12, (L160-$R$8), $R$7, $N$7)), 0)</f>
        <v>0</v>
      </c>
      <c r="P160" s="5">
        <f>IF(CreditAmort1BASE[[#This Row],[Month]]=R$8,N$7,0)</f>
        <v>0</v>
      </c>
      <c r="Q160" s="13">
        <f>IF(AND(L160&gt;='Amort. Sched.-BASE'!$R$8, L160&lt;= ($R$7+$R$8)), Q159+O160, 0)</f>
        <v>0</v>
      </c>
      <c r="R160" s="6" t="str">
        <f>IF(AND(L160&gt;='Amort. Sched.-BASE'!$R$8, L160&lt;= ($R$7+$R$8)), N160/M160, " ")</f>
        <v xml:space="preserve"> </v>
      </c>
      <c r="S160" s="21" t="str">
        <f>IF(AND(L160&gt;='Amort. Sched.-BASE'!$R$8, L160&lt;= ($R$7+$R$8)), O160/M160, " ")</f>
        <v xml:space="preserve"> </v>
      </c>
      <c r="U160" s="22">
        <f t="shared" si="35"/>
        <v>149</v>
      </c>
      <c r="V160" s="23">
        <f>IF(AND(U160&gt;='Amort. Sched.-BASE'!$AA$8, U160&lt;= ($AA$7+$AA$8)), PMT('Amort. Sched.-BASE'!$W$8/12, 'Amort. Sched.-BASE'!$AA$7, 'Amort. Sched.-BASE'!$W$7), 0)</f>
        <v>0</v>
      </c>
      <c r="W160" s="5">
        <f>IF(AND(U160&gt;='Amort. Sched.-BASE'!$AA$8, U160&lt;= ($AA$7+$AA$8)), (IPMT($W$8/12, (U160-$AA$8), $AA$7, $W$7)), 0)</f>
        <v>0</v>
      </c>
      <c r="X160" s="23">
        <f>IF(AND(U160&gt;='Amort. Sched.-BASE'!$AA$8, U160&lt;= ($AA$7+$AA$8)), (PPMT($W$8/12, (U160-$AA$8), $AA$7, $W$7)), 0)</f>
        <v>0</v>
      </c>
      <c r="Y160" s="5">
        <f>IF(CreditAmort2BASE[[#This Row],[Month]]=AA$8,W$7,0)</f>
        <v>0</v>
      </c>
      <c r="Z160" s="13">
        <f>IF(AND(U160&gt;='Amort. Sched.-BASE'!$AA$8, U160&lt;= ($AA$7+$AA$8)), Z159+X160, 0)</f>
        <v>0</v>
      </c>
      <c r="AA160" s="24" t="str">
        <f>IF(AND(U160&gt;='Amort. Sched.-BASE'!$AA$8, U160&lt;= ($AA$7+$AA$8)), W160/V160, " ")</f>
        <v xml:space="preserve"> </v>
      </c>
      <c r="AB160" s="25" t="str">
        <f>IF(AND(U160&gt;='Amort. Sched.-BASE'!$AA$8, U160&lt;= ($AA$7+$AA$8)), X160/V160, " ")</f>
        <v xml:space="preserve"> </v>
      </c>
      <c r="AD160" s="20">
        <f t="shared" si="36"/>
        <v>149</v>
      </c>
      <c r="AE160" s="5">
        <f t="shared" si="37"/>
        <v>0</v>
      </c>
      <c r="AF160" s="5">
        <f t="shared" si="38"/>
        <v>0</v>
      </c>
      <c r="AG160" s="5">
        <f t="shared" si="39"/>
        <v>0</v>
      </c>
      <c r="AH160" s="5">
        <f>IF(CreditAmort3BASE[[#This Row],[Month]]=AJ$8,AF$7,0)</f>
        <v>0</v>
      </c>
      <c r="AI160" s="13">
        <f t="shared" si="40"/>
        <v>0</v>
      </c>
      <c r="AJ160" s="6" t="str">
        <f t="shared" si="41"/>
        <v xml:space="preserve"> </v>
      </c>
      <c r="AK160" s="21" t="str">
        <f t="shared" si="42"/>
        <v xml:space="preserve"> </v>
      </c>
      <c r="AM160" s="20">
        <f t="shared" si="43"/>
        <v>149</v>
      </c>
      <c r="AN160" s="5">
        <f t="shared" si="44"/>
        <v>0</v>
      </c>
      <c r="AO160" s="5">
        <f t="shared" si="45"/>
        <v>0</v>
      </c>
      <c r="AP160" s="5">
        <f t="shared" si="46"/>
        <v>0</v>
      </c>
      <c r="AQ160" s="5">
        <f>IF(CreditAmort4BASE[[#This Row],[Month]]=AS$8,AO$7,0)</f>
        <v>0</v>
      </c>
      <c r="AR160" s="13">
        <f t="shared" si="47"/>
        <v>0</v>
      </c>
      <c r="AS160" s="6" t="str">
        <f t="shared" si="48"/>
        <v xml:space="preserve"> </v>
      </c>
      <c r="AT160" s="21" t="str">
        <f t="shared" si="49"/>
        <v xml:space="preserve"> </v>
      </c>
    </row>
    <row r="161" spans="3:46">
      <c r="C161" s="22">
        <f t="shared" si="17"/>
        <v>150</v>
      </c>
      <c r="D161" s="23">
        <f>IF(AND(C161&gt;='Amort. Sched.-BASE'!$I$8, C161&lt;= ($I$7+$I$8)), PMT('Amort. Sched.-BASE'!$E$8/12, 'Amort. Sched.-BASE'!$I$7, 'Amort. Sched.-BASE'!$E$7), 0)</f>
        <v>-1736.5864935892569</v>
      </c>
      <c r="E161" s="5">
        <f>IF(AND(C161&gt;='Amort. Sched.-BASE'!$I$8, C161&lt;= ($I$7+$I$8)), (IPMT($E$8/12, (C161-$I$8), $I$7, $E$7)), 0)</f>
        <v>-1099.8532935608891</v>
      </c>
      <c r="F161" s="23">
        <f>IF(AND(C161&gt;='Amort. Sched.-BASE'!$I$8, C161&lt;= ($I$7+$I$8)), (PPMT($E$8/12, (C161-$I$8), $I$7, $E$7)), 0)</f>
        <v>-636.73320002836795</v>
      </c>
      <c r="G161" s="5">
        <f>IF(MortgageAmortBASE[[#This Row],[Month]]=I$8,E$7,0)</f>
        <v>0</v>
      </c>
      <c r="H161" s="13">
        <f>IF(AND(C161&gt;='Amort. Sched.-BASE'!$I$8, C161&lt;= ($I$7+$I$8)), H160+F161, 0)</f>
        <v>164341.26083410496</v>
      </c>
      <c r="I161" s="24">
        <f>IF(AND(C161&gt;='Amort. Sched.-BASE'!$I$8, C161&lt;= ($I$7+$I$8)), E161/D161, " ")</f>
        <v>0.63334207516935237</v>
      </c>
      <c r="J161" s="25">
        <f>IF(AND(C161&gt;='Amort. Sched.-BASE'!$I$8, C161&lt;= ($I$7+$I$8)), F161/D161, " ")</f>
        <v>0.3666579248306478</v>
      </c>
      <c r="L161" s="20">
        <f t="shared" si="34"/>
        <v>150</v>
      </c>
      <c r="M161" s="5">
        <f>IF(AND(L161&gt;='Amort. Sched.-BASE'!$R$8, L161&lt;= ($R$7+$R$8)), PMT('Amort. Sched.-BASE'!$N$8/12, 'Amort. Sched.-BASE'!$R$7, 'Amort. Sched.-BASE'!$N$7), 0)</f>
        <v>0</v>
      </c>
      <c r="N161" s="5">
        <f>IF(AND(L161&gt;='Amort. Sched.-BASE'!$R$8, L161&lt;= ($R$7+$R$8)), (IPMT($N$8/12, (L161-$R$8), $R$7, $N$7)), 0)</f>
        <v>0</v>
      </c>
      <c r="O161" s="5">
        <f>IF(AND(L161&gt;='Amort. Sched.-BASE'!$R$8, L161&lt;= ($R$7+$R$8)), (PPMT($N$8/12, (L161-$R$8), $R$7, $N$7)), 0)</f>
        <v>0</v>
      </c>
      <c r="P161" s="5">
        <f>IF(CreditAmort1BASE[[#This Row],[Month]]=R$8,N$7,0)</f>
        <v>0</v>
      </c>
      <c r="Q161" s="13">
        <f>IF(AND(L161&gt;='Amort. Sched.-BASE'!$R$8, L161&lt;= ($R$7+$R$8)), Q160+O161, 0)</f>
        <v>0</v>
      </c>
      <c r="R161" s="6" t="str">
        <f>IF(AND(L161&gt;='Amort. Sched.-BASE'!$R$8, L161&lt;= ($R$7+$R$8)), N161/M161, " ")</f>
        <v xml:space="preserve"> </v>
      </c>
      <c r="S161" s="21" t="str">
        <f>IF(AND(L161&gt;='Amort. Sched.-BASE'!$R$8, L161&lt;= ($R$7+$R$8)), O161/M161, " ")</f>
        <v xml:space="preserve"> </v>
      </c>
      <c r="U161" s="22">
        <f t="shared" si="35"/>
        <v>150</v>
      </c>
      <c r="V161" s="23">
        <f>IF(AND(U161&gt;='Amort. Sched.-BASE'!$AA$8, U161&lt;= ($AA$7+$AA$8)), PMT('Amort. Sched.-BASE'!$W$8/12, 'Amort. Sched.-BASE'!$AA$7, 'Amort. Sched.-BASE'!$W$7), 0)</f>
        <v>0</v>
      </c>
      <c r="W161" s="5">
        <f>IF(AND(U161&gt;='Amort. Sched.-BASE'!$AA$8, U161&lt;= ($AA$7+$AA$8)), (IPMT($W$8/12, (U161-$AA$8), $AA$7, $W$7)), 0)</f>
        <v>0</v>
      </c>
      <c r="X161" s="23">
        <f>IF(AND(U161&gt;='Amort. Sched.-BASE'!$AA$8, U161&lt;= ($AA$7+$AA$8)), (PPMT($W$8/12, (U161-$AA$8), $AA$7, $W$7)), 0)</f>
        <v>0</v>
      </c>
      <c r="Y161" s="5">
        <f>IF(CreditAmort2BASE[[#This Row],[Month]]=AA$8,W$7,0)</f>
        <v>0</v>
      </c>
      <c r="Z161" s="13">
        <f>IF(AND(U161&gt;='Amort. Sched.-BASE'!$AA$8, U161&lt;= ($AA$7+$AA$8)), Z160+X161, 0)</f>
        <v>0</v>
      </c>
      <c r="AA161" s="24" t="str">
        <f>IF(AND(U161&gt;='Amort. Sched.-BASE'!$AA$8, U161&lt;= ($AA$7+$AA$8)), W161/V161, " ")</f>
        <v xml:space="preserve"> </v>
      </c>
      <c r="AB161" s="25" t="str">
        <f>IF(AND(U161&gt;='Amort. Sched.-BASE'!$AA$8, U161&lt;= ($AA$7+$AA$8)), X161/V161, " ")</f>
        <v xml:space="preserve"> </v>
      </c>
      <c r="AD161" s="20">
        <f t="shared" si="36"/>
        <v>150</v>
      </c>
      <c r="AE161" s="5">
        <f t="shared" si="37"/>
        <v>0</v>
      </c>
      <c r="AF161" s="5">
        <f t="shared" si="38"/>
        <v>0</v>
      </c>
      <c r="AG161" s="5">
        <f t="shared" si="39"/>
        <v>0</v>
      </c>
      <c r="AH161" s="5">
        <f>IF(CreditAmort3BASE[[#This Row],[Month]]=AJ$8,AF$7,0)</f>
        <v>0</v>
      </c>
      <c r="AI161" s="13">
        <f t="shared" si="40"/>
        <v>0</v>
      </c>
      <c r="AJ161" s="6" t="str">
        <f t="shared" si="41"/>
        <v xml:space="preserve"> </v>
      </c>
      <c r="AK161" s="21" t="str">
        <f t="shared" si="42"/>
        <v xml:space="preserve"> </v>
      </c>
      <c r="AM161" s="20">
        <f t="shared" si="43"/>
        <v>150</v>
      </c>
      <c r="AN161" s="5">
        <f t="shared" si="44"/>
        <v>0</v>
      </c>
      <c r="AO161" s="5">
        <f t="shared" si="45"/>
        <v>0</v>
      </c>
      <c r="AP161" s="5">
        <f t="shared" si="46"/>
        <v>0</v>
      </c>
      <c r="AQ161" s="5">
        <f>IF(CreditAmort4BASE[[#This Row],[Month]]=AS$8,AO$7,0)</f>
        <v>0</v>
      </c>
      <c r="AR161" s="13">
        <f t="shared" si="47"/>
        <v>0</v>
      </c>
      <c r="AS161" s="6" t="str">
        <f t="shared" si="48"/>
        <v xml:space="preserve"> </v>
      </c>
      <c r="AT161" s="21" t="str">
        <f t="shared" si="49"/>
        <v xml:space="preserve"> </v>
      </c>
    </row>
    <row r="162" spans="3:46">
      <c r="C162" s="22">
        <f t="shared" si="17"/>
        <v>151</v>
      </c>
      <c r="D162" s="23">
        <f>IF(AND(C162&gt;='Amort. Sched.-BASE'!$I$8, C162&lt;= ($I$7+$I$8)), PMT('Amort. Sched.-BASE'!$E$8/12, 'Amort. Sched.-BASE'!$I$7, 'Amort. Sched.-BASE'!$E$7), 0)</f>
        <v>-1736.5864935892569</v>
      </c>
      <c r="E162" s="5">
        <f>IF(AND(C162&gt;='Amort. Sched.-BASE'!$I$8, C162&lt;= ($I$7+$I$8)), (IPMT($E$8/12, (C162-$I$8), $I$7, $E$7)), 0)</f>
        <v>-1095.6084055606998</v>
      </c>
      <c r="F162" s="23">
        <f>IF(AND(C162&gt;='Amort. Sched.-BASE'!$I$8, C162&lt;= ($I$7+$I$8)), (PPMT($E$8/12, (C162-$I$8), $I$7, $E$7)), 0)</f>
        <v>-640.97808802855695</v>
      </c>
      <c r="G162" s="5">
        <f>IF(MortgageAmortBASE[[#This Row],[Month]]=I$8,E$7,0)</f>
        <v>0</v>
      </c>
      <c r="H162" s="13">
        <f>IF(AND(C162&gt;='Amort. Sched.-BASE'!$I$8, C162&lt;= ($I$7+$I$8)), H161+F162, 0)</f>
        <v>163700.28274607641</v>
      </c>
      <c r="I162" s="24">
        <f>IF(AND(C162&gt;='Amort. Sched.-BASE'!$I$8, C162&lt;= ($I$7+$I$8)), E162/D162, " ")</f>
        <v>0.6308976890038146</v>
      </c>
      <c r="J162" s="25">
        <f>IF(AND(C162&gt;='Amort. Sched.-BASE'!$I$8, C162&lt;= ($I$7+$I$8)), F162/D162, " ")</f>
        <v>0.36910231099618535</v>
      </c>
      <c r="L162" s="20">
        <f t="shared" si="34"/>
        <v>151</v>
      </c>
      <c r="M162" s="5">
        <f>IF(AND(L162&gt;='Amort. Sched.-BASE'!$R$8, L162&lt;= ($R$7+$R$8)), PMT('Amort. Sched.-BASE'!$N$8/12, 'Amort. Sched.-BASE'!$R$7, 'Amort. Sched.-BASE'!$N$7), 0)</f>
        <v>0</v>
      </c>
      <c r="N162" s="5">
        <f>IF(AND(L162&gt;='Amort. Sched.-BASE'!$R$8, L162&lt;= ($R$7+$R$8)), (IPMT($N$8/12, (L162-$R$8), $R$7, $N$7)), 0)</f>
        <v>0</v>
      </c>
      <c r="O162" s="5">
        <f>IF(AND(L162&gt;='Amort. Sched.-BASE'!$R$8, L162&lt;= ($R$7+$R$8)), (PPMT($N$8/12, (L162-$R$8), $R$7, $N$7)), 0)</f>
        <v>0</v>
      </c>
      <c r="P162" s="5">
        <f>IF(CreditAmort1BASE[[#This Row],[Month]]=R$8,N$7,0)</f>
        <v>0</v>
      </c>
      <c r="Q162" s="13">
        <f>IF(AND(L162&gt;='Amort. Sched.-BASE'!$R$8, L162&lt;= ($R$7+$R$8)), Q161+O162, 0)</f>
        <v>0</v>
      </c>
      <c r="R162" s="6" t="str">
        <f>IF(AND(L162&gt;='Amort. Sched.-BASE'!$R$8, L162&lt;= ($R$7+$R$8)), N162/M162, " ")</f>
        <v xml:space="preserve"> </v>
      </c>
      <c r="S162" s="21" t="str">
        <f>IF(AND(L162&gt;='Amort. Sched.-BASE'!$R$8, L162&lt;= ($R$7+$R$8)), O162/M162, " ")</f>
        <v xml:space="preserve"> </v>
      </c>
      <c r="U162" s="22">
        <f t="shared" si="35"/>
        <v>151</v>
      </c>
      <c r="V162" s="23">
        <f>IF(AND(U162&gt;='Amort. Sched.-BASE'!$AA$8, U162&lt;= ($AA$7+$AA$8)), PMT('Amort. Sched.-BASE'!$W$8/12, 'Amort. Sched.-BASE'!$AA$7, 'Amort. Sched.-BASE'!$W$7), 0)</f>
        <v>0</v>
      </c>
      <c r="W162" s="5">
        <f>IF(AND(U162&gt;='Amort. Sched.-BASE'!$AA$8, U162&lt;= ($AA$7+$AA$8)), (IPMT($W$8/12, (U162-$AA$8), $AA$7, $W$7)), 0)</f>
        <v>0</v>
      </c>
      <c r="X162" s="23">
        <f>IF(AND(U162&gt;='Amort. Sched.-BASE'!$AA$8, U162&lt;= ($AA$7+$AA$8)), (PPMT($W$8/12, (U162-$AA$8), $AA$7, $W$7)), 0)</f>
        <v>0</v>
      </c>
      <c r="Y162" s="5">
        <f>IF(CreditAmort2BASE[[#This Row],[Month]]=AA$8,W$7,0)</f>
        <v>0</v>
      </c>
      <c r="Z162" s="13">
        <f>IF(AND(U162&gt;='Amort. Sched.-BASE'!$AA$8, U162&lt;= ($AA$7+$AA$8)), Z161+X162, 0)</f>
        <v>0</v>
      </c>
      <c r="AA162" s="24" t="str">
        <f>IF(AND(U162&gt;='Amort. Sched.-BASE'!$AA$8, U162&lt;= ($AA$7+$AA$8)), W162/V162, " ")</f>
        <v xml:space="preserve"> </v>
      </c>
      <c r="AB162" s="25" t="str">
        <f>IF(AND(U162&gt;='Amort. Sched.-BASE'!$AA$8, U162&lt;= ($AA$7+$AA$8)), X162/V162, " ")</f>
        <v xml:space="preserve"> </v>
      </c>
      <c r="AD162" s="20">
        <f t="shared" si="36"/>
        <v>151</v>
      </c>
      <c r="AE162" s="5">
        <f t="shared" si="37"/>
        <v>0</v>
      </c>
      <c r="AF162" s="5">
        <f t="shared" si="38"/>
        <v>0</v>
      </c>
      <c r="AG162" s="5">
        <f t="shared" si="39"/>
        <v>0</v>
      </c>
      <c r="AH162" s="5">
        <f>IF(CreditAmort3BASE[[#This Row],[Month]]=AJ$8,AF$7,0)</f>
        <v>0</v>
      </c>
      <c r="AI162" s="13">
        <f t="shared" si="40"/>
        <v>0</v>
      </c>
      <c r="AJ162" s="6" t="str">
        <f t="shared" si="41"/>
        <v xml:space="preserve"> </v>
      </c>
      <c r="AK162" s="21" t="str">
        <f t="shared" si="42"/>
        <v xml:space="preserve"> </v>
      </c>
      <c r="AM162" s="20">
        <f t="shared" si="43"/>
        <v>151</v>
      </c>
      <c r="AN162" s="5">
        <f t="shared" si="44"/>
        <v>0</v>
      </c>
      <c r="AO162" s="5">
        <f t="shared" si="45"/>
        <v>0</v>
      </c>
      <c r="AP162" s="5">
        <f t="shared" si="46"/>
        <v>0</v>
      </c>
      <c r="AQ162" s="5">
        <f>IF(CreditAmort4BASE[[#This Row],[Month]]=AS$8,AO$7,0)</f>
        <v>0</v>
      </c>
      <c r="AR162" s="13">
        <f t="shared" si="47"/>
        <v>0</v>
      </c>
      <c r="AS162" s="6" t="str">
        <f t="shared" si="48"/>
        <v xml:space="preserve"> </v>
      </c>
      <c r="AT162" s="21" t="str">
        <f t="shared" si="49"/>
        <v xml:space="preserve"> </v>
      </c>
    </row>
    <row r="163" spans="3:46">
      <c r="C163" s="22">
        <f t="shared" si="17"/>
        <v>152</v>
      </c>
      <c r="D163" s="23">
        <f>IF(AND(C163&gt;='Amort. Sched.-BASE'!$I$8, C163&lt;= ($I$7+$I$8)), PMT('Amort. Sched.-BASE'!$E$8/12, 'Amort. Sched.-BASE'!$I$7, 'Amort. Sched.-BASE'!$E$7), 0)</f>
        <v>-1736.5864935892569</v>
      </c>
      <c r="E163" s="5">
        <f>IF(AND(C163&gt;='Amort. Sched.-BASE'!$I$8, C163&lt;= ($I$7+$I$8)), (IPMT($E$8/12, (C163-$I$8), $I$7, $E$7)), 0)</f>
        <v>-1091.3352183071763</v>
      </c>
      <c r="F163" s="23">
        <f>IF(AND(C163&gt;='Amort. Sched.-BASE'!$I$8, C163&lt;= ($I$7+$I$8)), (PPMT($E$8/12, (C163-$I$8), $I$7, $E$7)), 0)</f>
        <v>-645.25127528208077</v>
      </c>
      <c r="G163" s="5">
        <f>IF(MortgageAmortBASE[[#This Row],[Month]]=I$8,E$7,0)</f>
        <v>0</v>
      </c>
      <c r="H163" s="13">
        <f>IF(AND(C163&gt;='Amort. Sched.-BASE'!$I$8, C163&lt;= ($I$7+$I$8)), H162+F163, 0)</f>
        <v>163055.03147079432</v>
      </c>
      <c r="I163" s="24">
        <f>IF(AND(C163&gt;='Amort. Sched.-BASE'!$I$8, C163&lt;= ($I$7+$I$8)), E163/D163, " ")</f>
        <v>0.62843700693050675</v>
      </c>
      <c r="J163" s="25">
        <f>IF(AND(C163&gt;='Amort. Sched.-BASE'!$I$8, C163&lt;= ($I$7+$I$8)), F163/D163, " ")</f>
        <v>0.37156299306949331</v>
      </c>
      <c r="L163" s="20">
        <f t="shared" si="34"/>
        <v>152</v>
      </c>
      <c r="M163" s="5">
        <f>IF(AND(L163&gt;='Amort. Sched.-BASE'!$R$8, L163&lt;= ($R$7+$R$8)), PMT('Amort. Sched.-BASE'!$N$8/12, 'Amort. Sched.-BASE'!$R$7, 'Amort. Sched.-BASE'!$N$7), 0)</f>
        <v>0</v>
      </c>
      <c r="N163" s="5">
        <f>IF(AND(L163&gt;='Amort. Sched.-BASE'!$R$8, L163&lt;= ($R$7+$R$8)), (IPMT($N$8/12, (L163-$R$8), $R$7, $N$7)), 0)</f>
        <v>0</v>
      </c>
      <c r="O163" s="5">
        <f>IF(AND(L163&gt;='Amort. Sched.-BASE'!$R$8, L163&lt;= ($R$7+$R$8)), (PPMT($N$8/12, (L163-$R$8), $R$7, $N$7)), 0)</f>
        <v>0</v>
      </c>
      <c r="P163" s="5">
        <f>IF(CreditAmort1BASE[[#This Row],[Month]]=R$8,N$7,0)</f>
        <v>0</v>
      </c>
      <c r="Q163" s="13">
        <f>IF(AND(L163&gt;='Amort. Sched.-BASE'!$R$8, L163&lt;= ($R$7+$R$8)), Q162+O163, 0)</f>
        <v>0</v>
      </c>
      <c r="R163" s="6" t="str">
        <f>IF(AND(L163&gt;='Amort. Sched.-BASE'!$R$8, L163&lt;= ($R$7+$R$8)), N163/M163, " ")</f>
        <v xml:space="preserve"> </v>
      </c>
      <c r="S163" s="21" t="str">
        <f>IF(AND(L163&gt;='Amort. Sched.-BASE'!$R$8, L163&lt;= ($R$7+$R$8)), O163/M163, " ")</f>
        <v xml:space="preserve"> </v>
      </c>
      <c r="U163" s="22">
        <f t="shared" si="35"/>
        <v>152</v>
      </c>
      <c r="V163" s="23">
        <f>IF(AND(U163&gt;='Amort. Sched.-BASE'!$AA$8, U163&lt;= ($AA$7+$AA$8)), PMT('Amort. Sched.-BASE'!$W$8/12, 'Amort. Sched.-BASE'!$AA$7, 'Amort. Sched.-BASE'!$W$7), 0)</f>
        <v>0</v>
      </c>
      <c r="W163" s="5">
        <f>IF(AND(U163&gt;='Amort. Sched.-BASE'!$AA$8, U163&lt;= ($AA$7+$AA$8)), (IPMT($W$8/12, (U163-$AA$8), $AA$7, $W$7)), 0)</f>
        <v>0</v>
      </c>
      <c r="X163" s="23">
        <f>IF(AND(U163&gt;='Amort. Sched.-BASE'!$AA$8, U163&lt;= ($AA$7+$AA$8)), (PPMT($W$8/12, (U163-$AA$8), $AA$7, $W$7)), 0)</f>
        <v>0</v>
      </c>
      <c r="Y163" s="5">
        <f>IF(CreditAmort2BASE[[#This Row],[Month]]=AA$8,W$7,0)</f>
        <v>0</v>
      </c>
      <c r="Z163" s="13">
        <f>IF(AND(U163&gt;='Amort. Sched.-BASE'!$AA$8, U163&lt;= ($AA$7+$AA$8)), Z162+X163, 0)</f>
        <v>0</v>
      </c>
      <c r="AA163" s="24" t="str">
        <f>IF(AND(U163&gt;='Amort. Sched.-BASE'!$AA$8, U163&lt;= ($AA$7+$AA$8)), W163/V163, " ")</f>
        <v xml:space="preserve"> </v>
      </c>
      <c r="AB163" s="25" t="str">
        <f>IF(AND(U163&gt;='Amort. Sched.-BASE'!$AA$8, U163&lt;= ($AA$7+$AA$8)), X163/V163, " ")</f>
        <v xml:space="preserve"> </v>
      </c>
      <c r="AD163" s="20">
        <f t="shared" si="36"/>
        <v>152</v>
      </c>
      <c r="AE163" s="5">
        <f t="shared" si="37"/>
        <v>0</v>
      </c>
      <c r="AF163" s="5">
        <f t="shared" si="38"/>
        <v>0</v>
      </c>
      <c r="AG163" s="5">
        <f t="shared" si="39"/>
        <v>0</v>
      </c>
      <c r="AH163" s="5">
        <f>IF(CreditAmort3BASE[[#This Row],[Month]]=AJ$8,AF$7,0)</f>
        <v>0</v>
      </c>
      <c r="AI163" s="13">
        <f t="shared" si="40"/>
        <v>0</v>
      </c>
      <c r="AJ163" s="6" t="str">
        <f t="shared" si="41"/>
        <v xml:space="preserve"> </v>
      </c>
      <c r="AK163" s="21" t="str">
        <f t="shared" si="42"/>
        <v xml:space="preserve"> </v>
      </c>
      <c r="AM163" s="20">
        <f t="shared" si="43"/>
        <v>152</v>
      </c>
      <c r="AN163" s="5">
        <f t="shared" si="44"/>
        <v>0</v>
      </c>
      <c r="AO163" s="5">
        <f t="shared" si="45"/>
        <v>0</v>
      </c>
      <c r="AP163" s="5">
        <f t="shared" si="46"/>
        <v>0</v>
      </c>
      <c r="AQ163" s="5">
        <f>IF(CreditAmort4BASE[[#This Row],[Month]]=AS$8,AO$7,0)</f>
        <v>0</v>
      </c>
      <c r="AR163" s="13">
        <f t="shared" si="47"/>
        <v>0</v>
      </c>
      <c r="AS163" s="6" t="str">
        <f t="shared" si="48"/>
        <v xml:space="preserve"> </v>
      </c>
      <c r="AT163" s="21" t="str">
        <f t="shared" si="49"/>
        <v xml:space="preserve"> </v>
      </c>
    </row>
    <row r="164" spans="3:46">
      <c r="C164" s="22">
        <f t="shared" si="17"/>
        <v>153</v>
      </c>
      <c r="D164" s="23">
        <f>IF(AND(C164&gt;='Amort. Sched.-BASE'!$I$8, C164&lt;= ($I$7+$I$8)), PMT('Amort. Sched.-BASE'!$E$8/12, 'Amort. Sched.-BASE'!$I$7, 'Amort. Sched.-BASE'!$E$7), 0)</f>
        <v>-1736.5864935892569</v>
      </c>
      <c r="E164" s="5">
        <f>IF(AND(C164&gt;='Amort. Sched.-BASE'!$I$8, C164&lt;= ($I$7+$I$8)), (IPMT($E$8/12, (C164-$I$8), $I$7, $E$7)), 0)</f>
        <v>-1087.0335431386291</v>
      </c>
      <c r="F164" s="23">
        <f>IF(AND(C164&gt;='Amort. Sched.-BASE'!$I$8, C164&lt;= ($I$7+$I$8)), (PPMT($E$8/12, (C164-$I$8), $I$7, $E$7)), 0)</f>
        <v>-649.55295045062792</v>
      </c>
      <c r="G164" s="5">
        <f>IF(MortgageAmortBASE[[#This Row],[Month]]=I$8,E$7,0)</f>
        <v>0</v>
      </c>
      <c r="H164" s="13">
        <f>IF(AND(C164&gt;='Amort. Sched.-BASE'!$I$8, C164&lt;= ($I$7+$I$8)), H163+F164, 0)</f>
        <v>162405.47852034369</v>
      </c>
      <c r="I164" s="24">
        <f>IF(AND(C164&gt;='Amort. Sched.-BASE'!$I$8, C164&lt;= ($I$7+$I$8)), E164/D164, " ")</f>
        <v>0.62595992031004344</v>
      </c>
      <c r="J164" s="25">
        <f>IF(AND(C164&gt;='Amort. Sched.-BASE'!$I$8, C164&lt;= ($I$7+$I$8)), F164/D164, " ")</f>
        <v>0.37404007968995656</v>
      </c>
      <c r="L164" s="20">
        <f t="shared" si="34"/>
        <v>153</v>
      </c>
      <c r="M164" s="5">
        <f>IF(AND(L164&gt;='Amort. Sched.-BASE'!$R$8, L164&lt;= ($R$7+$R$8)), PMT('Amort. Sched.-BASE'!$N$8/12, 'Amort. Sched.-BASE'!$R$7, 'Amort. Sched.-BASE'!$N$7), 0)</f>
        <v>0</v>
      </c>
      <c r="N164" s="5">
        <f>IF(AND(L164&gt;='Amort. Sched.-BASE'!$R$8, L164&lt;= ($R$7+$R$8)), (IPMT($N$8/12, (L164-$R$8), $R$7, $N$7)), 0)</f>
        <v>0</v>
      </c>
      <c r="O164" s="5">
        <f>IF(AND(L164&gt;='Amort. Sched.-BASE'!$R$8, L164&lt;= ($R$7+$R$8)), (PPMT($N$8/12, (L164-$R$8), $R$7, $N$7)), 0)</f>
        <v>0</v>
      </c>
      <c r="P164" s="5">
        <f>IF(CreditAmort1BASE[[#This Row],[Month]]=R$8,N$7,0)</f>
        <v>0</v>
      </c>
      <c r="Q164" s="13">
        <f>IF(AND(L164&gt;='Amort. Sched.-BASE'!$R$8, L164&lt;= ($R$7+$R$8)), Q163+O164, 0)</f>
        <v>0</v>
      </c>
      <c r="R164" s="6" t="str">
        <f>IF(AND(L164&gt;='Amort. Sched.-BASE'!$R$8, L164&lt;= ($R$7+$R$8)), N164/M164, " ")</f>
        <v xml:space="preserve"> </v>
      </c>
      <c r="S164" s="21" t="str">
        <f>IF(AND(L164&gt;='Amort. Sched.-BASE'!$R$8, L164&lt;= ($R$7+$R$8)), O164/M164, " ")</f>
        <v xml:space="preserve"> </v>
      </c>
      <c r="U164" s="22">
        <f t="shared" si="35"/>
        <v>153</v>
      </c>
      <c r="V164" s="23">
        <f>IF(AND(U164&gt;='Amort. Sched.-BASE'!$AA$8, U164&lt;= ($AA$7+$AA$8)), PMT('Amort. Sched.-BASE'!$W$8/12, 'Amort. Sched.-BASE'!$AA$7, 'Amort. Sched.-BASE'!$W$7), 0)</f>
        <v>0</v>
      </c>
      <c r="W164" s="5">
        <f>IF(AND(U164&gt;='Amort. Sched.-BASE'!$AA$8, U164&lt;= ($AA$7+$AA$8)), (IPMT($W$8/12, (U164-$AA$8), $AA$7, $W$7)), 0)</f>
        <v>0</v>
      </c>
      <c r="X164" s="23">
        <f>IF(AND(U164&gt;='Amort. Sched.-BASE'!$AA$8, U164&lt;= ($AA$7+$AA$8)), (PPMT($W$8/12, (U164-$AA$8), $AA$7, $W$7)), 0)</f>
        <v>0</v>
      </c>
      <c r="Y164" s="5">
        <f>IF(CreditAmort2BASE[[#This Row],[Month]]=AA$8,W$7,0)</f>
        <v>0</v>
      </c>
      <c r="Z164" s="13">
        <f>IF(AND(U164&gt;='Amort. Sched.-BASE'!$AA$8, U164&lt;= ($AA$7+$AA$8)), Z163+X164, 0)</f>
        <v>0</v>
      </c>
      <c r="AA164" s="24" t="str">
        <f>IF(AND(U164&gt;='Amort. Sched.-BASE'!$AA$8, U164&lt;= ($AA$7+$AA$8)), W164/V164, " ")</f>
        <v xml:space="preserve"> </v>
      </c>
      <c r="AB164" s="25" t="str">
        <f>IF(AND(U164&gt;='Amort. Sched.-BASE'!$AA$8, U164&lt;= ($AA$7+$AA$8)), X164/V164, " ")</f>
        <v xml:space="preserve"> </v>
      </c>
      <c r="AD164" s="20">
        <f t="shared" si="36"/>
        <v>153</v>
      </c>
      <c r="AE164" s="5">
        <f t="shared" si="37"/>
        <v>0</v>
      </c>
      <c r="AF164" s="5">
        <f t="shared" si="38"/>
        <v>0</v>
      </c>
      <c r="AG164" s="5">
        <f t="shared" si="39"/>
        <v>0</v>
      </c>
      <c r="AH164" s="5">
        <f>IF(CreditAmort3BASE[[#This Row],[Month]]=AJ$8,AF$7,0)</f>
        <v>0</v>
      </c>
      <c r="AI164" s="13">
        <f t="shared" si="40"/>
        <v>0</v>
      </c>
      <c r="AJ164" s="6" t="str">
        <f t="shared" si="41"/>
        <v xml:space="preserve"> </v>
      </c>
      <c r="AK164" s="21" t="str">
        <f t="shared" si="42"/>
        <v xml:space="preserve"> </v>
      </c>
      <c r="AM164" s="20">
        <f t="shared" si="43"/>
        <v>153</v>
      </c>
      <c r="AN164" s="5">
        <f t="shared" si="44"/>
        <v>0</v>
      </c>
      <c r="AO164" s="5">
        <f t="shared" si="45"/>
        <v>0</v>
      </c>
      <c r="AP164" s="5">
        <f t="shared" si="46"/>
        <v>0</v>
      </c>
      <c r="AQ164" s="5">
        <f>IF(CreditAmort4BASE[[#This Row],[Month]]=AS$8,AO$7,0)</f>
        <v>0</v>
      </c>
      <c r="AR164" s="13">
        <f t="shared" si="47"/>
        <v>0</v>
      </c>
      <c r="AS164" s="6" t="str">
        <f t="shared" si="48"/>
        <v xml:space="preserve"> </v>
      </c>
      <c r="AT164" s="21" t="str">
        <f t="shared" si="49"/>
        <v xml:space="preserve"> </v>
      </c>
    </row>
    <row r="165" spans="3:46">
      <c r="C165" s="22">
        <f t="shared" si="17"/>
        <v>154</v>
      </c>
      <c r="D165" s="23">
        <f>IF(AND(C165&gt;='Amort. Sched.-BASE'!$I$8, C165&lt;= ($I$7+$I$8)), PMT('Amort. Sched.-BASE'!$E$8/12, 'Amort. Sched.-BASE'!$I$7, 'Amort. Sched.-BASE'!$E$7), 0)</f>
        <v>-1736.5864935892569</v>
      </c>
      <c r="E165" s="5">
        <f>IF(AND(C165&gt;='Amort. Sched.-BASE'!$I$8, C165&lt;= ($I$7+$I$8)), (IPMT($E$8/12, (C165-$I$8), $I$7, $E$7)), 0)</f>
        <v>-1082.7031901356249</v>
      </c>
      <c r="F165" s="23">
        <f>IF(AND(C165&gt;='Amort. Sched.-BASE'!$I$8, C165&lt;= ($I$7+$I$8)), (PPMT($E$8/12, (C165-$I$8), $I$7, $E$7)), 0)</f>
        <v>-653.88330345363215</v>
      </c>
      <c r="G165" s="5">
        <f>IF(MortgageAmortBASE[[#This Row],[Month]]=I$8,E$7,0)</f>
        <v>0</v>
      </c>
      <c r="H165" s="13">
        <f>IF(AND(C165&gt;='Amort. Sched.-BASE'!$I$8, C165&lt;= ($I$7+$I$8)), H164+F165, 0)</f>
        <v>161751.59521689007</v>
      </c>
      <c r="I165" s="24">
        <f>IF(AND(C165&gt;='Amort. Sched.-BASE'!$I$8, C165&lt;= ($I$7+$I$8)), E165/D165, " ")</f>
        <v>0.62346631977877709</v>
      </c>
      <c r="J165" s="25">
        <f>IF(AND(C165&gt;='Amort. Sched.-BASE'!$I$8, C165&lt;= ($I$7+$I$8)), F165/D165, " ")</f>
        <v>0.37653368022122297</v>
      </c>
      <c r="L165" s="20">
        <f t="shared" si="34"/>
        <v>154</v>
      </c>
      <c r="M165" s="5">
        <f>IF(AND(L165&gt;='Amort. Sched.-BASE'!$R$8, L165&lt;= ($R$7+$R$8)), PMT('Amort. Sched.-BASE'!$N$8/12, 'Amort. Sched.-BASE'!$R$7, 'Amort. Sched.-BASE'!$N$7), 0)</f>
        <v>0</v>
      </c>
      <c r="N165" s="5">
        <f>IF(AND(L165&gt;='Amort. Sched.-BASE'!$R$8, L165&lt;= ($R$7+$R$8)), (IPMT($N$8/12, (L165-$R$8), $R$7, $N$7)), 0)</f>
        <v>0</v>
      </c>
      <c r="O165" s="5">
        <f>IF(AND(L165&gt;='Amort. Sched.-BASE'!$R$8, L165&lt;= ($R$7+$R$8)), (PPMT($N$8/12, (L165-$R$8), $R$7, $N$7)), 0)</f>
        <v>0</v>
      </c>
      <c r="P165" s="5">
        <f>IF(CreditAmort1BASE[[#This Row],[Month]]=R$8,N$7,0)</f>
        <v>0</v>
      </c>
      <c r="Q165" s="13">
        <f>IF(AND(L165&gt;='Amort. Sched.-BASE'!$R$8, L165&lt;= ($R$7+$R$8)), Q164+O165, 0)</f>
        <v>0</v>
      </c>
      <c r="R165" s="6" t="str">
        <f>IF(AND(L165&gt;='Amort. Sched.-BASE'!$R$8, L165&lt;= ($R$7+$R$8)), N165/M165, " ")</f>
        <v xml:space="preserve"> </v>
      </c>
      <c r="S165" s="21" t="str">
        <f>IF(AND(L165&gt;='Amort. Sched.-BASE'!$R$8, L165&lt;= ($R$7+$R$8)), O165/M165, " ")</f>
        <v xml:space="preserve"> </v>
      </c>
      <c r="U165" s="22">
        <f t="shared" si="35"/>
        <v>154</v>
      </c>
      <c r="V165" s="23">
        <f>IF(AND(U165&gt;='Amort. Sched.-BASE'!$AA$8, U165&lt;= ($AA$7+$AA$8)), PMT('Amort. Sched.-BASE'!$W$8/12, 'Amort. Sched.-BASE'!$AA$7, 'Amort. Sched.-BASE'!$W$7), 0)</f>
        <v>0</v>
      </c>
      <c r="W165" s="5">
        <f>IF(AND(U165&gt;='Amort. Sched.-BASE'!$AA$8, U165&lt;= ($AA$7+$AA$8)), (IPMT($W$8/12, (U165-$AA$8), $AA$7, $W$7)), 0)</f>
        <v>0</v>
      </c>
      <c r="X165" s="23">
        <f>IF(AND(U165&gt;='Amort. Sched.-BASE'!$AA$8, U165&lt;= ($AA$7+$AA$8)), (PPMT($W$8/12, (U165-$AA$8), $AA$7, $W$7)), 0)</f>
        <v>0</v>
      </c>
      <c r="Y165" s="5">
        <f>IF(CreditAmort2BASE[[#This Row],[Month]]=AA$8,W$7,0)</f>
        <v>0</v>
      </c>
      <c r="Z165" s="13">
        <f>IF(AND(U165&gt;='Amort. Sched.-BASE'!$AA$8, U165&lt;= ($AA$7+$AA$8)), Z164+X165, 0)</f>
        <v>0</v>
      </c>
      <c r="AA165" s="24" t="str">
        <f>IF(AND(U165&gt;='Amort. Sched.-BASE'!$AA$8, U165&lt;= ($AA$7+$AA$8)), W165/V165, " ")</f>
        <v xml:space="preserve"> </v>
      </c>
      <c r="AB165" s="25" t="str">
        <f>IF(AND(U165&gt;='Amort. Sched.-BASE'!$AA$8, U165&lt;= ($AA$7+$AA$8)), X165/V165, " ")</f>
        <v xml:space="preserve"> </v>
      </c>
      <c r="AD165" s="20">
        <f t="shared" si="36"/>
        <v>154</v>
      </c>
      <c r="AE165" s="5">
        <f t="shared" si="37"/>
        <v>0</v>
      </c>
      <c r="AF165" s="5">
        <f t="shared" si="38"/>
        <v>0</v>
      </c>
      <c r="AG165" s="5">
        <f t="shared" si="39"/>
        <v>0</v>
      </c>
      <c r="AH165" s="5">
        <f>IF(CreditAmort3BASE[[#This Row],[Month]]=AJ$8,AF$7,0)</f>
        <v>0</v>
      </c>
      <c r="AI165" s="13">
        <f t="shared" si="40"/>
        <v>0</v>
      </c>
      <c r="AJ165" s="6" t="str">
        <f t="shared" si="41"/>
        <v xml:space="preserve"> </v>
      </c>
      <c r="AK165" s="21" t="str">
        <f t="shared" si="42"/>
        <v xml:space="preserve"> </v>
      </c>
      <c r="AM165" s="20">
        <f t="shared" si="43"/>
        <v>154</v>
      </c>
      <c r="AN165" s="5">
        <f t="shared" si="44"/>
        <v>0</v>
      </c>
      <c r="AO165" s="5">
        <f t="shared" si="45"/>
        <v>0</v>
      </c>
      <c r="AP165" s="5">
        <f t="shared" si="46"/>
        <v>0</v>
      </c>
      <c r="AQ165" s="5">
        <f>IF(CreditAmort4BASE[[#This Row],[Month]]=AS$8,AO$7,0)</f>
        <v>0</v>
      </c>
      <c r="AR165" s="13">
        <f t="shared" si="47"/>
        <v>0</v>
      </c>
      <c r="AS165" s="6" t="str">
        <f t="shared" si="48"/>
        <v xml:space="preserve"> </v>
      </c>
      <c r="AT165" s="21" t="str">
        <f t="shared" si="49"/>
        <v xml:space="preserve"> </v>
      </c>
    </row>
    <row r="166" spans="3:46">
      <c r="C166" s="22">
        <f t="shared" si="17"/>
        <v>155</v>
      </c>
      <c r="D166" s="23">
        <f>IF(AND(C166&gt;='Amort. Sched.-BASE'!$I$8, C166&lt;= ($I$7+$I$8)), PMT('Amort. Sched.-BASE'!$E$8/12, 'Amort. Sched.-BASE'!$I$7, 'Amort. Sched.-BASE'!$E$7), 0)</f>
        <v>-1736.5864935892569</v>
      </c>
      <c r="E166" s="5">
        <f>IF(AND(C166&gt;='Amort. Sched.-BASE'!$I$8, C166&lt;= ($I$7+$I$8)), (IPMT($E$8/12, (C166-$I$8), $I$7, $E$7)), 0)</f>
        <v>-1078.3439681126006</v>
      </c>
      <c r="F166" s="23">
        <f>IF(AND(C166&gt;='Amort. Sched.-BASE'!$I$8, C166&lt;= ($I$7+$I$8)), (PPMT($E$8/12, (C166-$I$8), $I$7, $E$7)), 0)</f>
        <v>-658.24252547665628</v>
      </c>
      <c r="G166" s="5">
        <f>IF(MortgageAmortBASE[[#This Row],[Month]]=I$8,E$7,0)</f>
        <v>0</v>
      </c>
      <c r="H166" s="13">
        <f>IF(AND(C166&gt;='Amort. Sched.-BASE'!$I$8, C166&lt;= ($I$7+$I$8)), H165+F166, 0)</f>
        <v>161093.35269141343</v>
      </c>
      <c r="I166" s="24">
        <f>IF(AND(C166&gt;='Amort. Sched.-BASE'!$I$8, C166&lt;= ($I$7+$I$8)), E166/D166, " ")</f>
        <v>0.62095609524396889</v>
      </c>
      <c r="J166" s="25">
        <f>IF(AND(C166&gt;='Amort. Sched.-BASE'!$I$8, C166&lt;= ($I$7+$I$8)), F166/D166, " ")</f>
        <v>0.37904390475603111</v>
      </c>
      <c r="L166" s="20">
        <f t="shared" si="34"/>
        <v>155</v>
      </c>
      <c r="M166" s="5">
        <f>IF(AND(L166&gt;='Amort. Sched.-BASE'!$R$8, L166&lt;= ($R$7+$R$8)), PMT('Amort. Sched.-BASE'!$N$8/12, 'Amort. Sched.-BASE'!$R$7, 'Amort. Sched.-BASE'!$N$7), 0)</f>
        <v>0</v>
      </c>
      <c r="N166" s="5">
        <f>IF(AND(L166&gt;='Amort. Sched.-BASE'!$R$8, L166&lt;= ($R$7+$R$8)), (IPMT($N$8/12, (L166-$R$8), $R$7, $N$7)), 0)</f>
        <v>0</v>
      </c>
      <c r="O166" s="5">
        <f>IF(AND(L166&gt;='Amort. Sched.-BASE'!$R$8, L166&lt;= ($R$7+$R$8)), (PPMT($N$8/12, (L166-$R$8), $R$7, $N$7)), 0)</f>
        <v>0</v>
      </c>
      <c r="P166" s="5">
        <f>IF(CreditAmort1BASE[[#This Row],[Month]]=R$8,N$7,0)</f>
        <v>0</v>
      </c>
      <c r="Q166" s="13">
        <f>IF(AND(L166&gt;='Amort. Sched.-BASE'!$R$8, L166&lt;= ($R$7+$R$8)), Q165+O166, 0)</f>
        <v>0</v>
      </c>
      <c r="R166" s="6" t="str">
        <f>IF(AND(L166&gt;='Amort. Sched.-BASE'!$R$8, L166&lt;= ($R$7+$R$8)), N166/M166, " ")</f>
        <v xml:space="preserve"> </v>
      </c>
      <c r="S166" s="21" t="str">
        <f>IF(AND(L166&gt;='Amort. Sched.-BASE'!$R$8, L166&lt;= ($R$7+$R$8)), O166/M166, " ")</f>
        <v xml:space="preserve"> </v>
      </c>
      <c r="U166" s="22">
        <f t="shared" si="35"/>
        <v>155</v>
      </c>
      <c r="V166" s="23">
        <f>IF(AND(U166&gt;='Amort. Sched.-BASE'!$AA$8, U166&lt;= ($AA$7+$AA$8)), PMT('Amort. Sched.-BASE'!$W$8/12, 'Amort. Sched.-BASE'!$AA$7, 'Amort. Sched.-BASE'!$W$7), 0)</f>
        <v>0</v>
      </c>
      <c r="W166" s="5">
        <f>IF(AND(U166&gt;='Amort. Sched.-BASE'!$AA$8, U166&lt;= ($AA$7+$AA$8)), (IPMT($W$8/12, (U166-$AA$8), $AA$7, $W$7)), 0)</f>
        <v>0</v>
      </c>
      <c r="X166" s="23">
        <f>IF(AND(U166&gt;='Amort. Sched.-BASE'!$AA$8, U166&lt;= ($AA$7+$AA$8)), (PPMT($W$8/12, (U166-$AA$8), $AA$7, $W$7)), 0)</f>
        <v>0</v>
      </c>
      <c r="Y166" s="5">
        <f>IF(CreditAmort2BASE[[#This Row],[Month]]=AA$8,W$7,0)</f>
        <v>0</v>
      </c>
      <c r="Z166" s="13">
        <f>IF(AND(U166&gt;='Amort. Sched.-BASE'!$AA$8, U166&lt;= ($AA$7+$AA$8)), Z165+X166, 0)</f>
        <v>0</v>
      </c>
      <c r="AA166" s="24" t="str">
        <f>IF(AND(U166&gt;='Amort. Sched.-BASE'!$AA$8, U166&lt;= ($AA$7+$AA$8)), W166/V166, " ")</f>
        <v xml:space="preserve"> </v>
      </c>
      <c r="AB166" s="25" t="str">
        <f>IF(AND(U166&gt;='Amort. Sched.-BASE'!$AA$8, U166&lt;= ($AA$7+$AA$8)), X166/V166, " ")</f>
        <v xml:space="preserve"> </v>
      </c>
      <c r="AD166" s="20">
        <f t="shared" si="36"/>
        <v>155</v>
      </c>
      <c r="AE166" s="5">
        <f t="shared" si="37"/>
        <v>0</v>
      </c>
      <c r="AF166" s="5">
        <f t="shared" si="38"/>
        <v>0</v>
      </c>
      <c r="AG166" s="5">
        <f t="shared" si="39"/>
        <v>0</v>
      </c>
      <c r="AH166" s="5">
        <f>IF(CreditAmort3BASE[[#This Row],[Month]]=AJ$8,AF$7,0)</f>
        <v>0</v>
      </c>
      <c r="AI166" s="13">
        <f t="shared" si="40"/>
        <v>0</v>
      </c>
      <c r="AJ166" s="6" t="str">
        <f t="shared" si="41"/>
        <v xml:space="preserve"> </v>
      </c>
      <c r="AK166" s="21" t="str">
        <f t="shared" si="42"/>
        <v xml:space="preserve"> </v>
      </c>
      <c r="AM166" s="20">
        <f t="shared" si="43"/>
        <v>155</v>
      </c>
      <c r="AN166" s="5">
        <f t="shared" si="44"/>
        <v>0</v>
      </c>
      <c r="AO166" s="5">
        <f t="shared" si="45"/>
        <v>0</v>
      </c>
      <c r="AP166" s="5">
        <f t="shared" si="46"/>
        <v>0</v>
      </c>
      <c r="AQ166" s="5">
        <f>IF(CreditAmort4BASE[[#This Row],[Month]]=AS$8,AO$7,0)</f>
        <v>0</v>
      </c>
      <c r="AR166" s="13">
        <f t="shared" si="47"/>
        <v>0</v>
      </c>
      <c r="AS166" s="6" t="str">
        <f t="shared" si="48"/>
        <v xml:space="preserve"> </v>
      </c>
      <c r="AT166" s="21" t="str">
        <f t="shared" si="49"/>
        <v xml:space="preserve"> </v>
      </c>
    </row>
    <row r="167" spans="3:46">
      <c r="C167" s="22">
        <f t="shared" si="17"/>
        <v>156</v>
      </c>
      <c r="D167" s="23">
        <f>IF(AND(C167&gt;='Amort. Sched.-BASE'!$I$8, C167&lt;= ($I$7+$I$8)), PMT('Amort. Sched.-BASE'!$E$8/12, 'Amort. Sched.-BASE'!$I$7, 'Amort. Sched.-BASE'!$E$7), 0)</f>
        <v>-1736.5864935892569</v>
      </c>
      <c r="E167" s="5">
        <f>IF(AND(C167&gt;='Amort. Sched.-BASE'!$I$8, C167&lt;= ($I$7+$I$8)), (IPMT($E$8/12, (C167-$I$8), $I$7, $E$7)), 0)</f>
        <v>-1073.9556846094231</v>
      </c>
      <c r="F167" s="23">
        <f>IF(AND(C167&gt;='Amort. Sched.-BASE'!$I$8, C167&lt;= ($I$7+$I$8)), (PPMT($E$8/12, (C167-$I$8), $I$7, $E$7)), 0)</f>
        <v>-662.63080897983423</v>
      </c>
      <c r="G167" s="5">
        <f>IF(MortgageAmortBASE[[#This Row],[Month]]=I$8,E$7,0)</f>
        <v>0</v>
      </c>
      <c r="H167" s="13">
        <f>IF(AND(C167&gt;='Amort. Sched.-BASE'!$I$8, C167&lt;= ($I$7+$I$8)), H166+F167, 0)</f>
        <v>160430.7218824336</v>
      </c>
      <c r="I167" s="24">
        <f>IF(AND(C167&gt;='Amort. Sched.-BASE'!$I$8, C167&lt;= ($I$7+$I$8)), E167/D167, " ")</f>
        <v>0.61842913587892878</v>
      </c>
      <c r="J167" s="25">
        <f>IF(AND(C167&gt;='Amort. Sched.-BASE'!$I$8, C167&lt;= ($I$7+$I$8)), F167/D167, " ")</f>
        <v>0.38157086412107144</v>
      </c>
      <c r="L167" s="20">
        <f t="shared" si="34"/>
        <v>156</v>
      </c>
      <c r="M167" s="5">
        <f>IF(AND(L167&gt;='Amort. Sched.-BASE'!$R$8, L167&lt;= ($R$7+$R$8)), PMT('Amort. Sched.-BASE'!$N$8/12, 'Amort. Sched.-BASE'!$R$7, 'Amort. Sched.-BASE'!$N$7), 0)</f>
        <v>0</v>
      </c>
      <c r="N167" s="5">
        <f>IF(AND(L167&gt;='Amort. Sched.-BASE'!$R$8, L167&lt;= ($R$7+$R$8)), (IPMT($N$8/12, (L167-$R$8), $R$7, $N$7)), 0)</f>
        <v>0</v>
      </c>
      <c r="O167" s="5">
        <f>IF(AND(L167&gt;='Amort. Sched.-BASE'!$R$8, L167&lt;= ($R$7+$R$8)), (PPMT($N$8/12, (L167-$R$8), $R$7, $N$7)), 0)</f>
        <v>0</v>
      </c>
      <c r="P167" s="5">
        <f>IF(CreditAmort1BASE[[#This Row],[Month]]=R$8,N$7,0)</f>
        <v>0</v>
      </c>
      <c r="Q167" s="13">
        <f>IF(AND(L167&gt;='Amort. Sched.-BASE'!$R$8, L167&lt;= ($R$7+$R$8)), Q166+O167, 0)</f>
        <v>0</v>
      </c>
      <c r="R167" s="6" t="str">
        <f>IF(AND(L167&gt;='Amort. Sched.-BASE'!$R$8, L167&lt;= ($R$7+$R$8)), N167/M167, " ")</f>
        <v xml:space="preserve"> </v>
      </c>
      <c r="S167" s="21" t="str">
        <f>IF(AND(L167&gt;='Amort. Sched.-BASE'!$R$8, L167&lt;= ($R$7+$R$8)), O167/M167, " ")</f>
        <v xml:space="preserve"> </v>
      </c>
      <c r="U167" s="22">
        <f t="shared" si="35"/>
        <v>156</v>
      </c>
      <c r="V167" s="23">
        <f>IF(AND(U167&gt;='Amort. Sched.-BASE'!$AA$8, U167&lt;= ($AA$7+$AA$8)), PMT('Amort. Sched.-BASE'!$W$8/12, 'Amort. Sched.-BASE'!$AA$7, 'Amort. Sched.-BASE'!$W$7), 0)</f>
        <v>0</v>
      </c>
      <c r="W167" s="5">
        <f>IF(AND(U167&gt;='Amort. Sched.-BASE'!$AA$8, U167&lt;= ($AA$7+$AA$8)), (IPMT($W$8/12, (U167-$AA$8), $AA$7, $W$7)), 0)</f>
        <v>0</v>
      </c>
      <c r="X167" s="23">
        <f>IF(AND(U167&gt;='Amort. Sched.-BASE'!$AA$8, U167&lt;= ($AA$7+$AA$8)), (PPMT($W$8/12, (U167-$AA$8), $AA$7, $W$7)), 0)</f>
        <v>0</v>
      </c>
      <c r="Y167" s="5">
        <f>IF(CreditAmort2BASE[[#This Row],[Month]]=AA$8,W$7,0)</f>
        <v>0</v>
      </c>
      <c r="Z167" s="13">
        <f>IF(AND(U167&gt;='Amort. Sched.-BASE'!$AA$8, U167&lt;= ($AA$7+$AA$8)), Z166+X167, 0)</f>
        <v>0</v>
      </c>
      <c r="AA167" s="24" t="str">
        <f>IF(AND(U167&gt;='Amort. Sched.-BASE'!$AA$8, U167&lt;= ($AA$7+$AA$8)), W167/V167, " ")</f>
        <v xml:space="preserve"> </v>
      </c>
      <c r="AB167" s="25" t="str">
        <f>IF(AND(U167&gt;='Amort. Sched.-BASE'!$AA$8, U167&lt;= ($AA$7+$AA$8)), X167/V167, " ")</f>
        <v xml:space="preserve"> </v>
      </c>
      <c r="AD167" s="20">
        <f t="shared" si="36"/>
        <v>156</v>
      </c>
      <c r="AE167" s="5">
        <f t="shared" si="37"/>
        <v>0</v>
      </c>
      <c r="AF167" s="5">
        <f t="shared" si="38"/>
        <v>0</v>
      </c>
      <c r="AG167" s="5">
        <f t="shared" si="39"/>
        <v>0</v>
      </c>
      <c r="AH167" s="5">
        <f>IF(CreditAmort3BASE[[#This Row],[Month]]=AJ$8,AF$7,0)</f>
        <v>0</v>
      </c>
      <c r="AI167" s="13">
        <f t="shared" si="40"/>
        <v>0</v>
      </c>
      <c r="AJ167" s="6" t="str">
        <f t="shared" si="41"/>
        <v xml:space="preserve"> </v>
      </c>
      <c r="AK167" s="21" t="str">
        <f t="shared" si="42"/>
        <v xml:space="preserve"> </v>
      </c>
      <c r="AM167" s="20">
        <f t="shared" si="43"/>
        <v>156</v>
      </c>
      <c r="AN167" s="5">
        <f t="shared" si="44"/>
        <v>0</v>
      </c>
      <c r="AO167" s="5">
        <f t="shared" si="45"/>
        <v>0</v>
      </c>
      <c r="AP167" s="5">
        <f t="shared" si="46"/>
        <v>0</v>
      </c>
      <c r="AQ167" s="5">
        <f>IF(CreditAmort4BASE[[#This Row],[Month]]=AS$8,AO$7,0)</f>
        <v>0</v>
      </c>
      <c r="AR167" s="13">
        <f t="shared" si="47"/>
        <v>0</v>
      </c>
      <c r="AS167" s="6" t="str">
        <f t="shared" si="48"/>
        <v xml:space="preserve"> </v>
      </c>
      <c r="AT167" s="21" t="str">
        <f t="shared" si="49"/>
        <v xml:space="preserve"> </v>
      </c>
    </row>
    <row r="168" spans="3:46">
      <c r="C168" s="22">
        <f t="shared" si="17"/>
        <v>157</v>
      </c>
      <c r="D168" s="23">
        <f>IF(AND(C168&gt;='Amort. Sched.-BASE'!$I$8, C168&lt;= ($I$7+$I$8)), PMT('Amort. Sched.-BASE'!$E$8/12, 'Amort. Sched.-BASE'!$I$7, 'Amort. Sched.-BASE'!$E$7), 0)</f>
        <v>-1736.5864935892569</v>
      </c>
      <c r="E168" s="5">
        <f>IF(AND(C168&gt;='Amort. Sched.-BASE'!$I$8, C168&lt;= ($I$7+$I$8)), (IPMT($E$8/12, (C168-$I$8), $I$7, $E$7)), 0)</f>
        <v>-1069.5381458828906</v>
      </c>
      <c r="F168" s="23">
        <f>IF(AND(C168&gt;='Amort. Sched.-BASE'!$I$8, C168&lt;= ($I$7+$I$8)), (PPMT($E$8/12, (C168-$I$8), $I$7, $E$7)), 0)</f>
        <v>-667.04834770636626</v>
      </c>
      <c r="G168" s="5">
        <f>IF(MortgageAmortBASE[[#This Row],[Month]]=I$8,E$7,0)</f>
        <v>0</v>
      </c>
      <c r="H168" s="13">
        <f>IF(AND(C168&gt;='Amort. Sched.-BASE'!$I$8, C168&lt;= ($I$7+$I$8)), H167+F168, 0)</f>
        <v>159763.67353472725</v>
      </c>
      <c r="I168" s="24">
        <f>IF(AND(C168&gt;='Amort. Sched.-BASE'!$I$8, C168&lt;= ($I$7+$I$8)), E168/D168, " ")</f>
        <v>0.61588533011812152</v>
      </c>
      <c r="J168" s="25">
        <f>IF(AND(C168&gt;='Amort. Sched.-BASE'!$I$8, C168&lt;= ($I$7+$I$8)), F168/D168, " ")</f>
        <v>0.38411466988187848</v>
      </c>
      <c r="L168" s="20">
        <f t="shared" si="34"/>
        <v>157</v>
      </c>
      <c r="M168" s="5">
        <f>IF(AND(L168&gt;='Amort. Sched.-BASE'!$R$8, L168&lt;= ($R$7+$R$8)), PMT('Amort. Sched.-BASE'!$N$8/12, 'Amort. Sched.-BASE'!$R$7, 'Amort. Sched.-BASE'!$N$7), 0)</f>
        <v>0</v>
      </c>
      <c r="N168" s="5">
        <f>IF(AND(L168&gt;='Amort. Sched.-BASE'!$R$8, L168&lt;= ($R$7+$R$8)), (IPMT($N$8/12, (L168-$R$8), $R$7, $N$7)), 0)</f>
        <v>0</v>
      </c>
      <c r="O168" s="5">
        <f>IF(AND(L168&gt;='Amort. Sched.-BASE'!$R$8, L168&lt;= ($R$7+$R$8)), (PPMT($N$8/12, (L168-$R$8), $R$7, $N$7)), 0)</f>
        <v>0</v>
      </c>
      <c r="P168" s="5">
        <f>IF(CreditAmort1BASE[[#This Row],[Month]]=R$8,N$7,0)</f>
        <v>0</v>
      </c>
      <c r="Q168" s="13">
        <f>IF(AND(L168&gt;='Amort. Sched.-BASE'!$R$8, L168&lt;= ($R$7+$R$8)), Q167+O168, 0)</f>
        <v>0</v>
      </c>
      <c r="R168" s="6" t="str">
        <f>IF(AND(L168&gt;='Amort. Sched.-BASE'!$R$8, L168&lt;= ($R$7+$R$8)), N168/M168, " ")</f>
        <v xml:space="preserve"> </v>
      </c>
      <c r="S168" s="21" t="str">
        <f>IF(AND(L168&gt;='Amort. Sched.-BASE'!$R$8, L168&lt;= ($R$7+$R$8)), O168/M168, " ")</f>
        <v xml:space="preserve"> </v>
      </c>
      <c r="U168" s="22">
        <f t="shared" si="35"/>
        <v>157</v>
      </c>
      <c r="V168" s="23">
        <f>IF(AND(U168&gt;='Amort. Sched.-BASE'!$AA$8, U168&lt;= ($AA$7+$AA$8)), PMT('Amort. Sched.-BASE'!$W$8/12, 'Amort. Sched.-BASE'!$AA$7, 'Amort. Sched.-BASE'!$W$7), 0)</f>
        <v>0</v>
      </c>
      <c r="W168" s="5">
        <f>IF(AND(U168&gt;='Amort. Sched.-BASE'!$AA$8, U168&lt;= ($AA$7+$AA$8)), (IPMT($W$8/12, (U168-$AA$8), $AA$7, $W$7)), 0)</f>
        <v>0</v>
      </c>
      <c r="X168" s="23">
        <f>IF(AND(U168&gt;='Amort. Sched.-BASE'!$AA$8, U168&lt;= ($AA$7+$AA$8)), (PPMT($W$8/12, (U168-$AA$8), $AA$7, $W$7)), 0)</f>
        <v>0</v>
      </c>
      <c r="Y168" s="5">
        <f>IF(CreditAmort2BASE[[#This Row],[Month]]=AA$8,W$7,0)</f>
        <v>0</v>
      </c>
      <c r="Z168" s="13">
        <f>IF(AND(U168&gt;='Amort. Sched.-BASE'!$AA$8, U168&lt;= ($AA$7+$AA$8)), Z167+X168, 0)</f>
        <v>0</v>
      </c>
      <c r="AA168" s="24" t="str">
        <f>IF(AND(U168&gt;='Amort. Sched.-BASE'!$AA$8, U168&lt;= ($AA$7+$AA$8)), W168/V168, " ")</f>
        <v xml:space="preserve"> </v>
      </c>
      <c r="AB168" s="25" t="str">
        <f>IF(AND(U168&gt;='Amort. Sched.-BASE'!$AA$8, U168&lt;= ($AA$7+$AA$8)), X168/V168, " ")</f>
        <v xml:space="preserve"> </v>
      </c>
      <c r="AD168" s="20">
        <f t="shared" si="36"/>
        <v>157</v>
      </c>
      <c r="AE168" s="5">
        <f t="shared" si="37"/>
        <v>0</v>
      </c>
      <c r="AF168" s="5">
        <f t="shared" si="38"/>
        <v>0</v>
      </c>
      <c r="AG168" s="5">
        <f t="shared" si="39"/>
        <v>0</v>
      </c>
      <c r="AH168" s="5">
        <f>IF(CreditAmort3BASE[[#This Row],[Month]]=AJ$8,AF$7,0)</f>
        <v>0</v>
      </c>
      <c r="AI168" s="13">
        <f t="shared" si="40"/>
        <v>0</v>
      </c>
      <c r="AJ168" s="6" t="str">
        <f t="shared" si="41"/>
        <v xml:space="preserve"> </v>
      </c>
      <c r="AK168" s="21" t="str">
        <f t="shared" si="42"/>
        <v xml:space="preserve"> </v>
      </c>
      <c r="AM168" s="20">
        <f t="shared" si="43"/>
        <v>157</v>
      </c>
      <c r="AN168" s="5">
        <f t="shared" si="44"/>
        <v>0</v>
      </c>
      <c r="AO168" s="5">
        <f t="shared" si="45"/>
        <v>0</v>
      </c>
      <c r="AP168" s="5">
        <f t="shared" si="46"/>
        <v>0</v>
      </c>
      <c r="AQ168" s="5">
        <f>IF(CreditAmort4BASE[[#This Row],[Month]]=AS$8,AO$7,0)</f>
        <v>0</v>
      </c>
      <c r="AR168" s="13">
        <f t="shared" si="47"/>
        <v>0</v>
      </c>
      <c r="AS168" s="6" t="str">
        <f t="shared" si="48"/>
        <v xml:space="preserve"> </v>
      </c>
      <c r="AT168" s="21" t="str">
        <f t="shared" si="49"/>
        <v xml:space="preserve"> </v>
      </c>
    </row>
    <row r="169" spans="3:46">
      <c r="C169" s="22">
        <f t="shared" si="17"/>
        <v>158</v>
      </c>
      <c r="D169" s="23">
        <f>IF(AND(C169&gt;='Amort. Sched.-BASE'!$I$8, C169&lt;= ($I$7+$I$8)), PMT('Amort. Sched.-BASE'!$E$8/12, 'Amort. Sched.-BASE'!$I$7, 'Amort. Sched.-BASE'!$E$7), 0)</f>
        <v>-1736.5864935892569</v>
      </c>
      <c r="E169" s="5">
        <f>IF(AND(C169&gt;='Amort. Sched.-BASE'!$I$8, C169&lt;= ($I$7+$I$8)), (IPMT($E$8/12, (C169-$I$8), $I$7, $E$7)), 0)</f>
        <v>-1065.0911568981812</v>
      </c>
      <c r="F169" s="23">
        <f>IF(AND(C169&gt;='Amort. Sched.-BASE'!$I$8, C169&lt;= ($I$7+$I$8)), (PPMT($E$8/12, (C169-$I$8), $I$7, $E$7)), 0)</f>
        <v>-671.49533669107541</v>
      </c>
      <c r="G169" s="5">
        <f>IF(MortgageAmortBASE[[#This Row],[Month]]=I$8,E$7,0)</f>
        <v>0</v>
      </c>
      <c r="H169" s="13">
        <f>IF(AND(C169&gt;='Amort. Sched.-BASE'!$I$8, C169&lt;= ($I$7+$I$8)), H168+F169, 0)</f>
        <v>159092.17819803618</v>
      </c>
      <c r="I169" s="24">
        <f>IF(AND(C169&gt;='Amort. Sched.-BASE'!$I$8, C169&lt;= ($I$7+$I$8)), E169/D169, " ")</f>
        <v>0.61332456565224214</v>
      </c>
      <c r="J169" s="25">
        <f>IF(AND(C169&gt;='Amort. Sched.-BASE'!$I$8, C169&lt;= ($I$7+$I$8)), F169/D169, " ")</f>
        <v>0.3866754343477577</v>
      </c>
      <c r="L169" s="20">
        <f t="shared" si="34"/>
        <v>158</v>
      </c>
      <c r="M169" s="5">
        <f>IF(AND(L169&gt;='Amort. Sched.-BASE'!$R$8, L169&lt;= ($R$7+$R$8)), PMT('Amort. Sched.-BASE'!$N$8/12, 'Amort. Sched.-BASE'!$R$7, 'Amort. Sched.-BASE'!$N$7), 0)</f>
        <v>0</v>
      </c>
      <c r="N169" s="5">
        <f>IF(AND(L169&gt;='Amort. Sched.-BASE'!$R$8, L169&lt;= ($R$7+$R$8)), (IPMT($N$8/12, (L169-$R$8), $R$7, $N$7)), 0)</f>
        <v>0</v>
      </c>
      <c r="O169" s="5">
        <f>IF(AND(L169&gt;='Amort. Sched.-BASE'!$R$8, L169&lt;= ($R$7+$R$8)), (PPMT($N$8/12, (L169-$R$8), $R$7, $N$7)), 0)</f>
        <v>0</v>
      </c>
      <c r="P169" s="5">
        <f>IF(CreditAmort1BASE[[#This Row],[Month]]=R$8,N$7,0)</f>
        <v>0</v>
      </c>
      <c r="Q169" s="13">
        <f>IF(AND(L169&gt;='Amort. Sched.-BASE'!$R$8, L169&lt;= ($R$7+$R$8)), Q168+O169, 0)</f>
        <v>0</v>
      </c>
      <c r="R169" s="6" t="str">
        <f>IF(AND(L169&gt;='Amort. Sched.-BASE'!$R$8, L169&lt;= ($R$7+$R$8)), N169/M169, " ")</f>
        <v xml:space="preserve"> </v>
      </c>
      <c r="S169" s="21" t="str">
        <f>IF(AND(L169&gt;='Amort. Sched.-BASE'!$R$8, L169&lt;= ($R$7+$R$8)), O169/M169, " ")</f>
        <v xml:space="preserve"> </v>
      </c>
      <c r="U169" s="22">
        <f t="shared" si="35"/>
        <v>158</v>
      </c>
      <c r="V169" s="23">
        <f>IF(AND(U169&gt;='Amort. Sched.-BASE'!$AA$8, U169&lt;= ($AA$7+$AA$8)), PMT('Amort. Sched.-BASE'!$W$8/12, 'Amort. Sched.-BASE'!$AA$7, 'Amort. Sched.-BASE'!$W$7), 0)</f>
        <v>0</v>
      </c>
      <c r="W169" s="5">
        <f>IF(AND(U169&gt;='Amort. Sched.-BASE'!$AA$8, U169&lt;= ($AA$7+$AA$8)), (IPMT($W$8/12, (U169-$AA$8), $AA$7, $W$7)), 0)</f>
        <v>0</v>
      </c>
      <c r="X169" s="23">
        <f>IF(AND(U169&gt;='Amort. Sched.-BASE'!$AA$8, U169&lt;= ($AA$7+$AA$8)), (PPMT($W$8/12, (U169-$AA$8), $AA$7, $W$7)), 0)</f>
        <v>0</v>
      </c>
      <c r="Y169" s="5">
        <f>IF(CreditAmort2BASE[[#This Row],[Month]]=AA$8,W$7,0)</f>
        <v>0</v>
      </c>
      <c r="Z169" s="13">
        <f>IF(AND(U169&gt;='Amort. Sched.-BASE'!$AA$8, U169&lt;= ($AA$7+$AA$8)), Z168+X169, 0)</f>
        <v>0</v>
      </c>
      <c r="AA169" s="24" t="str">
        <f>IF(AND(U169&gt;='Amort. Sched.-BASE'!$AA$8, U169&lt;= ($AA$7+$AA$8)), W169/V169, " ")</f>
        <v xml:space="preserve"> </v>
      </c>
      <c r="AB169" s="25" t="str">
        <f>IF(AND(U169&gt;='Amort. Sched.-BASE'!$AA$8, U169&lt;= ($AA$7+$AA$8)), X169/V169, " ")</f>
        <v xml:space="preserve"> </v>
      </c>
      <c r="AD169" s="20">
        <f t="shared" si="36"/>
        <v>158</v>
      </c>
      <c r="AE169" s="5">
        <f t="shared" si="37"/>
        <v>0</v>
      </c>
      <c r="AF169" s="5">
        <f t="shared" si="38"/>
        <v>0</v>
      </c>
      <c r="AG169" s="5">
        <f t="shared" si="39"/>
        <v>0</v>
      </c>
      <c r="AH169" s="5">
        <f>IF(CreditAmort3BASE[[#This Row],[Month]]=AJ$8,AF$7,0)</f>
        <v>0</v>
      </c>
      <c r="AI169" s="13">
        <f t="shared" si="40"/>
        <v>0</v>
      </c>
      <c r="AJ169" s="6" t="str">
        <f t="shared" si="41"/>
        <v xml:space="preserve"> </v>
      </c>
      <c r="AK169" s="21" t="str">
        <f t="shared" si="42"/>
        <v xml:space="preserve"> </v>
      </c>
      <c r="AM169" s="20">
        <f t="shared" si="43"/>
        <v>158</v>
      </c>
      <c r="AN169" s="5">
        <f t="shared" si="44"/>
        <v>0</v>
      </c>
      <c r="AO169" s="5">
        <f t="shared" si="45"/>
        <v>0</v>
      </c>
      <c r="AP169" s="5">
        <f t="shared" si="46"/>
        <v>0</v>
      </c>
      <c r="AQ169" s="5">
        <f>IF(CreditAmort4BASE[[#This Row],[Month]]=AS$8,AO$7,0)</f>
        <v>0</v>
      </c>
      <c r="AR169" s="13">
        <f t="shared" si="47"/>
        <v>0</v>
      </c>
      <c r="AS169" s="6" t="str">
        <f t="shared" si="48"/>
        <v xml:space="preserve"> </v>
      </c>
      <c r="AT169" s="21" t="str">
        <f t="shared" si="49"/>
        <v xml:space="preserve"> </v>
      </c>
    </row>
    <row r="170" spans="3:46">
      <c r="C170" s="22">
        <f t="shared" si="17"/>
        <v>159</v>
      </c>
      <c r="D170" s="23">
        <f>IF(AND(C170&gt;='Amort. Sched.-BASE'!$I$8, C170&lt;= ($I$7+$I$8)), PMT('Amort. Sched.-BASE'!$E$8/12, 'Amort. Sched.-BASE'!$I$7, 'Amort. Sched.-BASE'!$E$7), 0)</f>
        <v>-1736.5864935892569</v>
      </c>
      <c r="E170" s="5">
        <f>IF(AND(C170&gt;='Amort. Sched.-BASE'!$I$8, C170&lt;= ($I$7+$I$8)), (IPMT($E$8/12, (C170-$I$8), $I$7, $E$7)), 0)</f>
        <v>-1060.614521320241</v>
      </c>
      <c r="F170" s="23">
        <f>IF(AND(C170&gt;='Amort. Sched.-BASE'!$I$8, C170&lt;= ($I$7+$I$8)), (PPMT($E$8/12, (C170-$I$8), $I$7, $E$7)), 0)</f>
        <v>-675.97197226901596</v>
      </c>
      <c r="G170" s="5">
        <f>IF(MortgageAmortBASE[[#This Row],[Month]]=I$8,E$7,0)</f>
        <v>0</v>
      </c>
      <c r="H170" s="13">
        <f>IF(AND(C170&gt;='Amort. Sched.-BASE'!$I$8, C170&lt;= ($I$7+$I$8)), H169+F170, 0)</f>
        <v>158416.20622576718</v>
      </c>
      <c r="I170" s="24">
        <f>IF(AND(C170&gt;='Amort. Sched.-BASE'!$I$8, C170&lt;= ($I$7+$I$8)), E170/D170, " ")</f>
        <v>0.61074672942325725</v>
      </c>
      <c r="J170" s="25">
        <f>IF(AND(C170&gt;='Amort. Sched.-BASE'!$I$8, C170&lt;= ($I$7+$I$8)), F170/D170, " ")</f>
        <v>0.38925327057674275</v>
      </c>
      <c r="L170" s="20">
        <f t="shared" si="34"/>
        <v>159</v>
      </c>
      <c r="M170" s="5">
        <f>IF(AND(L170&gt;='Amort. Sched.-BASE'!$R$8, L170&lt;= ($R$7+$R$8)), PMT('Amort. Sched.-BASE'!$N$8/12, 'Amort. Sched.-BASE'!$R$7, 'Amort. Sched.-BASE'!$N$7), 0)</f>
        <v>0</v>
      </c>
      <c r="N170" s="5">
        <f>IF(AND(L170&gt;='Amort. Sched.-BASE'!$R$8, L170&lt;= ($R$7+$R$8)), (IPMT($N$8/12, (L170-$R$8), $R$7, $N$7)), 0)</f>
        <v>0</v>
      </c>
      <c r="O170" s="5">
        <f>IF(AND(L170&gt;='Amort. Sched.-BASE'!$R$8, L170&lt;= ($R$7+$R$8)), (PPMT($N$8/12, (L170-$R$8), $R$7, $N$7)), 0)</f>
        <v>0</v>
      </c>
      <c r="P170" s="5">
        <f>IF(CreditAmort1BASE[[#This Row],[Month]]=R$8,N$7,0)</f>
        <v>0</v>
      </c>
      <c r="Q170" s="13">
        <f>IF(AND(L170&gt;='Amort. Sched.-BASE'!$R$8, L170&lt;= ($R$7+$R$8)), Q169+O170, 0)</f>
        <v>0</v>
      </c>
      <c r="R170" s="6" t="str">
        <f>IF(AND(L170&gt;='Amort. Sched.-BASE'!$R$8, L170&lt;= ($R$7+$R$8)), N170/M170, " ")</f>
        <v xml:space="preserve"> </v>
      </c>
      <c r="S170" s="21" t="str">
        <f>IF(AND(L170&gt;='Amort. Sched.-BASE'!$R$8, L170&lt;= ($R$7+$R$8)), O170/M170, " ")</f>
        <v xml:space="preserve"> </v>
      </c>
      <c r="U170" s="22">
        <f t="shared" si="35"/>
        <v>159</v>
      </c>
      <c r="V170" s="23">
        <f>IF(AND(U170&gt;='Amort. Sched.-BASE'!$AA$8, U170&lt;= ($AA$7+$AA$8)), PMT('Amort. Sched.-BASE'!$W$8/12, 'Amort. Sched.-BASE'!$AA$7, 'Amort. Sched.-BASE'!$W$7), 0)</f>
        <v>0</v>
      </c>
      <c r="W170" s="5">
        <f>IF(AND(U170&gt;='Amort. Sched.-BASE'!$AA$8, U170&lt;= ($AA$7+$AA$8)), (IPMT($W$8/12, (U170-$AA$8), $AA$7, $W$7)), 0)</f>
        <v>0</v>
      </c>
      <c r="X170" s="23">
        <f>IF(AND(U170&gt;='Amort. Sched.-BASE'!$AA$8, U170&lt;= ($AA$7+$AA$8)), (PPMT($W$8/12, (U170-$AA$8), $AA$7, $W$7)), 0)</f>
        <v>0</v>
      </c>
      <c r="Y170" s="5">
        <f>IF(CreditAmort2BASE[[#This Row],[Month]]=AA$8,W$7,0)</f>
        <v>0</v>
      </c>
      <c r="Z170" s="13">
        <f>IF(AND(U170&gt;='Amort. Sched.-BASE'!$AA$8, U170&lt;= ($AA$7+$AA$8)), Z169+X170, 0)</f>
        <v>0</v>
      </c>
      <c r="AA170" s="24" t="str">
        <f>IF(AND(U170&gt;='Amort. Sched.-BASE'!$AA$8, U170&lt;= ($AA$7+$AA$8)), W170/V170, " ")</f>
        <v xml:space="preserve"> </v>
      </c>
      <c r="AB170" s="25" t="str">
        <f>IF(AND(U170&gt;='Amort. Sched.-BASE'!$AA$8, U170&lt;= ($AA$7+$AA$8)), X170/V170, " ")</f>
        <v xml:space="preserve"> </v>
      </c>
      <c r="AD170" s="20">
        <f t="shared" si="36"/>
        <v>159</v>
      </c>
      <c r="AE170" s="5">
        <f t="shared" si="37"/>
        <v>0</v>
      </c>
      <c r="AF170" s="5">
        <f t="shared" si="38"/>
        <v>0</v>
      </c>
      <c r="AG170" s="5">
        <f t="shared" si="39"/>
        <v>0</v>
      </c>
      <c r="AH170" s="5">
        <f>IF(CreditAmort3BASE[[#This Row],[Month]]=AJ$8,AF$7,0)</f>
        <v>0</v>
      </c>
      <c r="AI170" s="13">
        <f t="shared" si="40"/>
        <v>0</v>
      </c>
      <c r="AJ170" s="6" t="str">
        <f t="shared" si="41"/>
        <v xml:space="preserve"> </v>
      </c>
      <c r="AK170" s="21" t="str">
        <f t="shared" si="42"/>
        <v xml:space="preserve"> </v>
      </c>
      <c r="AM170" s="20">
        <f t="shared" si="43"/>
        <v>159</v>
      </c>
      <c r="AN170" s="5">
        <f t="shared" si="44"/>
        <v>0</v>
      </c>
      <c r="AO170" s="5">
        <f t="shared" si="45"/>
        <v>0</v>
      </c>
      <c r="AP170" s="5">
        <f t="shared" si="46"/>
        <v>0</v>
      </c>
      <c r="AQ170" s="5">
        <f>IF(CreditAmort4BASE[[#This Row],[Month]]=AS$8,AO$7,0)</f>
        <v>0</v>
      </c>
      <c r="AR170" s="13">
        <f t="shared" si="47"/>
        <v>0</v>
      </c>
      <c r="AS170" s="6" t="str">
        <f t="shared" si="48"/>
        <v xml:space="preserve"> </v>
      </c>
      <c r="AT170" s="21" t="str">
        <f t="shared" si="49"/>
        <v xml:space="preserve"> </v>
      </c>
    </row>
    <row r="171" spans="3:46">
      <c r="C171" s="22">
        <f t="shared" si="17"/>
        <v>160</v>
      </c>
      <c r="D171" s="23">
        <f>IF(AND(C171&gt;='Amort. Sched.-BASE'!$I$8, C171&lt;= ($I$7+$I$8)), PMT('Amort. Sched.-BASE'!$E$8/12, 'Amort. Sched.-BASE'!$I$7, 'Amort. Sched.-BASE'!$E$7), 0)</f>
        <v>-1736.5864935892569</v>
      </c>
      <c r="E171" s="5">
        <f>IF(AND(C171&gt;='Amort. Sched.-BASE'!$I$8, C171&lt;= ($I$7+$I$8)), (IPMT($E$8/12, (C171-$I$8), $I$7, $E$7)), 0)</f>
        <v>-1056.108041505114</v>
      </c>
      <c r="F171" s="23">
        <f>IF(AND(C171&gt;='Amort. Sched.-BASE'!$I$8, C171&lt;= ($I$7+$I$8)), (PPMT($E$8/12, (C171-$I$8), $I$7, $E$7)), 0)</f>
        <v>-680.47845208414265</v>
      </c>
      <c r="G171" s="5">
        <f>IF(MortgageAmortBASE[[#This Row],[Month]]=I$8,E$7,0)</f>
        <v>0</v>
      </c>
      <c r="H171" s="13">
        <f>IF(AND(C171&gt;='Amort. Sched.-BASE'!$I$8, C171&lt;= ($I$7+$I$8)), H170+F171, 0)</f>
        <v>157735.72777368303</v>
      </c>
      <c r="I171" s="24">
        <f>IF(AND(C171&gt;='Amort. Sched.-BASE'!$I$8, C171&lt;= ($I$7+$I$8)), E171/D171, " ")</f>
        <v>0.60815170761941217</v>
      </c>
      <c r="J171" s="25">
        <f>IF(AND(C171&gt;='Amort. Sched.-BASE'!$I$8, C171&lt;= ($I$7+$I$8)), F171/D171, " ")</f>
        <v>0.39184829238058766</v>
      </c>
      <c r="L171" s="20">
        <f t="shared" si="34"/>
        <v>160</v>
      </c>
      <c r="M171" s="5">
        <f>IF(AND(L171&gt;='Amort. Sched.-BASE'!$R$8, L171&lt;= ($R$7+$R$8)), PMT('Amort. Sched.-BASE'!$N$8/12, 'Amort. Sched.-BASE'!$R$7, 'Amort. Sched.-BASE'!$N$7), 0)</f>
        <v>0</v>
      </c>
      <c r="N171" s="5">
        <f>IF(AND(L171&gt;='Amort. Sched.-BASE'!$R$8, L171&lt;= ($R$7+$R$8)), (IPMT($N$8/12, (L171-$R$8), $R$7, $N$7)), 0)</f>
        <v>0</v>
      </c>
      <c r="O171" s="5">
        <f>IF(AND(L171&gt;='Amort. Sched.-BASE'!$R$8, L171&lt;= ($R$7+$R$8)), (PPMT($N$8/12, (L171-$R$8), $R$7, $N$7)), 0)</f>
        <v>0</v>
      </c>
      <c r="P171" s="5">
        <f>IF(CreditAmort1BASE[[#This Row],[Month]]=R$8,N$7,0)</f>
        <v>0</v>
      </c>
      <c r="Q171" s="13">
        <f>IF(AND(L171&gt;='Amort. Sched.-BASE'!$R$8, L171&lt;= ($R$7+$R$8)), Q170+O171, 0)</f>
        <v>0</v>
      </c>
      <c r="R171" s="6" t="str">
        <f>IF(AND(L171&gt;='Amort. Sched.-BASE'!$R$8, L171&lt;= ($R$7+$R$8)), N171/M171, " ")</f>
        <v xml:space="preserve"> </v>
      </c>
      <c r="S171" s="21" t="str">
        <f>IF(AND(L171&gt;='Amort. Sched.-BASE'!$R$8, L171&lt;= ($R$7+$R$8)), O171/M171, " ")</f>
        <v xml:space="preserve"> </v>
      </c>
      <c r="U171" s="22">
        <f t="shared" si="35"/>
        <v>160</v>
      </c>
      <c r="V171" s="23">
        <f>IF(AND(U171&gt;='Amort. Sched.-BASE'!$AA$8, U171&lt;= ($AA$7+$AA$8)), PMT('Amort. Sched.-BASE'!$W$8/12, 'Amort. Sched.-BASE'!$AA$7, 'Amort. Sched.-BASE'!$W$7), 0)</f>
        <v>0</v>
      </c>
      <c r="W171" s="5">
        <f>IF(AND(U171&gt;='Amort. Sched.-BASE'!$AA$8, U171&lt;= ($AA$7+$AA$8)), (IPMT($W$8/12, (U171-$AA$8), $AA$7, $W$7)), 0)</f>
        <v>0</v>
      </c>
      <c r="X171" s="23">
        <f>IF(AND(U171&gt;='Amort. Sched.-BASE'!$AA$8, U171&lt;= ($AA$7+$AA$8)), (PPMT($W$8/12, (U171-$AA$8), $AA$7, $W$7)), 0)</f>
        <v>0</v>
      </c>
      <c r="Y171" s="5">
        <f>IF(CreditAmort2BASE[[#This Row],[Month]]=AA$8,W$7,0)</f>
        <v>0</v>
      </c>
      <c r="Z171" s="13">
        <f>IF(AND(U171&gt;='Amort. Sched.-BASE'!$AA$8, U171&lt;= ($AA$7+$AA$8)), Z170+X171, 0)</f>
        <v>0</v>
      </c>
      <c r="AA171" s="24" t="str">
        <f>IF(AND(U171&gt;='Amort. Sched.-BASE'!$AA$8, U171&lt;= ($AA$7+$AA$8)), W171/V171, " ")</f>
        <v xml:space="preserve"> </v>
      </c>
      <c r="AB171" s="25" t="str">
        <f>IF(AND(U171&gt;='Amort. Sched.-BASE'!$AA$8, U171&lt;= ($AA$7+$AA$8)), X171/V171, " ")</f>
        <v xml:space="preserve"> </v>
      </c>
      <c r="AD171" s="20">
        <f t="shared" si="36"/>
        <v>160</v>
      </c>
      <c r="AE171" s="5">
        <f t="shared" si="37"/>
        <v>0</v>
      </c>
      <c r="AF171" s="5">
        <f t="shared" si="38"/>
        <v>0</v>
      </c>
      <c r="AG171" s="5">
        <f t="shared" si="39"/>
        <v>0</v>
      </c>
      <c r="AH171" s="5">
        <f>IF(CreditAmort3BASE[[#This Row],[Month]]=AJ$8,AF$7,0)</f>
        <v>0</v>
      </c>
      <c r="AI171" s="13">
        <f t="shared" si="40"/>
        <v>0</v>
      </c>
      <c r="AJ171" s="6" t="str">
        <f t="shared" si="41"/>
        <v xml:space="preserve"> </v>
      </c>
      <c r="AK171" s="21" t="str">
        <f t="shared" si="42"/>
        <v xml:space="preserve"> </v>
      </c>
      <c r="AM171" s="20">
        <f t="shared" si="43"/>
        <v>160</v>
      </c>
      <c r="AN171" s="5">
        <f t="shared" si="44"/>
        <v>0</v>
      </c>
      <c r="AO171" s="5">
        <f t="shared" si="45"/>
        <v>0</v>
      </c>
      <c r="AP171" s="5">
        <f t="shared" si="46"/>
        <v>0</v>
      </c>
      <c r="AQ171" s="5">
        <f>IF(CreditAmort4BASE[[#This Row],[Month]]=AS$8,AO$7,0)</f>
        <v>0</v>
      </c>
      <c r="AR171" s="13">
        <f t="shared" si="47"/>
        <v>0</v>
      </c>
      <c r="AS171" s="6" t="str">
        <f t="shared" si="48"/>
        <v xml:space="preserve"> </v>
      </c>
      <c r="AT171" s="21" t="str">
        <f t="shared" si="49"/>
        <v xml:space="preserve"> </v>
      </c>
    </row>
    <row r="172" spans="3:46">
      <c r="C172" s="22">
        <f t="shared" si="17"/>
        <v>161</v>
      </c>
      <c r="D172" s="23">
        <f>IF(AND(C172&gt;='Amort. Sched.-BASE'!$I$8, C172&lt;= ($I$7+$I$8)), PMT('Amort. Sched.-BASE'!$E$8/12, 'Amort. Sched.-BASE'!$I$7, 'Amort. Sched.-BASE'!$E$7), 0)</f>
        <v>-1736.5864935892569</v>
      </c>
      <c r="E172" s="5">
        <f>IF(AND(C172&gt;='Amort. Sched.-BASE'!$I$8, C172&lt;= ($I$7+$I$8)), (IPMT($E$8/12, (C172-$I$8), $I$7, $E$7)), 0)</f>
        <v>-1051.5715184912201</v>
      </c>
      <c r="F172" s="23">
        <f>IF(AND(C172&gt;='Amort. Sched.-BASE'!$I$8, C172&lt;= ($I$7+$I$8)), (PPMT($E$8/12, (C172-$I$8), $I$7, $E$7)), 0)</f>
        <v>-685.01497509803698</v>
      </c>
      <c r="G172" s="5">
        <f>IF(MortgageAmortBASE[[#This Row],[Month]]=I$8,E$7,0)</f>
        <v>0</v>
      </c>
      <c r="H172" s="13">
        <f>IF(AND(C172&gt;='Amort. Sched.-BASE'!$I$8, C172&lt;= ($I$7+$I$8)), H171+F172, 0)</f>
        <v>157050.71279858498</v>
      </c>
      <c r="I172" s="24">
        <f>IF(AND(C172&gt;='Amort. Sched.-BASE'!$I$8, C172&lt;= ($I$7+$I$8)), E172/D172, " ")</f>
        <v>0.60553938567020849</v>
      </c>
      <c r="J172" s="25">
        <f>IF(AND(C172&gt;='Amort. Sched.-BASE'!$I$8, C172&lt;= ($I$7+$I$8)), F172/D172, " ")</f>
        <v>0.39446061432979163</v>
      </c>
      <c r="L172" s="20">
        <f t="shared" si="34"/>
        <v>161</v>
      </c>
      <c r="M172" s="5">
        <f>IF(AND(L172&gt;='Amort. Sched.-BASE'!$R$8, L172&lt;= ($R$7+$R$8)), PMT('Amort. Sched.-BASE'!$N$8/12, 'Amort. Sched.-BASE'!$R$7, 'Amort. Sched.-BASE'!$N$7), 0)</f>
        <v>0</v>
      </c>
      <c r="N172" s="5">
        <f>IF(AND(L172&gt;='Amort. Sched.-BASE'!$R$8, L172&lt;= ($R$7+$R$8)), (IPMT($N$8/12, (L172-$R$8), $R$7, $N$7)), 0)</f>
        <v>0</v>
      </c>
      <c r="O172" s="5">
        <f>IF(AND(L172&gt;='Amort. Sched.-BASE'!$R$8, L172&lt;= ($R$7+$R$8)), (PPMT($N$8/12, (L172-$R$8), $R$7, $N$7)), 0)</f>
        <v>0</v>
      </c>
      <c r="P172" s="5">
        <f>IF(CreditAmort1BASE[[#This Row],[Month]]=R$8,N$7,0)</f>
        <v>0</v>
      </c>
      <c r="Q172" s="13">
        <f>IF(AND(L172&gt;='Amort. Sched.-BASE'!$R$8, L172&lt;= ($R$7+$R$8)), Q171+O172, 0)</f>
        <v>0</v>
      </c>
      <c r="R172" s="6" t="str">
        <f>IF(AND(L172&gt;='Amort. Sched.-BASE'!$R$8, L172&lt;= ($R$7+$R$8)), N172/M172, " ")</f>
        <v xml:space="preserve"> </v>
      </c>
      <c r="S172" s="21" t="str">
        <f>IF(AND(L172&gt;='Amort. Sched.-BASE'!$R$8, L172&lt;= ($R$7+$R$8)), O172/M172, " ")</f>
        <v xml:space="preserve"> </v>
      </c>
      <c r="U172" s="22">
        <f t="shared" si="35"/>
        <v>161</v>
      </c>
      <c r="V172" s="23">
        <f>IF(AND(U172&gt;='Amort. Sched.-BASE'!$AA$8, U172&lt;= ($AA$7+$AA$8)), PMT('Amort. Sched.-BASE'!$W$8/12, 'Amort. Sched.-BASE'!$AA$7, 'Amort. Sched.-BASE'!$W$7), 0)</f>
        <v>0</v>
      </c>
      <c r="W172" s="5">
        <f>IF(AND(U172&gt;='Amort. Sched.-BASE'!$AA$8, U172&lt;= ($AA$7+$AA$8)), (IPMT($W$8/12, (U172-$AA$8), $AA$7, $W$7)), 0)</f>
        <v>0</v>
      </c>
      <c r="X172" s="23">
        <f>IF(AND(U172&gt;='Amort. Sched.-BASE'!$AA$8, U172&lt;= ($AA$7+$AA$8)), (PPMT($W$8/12, (U172-$AA$8), $AA$7, $W$7)), 0)</f>
        <v>0</v>
      </c>
      <c r="Y172" s="5">
        <f>IF(CreditAmort2BASE[[#This Row],[Month]]=AA$8,W$7,0)</f>
        <v>0</v>
      </c>
      <c r="Z172" s="13">
        <f>IF(AND(U172&gt;='Amort. Sched.-BASE'!$AA$8, U172&lt;= ($AA$7+$AA$8)), Z171+X172, 0)</f>
        <v>0</v>
      </c>
      <c r="AA172" s="24" t="str">
        <f>IF(AND(U172&gt;='Amort. Sched.-BASE'!$AA$8, U172&lt;= ($AA$7+$AA$8)), W172/V172, " ")</f>
        <v xml:space="preserve"> </v>
      </c>
      <c r="AB172" s="25" t="str">
        <f>IF(AND(U172&gt;='Amort. Sched.-BASE'!$AA$8, U172&lt;= ($AA$7+$AA$8)), X172/V172, " ")</f>
        <v xml:space="preserve"> </v>
      </c>
      <c r="AD172" s="20">
        <f t="shared" si="36"/>
        <v>161</v>
      </c>
      <c r="AE172" s="5">
        <f t="shared" si="37"/>
        <v>0</v>
      </c>
      <c r="AF172" s="5">
        <f t="shared" si="38"/>
        <v>0</v>
      </c>
      <c r="AG172" s="5">
        <f t="shared" si="39"/>
        <v>0</v>
      </c>
      <c r="AH172" s="5">
        <f>IF(CreditAmort3BASE[[#This Row],[Month]]=AJ$8,AF$7,0)</f>
        <v>0</v>
      </c>
      <c r="AI172" s="13">
        <f t="shared" si="40"/>
        <v>0</v>
      </c>
      <c r="AJ172" s="6" t="str">
        <f t="shared" si="41"/>
        <v xml:space="preserve"> </v>
      </c>
      <c r="AK172" s="21" t="str">
        <f t="shared" si="42"/>
        <v xml:space="preserve"> </v>
      </c>
      <c r="AM172" s="20">
        <f t="shared" si="43"/>
        <v>161</v>
      </c>
      <c r="AN172" s="5">
        <f t="shared" si="44"/>
        <v>0</v>
      </c>
      <c r="AO172" s="5">
        <f t="shared" si="45"/>
        <v>0</v>
      </c>
      <c r="AP172" s="5">
        <f t="shared" si="46"/>
        <v>0</v>
      </c>
      <c r="AQ172" s="5">
        <f>IF(CreditAmort4BASE[[#This Row],[Month]]=AS$8,AO$7,0)</f>
        <v>0</v>
      </c>
      <c r="AR172" s="13">
        <f t="shared" si="47"/>
        <v>0</v>
      </c>
      <c r="AS172" s="6" t="str">
        <f t="shared" si="48"/>
        <v xml:space="preserve"> </v>
      </c>
      <c r="AT172" s="21" t="str">
        <f t="shared" si="49"/>
        <v xml:space="preserve"> </v>
      </c>
    </row>
    <row r="173" spans="3:46">
      <c r="C173" s="22">
        <f t="shared" si="17"/>
        <v>162</v>
      </c>
      <c r="D173" s="23">
        <f>IF(AND(C173&gt;='Amort. Sched.-BASE'!$I$8, C173&lt;= ($I$7+$I$8)), PMT('Amort. Sched.-BASE'!$E$8/12, 'Amort. Sched.-BASE'!$I$7, 'Amort. Sched.-BASE'!$E$7), 0)</f>
        <v>-1736.5864935892569</v>
      </c>
      <c r="E173" s="5">
        <f>IF(AND(C173&gt;='Amort. Sched.-BASE'!$I$8, C173&lt;= ($I$7+$I$8)), (IPMT($E$8/12, (C173-$I$8), $I$7, $E$7)), 0)</f>
        <v>-1047.0047519905663</v>
      </c>
      <c r="F173" s="23">
        <f>IF(AND(C173&gt;='Amort. Sched.-BASE'!$I$8, C173&lt;= ($I$7+$I$8)), (PPMT($E$8/12, (C173-$I$8), $I$7, $E$7)), 0)</f>
        <v>-689.58174159869066</v>
      </c>
      <c r="G173" s="5">
        <f>IF(MortgageAmortBASE[[#This Row],[Month]]=I$8,E$7,0)</f>
        <v>0</v>
      </c>
      <c r="H173" s="13">
        <f>IF(AND(C173&gt;='Amort. Sched.-BASE'!$I$8, C173&lt;= ($I$7+$I$8)), H172+F173, 0)</f>
        <v>156361.13105698628</v>
      </c>
      <c r="I173" s="24">
        <f>IF(AND(C173&gt;='Amort. Sched.-BASE'!$I$8, C173&lt;= ($I$7+$I$8)), E173/D173, " ")</f>
        <v>0.60290964824134308</v>
      </c>
      <c r="J173" s="25">
        <f>IF(AND(C173&gt;='Amort. Sched.-BASE'!$I$8, C173&lt;= ($I$7+$I$8)), F173/D173, " ")</f>
        <v>0.39709035175865692</v>
      </c>
      <c r="L173" s="20">
        <f t="shared" si="34"/>
        <v>162</v>
      </c>
      <c r="M173" s="5">
        <f>IF(AND(L173&gt;='Amort. Sched.-BASE'!$R$8, L173&lt;= ($R$7+$R$8)), PMT('Amort. Sched.-BASE'!$N$8/12, 'Amort. Sched.-BASE'!$R$7, 'Amort. Sched.-BASE'!$N$7), 0)</f>
        <v>0</v>
      </c>
      <c r="N173" s="5">
        <f>IF(AND(L173&gt;='Amort. Sched.-BASE'!$R$8, L173&lt;= ($R$7+$R$8)), (IPMT($N$8/12, (L173-$R$8), $R$7, $N$7)), 0)</f>
        <v>0</v>
      </c>
      <c r="O173" s="5">
        <f>IF(AND(L173&gt;='Amort. Sched.-BASE'!$R$8, L173&lt;= ($R$7+$R$8)), (PPMT($N$8/12, (L173-$R$8), $R$7, $N$7)), 0)</f>
        <v>0</v>
      </c>
      <c r="P173" s="5">
        <f>IF(CreditAmort1BASE[[#This Row],[Month]]=R$8,N$7,0)</f>
        <v>0</v>
      </c>
      <c r="Q173" s="13">
        <f>IF(AND(L173&gt;='Amort. Sched.-BASE'!$R$8, L173&lt;= ($R$7+$R$8)), Q172+O173, 0)</f>
        <v>0</v>
      </c>
      <c r="R173" s="6" t="str">
        <f>IF(AND(L173&gt;='Amort. Sched.-BASE'!$R$8, L173&lt;= ($R$7+$R$8)), N173/M173, " ")</f>
        <v xml:space="preserve"> </v>
      </c>
      <c r="S173" s="21" t="str">
        <f>IF(AND(L173&gt;='Amort. Sched.-BASE'!$R$8, L173&lt;= ($R$7+$R$8)), O173/M173, " ")</f>
        <v xml:space="preserve"> </v>
      </c>
      <c r="U173" s="22">
        <f t="shared" si="35"/>
        <v>162</v>
      </c>
      <c r="V173" s="23">
        <f>IF(AND(U173&gt;='Amort. Sched.-BASE'!$AA$8, U173&lt;= ($AA$7+$AA$8)), PMT('Amort. Sched.-BASE'!$W$8/12, 'Amort. Sched.-BASE'!$AA$7, 'Amort. Sched.-BASE'!$W$7), 0)</f>
        <v>0</v>
      </c>
      <c r="W173" s="5">
        <f>IF(AND(U173&gt;='Amort. Sched.-BASE'!$AA$8, U173&lt;= ($AA$7+$AA$8)), (IPMT($W$8/12, (U173-$AA$8), $AA$7, $W$7)), 0)</f>
        <v>0</v>
      </c>
      <c r="X173" s="23">
        <f>IF(AND(U173&gt;='Amort. Sched.-BASE'!$AA$8, U173&lt;= ($AA$7+$AA$8)), (PPMT($W$8/12, (U173-$AA$8), $AA$7, $W$7)), 0)</f>
        <v>0</v>
      </c>
      <c r="Y173" s="5">
        <f>IF(CreditAmort2BASE[[#This Row],[Month]]=AA$8,W$7,0)</f>
        <v>0</v>
      </c>
      <c r="Z173" s="13">
        <f>IF(AND(U173&gt;='Amort. Sched.-BASE'!$AA$8, U173&lt;= ($AA$7+$AA$8)), Z172+X173, 0)</f>
        <v>0</v>
      </c>
      <c r="AA173" s="24" t="str">
        <f>IF(AND(U173&gt;='Amort. Sched.-BASE'!$AA$8, U173&lt;= ($AA$7+$AA$8)), W173/V173, " ")</f>
        <v xml:space="preserve"> </v>
      </c>
      <c r="AB173" s="25" t="str">
        <f>IF(AND(U173&gt;='Amort. Sched.-BASE'!$AA$8, U173&lt;= ($AA$7+$AA$8)), X173/V173, " ")</f>
        <v xml:space="preserve"> </v>
      </c>
      <c r="AD173" s="20">
        <f t="shared" si="36"/>
        <v>162</v>
      </c>
      <c r="AE173" s="5">
        <f t="shared" si="37"/>
        <v>0</v>
      </c>
      <c r="AF173" s="5">
        <f t="shared" si="38"/>
        <v>0</v>
      </c>
      <c r="AG173" s="5">
        <f t="shared" si="39"/>
        <v>0</v>
      </c>
      <c r="AH173" s="5">
        <f>IF(CreditAmort3BASE[[#This Row],[Month]]=AJ$8,AF$7,0)</f>
        <v>0</v>
      </c>
      <c r="AI173" s="13">
        <f t="shared" si="40"/>
        <v>0</v>
      </c>
      <c r="AJ173" s="6" t="str">
        <f t="shared" si="41"/>
        <v xml:space="preserve"> </v>
      </c>
      <c r="AK173" s="21" t="str">
        <f t="shared" si="42"/>
        <v xml:space="preserve"> </v>
      </c>
      <c r="AM173" s="20">
        <f t="shared" si="43"/>
        <v>162</v>
      </c>
      <c r="AN173" s="5">
        <f t="shared" si="44"/>
        <v>0</v>
      </c>
      <c r="AO173" s="5">
        <f t="shared" si="45"/>
        <v>0</v>
      </c>
      <c r="AP173" s="5">
        <f t="shared" si="46"/>
        <v>0</v>
      </c>
      <c r="AQ173" s="5">
        <f>IF(CreditAmort4BASE[[#This Row],[Month]]=AS$8,AO$7,0)</f>
        <v>0</v>
      </c>
      <c r="AR173" s="13">
        <f t="shared" si="47"/>
        <v>0</v>
      </c>
      <c r="AS173" s="6" t="str">
        <f t="shared" si="48"/>
        <v xml:space="preserve"> </v>
      </c>
      <c r="AT173" s="21" t="str">
        <f t="shared" si="49"/>
        <v xml:space="preserve"> </v>
      </c>
    </row>
    <row r="174" spans="3:46">
      <c r="C174" s="22">
        <f t="shared" si="17"/>
        <v>163</v>
      </c>
      <c r="D174" s="23">
        <f>IF(AND(C174&gt;='Amort. Sched.-BASE'!$I$8, C174&lt;= ($I$7+$I$8)), PMT('Amort. Sched.-BASE'!$E$8/12, 'Amort. Sched.-BASE'!$I$7, 'Amort. Sched.-BASE'!$E$7), 0)</f>
        <v>-1736.5864935892569</v>
      </c>
      <c r="E174" s="5">
        <f>IF(AND(C174&gt;='Amort. Sched.-BASE'!$I$8, C174&lt;= ($I$7+$I$8)), (IPMT($E$8/12, (C174-$I$8), $I$7, $E$7)), 0)</f>
        <v>-1042.4075403799081</v>
      </c>
      <c r="F174" s="23">
        <f>IF(AND(C174&gt;='Amort. Sched.-BASE'!$I$8, C174&lt;= ($I$7+$I$8)), (PPMT($E$8/12, (C174-$I$8), $I$7, $E$7)), 0)</f>
        <v>-694.17895320934849</v>
      </c>
      <c r="G174" s="5">
        <f>IF(MortgageAmortBASE[[#This Row],[Month]]=I$8,E$7,0)</f>
        <v>0</v>
      </c>
      <c r="H174" s="13">
        <f>IF(AND(C174&gt;='Amort. Sched.-BASE'!$I$8, C174&lt;= ($I$7+$I$8)), H173+F174, 0)</f>
        <v>155666.95210377694</v>
      </c>
      <c r="I174" s="24">
        <f>IF(AND(C174&gt;='Amort. Sched.-BASE'!$I$8, C174&lt;= ($I$7+$I$8)), E174/D174, " ")</f>
        <v>0.60026237922961856</v>
      </c>
      <c r="J174" s="25">
        <f>IF(AND(C174&gt;='Amort. Sched.-BASE'!$I$8, C174&lt;= ($I$7+$I$8)), F174/D174, " ")</f>
        <v>0.39973762077038127</v>
      </c>
      <c r="L174" s="20">
        <f t="shared" si="34"/>
        <v>163</v>
      </c>
      <c r="M174" s="5">
        <f>IF(AND(L174&gt;='Amort. Sched.-BASE'!$R$8, L174&lt;= ($R$7+$R$8)), PMT('Amort. Sched.-BASE'!$N$8/12, 'Amort. Sched.-BASE'!$R$7, 'Amort. Sched.-BASE'!$N$7), 0)</f>
        <v>0</v>
      </c>
      <c r="N174" s="5">
        <f>IF(AND(L174&gt;='Amort. Sched.-BASE'!$R$8, L174&lt;= ($R$7+$R$8)), (IPMT($N$8/12, (L174-$R$8), $R$7, $N$7)), 0)</f>
        <v>0</v>
      </c>
      <c r="O174" s="5">
        <f>IF(AND(L174&gt;='Amort. Sched.-BASE'!$R$8, L174&lt;= ($R$7+$R$8)), (PPMT($N$8/12, (L174-$R$8), $R$7, $N$7)), 0)</f>
        <v>0</v>
      </c>
      <c r="P174" s="5">
        <f>IF(CreditAmort1BASE[[#This Row],[Month]]=R$8,N$7,0)</f>
        <v>0</v>
      </c>
      <c r="Q174" s="13">
        <f>IF(AND(L174&gt;='Amort. Sched.-BASE'!$R$8, L174&lt;= ($R$7+$R$8)), Q173+O174, 0)</f>
        <v>0</v>
      </c>
      <c r="R174" s="6" t="str">
        <f>IF(AND(L174&gt;='Amort. Sched.-BASE'!$R$8, L174&lt;= ($R$7+$R$8)), N174/M174, " ")</f>
        <v xml:space="preserve"> </v>
      </c>
      <c r="S174" s="21" t="str">
        <f>IF(AND(L174&gt;='Amort. Sched.-BASE'!$R$8, L174&lt;= ($R$7+$R$8)), O174/M174, " ")</f>
        <v xml:space="preserve"> </v>
      </c>
      <c r="U174" s="22">
        <f t="shared" si="35"/>
        <v>163</v>
      </c>
      <c r="V174" s="23">
        <f>IF(AND(U174&gt;='Amort. Sched.-BASE'!$AA$8, U174&lt;= ($AA$7+$AA$8)), PMT('Amort. Sched.-BASE'!$W$8/12, 'Amort. Sched.-BASE'!$AA$7, 'Amort. Sched.-BASE'!$W$7), 0)</f>
        <v>0</v>
      </c>
      <c r="W174" s="5">
        <f>IF(AND(U174&gt;='Amort. Sched.-BASE'!$AA$8, U174&lt;= ($AA$7+$AA$8)), (IPMT($W$8/12, (U174-$AA$8), $AA$7, $W$7)), 0)</f>
        <v>0</v>
      </c>
      <c r="X174" s="23">
        <f>IF(AND(U174&gt;='Amort. Sched.-BASE'!$AA$8, U174&lt;= ($AA$7+$AA$8)), (PPMT($W$8/12, (U174-$AA$8), $AA$7, $W$7)), 0)</f>
        <v>0</v>
      </c>
      <c r="Y174" s="5">
        <f>IF(CreditAmort2BASE[[#This Row],[Month]]=AA$8,W$7,0)</f>
        <v>0</v>
      </c>
      <c r="Z174" s="13">
        <f>IF(AND(U174&gt;='Amort. Sched.-BASE'!$AA$8, U174&lt;= ($AA$7+$AA$8)), Z173+X174, 0)</f>
        <v>0</v>
      </c>
      <c r="AA174" s="24" t="str">
        <f>IF(AND(U174&gt;='Amort. Sched.-BASE'!$AA$8, U174&lt;= ($AA$7+$AA$8)), W174/V174, " ")</f>
        <v xml:space="preserve"> </v>
      </c>
      <c r="AB174" s="25" t="str">
        <f>IF(AND(U174&gt;='Amort. Sched.-BASE'!$AA$8, U174&lt;= ($AA$7+$AA$8)), X174/V174, " ")</f>
        <v xml:space="preserve"> </v>
      </c>
      <c r="AD174" s="20">
        <f t="shared" si="36"/>
        <v>163</v>
      </c>
      <c r="AE174" s="5">
        <f t="shared" si="37"/>
        <v>0</v>
      </c>
      <c r="AF174" s="5">
        <f t="shared" si="38"/>
        <v>0</v>
      </c>
      <c r="AG174" s="5">
        <f t="shared" si="39"/>
        <v>0</v>
      </c>
      <c r="AH174" s="5">
        <f>IF(CreditAmort3BASE[[#This Row],[Month]]=AJ$8,AF$7,0)</f>
        <v>0</v>
      </c>
      <c r="AI174" s="13">
        <f t="shared" si="40"/>
        <v>0</v>
      </c>
      <c r="AJ174" s="6" t="str">
        <f t="shared" si="41"/>
        <v xml:space="preserve"> </v>
      </c>
      <c r="AK174" s="21" t="str">
        <f t="shared" si="42"/>
        <v xml:space="preserve"> </v>
      </c>
      <c r="AM174" s="20">
        <f t="shared" si="43"/>
        <v>163</v>
      </c>
      <c r="AN174" s="5">
        <f t="shared" si="44"/>
        <v>0</v>
      </c>
      <c r="AO174" s="5">
        <f t="shared" si="45"/>
        <v>0</v>
      </c>
      <c r="AP174" s="5">
        <f t="shared" si="46"/>
        <v>0</v>
      </c>
      <c r="AQ174" s="5">
        <f>IF(CreditAmort4BASE[[#This Row],[Month]]=AS$8,AO$7,0)</f>
        <v>0</v>
      </c>
      <c r="AR174" s="13">
        <f t="shared" si="47"/>
        <v>0</v>
      </c>
      <c r="AS174" s="6" t="str">
        <f t="shared" si="48"/>
        <v xml:space="preserve"> </v>
      </c>
      <c r="AT174" s="21" t="str">
        <f t="shared" si="49"/>
        <v xml:space="preserve"> </v>
      </c>
    </row>
    <row r="175" spans="3:46">
      <c r="C175" s="22">
        <f t="shared" si="17"/>
        <v>164</v>
      </c>
      <c r="D175" s="23">
        <f>IF(AND(C175&gt;='Amort. Sched.-BASE'!$I$8, C175&lt;= ($I$7+$I$8)), PMT('Amort. Sched.-BASE'!$E$8/12, 'Amort. Sched.-BASE'!$I$7, 'Amort. Sched.-BASE'!$E$7), 0)</f>
        <v>-1736.5864935892569</v>
      </c>
      <c r="E175" s="5">
        <f>IF(AND(C175&gt;='Amort. Sched.-BASE'!$I$8, C175&lt;= ($I$7+$I$8)), (IPMT($E$8/12, (C175-$I$8), $I$7, $E$7)), 0)</f>
        <v>-1037.7796806918459</v>
      </c>
      <c r="F175" s="23">
        <f>IF(AND(C175&gt;='Amort. Sched.-BASE'!$I$8, C175&lt;= ($I$7+$I$8)), (PPMT($E$8/12, (C175-$I$8), $I$7, $E$7)), 0)</f>
        <v>-698.80681289741085</v>
      </c>
      <c r="G175" s="5">
        <f>IF(MortgageAmortBASE[[#This Row],[Month]]=I$8,E$7,0)</f>
        <v>0</v>
      </c>
      <c r="H175" s="13">
        <f>IF(AND(C175&gt;='Amort. Sched.-BASE'!$I$8, C175&lt;= ($I$7+$I$8)), H174+F175, 0)</f>
        <v>154968.14529087953</v>
      </c>
      <c r="I175" s="24">
        <f>IF(AND(C175&gt;='Amort. Sched.-BASE'!$I$8, C175&lt;= ($I$7+$I$8)), E175/D175, " ")</f>
        <v>0.59759746175781614</v>
      </c>
      <c r="J175" s="25">
        <f>IF(AND(C175&gt;='Amort. Sched.-BASE'!$I$8, C175&lt;= ($I$7+$I$8)), F175/D175, " ")</f>
        <v>0.4024025382421838</v>
      </c>
      <c r="L175" s="20">
        <f t="shared" si="34"/>
        <v>164</v>
      </c>
      <c r="M175" s="5">
        <f>IF(AND(L175&gt;='Amort. Sched.-BASE'!$R$8, L175&lt;= ($R$7+$R$8)), PMT('Amort. Sched.-BASE'!$N$8/12, 'Amort. Sched.-BASE'!$R$7, 'Amort. Sched.-BASE'!$N$7), 0)</f>
        <v>0</v>
      </c>
      <c r="N175" s="5">
        <f>IF(AND(L175&gt;='Amort. Sched.-BASE'!$R$8, L175&lt;= ($R$7+$R$8)), (IPMT($N$8/12, (L175-$R$8), $R$7, $N$7)), 0)</f>
        <v>0</v>
      </c>
      <c r="O175" s="5">
        <f>IF(AND(L175&gt;='Amort. Sched.-BASE'!$R$8, L175&lt;= ($R$7+$R$8)), (PPMT($N$8/12, (L175-$R$8), $R$7, $N$7)), 0)</f>
        <v>0</v>
      </c>
      <c r="P175" s="5">
        <f>IF(CreditAmort1BASE[[#This Row],[Month]]=R$8,N$7,0)</f>
        <v>0</v>
      </c>
      <c r="Q175" s="13">
        <f>IF(AND(L175&gt;='Amort. Sched.-BASE'!$R$8, L175&lt;= ($R$7+$R$8)), Q174+O175, 0)</f>
        <v>0</v>
      </c>
      <c r="R175" s="6" t="str">
        <f>IF(AND(L175&gt;='Amort. Sched.-BASE'!$R$8, L175&lt;= ($R$7+$R$8)), N175/M175, " ")</f>
        <v xml:space="preserve"> </v>
      </c>
      <c r="S175" s="21" t="str">
        <f>IF(AND(L175&gt;='Amort. Sched.-BASE'!$R$8, L175&lt;= ($R$7+$R$8)), O175/M175, " ")</f>
        <v xml:space="preserve"> </v>
      </c>
      <c r="U175" s="22">
        <f t="shared" si="35"/>
        <v>164</v>
      </c>
      <c r="V175" s="23">
        <f>IF(AND(U175&gt;='Amort. Sched.-BASE'!$AA$8, U175&lt;= ($AA$7+$AA$8)), PMT('Amort. Sched.-BASE'!$W$8/12, 'Amort. Sched.-BASE'!$AA$7, 'Amort. Sched.-BASE'!$W$7), 0)</f>
        <v>0</v>
      </c>
      <c r="W175" s="5">
        <f>IF(AND(U175&gt;='Amort. Sched.-BASE'!$AA$8, U175&lt;= ($AA$7+$AA$8)), (IPMT($W$8/12, (U175-$AA$8), $AA$7, $W$7)), 0)</f>
        <v>0</v>
      </c>
      <c r="X175" s="23">
        <f>IF(AND(U175&gt;='Amort. Sched.-BASE'!$AA$8, U175&lt;= ($AA$7+$AA$8)), (PPMT($W$8/12, (U175-$AA$8), $AA$7, $W$7)), 0)</f>
        <v>0</v>
      </c>
      <c r="Y175" s="5">
        <f>IF(CreditAmort2BASE[[#This Row],[Month]]=AA$8,W$7,0)</f>
        <v>0</v>
      </c>
      <c r="Z175" s="13">
        <f>IF(AND(U175&gt;='Amort. Sched.-BASE'!$AA$8, U175&lt;= ($AA$7+$AA$8)), Z174+X175, 0)</f>
        <v>0</v>
      </c>
      <c r="AA175" s="24" t="str">
        <f>IF(AND(U175&gt;='Amort. Sched.-BASE'!$AA$8, U175&lt;= ($AA$7+$AA$8)), W175/V175, " ")</f>
        <v xml:space="preserve"> </v>
      </c>
      <c r="AB175" s="25" t="str">
        <f>IF(AND(U175&gt;='Amort. Sched.-BASE'!$AA$8, U175&lt;= ($AA$7+$AA$8)), X175/V175, " ")</f>
        <v xml:space="preserve"> </v>
      </c>
      <c r="AD175" s="20">
        <f t="shared" si="36"/>
        <v>164</v>
      </c>
      <c r="AE175" s="5">
        <f t="shared" si="37"/>
        <v>0</v>
      </c>
      <c r="AF175" s="5">
        <f t="shared" si="38"/>
        <v>0</v>
      </c>
      <c r="AG175" s="5">
        <f t="shared" si="39"/>
        <v>0</v>
      </c>
      <c r="AH175" s="5">
        <f>IF(CreditAmort3BASE[[#This Row],[Month]]=AJ$8,AF$7,0)</f>
        <v>0</v>
      </c>
      <c r="AI175" s="13">
        <f t="shared" si="40"/>
        <v>0</v>
      </c>
      <c r="AJ175" s="6" t="str">
        <f t="shared" si="41"/>
        <v xml:space="preserve"> </v>
      </c>
      <c r="AK175" s="21" t="str">
        <f t="shared" si="42"/>
        <v xml:space="preserve"> </v>
      </c>
      <c r="AM175" s="20">
        <f t="shared" si="43"/>
        <v>164</v>
      </c>
      <c r="AN175" s="5">
        <f t="shared" si="44"/>
        <v>0</v>
      </c>
      <c r="AO175" s="5">
        <f t="shared" si="45"/>
        <v>0</v>
      </c>
      <c r="AP175" s="5">
        <f t="shared" si="46"/>
        <v>0</v>
      </c>
      <c r="AQ175" s="5">
        <f>IF(CreditAmort4BASE[[#This Row],[Month]]=AS$8,AO$7,0)</f>
        <v>0</v>
      </c>
      <c r="AR175" s="13">
        <f t="shared" si="47"/>
        <v>0</v>
      </c>
      <c r="AS175" s="6" t="str">
        <f t="shared" si="48"/>
        <v xml:space="preserve"> </v>
      </c>
      <c r="AT175" s="21" t="str">
        <f t="shared" si="49"/>
        <v xml:space="preserve"> </v>
      </c>
    </row>
    <row r="176" spans="3:46">
      <c r="C176" s="22">
        <f t="shared" si="17"/>
        <v>165</v>
      </c>
      <c r="D176" s="23">
        <f>IF(AND(C176&gt;='Amort. Sched.-BASE'!$I$8, C176&lt;= ($I$7+$I$8)), PMT('Amort. Sched.-BASE'!$E$8/12, 'Amort. Sched.-BASE'!$I$7, 'Amort. Sched.-BASE'!$E$7), 0)</f>
        <v>-1736.5864935892569</v>
      </c>
      <c r="E176" s="5">
        <f>IF(AND(C176&gt;='Amort. Sched.-BASE'!$I$8, C176&lt;= ($I$7+$I$8)), (IPMT($E$8/12, (C176-$I$8), $I$7, $E$7)), 0)</f>
        <v>-1033.1209686058635</v>
      </c>
      <c r="F176" s="23">
        <f>IF(AND(C176&gt;='Amort. Sched.-BASE'!$I$8, C176&lt;= ($I$7+$I$8)), (PPMT($E$8/12, (C176-$I$8), $I$7, $E$7)), 0)</f>
        <v>-703.46552498339361</v>
      </c>
      <c r="G176" s="5">
        <f>IF(MortgageAmortBASE[[#This Row],[Month]]=I$8,E$7,0)</f>
        <v>0</v>
      </c>
      <c r="H176" s="13">
        <f>IF(AND(C176&gt;='Amort. Sched.-BASE'!$I$8, C176&lt;= ($I$7+$I$8)), H175+F176, 0)</f>
        <v>154264.67976589614</v>
      </c>
      <c r="I176" s="24">
        <f>IF(AND(C176&gt;='Amort. Sched.-BASE'!$I$8, C176&lt;= ($I$7+$I$8)), E176/D176, " ")</f>
        <v>0.59491477816953509</v>
      </c>
      <c r="J176" s="25">
        <f>IF(AND(C176&gt;='Amort. Sched.-BASE'!$I$8, C176&lt;= ($I$7+$I$8)), F176/D176, " ")</f>
        <v>0.40508522183046508</v>
      </c>
      <c r="L176" s="20">
        <f t="shared" si="34"/>
        <v>165</v>
      </c>
      <c r="M176" s="5">
        <f>IF(AND(L176&gt;='Amort. Sched.-BASE'!$R$8, L176&lt;= ($R$7+$R$8)), PMT('Amort. Sched.-BASE'!$N$8/12, 'Amort. Sched.-BASE'!$R$7, 'Amort. Sched.-BASE'!$N$7), 0)</f>
        <v>0</v>
      </c>
      <c r="N176" s="5">
        <f>IF(AND(L176&gt;='Amort. Sched.-BASE'!$R$8, L176&lt;= ($R$7+$R$8)), (IPMT($N$8/12, (L176-$R$8), $R$7, $N$7)), 0)</f>
        <v>0</v>
      </c>
      <c r="O176" s="5">
        <f>IF(AND(L176&gt;='Amort. Sched.-BASE'!$R$8, L176&lt;= ($R$7+$R$8)), (PPMT($N$8/12, (L176-$R$8), $R$7, $N$7)), 0)</f>
        <v>0</v>
      </c>
      <c r="P176" s="5">
        <f>IF(CreditAmort1BASE[[#This Row],[Month]]=R$8,N$7,0)</f>
        <v>0</v>
      </c>
      <c r="Q176" s="13">
        <f>IF(AND(L176&gt;='Amort. Sched.-BASE'!$R$8, L176&lt;= ($R$7+$R$8)), Q175+O176, 0)</f>
        <v>0</v>
      </c>
      <c r="R176" s="6" t="str">
        <f>IF(AND(L176&gt;='Amort. Sched.-BASE'!$R$8, L176&lt;= ($R$7+$R$8)), N176/M176, " ")</f>
        <v xml:space="preserve"> </v>
      </c>
      <c r="S176" s="21" t="str">
        <f>IF(AND(L176&gt;='Amort. Sched.-BASE'!$R$8, L176&lt;= ($R$7+$R$8)), O176/M176, " ")</f>
        <v xml:space="preserve"> </v>
      </c>
      <c r="U176" s="22">
        <f t="shared" si="35"/>
        <v>165</v>
      </c>
      <c r="V176" s="23">
        <f>IF(AND(U176&gt;='Amort. Sched.-BASE'!$AA$8, U176&lt;= ($AA$7+$AA$8)), PMT('Amort. Sched.-BASE'!$W$8/12, 'Amort. Sched.-BASE'!$AA$7, 'Amort. Sched.-BASE'!$W$7), 0)</f>
        <v>0</v>
      </c>
      <c r="W176" s="5">
        <f>IF(AND(U176&gt;='Amort. Sched.-BASE'!$AA$8, U176&lt;= ($AA$7+$AA$8)), (IPMT($W$8/12, (U176-$AA$8), $AA$7, $W$7)), 0)</f>
        <v>0</v>
      </c>
      <c r="X176" s="23">
        <f>IF(AND(U176&gt;='Amort. Sched.-BASE'!$AA$8, U176&lt;= ($AA$7+$AA$8)), (PPMT($W$8/12, (U176-$AA$8), $AA$7, $W$7)), 0)</f>
        <v>0</v>
      </c>
      <c r="Y176" s="5">
        <f>IF(CreditAmort2BASE[[#This Row],[Month]]=AA$8,W$7,0)</f>
        <v>0</v>
      </c>
      <c r="Z176" s="13">
        <f>IF(AND(U176&gt;='Amort. Sched.-BASE'!$AA$8, U176&lt;= ($AA$7+$AA$8)), Z175+X176, 0)</f>
        <v>0</v>
      </c>
      <c r="AA176" s="24" t="str">
        <f>IF(AND(U176&gt;='Amort. Sched.-BASE'!$AA$8, U176&lt;= ($AA$7+$AA$8)), W176/V176, " ")</f>
        <v xml:space="preserve"> </v>
      </c>
      <c r="AB176" s="25" t="str">
        <f>IF(AND(U176&gt;='Amort. Sched.-BASE'!$AA$8, U176&lt;= ($AA$7+$AA$8)), X176/V176, " ")</f>
        <v xml:space="preserve"> </v>
      </c>
      <c r="AD176" s="20">
        <f t="shared" si="36"/>
        <v>165</v>
      </c>
      <c r="AE176" s="5">
        <f t="shared" si="37"/>
        <v>0</v>
      </c>
      <c r="AF176" s="5">
        <f t="shared" si="38"/>
        <v>0</v>
      </c>
      <c r="AG176" s="5">
        <f t="shared" si="39"/>
        <v>0</v>
      </c>
      <c r="AH176" s="5">
        <f>IF(CreditAmort3BASE[[#This Row],[Month]]=AJ$8,AF$7,0)</f>
        <v>0</v>
      </c>
      <c r="AI176" s="13">
        <f t="shared" si="40"/>
        <v>0</v>
      </c>
      <c r="AJ176" s="6" t="str">
        <f t="shared" si="41"/>
        <v xml:space="preserve"> </v>
      </c>
      <c r="AK176" s="21" t="str">
        <f t="shared" si="42"/>
        <v xml:space="preserve"> </v>
      </c>
      <c r="AM176" s="20">
        <f t="shared" si="43"/>
        <v>165</v>
      </c>
      <c r="AN176" s="5">
        <f t="shared" si="44"/>
        <v>0</v>
      </c>
      <c r="AO176" s="5">
        <f t="shared" si="45"/>
        <v>0</v>
      </c>
      <c r="AP176" s="5">
        <f t="shared" si="46"/>
        <v>0</v>
      </c>
      <c r="AQ176" s="5">
        <f>IF(CreditAmort4BASE[[#This Row],[Month]]=AS$8,AO$7,0)</f>
        <v>0</v>
      </c>
      <c r="AR176" s="13">
        <f t="shared" si="47"/>
        <v>0</v>
      </c>
      <c r="AS176" s="6" t="str">
        <f t="shared" si="48"/>
        <v xml:space="preserve"> </v>
      </c>
      <c r="AT176" s="21" t="str">
        <f t="shared" si="49"/>
        <v xml:space="preserve"> </v>
      </c>
    </row>
    <row r="177" spans="3:46">
      <c r="C177" s="22">
        <f t="shared" si="17"/>
        <v>166</v>
      </c>
      <c r="D177" s="23">
        <f>IF(AND(C177&gt;='Amort. Sched.-BASE'!$I$8, C177&lt;= ($I$7+$I$8)), PMT('Amort. Sched.-BASE'!$E$8/12, 'Amort. Sched.-BASE'!$I$7, 'Amort. Sched.-BASE'!$E$7), 0)</f>
        <v>-1736.5864935892569</v>
      </c>
      <c r="E177" s="5">
        <f>IF(AND(C177&gt;='Amort. Sched.-BASE'!$I$8, C177&lt;= ($I$7+$I$8)), (IPMT($E$8/12, (C177-$I$8), $I$7, $E$7)), 0)</f>
        <v>-1028.4311984393073</v>
      </c>
      <c r="F177" s="23">
        <f>IF(AND(C177&gt;='Amort. Sched.-BASE'!$I$8, C177&lt;= ($I$7+$I$8)), (PPMT($E$8/12, (C177-$I$8), $I$7, $E$7)), 0)</f>
        <v>-708.15529514994955</v>
      </c>
      <c r="G177" s="5">
        <f>IF(MortgageAmortBASE[[#This Row],[Month]]=I$8,E$7,0)</f>
        <v>0</v>
      </c>
      <c r="H177" s="13">
        <f>IF(AND(C177&gt;='Amort. Sched.-BASE'!$I$8, C177&lt;= ($I$7+$I$8)), H176+F177, 0)</f>
        <v>153556.5244707462</v>
      </c>
      <c r="I177" s="24">
        <f>IF(AND(C177&gt;='Amort. Sched.-BASE'!$I$8, C177&lt;= ($I$7+$I$8)), E177/D177, " ")</f>
        <v>0.59221421002399854</v>
      </c>
      <c r="J177" s="25">
        <f>IF(AND(C177&gt;='Amort. Sched.-BASE'!$I$8, C177&lt;= ($I$7+$I$8)), F177/D177, " ")</f>
        <v>0.40778578997600151</v>
      </c>
      <c r="L177" s="20">
        <f t="shared" si="34"/>
        <v>166</v>
      </c>
      <c r="M177" s="5">
        <f>IF(AND(L177&gt;='Amort. Sched.-BASE'!$R$8, L177&lt;= ($R$7+$R$8)), PMT('Amort. Sched.-BASE'!$N$8/12, 'Amort. Sched.-BASE'!$R$7, 'Amort. Sched.-BASE'!$N$7), 0)</f>
        <v>0</v>
      </c>
      <c r="N177" s="5">
        <f>IF(AND(L177&gt;='Amort. Sched.-BASE'!$R$8, L177&lt;= ($R$7+$R$8)), (IPMT($N$8/12, (L177-$R$8), $R$7, $N$7)), 0)</f>
        <v>0</v>
      </c>
      <c r="O177" s="5">
        <f>IF(AND(L177&gt;='Amort. Sched.-BASE'!$R$8, L177&lt;= ($R$7+$R$8)), (PPMT($N$8/12, (L177-$R$8), $R$7, $N$7)), 0)</f>
        <v>0</v>
      </c>
      <c r="P177" s="5">
        <f>IF(CreditAmort1BASE[[#This Row],[Month]]=R$8,N$7,0)</f>
        <v>0</v>
      </c>
      <c r="Q177" s="13">
        <f>IF(AND(L177&gt;='Amort. Sched.-BASE'!$R$8, L177&lt;= ($R$7+$R$8)), Q176+O177, 0)</f>
        <v>0</v>
      </c>
      <c r="R177" s="6" t="str">
        <f>IF(AND(L177&gt;='Amort. Sched.-BASE'!$R$8, L177&lt;= ($R$7+$R$8)), N177/M177, " ")</f>
        <v xml:space="preserve"> </v>
      </c>
      <c r="S177" s="21" t="str">
        <f>IF(AND(L177&gt;='Amort. Sched.-BASE'!$R$8, L177&lt;= ($R$7+$R$8)), O177/M177, " ")</f>
        <v xml:space="preserve"> </v>
      </c>
      <c r="U177" s="22">
        <f t="shared" si="35"/>
        <v>166</v>
      </c>
      <c r="V177" s="23">
        <f>IF(AND(U177&gt;='Amort. Sched.-BASE'!$AA$8, U177&lt;= ($AA$7+$AA$8)), PMT('Amort. Sched.-BASE'!$W$8/12, 'Amort. Sched.-BASE'!$AA$7, 'Amort. Sched.-BASE'!$W$7), 0)</f>
        <v>0</v>
      </c>
      <c r="W177" s="5">
        <f>IF(AND(U177&gt;='Amort. Sched.-BASE'!$AA$8, U177&lt;= ($AA$7+$AA$8)), (IPMT($W$8/12, (U177-$AA$8), $AA$7, $W$7)), 0)</f>
        <v>0</v>
      </c>
      <c r="X177" s="23">
        <f>IF(AND(U177&gt;='Amort. Sched.-BASE'!$AA$8, U177&lt;= ($AA$7+$AA$8)), (PPMT($W$8/12, (U177-$AA$8), $AA$7, $W$7)), 0)</f>
        <v>0</v>
      </c>
      <c r="Y177" s="5">
        <f>IF(CreditAmort2BASE[[#This Row],[Month]]=AA$8,W$7,0)</f>
        <v>0</v>
      </c>
      <c r="Z177" s="13">
        <f>IF(AND(U177&gt;='Amort. Sched.-BASE'!$AA$8, U177&lt;= ($AA$7+$AA$8)), Z176+X177, 0)</f>
        <v>0</v>
      </c>
      <c r="AA177" s="24" t="str">
        <f>IF(AND(U177&gt;='Amort. Sched.-BASE'!$AA$8, U177&lt;= ($AA$7+$AA$8)), W177/V177, " ")</f>
        <v xml:space="preserve"> </v>
      </c>
      <c r="AB177" s="25" t="str">
        <f>IF(AND(U177&gt;='Amort. Sched.-BASE'!$AA$8, U177&lt;= ($AA$7+$AA$8)), X177/V177, " ")</f>
        <v xml:space="preserve"> </v>
      </c>
      <c r="AD177" s="20">
        <f t="shared" si="36"/>
        <v>166</v>
      </c>
      <c r="AE177" s="5">
        <f t="shared" si="37"/>
        <v>0</v>
      </c>
      <c r="AF177" s="5">
        <f t="shared" si="38"/>
        <v>0</v>
      </c>
      <c r="AG177" s="5">
        <f t="shared" si="39"/>
        <v>0</v>
      </c>
      <c r="AH177" s="5">
        <f>IF(CreditAmort3BASE[[#This Row],[Month]]=AJ$8,AF$7,0)</f>
        <v>0</v>
      </c>
      <c r="AI177" s="13">
        <f t="shared" si="40"/>
        <v>0</v>
      </c>
      <c r="AJ177" s="6" t="str">
        <f t="shared" si="41"/>
        <v xml:space="preserve"> </v>
      </c>
      <c r="AK177" s="21" t="str">
        <f t="shared" si="42"/>
        <v xml:space="preserve"> </v>
      </c>
      <c r="AM177" s="20">
        <f t="shared" si="43"/>
        <v>166</v>
      </c>
      <c r="AN177" s="5">
        <f t="shared" si="44"/>
        <v>0</v>
      </c>
      <c r="AO177" s="5">
        <f t="shared" si="45"/>
        <v>0</v>
      </c>
      <c r="AP177" s="5">
        <f t="shared" si="46"/>
        <v>0</v>
      </c>
      <c r="AQ177" s="5">
        <f>IF(CreditAmort4BASE[[#This Row],[Month]]=AS$8,AO$7,0)</f>
        <v>0</v>
      </c>
      <c r="AR177" s="13">
        <f t="shared" si="47"/>
        <v>0</v>
      </c>
      <c r="AS177" s="6" t="str">
        <f t="shared" si="48"/>
        <v xml:space="preserve"> </v>
      </c>
      <c r="AT177" s="21" t="str">
        <f t="shared" si="49"/>
        <v xml:space="preserve"> </v>
      </c>
    </row>
    <row r="178" spans="3:46">
      <c r="C178" s="22">
        <f t="shared" si="17"/>
        <v>167</v>
      </c>
      <c r="D178" s="23">
        <f>IF(AND(C178&gt;='Amort. Sched.-BASE'!$I$8, C178&lt;= ($I$7+$I$8)), PMT('Amort. Sched.-BASE'!$E$8/12, 'Amort. Sched.-BASE'!$I$7, 'Amort. Sched.-BASE'!$E$7), 0)</f>
        <v>-1736.5864935892569</v>
      </c>
      <c r="E178" s="5">
        <f>IF(AND(C178&gt;='Amort. Sched.-BASE'!$I$8, C178&lt;= ($I$7+$I$8)), (IPMT($E$8/12, (C178-$I$8), $I$7, $E$7)), 0)</f>
        <v>-1023.7101631383076</v>
      </c>
      <c r="F178" s="23">
        <f>IF(AND(C178&gt;='Amort. Sched.-BASE'!$I$8, C178&lt;= ($I$7+$I$8)), (PPMT($E$8/12, (C178-$I$8), $I$7, $E$7)), 0)</f>
        <v>-712.87633045094913</v>
      </c>
      <c r="G178" s="5">
        <f>IF(MortgageAmortBASE[[#This Row],[Month]]=I$8,E$7,0)</f>
        <v>0</v>
      </c>
      <c r="H178" s="13">
        <f>IF(AND(C178&gt;='Amort. Sched.-BASE'!$I$8, C178&lt;= ($I$7+$I$8)), H177+F178, 0)</f>
        <v>152843.64814029523</v>
      </c>
      <c r="I178" s="24">
        <f>IF(AND(C178&gt;='Amort. Sched.-BASE'!$I$8, C178&lt;= ($I$7+$I$8)), E178/D178, " ")</f>
        <v>0.58949563809082517</v>
      </c>
      <c r="J178" s="25">
        <f>IF(AND(C178&gt;='Amort. Sched.-BASE'!$I$8, C178&lt;= ($I$7+$I$8)), F178/D178, " ")</f>
        <v>0.41050436190917478</v>
      </c>
      <c r="L178" s="20">
        <f t="shared" si="34"/>
        <v>167</v>
      </c>
      <c r="M178" s="5">
        <f>IF(AND(L178&gt;='Amort. Sched.-BASE'!$R$8, L178&lt;= ($R$7+$R$8)), PMT('Amort. Sched.-BASE'!$N$8/12, 'Amort. Sched.-BASE'!$R$7, 'Amort. Sched.-BASE'!$N$7), 0)</f>
        <v>0</v>
      </c>
      <c r="N178" s="5">
        <f>IF(AND(L178&gt;='Amort. Sched.-BASE'!$R$8, L178&lt;= ($R$7+$R$8)), (IPMT($N$8/12, (L178-$R$8), $R$7, $N$7)), 0)</f>
        <v>0</v>
      </c>
      <c r="O178" s="5">
        <f>IF(AND(L178&gt;='Amort. Sched.-BASE'!$R$8, L178&lt;= ($R$7+$R$8)), (PPMT($N$8/12, (L178-$R$8), $R$7, $N$7)), 0)</f>
        <v>0</v>
      </c>
      <c r="P178" s="5">
        <f>IF(CreditAmort1BASE[[#This Row],[Month]]=R$8,N$7,0)</f>
        <v>0</v>
      </c>
      <c r="Q178" s="13">
        <f>IF(AND(L178&gt;='Amort. Sched.-BASE'!$R$8, L178&lt;= ($R$7+$R$8)), Q177+O178, 0)</f>
        <v>0</v>
      </c>
      <c r="R178" s="6" t="str">
        <f>IF(AND(L178&gt;='Amort. Sched.-BASE'!$R$8, L178&lt;= ($R$7+$R$8)), N178/M178, " ")</f>
        <v xml:space="preserve"> </v>
      </c>
      <c r="S178" s="21" t="str">
        <f>IF(AND(L178&gt;='Amort. Sched.-BASE'!$R$8, L178&lt;= ($R$7+$R$8)), O178/M178, " ")</f>
        <v xml:space="preserve"> </v>
      </c>
      <c r="U178" s="22">
        <f t="shared" si="35"/>
        <v>167</v>
      </c>
      <c r="V178" s="23">
        <f>IF(AND(U178&gt;='Amort. Sched.-BASE'!$AA$8, U178&lt;= ($AA$7+$AA$8)), PMT('Amort. Sched.-BASE'!$W$8/12, 'Amort. Sched.-BASE'!$AA$7, 'Amort. Sched.-BASE'!$W$7), 0)</f>
        <v>0</v>
      </c>
      <c r="W178" s="5">
        <f>IF(AND(U178&gt;='Amort. Sched.-BASE'!$AA$8, U178&lt;= ($AA$7+$AA$8)), (IPMT($W$8/12, (U178-$AA$8), $AA$7, $W$7)), 0)</f>
        <v>0</v>
      </c>
      <c r="X178" s="23">
        <f>IF(AND(U178&gt;='Amort. Sched.-BASE'!$AA$8, U178&lt;= ($AA$7+$AA$8)), (PPMT($W$8/12, (U178-$AA$8), $AA$7, $W$7)), 0)</f>
        <v>0</v>
      </c>
      <c r="Y178" s="5">
        <f>IF(CreditAmort2BASE[[#This Row],[Month]]=AA$8,W$7,0)</f>
        <v>0</v>
      </c>
      <c r="Z178" s="13">
        <f>IF(AND(U178&gt;='Amort. Sched.-BASE'!$AA$8, U178&lt;= ($AA$7+$AA$8)), Z177+X178, 0)</f>
        <v>0</v>
      </c>
      <c r="AA178" s="24" t="str">
        <f>IF(AND(U178&gt;='Amort. Sched.-BASE'!$AA$8, U178&lt;= ($AA$7+$AA$8)), W178/V178, " ")</f>
        <v xml:space="preserve"> </v>
      </c>
      <c r="AB178" s="25" t="str">
        <f>IF(AND(U178&gt;='Amort. Sched.-BASE'!$AA$8, U178&lt;= ($AA$7+$AA$8)), X178/V178, " ")</f>
        <v xml:space="preserve"> </v>
      </c>
      <c r="AD178" s="20">
        <f t="shared" si="36"/>
        <v>167</v>
      </c>
      <c r="AE178" s="5">
        <f t="shared" si="37"/>
        <v>0</v>
      </c>
      <c r="AF178" s="5">
        <f t="shared" si="38"/>
        <v>0</v>
      </c>
      <c r="AG178" s="5">
        <f t="shared" si="39"/>
        <v>0</v>
      </c>
      <c r="AH178" s="5">
        <f>IF(CreditAmort3BASE[[#This Row],[Month]]=AJ$8,AF$7,0)</f>
        <v>0</v>
      </c>
      <c r="AI178" s="13">
        <f t="shared" si="40"/>
        <v>0</v>
      </c>
      <c r="AJ178" s="6" t="str">
        <f t="shared" si="41"/>
        <v xml:space="preserve"> </v>
      </c>
      <c r="AK178" s="21" t="str">
        <f t="shared" si="42"/>
        <v xml:space="preserve"> </v>
      </c>
      <c r="AM178" s="20">
        <f t="shared" si="43"/>
        <v>167</v>
      </c>
      <c r="AN178" s="5">
        <f t="shared" si="44"/>
        <v>0</v>
      </c>
      <c r="AO178" s="5">
        <f t="shared" si="45"/>
        <v>0</v>
      </c>
      <c r="AP178" s="5">
        <f t="shared" si="46"/>
        <v>0</v>
      </c>
      <c r="AQ178" s="5">
        <f>IF(CreditAmort4BASE[[#This Row],[Month]]=AS$8,AO$7,0)</f>
        <v>0</v>
      </c>
      <c r="AR178" s="13">
        <f t="shared" si="47"/>
        <v>0</v>
      </c>
      <c r="AS178" s="6" t="str">
        <f t="shared" si="48"/>
        <v xml:space="preserve"> </v>
      </c>
      <c r="AT178" s="21" t="str">
        <f t="shared" si="49"/>
        <v xml:space="preserve"> </v>
      </c>
    </row>
    <row r="179" spans="3:46">
      <c r="C179" s="22">
        <f t="shared" si="17"/>
        <v>168</v>
      </c>
      <c r="D179" s="23">
        <f>IF(AND(C179&gt;='Amort. Sched.-BASE'!$I$8, C179&lt;= ($I$7+$I$8)), PMT('Amort. Sched.-BASE'!$E$8/12, 'Amort. Sched.-BASE'!$I$7, 'Amort. Sched.-BASE'!$E$7), 0)</f>
        <v>-1736.5864935892569</v>
      </c>
      <c r="E179" s="5">
        <f>IF(AND(C179&gt;='Amort. Sched.-BASE'!$I$8, C179&lt;= ($I$7+$I$8)), (IPMT($E$8/12, (C179-$I$8), $I$7, $E$7)), 0)</f>
        <v>-1018.957654268635</v>
      </c>
      <c r="F179" s="23">
        <f>IF(AND(C179&gt;='Amort. Sched.-BASE'!$I$8, C179&lt;= ($I$7+$I$8)), (PPMT($E$8/12, (C179-$I$8), $I$7, $E$7)), 0)</f>
        <v>-717.62883932062221</v>
      </c>
      <c r="G179" s="5">
        <f>IF(MortgageAmortBASE[[#This Row],[Month]]=I$8,E$7,0)</f>
        <v>0</v>
      </c>
      <c r="H179" s="13">
        <f>IF(AND(C179&gt;='Amort. Sched.-BASE'!$I$8, C179&lt;= ($I$7+$I$8)), H178+F179, 0)</f>
        <v>152126.01930097461</v>
      </c>
      <c r="I179" s="24">
        <f>IF(AND(C179&gt;='Amort. Sched.-BASE'!$I$8, C179&lt;= ($I$7+$I$8)), E179/D179, " ")</f>
        <v>0.58675894234476422</v>
      </c>
      <c r="J179" s="25">
        <f>IF(AND(C179&gt;='Amort. Sched.-BASE'!$I$8, C179&lt;= ($I$7+$I$8)), F179/D179, " ")</f>
        <v>0.413241057655236</v>
      </c>
      <c r="L179" s="20">
        <f t="shared" si="34"/>
        <v>168</v>
      </c>
      <c r="M179" s="5">
        <f>IF(AND(L179&gt;='Amort. Sched.-BASE'!$R$8, L179&lt;= ($R$7+$R$8)), PMT('Amort. Sched.-BASE'!$N$8/12, 'Amort. Sched.-BASE'!$R$7, 'Amort. Sched.-BASE'!$N$7), 0)</f>
        <v>0</v>
      </c>
      <c r="N179" s="5">
        <f>IF(AND(L179&gt;='Amort. Sched.-BASE'!$R$8, L179&lt;= ($R$7+$R$8)), (IPMT($N$8/12, (L179-$R$8), $R$7, $N$7)), 0)</f>
        <v>0</v>
      </c>
      <c r="O179" s="5">
        <f>IF(AND(L179&gt;='Amort. Sched.-BASE'!$R$8, L179&lt;= ($R$7+$R$8)), (PPMT($N$8/12, (L179-$R$8), $R$7, $N$7)), 0)</f>
        <v>0</v>
      </c>
      <c r="P179" s="5">
        <f>IF(CreditAmort1BASE[[#This Row],[Month]]=R$8,N$7,0)</f>
        <v>0</v>
      </c>
      <c r="Q179" s="13">
        <f>IF(AND(L179&gt;='Amort. Sched.-BASE'!$R$8, L179&lt;= ($R$7+$R$8)), Q178+O179, 0)</f>
        <v>0</v>
      </c>
      <c r="R179" s="6" t="str">
        <f>IF(AND(L179&gt;='Amort. Sched.-BASE'!$R$8, L179&lt;= ($R$7+$R$8)), N179/M179, " ")</f>
        <v xml:space="preserve"> </v>
      </c>
      <c r="S179" s="21" t="str">
        <f>IF(AND(L179&gt;='Amort. Sched.-BASE'!$R$8, L179&lt;= ($R$7+$R$8)), O179/M179, " ")</f>
        <v xml:space="preserve"> </v>
      </c>
      <c r="U179" s="22">
        <f t="shared" si="35"/>
        <v>168</v>
      </c>
      <c r="V179" s="23">
        <f>IF(AND(U179&gt;='Amort. Sched.-BASE'!$AA$8, U179&lt;= ($AA$7+$AA$8)), PMT('Amort. Sched.-BASE'!$W$8/12, 'Amort. Sched.-BASE'!$AA$7, 'Amort. Sched.-BASE'!$W$7), 0)</f>
        <v>0</v>
      </c>
      <c r="W179" s="5">
        <f>IF(AND(U179&gt;='Amort. Sched.-BASE'!$AA$8, U179&lt;= ($AA$7+$AA$8)), (IPMT($W$8/12, (U179-$AA$8), $AA$7, $W$7)), 0)</f>
        <v>0</v>
      </c>
      <c r="X179" s="23">
        <f>IF(AND(U179&gt;='Amort. Sched.-BASE'!$AA$8, U179&lt;= ($AA$7+$AA$8)), (PPMT($W$8/12, (U179-$AA$8), $AA$7, $W$7)), 0)</f>
        <v>0</v>
      </c>
      <c r="Y179" s="5">
        <f>IF(CreditAmort2BASE[[#This Row],[Month]]=AA$8,W$7,0)</f>
        <v>0</v>
      </c>
      <c r="Z179" s="13">
        <f>IF(AND(U179&gt;='Amort. Sched.-BASE'!$AA$8, U179&lt;= ($AA$7+$AA$8)), Z178+X179, 0)</f>
        <v>0</v>
      </c>
      <c r="AA179" s="24" t="str">
        <f>IF(AND(U179&gt;='Amort. Sched.-BASE'!$AA$8, U179&lt;= ($AA$7+$AA$8)), W179/V179, " ")</f>
        <v xml:space="preserve"> </v>
      </c>
      <c r="AB179" s="25" t="str">
        <f>IF(AND(U179&gt;='Amort. Sched.-BASE'!$AA$8, U179&lt;= ($AA$7+$AA$8)), X179/V179, " ")</f>
        <v xml:space="preserve"> </v>
      </c>
      <c r="AD179" s="20">
        <f t="shared" si="36"/>
        <v>168</v>
      </c>
      <c r="AE179" s="5">
        <f t="shared" si="37"/>
        <v>0</v>
      </c>
      <c r="AF179" s="5">
        <f t="shared" si="38"/>
        <v>0</v>
      </c>
      <c r="AG179" s="5">
        <f t="shared" si="39"/>
        <v>0</v>
      </c>
      <c r="AH179" s="5">
        <f>IF(CreditAmort3BASE[[#This Row],[Month]]=AJ$8,AF$7,0)</f>
        <v>0</v>
      </c>
      <c r="AI179" s="13">
        <f t="shared" si="40"/>
        <v>0</v>
      </c>
      <c r="AJ179" s="6" t="str">
        <f t="shared" si="41"/>
        <v xml:space="preserve"> </v>
      </c>
      <c r="AK179" s="21" t="str">
        <f t="shared" si="42"/>
        <v xml:space="preserve"> </v>
      </c>
      <c r="AM179" s="20">
        <f t="shared" si="43"/>
        <v>168</v>
      </c>
      <c r="AN179" s="5">
        <f t="shared" si="44"/>
        <v>0</v>
      </c>
      <c r="AO179" s="5">
        <f t="shared" si="45"/>
        <v>0</v>
      </c>
      <c r="AP179" s="5">
        <f t="shared" si="46"/>
        <v>0</v>
      </c>
      <c r="AQ179" s="5">
        <f>IF(CreditAmort4BASE[[#This Row],[Month]]=AS$8,AO$7,0)</f>
        <v>0</v>
      </c>
      <c r="AR179" s="13">
        <f t="shared" si="47"/>
        <v>0</v>
      </c>
      <c r="AS179" s="6" t="str">
        <f t="shared" si="48"/>
        <v xml:space="preserve"> </v>
      </c>
      <c r="AT179" s="21" t="str">
        <f t="shared" si="49"/>
        <v xml:space="preserve"> </v>
      </c>
    </row>
    <row r="180" spans="3:46">
      <c r="C180" s="22">
        <f t="shared" si="17"/>
        <v>169</v>
      </c>
      <c r="D180" s="23">
        <f>IF(AND(C180&gt;='Amort. Sched.-BASE'!$I$8, C180&lt;= ($I$7+$I$8)), PMT('Amort. Sched.-BASE'!$E$8/12, 'Amort. Sched.-BASE'!$I$7, 'Amort. Sched.-BASE'!$E$7), 0)</f>
        <v>-1736.5864935892569</v>
      </c>
      <c r="E180" s="5">
        <f>IF(AND(C180&gt;='Amort. Sched.-BASE'!$I$8, C180&lt;= ($I$7+$I$8)), (IPMT($E$8/12, (C180-$I$8), $I$7, $E$7)), 0)</f>
        <v>-1014.1734620064973</v>
      </c>
      <c r="F180" s="23">
        <f>IF(AND(C180&gt;='Amort. Sched.-BASE'!$I$8, C180&lt;= ($I$7+$I$8)), (PPMT($E$8/12, (C180-$I$8), $I$7, $E$7)), 0)</f>
        <v>-722.41303158275969</v>
      </c>
      <c r="G180" s="5">
        <f>IF(MortgageAmortBASE[[#This Row],[Month]]=I$8,E$7,0)</f>
        <v>0</v>
      </c>
      <c r="H180" s="13">
        <f>IF(AND(C180&gt;='Amort. Sched.-BASE'!$I$8, C180&lt;= ($I$7+$I$8)), H179+F180, 0)</f>
        <v>151403.60626939186</v>
      </c>
      <c r="I180" s="24">
        <f>IF(AND(C180&gt;='Amort. Sched.-BASE'!$I$8, C180&lt;= ($I$7+$I$8)), E180/D180, " ")</f>
        <v>0.58400400196039581</v>
      </c>
      <c r="J180" s="25">
        <f>IF(AND(C180&gt;='Amort. Sched.-BASE'!$I$8, C180&lt;= ($I$7+$I$8)), F180/D180, " ")</f>
        <v>0.41599599803960424</v>
      </c>
      <c r="L180" s="20">
        <f t="shared" si="34"/>
        <v>169</v>
      </c>
      <c r="M180" s="5">
        <f>IF(AND(L180&gt;='Amort. Sched.-BASE'!$R$8, L180&lt;= ($R$7+$R$8)), PMT('Amort. Sched.-BASE'!$N$8/12, 'Amort. Sched.-BASE'!$R$7, 'Amort. Sched.-BASE'!$N$7), 0)</f>
        <v>0</v>
      </c>
      <c r="N180" s="5">
        <f>IF(AND(L180&gt;='Amort. Sched.-BASE'!$R$8, L180&lt;= ($R$7+$R$8)), (IPMT($N$8/12, (L180-$R$8), $R$7, $N$7)), 0)</f>
        <v>0</v>
      </c>
      <c r="O180" s="5">
        <f>IF(AND(L180&gt;='Amort. Sched.-BASE'!$R$8, L180&lt;= ($R$7+$R$8)), (PPMT($N$8/12, (L180-$R$8), $R$7, $N$7)), 0)</f>
        <v>0</v>
      </c>
      <c r="P180" s="5">
        <f>IF(CreditAmort1BASE[[#This Row],[Month]]=R$8,N$7,0)</f>
        <v>0</v>
      </c>
      <c r="Q180" s="13">
        <f>IF(AND(L180&gt;='Amort. Sched.-BASE'!$R$8, L180&lt;= ($R$7+$R$8)), Q179+O180, 0)</f>
        <v>0</v>
      </c>
      <c r="R180" s="6" t="str">
        <f>IF(AND(L180&gt;='Amort. Sched.-BASE'!$R$8, L180&lt;= ($R$7+$R$8)), N180/M180, " ")</f>
        <v xml:space="preserve"> </v>
      </c>
      <c r="S180" s="21" t="str">
        <f>IF(AND(L180&gt;='Amort. Sched.-BASE'!$R$8, L180&lt;= ($R$7+$R$8)), O180/M180, " ")</f>
        <v xml:space="preserve"> </v>
      </c>
      <c r="U180" s="22">
        <f t="shared" si="35"/>
        <v>169</v>
      </c>
      <c r="V180" s="23">
        <f>IF(AND(U180&gt;='Amort. Sched.-BASE'!$AA$8, U180&lt;= ($AA$7+$AA$8)), PMT('Amort. Sched.-BASE'!$W$8/12, 'Amort. Sched.-BASE'!$AA$7, 'Amort. Sched.-BASE'!$W$7), 0)</f>
        <v>0</v>
      </c>
      <c r="W180" s="5">
        <f>IF(AND(U180&gt;='Amort. Sched.-BASE'!$AA$8, U180&lt;= ($AA$7+$AA$8)), (IPMT($W$8/12, (U180-$AA$8), $AA$7, $W$7)), 0)</f>
        <v>0</v>
      </c>
      <c r="X180" s="23">
        <f>IF(AND(U180&gt;='Amort. Sched.-BASE'!$AA$8, U180&lt;= ($AA$7+$AA$8)), (PPMT($W$8/12, (U180-$AA$8), $AA$7, $W$7)), 0)</f>
        <v>0</v>
      </c>
      <c r="Y180" s="5">
        <f>IF(CreditAmort2BASE[[#This Row],[Month]]=AA$8,W$7,0)</f>
        <v>0</v>
      </c>
      <c r="Z180" s="13">
        <f>IF(AND(U180&gt;='Amort. Sched.-BASE'!$AA$8, U180&lt;= ($AA$7+$AA$8)), Z179+X180, 0)</f>
        <v>0</v>
      </c>
      <c r="AA180" s="24" t="str">
        <f>IF(AND(U180&gt;='Amort. Sched.-BASE'!$AA$8, U180&lt;= ($AA$7+$AA$8)), W180/V180, " ")</f>
        <v xml:space="preserve"> </v>
      </c>
      <c r="AB180" s="25" t="str">
        <f>IF(AND(U180&gt;='Amort. Sched.-BASE'!$AA$8, U180&lt;= ($AA$7+$AA$8)), X180/V180, " ")</f>
        <v xml:space="preserve"> </v>
      </c>
      <c r="AD180" s="20">
        <f t="shared" si="36"/>
        <v>169</v>
      </c>
      <c r="AE180" s="5">
        <f t="shared" si="37"/>
        <v>0</v>
      </c>
      <c r="AF180" s="5">
        <f t="shared" si="38"/>
        <v>0</v>
      </c>
      <c r="AG180" s="5">
        <f t="shared" si="39"/>
        <v>0</v>
      </c>
      <c r="AH180" s="5">
        <f>IF(CreditAmort3BASE[[#This Row],[Month]]=AJ$8,AF$7,0)</f>
        <v>0</v>
      </c>
      <c r="AI180" s="13">
        <f t="shared" si="40"/>
        <v>0</v>
      </c>
      <c r="AJ180" s="6" t="str">
        <f t="shared" si="41"/>
        <v xml:space="preserve"> </v>
      </c>
      <c r="AK180" s="21" t="str">
        <f t="shared" si="42"/>
        <v xml:space="preserve"> </v>
      </c>
      <c r="AM180" s="20">
        <f t="shared" si="43"/>
        <v>169</v>
      </c>
      <c r="AN180" s="5">
        <f t="shared" si="44"/>
        <v>0</v>
      </c>
      <c r="AO180" s="5">
        <f t="shared" si="45"/>
        <v>0</v>
      </c>
      <c r="AP180" s="5">
        <f t="shared" si="46"/>
        <v>0</v>
      </c>
      <c r="AQ180" s="5">
        <f>IF(CreditAmort4BASE[[#This Row],[Month]]=AS$8,AO$7,0)</f>
        <v>0</v>
      </c>
      <c r="AR180" s="13">
        <f t="shared" si="47"/>
        <v>0</v>
      </c>
      <c r="AS180" s="6" t="str">
        <f t="shared" si="48"/>
        <v xml:space="preserve"> </v>
      </c>
      <c r="AT180" s="21" t="str">
        <f t="shared" si="49"/>
        <v xml:space="preserve"> </v>
      </c>
    </row>
    <row r="181" spans="3:46">
      <c r="C181" s="22">
        <f t="shared" si="17"/>
        <v>170</v>
      </c>
      <c r="D181" s="23">
        <f>IF(AND(C181&gt;='Amort. Sched.-BASE'!$I$8, C181&lt;= ($I$7+$I$8)), PMT('Amort. Sched.-BASE'!$E$8/12, 'Amort. Sched.-BASE'!$I$7, 'Amort. Sched.-BASE'!$E$7), 0)</f>
        <v>-1736.5864935892569</v>
      </c>
      <c r="E181" s="5">
        <f>IF(AND(C181&gt;='Amort. Sched.-BASE'!$I$8, C181&lt;= ($I$7+$I$8)), (IPMT($E$8/12, (C181-$I$8), $I$7, $E$7)), 0)</f>
        <v>-1009.3573751292791</v>
      </c>
      <c r="F181" s="23">
        <f>IF(AND(C181&gt;='Amort. Sched.-BASE'!$I$8, C181&lt;= ($I$7+$I$8)), (PPMT($E$8/12, (C181-$I$8), $I$7, $E$7)), 0)</f>
        <v>-727.22911845997805</v>
      </c>
      <c r="G181" s="5">
        <f>IF(MortgageAmortBASE[[#This Row],[Month]]=I$8,E$7,0)</f>
        <v>0</v>
      </c>
      <c r="H181" s="13">
        <f>IF(AND(C181&gt;='Amort. Sched.-BASE'!$I$8, C181&lt;= ($I$7+$I$8)), H180+F181, 0)</f>
        <v>150676.37715093189</v>
      </c>
      <c r="I181" s="24">
        <f>IF(AND(C181&gt;='Amort. Sched.-BASE'!$I$8, C181&lt;= ($I$7+$I$8)), E181/D181, " ")</f>
        <v>0.58123069530679861</v>
      </c>
      <c r="J181" s="25">
        <f>IF(AND(C181&gt;='Amort. Sched.-BASE'!$I$8, C181&lt;= ($I$7+$I$8)), F181/D181, " ")</f>
        <v>0.41876930469320156</v>
      </c>
      <c r="L181" s="20">
        <f t="shared" si="34"/>
        <v>170</v>
      </c>
      <c r="M181" s="5">
        <f>IF(AND(L181&gt;='Amort. Sched.-BASE'!$R$8, L181&lt;= ($R$7+$R$8)), PMT('Amort. Sched.-BASE'!$N$8/12, 'Amort. Sched.-BASE'!$R$7, 'Amort. Sched.-BASE'!$N$7), 0)</f>
        <v>0</v>
      </c>
      <c r="N181" s="5">
        <f>IF(AND(L181&gt;='Amort. Sched.-BASE'!$R$8, L181&lt;= ($R$7+$R$8)), (IPMT($N$8/12, (L181-$R$8), $R$7, $N$7)), 0)</f>
        <v>0</v>
      </c>
      <c r="O181" s="5">
        <f>IF(AND(L181&gt;='Amort. Sched.-BASE'!$R$8, L181&lt;= ($R$7+$R$8)), (PPMT($N$8/12, (L181-$R$8), $R$7, $N$7)), 0)</f>
        <v>0</v>
      </c>
      <c r="P181" s="5">
        <f>IF(CreditAmort1BASE[[#This Row],[Month]]=R$8,N$7,0)</f>
        <v>0</v>
      </c>
      <c r="Q181" s="13">
        <f>IF(AND(L181&gt;='Amort. Sched.-BASE'!$R$8, L181&lt;= ($R$7+$R$8)), Q180+O181, 0)</f>
        <v>0</v>
      </c>
      <c r="R181" s="6" t="str">
        <f>IF(AND(L181&gt;='Amort. Sched.-BASE'!$R$8, L181&lt;= ($R$7+$R$8)), N181/M181, " ")</f>
        <v xml:space="preserve"> </v>
      </c>
      <c r="S181" s="21" t="str">
        <f>IF(AND(L181&gt;='Amort. Sched.-BASE'!$R$8, L181&lt;= ($R$7+$R$8)), O181/M181, " ")</f>
        <v xml:space="preserve"> </v>
      </c>
      <c r="U181" s="22">
        <f t="shared" si="35"/>
        <v>170</v>
      </c>
      <c r="V181" s="23">
        <f>IF(AND(U181&gt;='Amort. Sched.-BASE'!$AA$8, U181&lt;= ($AA$7+$AA$8)), PMT('Amort. Sched.-BASE'!$W$8/12, 'Amort. Sched.-BASE'!$AA$7, 'Amort. Sched.-BASE'!$W$7), 0)</f>
        <v>0</v>
      </c>
      <c r="W181" s="5">
        <f>IF(AND(U181&gt;='Amort. Sched.-BASE'!$AA$8, U181&lt;= ($AA$7+$AA$8)), (IPMT($W$8/12, (U181-$AA$8), $AA$7, $W$7)), 0)</f>
        <v>0</v>
      </c>
      <c r="X181" s="23">
        <f>IF(AND(U181&gt;='Amort. Sched.-BASE'!$AA$8, U181&lt;= ($AA$7+$AA$8)), (PPMT($W$8/12, (U181-$AA$8), $AA$7, $W$7)), 0)</f>
        <v>0</v>
      </c>
      <c r="Y181" s="5">
        <f>IF(CreditAmort2BASE[[#This Row],[Month]]=AA$8,W$7,0)</f>
        <v>0</v>
      </c>
      <c r="Z181" s="13">
        <f>IF(AND(U181&gt;='Amort. Sched.-BASE'!$AA$8, U181&lt;= ($AA$7+$AA$8)), Z180+X181, 0)</f>
        <v>0</v>
      </c>
      <c r="AA181" s="24" t="str">
        <f>IF(AND(U181&gt;='Amort. Sched.-BASE'!$AA$8, U181&lt;= ($AA$7+$AA$8)), W181/V181, " ")</f>
        <v xml:space="preserve"> </v>
      </c>
      <c r="AB181" s="25" t="str">
        <f>IF(AND(U181&gt;='Amort. Sched.-BASE'!$AA$8, U181&lt;= ($AA$7+$AA$8)), X181/V181, " ")</f>
        <v xml:space="preserve"> </v>
      </c>
      <c r="AD181" s="20">
        <f t="shared" si="36"/>
        <v>170</v>
      </c>
      <c r="AE181" s="5">
        <f t="shared" si="37"/>
        <v>0</v>
      </c>
      <c r="AF181" s="5">
        <f t="shared" si="38"/>
        <v>0</v>
      </c>
      <c r="AG181" s="5">
        <f t="shared" si="39"/>
        <v>0</v>
      </c>
      <c r="AH181" s="5">
        <f>IF(CreditAmort3BASE[[#This Row],[Month]]=AJ$8,AF$7,0)</f>
        <v>0</v>
      </c>
      <c r="AI181" s="13">
        <f t="shared" si="40"/>
        <v>0</v>
      </c>
      <c r="AJ181" s="6" t="str">
        <f t="shared" si="41"/>
        <v xml:space="preserve"> </v>
      </c>
      <c r="AK181" s="21" t="str">
        <f t="shared" si="42"/>
        <v xml:space="preserve"> </v>
      </c>
      <c r="AM181" s="20">
        <f t="shared" si="43"/>
        <v>170</v>
      </c>
      <c r="AN181" s="5">
        <f t="shared" si="44"/>
        <v>0</v>
      </c>
      <c r="AO181" s="5">
        <f t="shared" si="45"/>
        <v>0</v>
      </c>
      <c r="AP181" s="5">
        <f t="shared" si="46"/>
        <v>0</v>
      </c>
      <c r="AQ181" s="5">
        <f>IF(CreditAmort4BASE[[#This Row],[Month]]=AS$8,AO$7,0)</f>
        <v>0</v>
      </c>
      <c r="AR181" s="13">
        <f t="shared" si="47"/>
        <v>0</v>
      </c>
      <c r="AS181" s="6" t="str">
        <f t="shared" si="48"/>
        <v xml:space="preserve"> </v>
      </c>
      <c r="AT181" s="21" t="str">
        <f t="shared" si="49"/>
        <v xml:space="preserve"> </v>
      </c>
    </row>
    <row r="182" spans="3:46">
      <c r="C182" s="22">
        <f t="shared" si="17"/>
        <v>171</v>
      </c>
      <c r="D182" s="23">
        <f>IF(AND(C182&gt;='Amort. Sched.-BASE'!$I$8, C182&lt;= ($I$7+$I$8)), PMT('Amort. Sched.-BASE'!$E$8/12, 'Amort. Sched.-BASE'!$I$7, 'Amort. Sched.-BASE'!$E$7), 0)</f>
        <v>-1736.5864935892569</v>
      </c>
      <c r="E182" s="5">
        <f>IF(AND(C182&gt;='Amort. Sched.-BASE'!$I$8, C182&lt;= ($I$7+$I$8)), (IPMT($E$8/12, (C182-$I$8), $I$7, $E$7)), 0)</f>
        <v>-1004.5091810062124</v>
      </c>
      <c r="F182" s="23">
        <f>IF(AND(C182&gt;='Amort. Sched.-BASE'!$I$8, C182&lt;= ($I$7+$I$8)), (PPMT($E$8/12, (C182-$I$8), $I$7, $E$7)), 0)</f>
        <v>-732.07731258304455</v>
      </c>
      <c r="G182" s="5">
        <f>IF(MortgageAmortBASE[[#This Row],[Month]]=I$8,E$7,0)</f>
        <v>0</v>
      </c>
      <c r="H182" s="13">
        <f>IF(AND(C182&gt;='Amort. Sched.-BASE'!$I$8, C182&lt;= ($I$7+$I$8)), H181+F182, 0)</f>
        <v>149944.29983834884</v>
      </c>
      <c r="I182" s="24">
        <f>IF(AND(C182&gt;='Amort. Sched.-BASE'!$I$8, C182&lt;= ($I$7+$I$8)), E182/D182, " ")</f>
        <v>0.57843889994217712</v>
      </c>
      <c r="J182" s="25">
        <f>IF(AND(C182&gt;='Amort. Sched.-BASE'!$I$8, C182&lt;= ($I$7+$I$8)), F182/D182, " ")</f>
        <v>0.42156110005782288</v>
      </c>
      <c r="L182" s="20">
        <f t="shared" si="34"/>
        <v>171</v>
      </c>
      <c r="M182" s="5">
        <f>IF(AND(L182&gt;='Amort. Sched.-BASE'!$R$8, L182&lt;= ($R$7+$R$8)), PMT('Amort. Sched.-BASE'!$N$8/12, 'Amort. Sched.-BASE'!$R$7, 'Amort. Sched.-BASE'!$N$7), 0)</f>
        <v>0</v>
      </c>
      <c r="N182" s="5">
        <f>IF(AND(L182&gt;='Amort. Sched.-BASE'!$R$8, L182&lt;= ($R$7+$R$8)), (IPMT($N$8/12, (L182-$R$8), $R$7, $N$7)), 0)</f>
        <v>0</v>
      </c>
      <c r="O182" s="5">
        <f>IF(AND(L182&gt;='Amort. Sched.-BASE'!$R$8, L182&lt;= ($R$7+$R$8)), (PPMT($N$8/12, (L182-$R$8), $R$7, $N$7)), 0)</f>
        <v>0</v>
      </c>
      <c r="P182" s="5">
        <f>IF(CreditAmort1BASE[[#This Row],[Month]]=R$8,N$7,0)</f>
        <v>0</v>
      </c>
      <c r="Q182" s="13">
        <f>IF(AND(L182&gt;='Amort. Sched.-BASE'!$R$8, L182&lt;= ($R$7+$R$8)), Q181+O182, 0)</f>
        <v>0</v>
      </c>
      <c r="R182" s="6" t="str">
        <f>IF(AND(L182&gt;='Amort. Sched.-BASE'!$R$8, L182&lt;= ($R$7+$R$8)), N182/M182, " ")</f>
        <v xml:space="preserve"> </v>
      </c>
      <c r="S182" s="21" t="str">
        <f>IF(AND(L182&gt;='Amort. Sched.-BASE'!$R$8, L182&lt;= ($R$7+$R$8)), O182/M182, " ")</f>
        <v xml:space="preserve"> </v>
      </c>
      <c r="U182" s="22">
        <f t="shared" si="35"/>
        <v>171</v>
      </c>
      <c r="V182" s="23">
        <f>IF(AND(U182&gt;='Amort. Sched.-BASE'!$AA$8, U182&lt;= ($AA$7+$AA$8)), PMT('Amort. Sched.-BASE'!$W$8/12, 'Amort. Sched.-BASE'!$AA$7, 'Amort. Sched.-BASE'!$W$7), 0)</f>
        <v>0</v>
      </c>
      <c r="W182" s="5">
        <f>IF(AND(U182&gt;='Amort. Sched.-BASE'!$AA$8, U182&lt;= ($AA$7+$AA$8)), (IPMT($W$8/12, (U182-$AA$8), $AA$7, $W$7)), 0)</f>
        <v>0</v>
      </c>
      <c r="X182" s="23">
        <f>IF(AND(U182&gt;='Amort. Sched.-BASE'!$AA$8, U182&lt;= ($AA$7+$AA$8)), (PPMT($W$8/12, (U182-$AA$8), $AA$7, $W$7)), 0)</f>
        <v>0</v>
      </c>
      <c r="Y182" s="5">
        <f>IF(CreditAmort2BASE[[#This Row],[Month]]=AA$8,W$7,0)</f>
        <v>0</v>
      </c>
      <c r="Z182" s="13">
        <f>IF(AND(U182&gt;='Amort. Sched.-BASE'!$AA$8, U182&lt;= ($AA$7+$AA$8)), Z181+X182, 0)</f>
        <v>0</v>
      </c>
      <c r="AA182" s="24" t="str">
        <f>IF(AND(U182&gt;='Amort. Sched.-BASE'!$AA$8, U182&lt;= ($AA$7+$AA$8)), W182/V182, " ")</f>
        <v xml:space="preserve"> </v>
      </c>
      <c r="AB182" s="25" t="str">
        <f>IF(AND(U182&gt;='Amort. Sched.-BASE'!$AA$8, U182&lt;= ($AA$7+$AA$8)), X182/V182, " ")</f>
        <v xml:space="preserve"> </v>
      </c>
      <c r="AD182" s="20">
        <f t="shared" si="36"/>
        <v>171</v>
      </c>
      <c r="AE182" s="5">
        <f t="shared" si="37"/>
        <v>0</v>
      </c>
      <c r="AF182" s="5">
        <f t="shared" si="38"/>
        <v>0</v>
      </c>
      <c r="AG182" s="5">
        <f t="shared" si="39"/>
        <v>0</v>
      </c>
      <c r="AH182" s="5">
        <f>IF(CreditAmort3BASE[[#This Row],[Month]]=AJ$8,AF$7,0)</f>
        <v>0</v>
      </c>
      <c r="AI182" s="13">
        <f t="shared" si="40"/>
        <v>0</v>
      </c>
      <c r="AJ182" s="6" t="str">
        <f t="shared" si="41"/>
        <v xml:space="preserve"> </v>
      </c>
      <c r="AK182" s="21" t="str">
        <f t="shared" si="42"/>
        <v xml:space="preserve"> </v>
      </c>
      <c r="AM182" s="20">
        <f t="shared" si="43"/>
        <v>171</v>
      </c>
      <c r="AN182" s="5">
        <f t="shared" si="44"/>
        <v>0</v>
      </c>
      <c r="AO182" s="5">
        <f t="shared" si="45"/>
        <v>0</v>
      </c>
      <c r="AP182" s="5">
        <f t="shared" si="46"/>
        <v>0</v>
      </c>
      <c r="AQ182" s="5">
        <f>IF(CreditAmort4BASE[[#This Row],[Month]]=AS$8,AO$7,0)</f>
        <v>0</v>
      </c>
      <c r="AR182" s="13">
        <f t="shared" si="47"/>
        <v>0</v>
      </c>
      <c r="AS182" s="6" t="str">
        <f t="shared" si="48"/>
        <v xml:space="preserve"> </v>
      </c>
      <c r="AT182" s="21" t="str">
        <f t="shared" si="49"/>
        <v xml:space="preserve"> </v>
      </c>
    </row>
    <row r="183" spans="3:46">
      <c r="C183" s="22">
        <f t="shared" si="17"/>
        <v>172</v>
      </c>
      <c r="D183" s="23">
        <f>IF(AND(C183&gt;='Amort. Sched.-BASE'!$I$8, C183&lt;= ($I$7+$I$8)), PMT('Amort. Sched.-BASE'!$E$8/12, 'Amort. Sched.-BASE'!$I$7, 'Amort. Sched.-BASE'!$E$7), 0)</f>
        <v>-1736.5864935892569</v>
      </c>
      <c r="E183" s="5">
        <f>IF(AND(C183&gt;='Amort. Sched.-BASE'!$I$8, C183&lt;= ($I$7+$I$8)), (IPMT($E$8/12, (C183-$I$8), $I$7, $E$7)), 0)</f>
        <v>-999.62866558899202</v>
      </c>
      <c r="F183" s="23">
        <f>IF(AND(C183&gt;='Amort. Sched.-BASE'!$I$8, C183&lt;= ($I$7+$I$8)), (PPMT($E$8/12, (C183-$I$8), $I$7, $E$7)), 0)</f>
        <v>-736.95782800026484</v>
      </c>
      <c r="G183" s="5">
        <f>IF(MortgageAmortBASE[[#This Row],[Month]]=I$8,E$7,0)</f>
        <v>0</v>
      </c>
      <c r="H183" s="13">
        <f>IF(AND(C183&gt;='Amort. Sched.-BASE'!$I$8, C183&lt;= ($I$7+$I$8)), H182+F183, 0)</f>
        <v>149207.34201034857</v>
      </c>
      <c r="I183" s="24">
        <f>IF(AND(C183&gt;='Amort. Sched.-BASE'!$I$8, C183&lt;= ($I$7+$I$8)), E183/D183, " ")</f>
        <v>0.57562849260845828</v>
      </c>
      <c r="J183" s="25">
        <f>IF(AND(C183&gt;='Amort. Sched.-BASE'!$I$8, C183&lt;= ($I$7+$I$8)), F183/D183, " ")</f>
        <v>0.42437150739154172</v>
      </c>
      <c r="L183" s="20">
        <f t="shared" si="34"/>
        <v>172</v>
      </c>
      <c r="M183" s="5">
        <f>IF(AND(L183&gt;='Amort. Sched.-BASE'!$R$8, L183&lt;= ($R$7+$R$8)), PMT('Amort. Sched.-BASE'!$N$8/12, 'Amort. Sched.-BASE'!$R$7, 'Amort. Sched.-BASE'!$N$7), 0)</f>
        <v>0</v>
      </c>
      <c r="N183" s="5">
        <f>IF(AND(L183&gt;='Amort. Sched.-BASE'!$R$8, L183&lt;= ($R$7+$R$8)), (IPMT($N$8/12, (L183-$R$8), $R$7, $N$7)), 0)</f>
        <v>0</v>
      </c>
      <c r="O183" s="5">
        <f>IF(AND(L183&gt;='Amort. Sched.-BASE'!$R$8, L183&lt;= ($R$7+$R$8)), (PPMT($N$8/12, (L183-$R$8), $R$7, $N$7)), 0)</f>
        <v>0</v>
      </c>
      <c r="P183" s="5">
        <f>IF(CreditAmort1BASE[[#This Row],[Month]]=R$8,N$7,0)</f>
        <v>0</v>
      </c>
      <c r="Q183" s="13">
        <f>IF(AND(L183&gt;='Amort. Sched.-BASE'!$R$8, L183&lt;= ($R$7+$R$8)), Q182+O183, 0)</f>
        <v>0</v>
      </c>
      <c r="R183" s="6" t="str">
        <f>IF(AND(L183&gt;='Amort. Sched.-BASE'!$R$8, L183&lt;= ($R$7+$R$8)), N183/M183, " ")</f>
        <v xml:space="preserve"> </v>
      </c>
      <c r="S183" s="21" t="str">
        <f>IF(AND(L183&gt;='Amort. Sched.-BASE'!$R$8, L183&lt;= ($R$7+$R$8)), O183/M183, " ")</f>
        <v xml:space="preserve"> </v>
      </c>
      <c r="U183" s="22">
        <f t="shared" si="35"/>
        <v>172</v>
      </c>
      <c r="V183" s="23">
        <f>IF(AND(U183&gt;='Amort. Sched.-BASE'!$AA$8, U183&lt;= ($AA$7+$AA$8)), PMT('Amort. Sched.-BASE'!$W$8/12, 'Amort. Sched.-BASE'!$AA$7, 'Amort. Sched.-BASE'!$W$7), 0)</f>
        <v>0</v>
      </c>
      <c r="W183" s="5">
        <f>IF(AND(U183&gt;='Amort. Sched.-BASE'!$AA$8, U183&lt;= ($AA$7+$AA$8)), (IPMT($W$8/12, (U183-$AA$8), $AA$7, $W$7)), 0)</f>
        <v>0</v>
      </c>
      <c r="X183" s="23">
        <f>IF(AND(U183&gt;='Amort. Sched.-BASE'!$AA$8, U183&lt;= ($AA$7+$AA$8)), (PPMT($W$8/12, (U183-$AA$8), $AA$7, $W$7)), 0)</f>
        <v>0</v>
      </c>
      <c r="Y183" s="5">
        <f>IF(CreditAmort2BASE[[#This Row],[Month]]=AA$8,W$7,0)</f>
        <v>0</v>
      </c>
      <c r="Z183" s="13">
        <f>IF(AND(U183&gt;='Amort. Sched.-BASE'!$AA$8, U183&lt;= ($AA$7+$AA$8)), Z182+X183, 0)</f>
        <v>0</v>
      </c>
      <c r="AA183" s="24" t="str">
        <f>IF(AND(U183&gt;='Amort. Sched.-BASE'!$AA$8, U183&lt;= ($AA$7+$AA$8)), W183/V183, " ")</f>
        <v xml:space="preserve"> </v>
      </c>
      <c r="AB183" s="25" t="str">
        <f>IF(AND(U183&gt;='Amort. Sched.-BASE'!$AA$8, U183&lt;= ($AA$7+$AA$8)), X183/V183, " ")</f>
        <v xml:space="preserve"> </v>
      </c>
      <c r="AD183" s="20">
        <f t="shared" si="36"/>
        <v>172</v>
      </c>
      <c r="AE183" s="5">
        <f t="shared" si="37"/>
        <v>0</v>
      </c>
      <c r="AF183" s="5">
        <f t="shared" si="38"/>
        <v>0</v>
      </c>
      <c r="AG183" s="5">
        <f t="shared" si="39"/>
        <v>0</v>
      </c>
      <c r="AH183" s="5">
        <f>IF(CreditAmort3BASE[[#This Row],[Month]]=AJ$8,AF$7,0)</f>
        <v>0</v>
      </c>
      <c r="AI183" s="13">
        <f t="shared" si="40"/>
        <v>0</v>
      </c>
      <c r="AJ183" s="6" t="str">
        <f t="shared" si="41"/>
        <v xml:space="preserve"> </v>
      </c>
      <c r="AK183" s="21" t="str">
        <f t="shared" si="42"/>
        <v xml:space="preserve"> </v>
      </c>
      <c r="AM183" s="20">
        <f t="shared" si="43"/>
        <v>172</v>
      </c>
      <c r="AN183" s="5">
        <f t="shared" si="44"/>
        <v>0</v>
      </c>
      <c r="AO183" s="5">
        <f t="shared" si="45"/>
        <v>0</v>
      </c>
      <c r="AP183" s="5">
        <f t="shared" si="46"/>
        <v>0</v>
      </c>
      <c r="AQ183" s="5">
        <f>IF(CreditAmort4BASE[[#This Row],[Month]]=AS$8,AO$7,0)</f>
        <v>0</v>
      </c>
      <c r="AR183" s="13">
        <f t="shared" si="47"/>
        <v>0</v>
      </c>
      <c r="AS183" s="6" t="str">
        <f t="shared" si="48"/>
        <v xml:space="preserve"> </v>
      </c>
      <c r="AT183" s="21" t="str">
        <f t="shared" si="49"/>
        <v xml:space="preserve"> </v>
      </c>
    </row>
    <row r="184" spans="3:46">
      <c r="C184" s="22">
        <f t="shared" si="17"/>
        <v>173</v>
      </c>
      <c r="D184" s="23">
        <f>IF(AND(C184&gt;='Amort. Sched.-BASE'!$I$8, C184&lt;= ($I$7+$I$8)), PMT('Amort. Sched.-BASE'!$E$8/12, 'Amort. Sched.-BASE'!$I$7, 'Amort. Sched.-BASE'!$E$7), 0)</f>
        <v>-1736.5864935892569</v>
      </c>
      <c r="E184" s="5">
        <f>IF(AND(C184&gt;='Amort. Sched.-BASE'!$I$8, C184&lt;= ($I$7+$I$8)), (IPMT($E$8/12, (C184-$I$8), $I$7, $E$7)), 0)</f>
        <v>-994.7156134023237</v>
      </c>
      <c r="F184" s="23">
        <f>IF(AND(C184&gt;='Amort. Sched.-BASE'!$I$8, C184&lt;= ($I$7+$I$8)), (PPMT($E$8/12, (C184-$I$8), $I$7, $E$7)), 0)</f>
        <v>-741.87088018693339</v>
      </c>
      <c r="G184" s="5">
        <f>IF(MortgageAmortBASE[[#This Row],[Month]]=I$8,E$7,0)</f>
        <v>0</v>
      </c>
      <c r="H184" s="13">
        <f>IF(AND(C184&gt;='Amort. Sched.-BASE'!$I$8, C184&lt;= ($I$7+$I$8)), H183+F184, 0)</f>
        <v>148465.47113016163</v>
      </c>
      <c r="I184" s="24">
        <f>IF(AND(C184&gt;='Amort. Sched.-BASE'!$I$8, C184&lt;= ($I$7+$I$8)), E184/D184, " ")</f>
        <v>0.57279934922584808</v>
      </c>
      <c r="J184" s="25">
        <f>IF(AND(C184&gt;='Amort. Sched.-BASE'!$I$8, C184&lt;= ($I$7+$I$8)), F184/D184, " ")</f>
        <v>0.42720065077415209</v>
      </c>
      <c r="L184" s="20">
        <f t="shared" si="34"/>
        <v>173</v>
      </c>
      <c r="M184" s="5">
        <f>IF(AND(L184&gt;='Amort. Sched.-BASE'!$R$8, L184&lt;= ($R$7+$R$8)), PMT('Amort. Sched.-BASE'!$N$8/12, 'Amort. Sched.-BASE'!$R$7, 'Amort. Sched.-BASE'!$N$7), 0)</f>
        <v>0</v>
      </c>
      <c r="N184" s="5">
        <f>IF(AND(L184&gt;='Amort. Sched.-BASE'!$R$8, L184&lt;= ($R$7+$R$8)), (IPMT($N$8/12, (L184-$R$8), $R$7, $N$7)), 0)</f>
        <v>0</v>
      </c>
      <c r="O184" s="5">
        <f>IF(AND(L184&gt;='Amort. Sched.-BASE'!$R$8, L184&lt;= ($R$7+$R$8)), (PPMT($N$8/12, (L184-$R$8), $R$7, $N$7)), 0)</f>
        <v>0</v>
      </c>
      <c r="P184" s="5">
        <f>IF(CreditAmort1BASE[[#This Row],[Month]]=R$8,N$7,0)</f>
        <v>0</v>
      </c>
      <c r="Q184" s="13">
        <f>IF(AND(L184&gt;='Amort. Sched.-BASE'!$R$8, L184&lt;= ($R$7+$R$8)), Q183+O184, 0)</f>
        <v>0</v>
      </c>
      <c r="R184" s="6" t="str">
        <f>IF(AND(L184&gt;='Amort. Sched.-BASE'!$R$8, L184&lt;= ($R$7+$R$8)), N184/M184, " ")</f>
        <v xml:space="preserve"> </v>
      </c>
      <c r="S184" s="21" t="str">
        <f>IF(AND(L184&gt;='Amort. Sched.-BASE'!$R$8, L184&lt;= ($R$7+$R$8)), O184/M184, " ")</f>
        <v xml:space="preserve"> </v>
      </c>
      <c r="U184" s="22">
        <f t="shared" si="35"/>
        <v>173</v>
      </c>
      <c r="V184" s="23">
        <f>IF(AND(U184&gt;='Amort. Sched.-BASE'!$AA$8, U184&lt;= ($AA$7+$AA$8)), PMT('Amort. Sched.-BASE'!$W$8/12, 'Amort. Sched.-BASE'!$AA$7, 'Amort. Sched.-BASE'!$W$7), 0)</f>
        <v>0</v>
      </c>
      <c r="W184" s="5">
        <f>IF(AND(U184&gt;='Amort. Sched.-BASE'!$AA$8, U184&lt;= ($AA$7+$AA$8)), (IPMT($W$8/12, (U184-$AA$8), $AA$7, $W$7)), 0)</f>
        <v>0</v>
      </c>
      <c r="X184" s="23">
        <f>IF(AND(U184&gt;='Amort. Sched.-BASE'!$AA$8, U184&lt;= ($AA$7+$AA$8)), (PPMT($W$8/12, (U184-$AA$8), $AA$7, $W$7)), 0)</f>
        <v>0</v>
      </c>
      <c r="Y184" s="5">
        <f>IF(CreditAmort2BASE[[#This Row],[Month]]=AA$8,W$7,0)</f>
        <v>0</v>
      </c>
      <c r="Z184" s="13">
        <f>IF(AND(U184&gt;='Amort. Sched.-BASE'!$AA$8, U184&lt;= ($AA$7+$AA$8)), Z183+X184, 0)</f>
        <v>0</v>
      </c>
      <c r="AA184" s="24" t="str">
        <f>IF(AND(U184&gt;='Amort. Sched.-BASE'!$AA$8, U184&lt;= ($AA$7+$AA$8)), W184/V184, " ")</f>
        <v xml:space="preserve"> </v>
      </c>
      <c r="AB184" s="25" t="str">
        <f>IF(AND(U184&gt;='Amort. Sched.-BASE'!$AA$8, U184&lt;= ($AA$7+$AA$8)), X184/V184, " ")</f>
        <v xml:space="preserve"> </v>
      </c>
      <c r="AD184" s="20">
        <f t="shared" si="36"/>
        <v>173</v>
      </c>
      <c r="AE184" s="5">
        <f t="shared" si="37"/>
        <v>0</v>
      </c>
      <c r="AF184" s="5">
        <f t="shared" si="38"/>
        <v>0</v>
      </c>
      <c r="AG184" s="5">
        <f t="shared" si="39"/>
        <v>0</v>
      </c>
      <c r="AH184" s="5">
        <f>IF(CreditAmort3BASE[[#This Row],[Month]]=AJ$8,AF$7,0)</f>
        <v>0</v>
      </c>
      <c r="AI184" s="13">
        <f t="shared" si="40"/>
        <v>0</v>
      </c>
      <c r="AJ184" s="6" t="str">
        <f t="shared" si="41"/>
        <v xml:space="preserve"> </v>
      </c>
      <c r="AK184" s="21" t="str">
        <f t="shared" si="42"/>
        <v xml:space="preserve"> </v>
      </c>
      <c r="AM184" s="20">
        <f t="shared" si="43"/>
        <v>173</v>
      </c>
      <c r="AN184" s="5">
        <f t="shared" si="44"/>
        <v>0</v>
      </c>
      <c r="AO184" s="5">
        <f t="shared" si="45"/>
        <v>0</v>
      </c>
      <c r="AP184" s="5">
        <f t="shared" si="46"/>
        <v>0</v>
      </c>
      <c r="AQ184" s="5">
        <f>IF(CreditAmort4BASE[[#This Row],[Month]]=AS$8,AO$7,0)</f>
        <v>0</v>
      </c>
      <c r="AR184" s="13">
        <f t="shared" si="47"/>
        <v>0</v>
      </c>
      <c r="AS184" s="6" t="str">
        <f t="shared" si="48"/>
        <v xml:space="preserve"> </v>
      </c>
      <c r="AT184" s="21" t="str">
        <f t="shared" si="49"/>
        <v xml:space="preserve"> </v>
      </c>
    </row>
    <row r="185" spans="3:46">
      <c r="C185" s="22">
        <f t="shared" si="17"/>
        <v>174</v>
      </c>
      <c r="D185" s="23">
        <f>IF(AND(C185&gt;='Amort. Sched.-BASE'!$I$8, C185&lt;= ($I$7+$I$8)), PMT('Amort. Sched.-BASE'!$E$8/12, 'Amort. Sched.-BASE'!$I$7, 'Amort. Sched.-BASE'!$E$7), 0)</f>
        <v>-1736.5864935892569</v>
      </c>
      <c r="E185" s="5">
        <f>IF(AND(C185&gt;='Amort. Sched.-BASE'!$I$8, C185&lt;= ($I$7+$I$8)), (IPMT($E$8/12, (C185-$I$8), $I$7, $E$7)), 0)</f>
        <v>-989.7698075344108</v>
      </c>
      <c r="F185" s="23">
        <f>IF(AND(C185&gt;='Amort. Sched.-BASE'!$I$8, C185&lt;= ($I$7+$I$8)), (PPMT($E$8/12, (C185-$I$8), $I$7, $E$7)), 0)</f>
        <v>-746.81668605484617</v>
      </c>
      <c r="G185" s="5">
        <f>IF(MortgageAmortBASE[[#This Row],[Month]]=I$8,E$7,0)</f>
        <v>0</v>
      </c>
      <c r="H185" s="13">
        <f>IF(AND(C185&gt;='Amort. Sched.-BASE'!$I$8, C185&lt;= ($I$7+$I$8)), H184+F185, 0)</f>
        <v>147718.6544441068</v>
      </c>
      <c r="I185" s="24">
        <f>IF(AND(C185&gt;='Amort. Sched.-BASE'!$I$8, C185&lt;= ($I$7+$I$8)), E185/D185, " ")</f>
        <v>0.56995134488735366</v>
      </c>
      <c r="J185" s="25">
        <f>IF(AND(C185&gt;='Amort. Sched.-BASE'!$I$8, C185&lt;= ($I$7+$I$8)), F185/D185, " ")</f>
        <v>0.43004865511264634</v>
      </c>
      <c r="L185" s="20">
        <f t="shared" si="34"/>
        <v>174</v>
      </c>
      <c r="M185" s="5">
        <f>IF(AND(L185&gt;='Amort. Sched.-BASE'!$R$8, L185&lt;= ($R$7+$R$8)), PMT('Amort. Sched.-BASE'!$N$8/12, 'Amort. Sched.-BASE'!$R$7, 'Amort. Sched.-BASE'!$N$7), 0)</f>
        <v>0</v>
      </c>
      <c r="N185" s="5">
        <f>IF(AND(L185&gt;='Amort. Sched.-BASE'!$R$8, L185&lt;= ($R$7+$R$8)), (IPMT($N$8/12, (L185-$R$8), $R$7, $N$7)), 0)</f>
        <v>0</v>
      </c>
      <c r="O185" s="5">
        <f>IF(AND(L185&gt;='Amort. Sched.-BASE'!$R$8, L185&lt;= ($R$7+$R$8)), (PPMT($N$8/12, (L185-$R$8), $R$7, $N$7)), 0)</f>
        <v>0</v>
      </c>
      <c r="P185" s="5">
        <f>IF(CreditAmort1BASE[[#This Row],[Month]]=R$8,N$7,0)</f>
        <v>0</v>
      </c>
      <c r="Q185" s="13">
        <f>IF(AND(L185&gt;='Amort. Sched.-BASE'!$R$8, L185&lt;= ($R$7+$R$8)), Q184+O185, 0)</f>
        <v>0</v>
      </c>
      <c r="R185" s="6" t="str">
        <f>IF(AND(L185&gt;='Amort. Sched.-BASE'!$R$8, L185&lt;= ($R$7+$R$8)), N185/M185, " ")</f>
        <v xml:space="preserve"> </v>
      </c>
      <c r="S185" s="21" t="str">
        <f>IF(AND(L185&gt;='Amort. Sched.-BASE'!$R$8, L185&lt;= ($R$7+$R$8)), O185/M185, " ")</f>
        <v xml:space="preserve"> </v>
      </c>
      <c r="U185" s="22">
        <f t="shared" si="35"/>
        <v>174</v>
      </c>
      <c r="V185" s="23">
        <f>IF(AND(U185&gt;='Amort. Sched.-BASE'!$AA$8, U185&lt;= ($AA$7+$AA$8)), PMT('Amort. Sched.-BASE'!$W$8/12, 'Amort. Sched.-BASE'!$AA$7, 'Amort. Sched.-BASE'!$W$7), 0)</f>
        <v>0</v>
      </c>
      <c r="W185" s="5">
        <f>IF(AND(U185&gt;='Amort. Sched.-BASE'!$AA$8, U185&lt;= ($AA$7+$AA$8)), (IPMT($W$8/12, (U185-$AA$8), $AA$7, $W$7)), 0)</f>
        <v>0</v>
      </c>
      <c r="X185" s="23">
        <f>IF(AND(U185&gt;='Amort. Sched.-BASE'!$AA$8, U185&lt;= ($AA$7+$AA$8)), (PPMT($W$8/12, (U185-$AA$8), $AA$7, $W$7)), 0)</f>
        <v>0</v>
      </c>
      <c r="Y185" s="5">
        <f>IF(CreditAmort2BASE[[#This Row],[Month]]=AA$8,W$7,0)</f>
        <v>0</v>
      </c>
      <c r="Z185" s="13">
        <f>IF(AND(U185&gt;='Amort. Sched.-BASE'!$AA$8, U185&lt;= ($AA$7+$AA$8)), Z184+X185, 0)</f>
        <v>0</v>
      </c>
      <c r="AA185" s="24" t="str">
        <f>IF(AND(U185&gt;='Amort. Sched.-BASE'!$AA$8, U185&lt;= ($AA$7+$AA$8)), W185/V185, " ")</f>
        <v xml:space="preserve"> </v>
      </c>
      <c r="AB185" s="25" t="str">
        <f>IF(AND(U185&gt;='Amort. Sched.-BASE'!$AA$8, U185&lt;= ($AA$7+$AA$8)), X185/V185, " ")</f>
        <v xml:space="preserve"> </v>
      </c>
      <c r="AD185" s="20">
        <f t="shared" si="36"/>
        <v>174</v>
      </c>
      <c r="AE185" s="5">
        <f t="shared" si="37"/>
        <v>0</v>
      </c>
      <c r="AF185" s="5">
        <f t="shared" si="38"/>
        <v>0</v>
      </c>
      <c r="AG185" s="5">
        <f t="shared" si="39"/>
        <v>0</v>
      </c>
      <c r="AH185" s="5">
        <f>IF(CreditAmort3BASE[[#This Row],[Month]]=AJ$8,AF$7,0)</f>
        <v>0</v>
      </c>
      <c r="AI185" s="13">
        <f t="shared" si="40"/>
        <v>0</v>
      </c>
      <c r="AJ185" s="6" t="str">
        <f t="shared" si="41"/>
        <v xml:space="preserve"> </v>
      </c>
      <c r="AK185" s="21" t="str">
        <f t="shared" si="42"/>
        <v xml:space="preserve"> </v>
      </c>
      <c r="AM185" s="20">
        <f t="shared" si="43"/>
        <v>174</v>
      </c>
      <c r="AN185" s="5">
        <f t="shared" si="44"/>
        <v>0</v>
      </c>
      <c r="AO185" s="5">
        <f t="shared" si="45"/>
        <v>0</v>
      </c>
      <c r="AP185" s="5">
        <f t="shared" si="46"/>
        <v>0</v>
      </c>
      <c r="AQ185" s="5">
        <f>IF(CreditAmort4BASE[[#This Row],[Month]]=AS$8,AO$7,0)</f>
        <v>0</v>
      </c>
      <c r="AR185" s="13">
        <f t="shared" si="47"/>
        <v>0</v>
      </c>
      <c r="AS185" s="6" t="str">
        <f t="shared" si="48"/>
        <v xml:space="preserve"> </v>
      </c>
      <c r="AT185" s="21" t="str">
        <f t="shared" si="49"/>
        <v xml:space="preserve"> </v>
      </c>
    </row>
    <row r="186" spans="3:46">
      <c r="C186" s="22">
        <f t="shared" si="17"/>
        <v>175</v>
      </c>
      <c r="D186" s="23">
        <f>IF(AND(C186&gt;='Amort. Sched.-BASE'!$I$8, C186&lt;= ($I$7+$I$8)), PMT('Amort. Sched.-BASE'!$E$8/12, 'Amort. Sched.-BASE'!$I$7, 'Amort. Sched.-BASE'!$E$7), 0)</f>
        <v>-1736.5864935892569</v>
      </c>
      <c r="E186" s="5">
        <f>IF(AND(C186&gt;='Amort. Sched.-BASE'!$I$8, C186&lt;= ($I$7+$I$8)), (IPMT($E$8/12, (C186-$I$8), $I$7, $E$7)), 0)</f>
        <v>-984.79102962737829</v>
      </c>
      <c r="F186" s="23">
        <f>IF(AND(C186&gt;='Amort. Sched.-BASE'!$I$8, C186&lt;= ($I$7+$I$8)), (PPMT($E$8/12, (C186-$I$8), $I$7, $E$7)), 0)</f>
        <v>-751.79546396187845</v>
      </c>
      <c r="G186" s="5">
        <f>IF(MortgageAmortBASE[[#This Row],[Month]]=I$8,E$7,0)</f>
        <v>0</v>
      </c>
      <c r="H186" s="13">
        <f>IF(AND(C186&gt;='Amort. Sched.-BASE'!$I$8, C186&lt;= ($I$7+$I$8)), H185+F186, 0)</f>
        <v>146966.85898014493</v>
      </c>
      <c r="I186" s="24">
        <f>IF(AND(C186&gt;='Amort. Sched.-BASE'!$I$8, C186&lt;= ($I$7+$I$8)), E186/D186, " ")</f>
        <v>0.56708435385326927</v>
      </c>
      <c r="J186" s="25">
        <f>IF(AND(C186&gt;='Amort. Sched.-BASE'!$I$8, C186&lt;= ($I$7+$I$8)), F186/D186, " ")</f>
        <v>0.43291564614673067</v>
      </c>
      <c r="L186" s="20">
        <f t="shared" si="34"/>
        <v>175</v>
      </c>
      <c r="M186" s="5">
        <f>IF(AND(L186&gt;='Amort. Sched.-BASE'!$R$8, L186&lt;= ($R$7+$R$8)), PMT('Amort. Sched.-BASE'!$N$8/12, 'Amort. Sched.-BASE'!$R$7, 'Amort. Sched.-BASE'!$N$7), 0)</f>
        <v>0</v>
      </c>
      <c r="N186" s="5">
        <f>IF(AND(L186&gt;='Amort. Sched.-BASE'!$R$8, L186&lt;= ($R$7+$R$8)), (IPMT($N$8/12, (L186-$R$8), $R$7, $N$7)), 0)</f>
        <v>0</v>
      </c>
      <c r="O186" s="5">
        <f>IF(AND(L186&gt;='Amort. Sched.-BASE'!$R$8, L186&lt;= ($R$7+$R$8)), (PPMT($N$8/12, (L186-$R$8), $R$7, $N$7)), 0)</f>
        <v>0</v>
      </c>
      <c r="P186" s="5">
        <f>IF(CreditAmort1BASE[[#This Row],[Month]]=R$8,N$7,0)</f>
        <v>0</v>
      </c>
      <c r="Q186" s="13">
        <f>IF(AND(L186&gt;='Amort. Sched.-BASE'!$R$8, L186&lt;= ($R$7+$R$8)), Q185+O186, 0)</f>
        <v>0</v>
      </c>
      <c r="R186" s="6" t="str">
        <f>IF(AND(L186&gt;='Amort. Sched.-BASE'!$R$8, L186&lt;= ($R$7+$R$8)), N186/M186, " ")</f>
        <v xml:space="preserve"> </v>
      </c>
      <c r="S186" s="21" t="str">
        <f>IF(AND(L186&gt;='Amort. Sched.-BASE'!$R$8, L186&lt;= ($R$7+$R$8)), O186/M186, " ")</f>
        <v xml:space="preserve"> </v>
      </c>
      <c r="U186" s="22">
        <f t="shared" si="35"/>
        <v>175</v>
      </c>
      <c r="V186" s="23">
        <f>IF(AND(U186&gt;='Amort. Sched.-BASE'!$AA$8, U186&lt;= ($AA$7+$AA$8)), PMT('Amort. Sched.-BASE'!$W$8/12, 'Amort. Sched.-BASE'!$AA$7, 'Amort. Sched.-BASE'!$W$7), 0)</f>
        <v>0</v>
      </c>
      <c r="W186" s="5">
        <f>IF(AND(U186&gt;='Amort. Sched.-BASE'!$AA$8, U186&lt;= ($AA$7+$AA$8)), (IPMT($W$8/12, (U186-$AA$8), $AA$7, $W$7)), 0)</f>
        <v>0</v>
      </c>
      <c r="X186" s="23">
        <f>IF(AND(U186&gt;='Amort. Sched.-BASE'!$AA$8, U186&lt;= ($AA$7+$AA$8)), (PPMT($W$8/12, (U186-$AA$8), $AA$7, $W$7)), 0)</f>
        <v>0</v>
      </c>
      <c r="Y186" s="5">
        <f>IF(CreditAmort2BASE[[#This Row],[Month]]=AA$8,W$7,0)</f>
        <v>0</v>
      </c>
      <c r="Z186" s="13">
        <f>IF(AND(U186&gt;='Amort. Sched.-BASE'!$AA$8, U186&lt;= ($AA$7+$AA$8)), Z185+X186, 0)</f>
        <v>0</v>
      </c>
      <c r="AA186" s="24" t="str">
        <f>IF(AND(U186&gt;='Amort. Sched.-BASE'!$AA$8, U186&lt;= ($AA$7+$AA$8)), W186/V186, " ")</f>
        <v xml:space="preserve"> </v>
      </c>
      <c r="AB186" s="25" t="str">
        <f>IF(AND(U186&gt;='Amort. Sched.-BASE'!$AA$8, U186&lt;= ($AA$7+$AA$8)), X186/V186, " ")</f>
        <v xml:space="preserve"> </v>
      </c>
      <c r="AD186" s="20">
        <f t="shared" si="36"/>
        <v>175</v>
      </c>
      <c r="AE186" s="5">
        <f t="shared" si="37"/>
        <v>0</v>
      </c>
      <c r="AF186" s="5">
        <f t="shared" si="38"/>
        <v>0</v>
      </c>
      <c r="AG186" s="5">
        <f t="shared" si="39"/>
        <v>0</v>
      </c>
      <c r="AH186" s="5">
        <f>IF(CreditAmort3BASE[[#This Row],[Month]]=AJ$8,AF$7,0)</f>
        <v>0</v>
      </c>
      <c r="AI186" s="13">
        <f t="shared" si="40"/>
        <v>0</v>
      </c>
      <c r="AJ186" s="6" t="str">
        <f t="shared" si="41"/>
        <v xml:space="preserve"> </v>
      </c>
      <c r="AK186" s="21" t="str">
        <f t="shared" si="42"/>
        <v xml:space="preserve"> </v>
      </c>
      <c r="AM186" s="20">
        <f t="shared" si="43"/>
        <v>175</v>
      </c>
      <c r="AN186" s="5">
        <f t="shared" si="44"/>
        <v>0</v>
      </c>
      <c r="AO186" s="5">
        <f t="shared" si="45"/>
        <v>0</v>
      </c>
      <c r="AP186" s="5">
        <f t="shared" si="46"/>
        <v>0</v>
      </c>
      <c r="AQ186" s="5">
        <f>IF(CreditAmort4BASE[[#This Row],[Month]]=AS$8,AO$7,0)</f>
        <v>0</v>
      </c>
      <c r="AR186" s="13">
        <f t="shared" si="47"/>
        <v>0</v>
      </c>
      <c r="AS186" s="6" t="str">
        <f t="shared" si="48"/>
        <v xml:space="preserve"> </v>
      </c>
      <c r="AT186" s="21" t="str">
        <f t="shared" si="49"/>
        <v xml:space="preserve"> </v>
      </c>
    </row>
    <row r="187" spans="3:46">
      <c r="C187" s="22">
        <f t="shared" si="17"/>
        <v>176</v>
      </c>
      <c r="D187" s="23">
        <f>IF(AND(C187&gt;='Amort. Sched.-BASE'!$I$8, C187&lt;= ($I$7+$I$8)), PMT('Amort. Sched.-BASE'!$E$8/12, 'Amort. Sched.-BASE'!$I$7, 'Amort. Sched.-BASE'!$E$7), 0)</f>
        <v>-1736.5864935892569</v>
      </c>
      <c r="E187" s="5">
        <f>IF(AND(C187&gt;='Amort. Sched.-BASE'!$I$8, C187&lt;= ($I$7+$I$8)), (IPMT($E$8/12, (C187-$I$8), $I$7, $E$7)), 0)</f>
        <v>-979.77905986763255</v>
      </c>
      <c r="F187" s="23">
        <f>IF(AND(C187&gt;='Amort. Sched.-BASE'!$I$8, C187&lt;= ($I$7+$I$8)), (PPMT($E$8/12, (C187-$I$8), $I$7, $E$7)), 0)</f>
        <v>-756.80743372162431</v>
      </c>
      <c r="G187" s="5">
        <f>IF(MortgageAmortBASE[[#This Row],[Month]]=I$8,E$7,0)</f>
        <v>0</v>
      </c>
      <c r="H187" s="13">
        <f>IF(AND(C187&gt;='Amort. Sched.-BASE'!$I$8, C187&lt;= ($I$7+$I$8)), H186+F187, 0)</f>
        <v>146210.05154642329</v>
      </c>
      <c r="I187" s="24">
        <f>IF(AND(C187&gt;='Amort. Sched.-BASE'!$I$8, C187&lt;= ($I$7+$I$8)), E187/D187, " ")</f>
        <v>0.56419824954562448</v>
      </c>
      <c r="J187" s="25">
        <f>IF(AND(C187&gt;='Amort. Sched.-BASE'!$I$8, C187&lt;= ($I$7+$I$8)), F187/D187, " ")</f>
        <v>0.43580175045437552</v>
      </c>
      <c r="L187" s="20">
        <f t="shared" si="34"/>
        <v>176</v>
      </c>
      <c r="M187" s="5">
        <f>IF(AND(L187&gt;='Amort. Sched.-BASE'!$R$8, L187&lt;= ($R$7+$R$8)), PMT('Amort. Sched.-BASE'!$N$8/12, 'Amort. Sched.-BASE'!$R$7, 'Amort. Sched.-BASE'!$N$7), 0)</f>
        <v>0</v>
      </c>
      <c r="N187" s="5">
        <f>IF(AND(L187&gt;='Amort. Sched.-BASE'!$R$8, L187&lt;= ($R$7+$R$8)), (IPMT($N$8/12, (L187-$R$8), $R$7, $N$7)), 0)</f>
        <v>0</v>
      </c>
      <c r="O187" s="5">
        <f>IF(AND(L187&gt;='Amort. Sched.-BASE'!$R$8, L187&lt;= ($R$7+$R$8)), (PPMT($N$8/12, (L187-$R$8), $R$7, $N$7)), 0)</f>
        <v>0</v>
      </c>
      <c r="P187" s="5">
        <f>IF(CreditAmort1BASE[[#This Row],[Month]]=R$8,N$7,0)</f>
        <v>0</v>
      </c>
      <c r="Q187" s="13">
        <f>IF(AND(L187&gt;='Amort. Sched.-BASE'!$R$8, L187&lt;= ($R$7+$R$8)), Q186+O187, 0)</f>
        <v>0</v>
      </c>
      <c r="R187" s="6" t="str">
        <f>IF(AND(L187&gt;='Amort. Sched.-BASE'!$R$8, L187&lt;= ($R$7+$R$8)), N187/M187, " ")</f>
        <v xml:space="preserve"> </v>
      </c>
      <c r="S187" s="21" t="str">
        <f>IF(AND(L187&gt;='Amort. Sched.-BASE'!$R$8, L187&lt;= ($R$7+$R$8)), O187/M187, " ")</f>
        <v xml:space="preserve"> </v>
      </c>
      <c r="U187" s="22">
        <f t="shared" si="35"/>
        <v>176</v>
      </c>
      <c r="V187" s="23">
        <f>IF(AND(U187&gt;='Amort. Sched.-BASE'!$AA$8, U187&lt;= ($AA$7+$AA$8)), PMT('Amort. Sched.-BASE'!$W$8/12, 'Amort. Sched.-BASE'!$AA$7, 'Amort. Sched.-BASE'!$W$7), 0)</f>
        <v>0</v>
      </c>
      <c r="W187" s="5">
        <f>IF(AND(U187&gt;='Amort. Sched.-BASE'!$AA$8, U187&lt;= ($AA$7+$AA$8)), (IPMT($W$8/12, (U187-$AA$8), $AA$7, $W$7)), 0)</f>
        <v>0</v>
      </c>
      <c r="X187" s="23">
        <f>IF(AND(U187&gt;='Amort. Sched.-BASE'!$AA$8, U187&lt;= ($AA$7+$AA$8)), (PPMT($W$8/12, (U187-$AA$8), $AA$7, $W$7)), 0)</f>
        <v>0</v>
      </c>
      <c r="Y187" s="5">
        <f>IF(CreditAmort2BASE[[#This Row],[Month]]=AA$8,W$7,0)</f>
        <v>0</v>
      </c>
      <c r="Z187" s="13">
        <f>IF(AND(U187&gt;='Amort. Sched.-BASE'!$AA$8, U187&lt;= ($AA$7+$AA$8)), Z186+X187, 0)</f>
        <v>0</v>
      </c>
      <c r="AA187" s="24" t="str">
        <f>IF(AND(U187&gt;='Amort. Sched.-BASE'!$AA$8, U187&lt;= ($AA$7+$AA$8)), W187/V187, " ")</f>
        <v xml:space="preserve"> </v>
      </c>
      <c r="AB187" s="25" t="str">
        <f>IF(AND(U187&gt;='Amort. Sched.-BASE'!$AA$8, U187&lt;= ($AA$7+$AA$8)), X187/V187, " ")</f>
        <v xml:space="preserve"> </v>
      </c>
      <c r="AD187" s="20">
        <f t="shared" si="36"/>
        <v>176</v>
      </c>
      <c r="AE187" s="5">
        <f t="shared" si="37"/>
        <v>0</v>
      </c>
      <c r="AF187" s="5">
        <f t="shared" si="38"/>
        <v>0</v>
      </c>
      <c r="AG187" s="5">
        <f t="shared" si="39"/>
        <v>0</v>
      </c>
      <c r="AH187" s="5">
        <f>IF(CreditAmort3BASE[[#This Row],[Month]]=AJ$8,AF$7,0)</f>
        <v>0</v>
      </c>
      <c r="AI187" s="13">
        <f t="shared" si="40"/>
        <v>0</v>
      </c>
      <c r="AJ187" s="6" t="str">
        <f t="shared" si="41"/>
        <v xml:space="preserve"> </v>
      </c>
      <c r="AK187" s="21" t="str">
        <f t="shared" si="42"/>
        <v xml:space="preserve"> </v>
      </c>
      <c r="AM187" s="20">
        <f t="shared" si="43"/>
        <v>176</v>
      </c>
      <c r="AN187" s="5">
        <f t="shared" si="44"/>
        <v>0</v>
      </c>
      <c r="AO187" s="5">
        <f t="shared" si="45"/>
        <v>0</v>
      </c>
      <c r="AP187" s="5">
        <f t="shared" si="46"/>
        <v>0</v>
      </c>
      <c r="AQ187" s="5">
        <f>IF(CreditAmort4BASE[[#This Row],[Month]]=AS$8,AO$7,0)</f>
        <v>0</v>
      </c>
      <c r="AR187" s="13">
        <f t="shared" si="47"/>
        <v>0</v>
      </c>
      <c r="AS187" s="6" t="str">
        <f t="shared" si="48"/>
        <v xml:space="preserve"> </v>
      </c>
      <c r="AT187" s="21" t="str">
        <f t="shared" si="49"/>
        <v xml:space="preserve"> </v>
      </c>
    </row>
    <row r="188" spans="3:46">
      <c r="C188" s="22">
        <f t="shared" si="17"/>
        <v>177</v>
      </c>
      <c r="D188" s="23">
        <f>IF(AND(C188&gt;='Amort. Sched.-BASE'!$I$8, C188&lt;= ($I$7+$I$8)), PMT('Amort. Sched.-BASE'!$E$8/12, 'Amort. Sched.-BASE'!$I$7, 'Amort. Sched.-BASE'!$E$7), 0)</f>
        <v>-1736.5864935892569</v>
      </c>
      <c r="E188" s="5">
        <f>IF(AND(C188&gt;='Amort. Sched.-BASE'!$I$8, C188&lt;= ($I$7+$I$8)), (IPMT($E$8/12, (C188-$I$8), $I$7, $E$7)), 0)</f>
        <v>-974.73367697615515</v>
      </c>
      <c r="F188" s="23">
        <f>IF(AND(C188&gt;='Amort. Sched.-BASE'!$I$8, C188&lt;= ($I$7+$I$8)), (PPMT($E$8/12, (C188-$I$8), $I$7, $E$7)), 0)</f>
        <v>-761.85281661310194</v>
      </c>
      <c r="G188" s="5">
        <f>IF(MortgageAmortBASE[[#This Row],[Month]]=I$8,E$7,0)</f>
        <v>0</v>
      </c>
      <c r="H188" s="13">
        <f>IF(AND(C188&gt;='Amort. Sched.-BASE'!$I$8, C188&lt;= ($I$7+$I$8)), H187+F188, 0)</f>
        <v>145448.19872981019</v>
      </c>
      <c r="I188" s="24">
        <f>IF(AND(C188&gt;='Amort. Sched.-BASE'!$I$8, C188&lt;= ($I$7+$I$8)), E188/D188, " ")</f>
        <v>0.56129290454259539</v>
      </c>
      <c r="J188" s="25">
        <f>IF(AND(C188&gt;='Amort. Sched.-BASE'!$I$8, C188&lt;= ($I$7+$I$8)), F188/D188, " ")</f>
        <v>0.43870709545740477</v>
      </c>
      <c r="L188" s="20">
        <f t="shared" si="34"/>
        <v>177</v>
      </c>
      <c r="M188" s="5">
        <f>IF(AND(L188&gt;='Amort. Sched.-BASE'!$R$8, L188&lt;= ($R$7+$R$8)), PMT('Amort. Sched.-BASE'!$N$8/12, 'Amort. Sched.-BASE'!$R$7, 'Amort. Sched.-BASE'!$N$7), 0)</f>
        <v>0</v>
      </c>
      <c r="N188" s="5">
        <f>IF(AND(L188&gt;='Amort. Sched.-BASE'!$R$8, L188&lt;= ($R$7+$R$8)), (IPMT($N$8/12, (L188-$R$8), $R$7, $N$7)), 0)</f>
        <v>0</v>
      </c>
      <c r="O188" s="5">
        <f>IF(AND(L188&gt;='Amort. Sched.-BASE'!$R$8, L188&lt;= ($R$7+$R$8)), (PPMT($N$8/12, (L188-$R$8), $R$7, $N$7)), 0)</f>
        <v>0</v>
      </c>
      <c r="P188" s="5">
        <f>IF(CreditAmort1BASE[[#This Row],[Month]]=R$8,N$7,0)</f>
        <v>0</v>
      </c>
      <c r="Q188" s="13">
        <f>IF(AND(L188&gt;='Amort. Sched.-BASE'!$R$8, L188&lt;= ($R$7+$R$8)), Q187+O188, 0)</f>
        <v>0</v>
      </c>
      <c r="R188" s="6" t="str">
        <f>IF(AND(L188&gt;='Amort. Sched.-BASE'!$R$8, L188&lt;= ($R$7+$R$8)), N188/M188, " ")</f>
        <v xml:space="preserve"> </v>
      </c>
      <c r="S188" s="21" t="str">
        <f>IF(AND(L188&gt;='Amort. Sched.-BASE'!$R$8, L188&lt;= ($R$7+$R$8)), O188/M188, " ")</f>
        <v xml:space="preserve"> </v>
      </c>
      <c r="U188" s="22">
        <f t="shared" si="35"/>
        <v>177</v>
      </c>
      <c r="V188" s="23">
        <f>IF(AND(U188&gt;='Amort. Sched.-BASE'!$AA$8, U188&lt;= ($AA$7+$AA$8)), PMT('Amort. Sched.-BASE'!$W$8/12, 'Amort. Sched.-BASE'!$AA$7, 'Amort. Sched.-BASE'!$W$7), 0)</f>
        <v>0</v>
      </c>
      <c r="W188" s="5">
        <f>IF(AND(U188&gt;='Amort. Sched.-BASE'!$AA$8, U188&lt;= ($AA$7+$AA$8)), (IPMT($W$8/12, (U188-$AA$8), $AA$7, $W$7)), 0)</f>
        <v>0</v>
      </c>
      <c r="X188" s="23">
        <f>IF(AND(U188&gt;='Amort. Sched.-BASE'!$AA$8, U188&lt;= ($AA$7+$AA$8)), (PPMT($W$8/12, (U188-$AA$8), $AA$7, $W$7)), 0)</f>
        <v>0</v>
      </c>
      <c r="Y188" s="5">
        <f>IF(CreditAmort2BASE[[#This Row],[Month]]=AA$8,W$7,0)</f>
        <v>0</v>
      </c>
      <c r="Z188" s="13">
        <f>IF(AND(U188&gt;='Amort. Sched.-BASE'!$AA$8, U188&lt;= ($AA$7+$AA$8)), Z187+X188, 0)</f>
        <v>0</v>
      </c>
      <c r="AA188" s="24" t="str">
        <f>IF(AND(U188&gt;='Amort. Sched.-BASE'!$AA$8, U188&lt;= ($AA$7+$AA$8)), W188/V188, " ")</f>
        <v xml:space="preserve"> </v>
      </c>
      <c r="AB188" s="25" t="str">
        <f>IF(AND(U188&gt;='Amort. Sched.-BASE'!$AA$8, U188&lt;= ($AA$7+$AA$8)), X188/V188, " ")</f>
        <v xml:space="preserve"> </v>
      </c>
      <c r="AD188" s="20">
        <f t="shared" si="36"/>
        <v>177</v>
      </c>
      <c r="AE188" s="5">
        <f t="shared" si="37"/>
        <v>0</v>
      </c>
      <c r="AF188" s="5">
        <f t="shared" si="38"/>
        <v>0</v>
      </c>
      <c r="AG188" s="5">
        <f t="shared" si="39"/>
        <v>0</v>
      </c>
      <c r="AH188" s="5">
        <f>IF(CreditAmort3BASE[[#This Row],[Month]]=AJ$8,AF$7,0)</f>
        <v>0</v>
      </c>
      <c r="AI188" s="13">
        <f t="shared" si="40"/>
        <v>0</v>
      </c>
      <c r="AJ188" s="6" t="str">
        <f t="shared" si="41"/>
        <v xml:space="preserve"> </v>
      </c>
      <c r="AK188" s="21" t="str">
        <f t="shared" si="42"/>
        <v xml:space="preserve"> </v>
      </c>
      <c r="AM188" s="20">
        <f t="shared" si="43"/>
        <v>177</v>
      </c>
      <c r="AN188" s="5">
        <f t="shared" si="44"/>
        <v>0</v>
      </c>
      <c r="AO188" s="5">
        <f t="shared" si="45"/>
        <v>0</v>
      </c>
      <c r="AP188" s="5">
        <f t="shared" si="46"/>
        <v>0</v>
      </c>
      <c r="AQ188" s="5">
        <f>IF(CreditAmort4BASE[[#This Row],[Month]]=AS$8,AO$7,0)</f>
        <v>0</v>
      </c>
      <c r="AR188" s="13">
        <f t="shared" si="47"/>
        <v>0</v>
      </c>
      <c r="AS188" s="6" t="str">
        <f t="shared" si="48"/>
        <v xml:space="preserve"> </v>
      </c>
      <c r="AT188" s="21" t="str">
        <f t="shared" si="49"/>
        <v xml:space="preserve"> </v>
      </c>
    </row>
    <row r="189" spans="3:46">
      <c r="C189" s="22">
        <f t="shared" si="17"/>
        <v>178</v>
      </c>
      <c r="D189" s="23">
        <f>IF(AND(C189&gt;='Amort. Sched.-BASE'!$I$8, C189&lt;= ($I$7+$I$8)), PMT('Amort. Sched.-BASE'!$E$8/12, 'Amort. Sched.-BASE'!$I$7, 'Amort. Sched.-BASE'!$E$7), 0)</f>
        <v>-1736.5864935892569</v>
      </c>
      <c r="E189" s="5">
        <f>IF(AND(C189&gt;='Amort. Sched.-BASE'!$I$8, C189&lt;= ($I$7+$I$8)), (IPMT($E$8/12, (C189-$I$8), $I$7, $E$7)), 0)</f>
        <v>-969.6546581987343</v>
      </c>
      <c r="F189" s="23">
        <f>IF(AND(C189&gt;='Amort. Sched.-BASE'!$I$8, C189&lt;= ($I$7+$I$8)), (PPMT($E$8/12, (C189-$I$8), $I$7, $E$7)), 0)</f>
        <v>-766.93183539052256</v>
      </c>
      <c r="G189" s="5">
        <f>IF(MortgageAmortBASE[[#This Row],[Month]]=I$8,E$7,0)</f>
        <v>0</v>
      </c>
      <c r="H189" s="13">
        <f>IF(AND(C189&gt;='Amort. Sched.-BASE'!$I$8, C189&lt;= ($I$7+$I$8)), H188+F189, 0)</f>
        <v>144681.26689441968</v>
      </c>
      <c r="I189" s="24">
        <f>IF(AND(C189&gt;='Amort. Sched.-BASE'!$I$8, C189&lt;= ($I$7+$I$8)), E189/D189, " ")</f>
        <v>0.55836819057287923</v>
      </c>
      <c r="J189" s="25">
        <f>IF(AND(C189&gt;='Amort. Sched.-BASE'!$I$8, C189&lt;= ($I$7+$I$8)), F189/D189, " ")</f>
        <v>0.44163180942712077</v>
      </c>
      <c r="L189" s="20">
        <f t="shared" si="34"/>
        <v>178</v>
      </c>
      <c r="M189" s="5">
        <f>IF(AND(L189&gt;='Amort. Sched.-BASE'!$R$8, L189&lt;= ($R$7+$R$8)), PMT('Amort. Sched.-BASE'!$N$8/12, 'Amort. Sched.-BASE'!$R$7, 'Amort. Sched.-BASE'!$N$7), 0)</f>
        <v>0</v>
      </c>
      <c r="N189" s="5">
        <f>IF(AND(L189&gt;='Amort. Sched.-BASE'!$R$8, L189&lt;= ($R$7+$R$8)), (IPMT($N$8/12, (L189-$R$8), $R$7, $N$7)), 0)</f>
        <v>0</v>
      </c>
      <c r="O189" s="5">
        <f>IF(AND(L189&gt;='Amort. Sched.-BASE'!$R$8, L189&lt;= ($R$7+$R$8)), (PPMT($N$8/12, (L189-$R$8), $R$7, $N$7)), 0)</f>
        <v>0</v>
      </c>
      <c r="P189" s="5">
        <f>IF(CreditAmort1BASE[[#This Row],[Month]]=R$8,N$7,0)</f>
        <v>0</v>
      </c>
      <c r="Q189" s="13">
        <f>IF(AND(L189&gt;='Amort. Sched.-BASE'!$R$8, L189&lt;= ($R$7+$R$8)), Q188+O189, 0)</f>
        <v>0</v>
      </c>
      <c r="R189" s="6" t="str">
        <f>IF(AND(L189&gt;='Amort. Sched.-BASE'!$R$8, L189&lt;= ($R$7+$R$8)), N189/M189, " ")</f>
        <v xml:space="preserve"> </v>
      </c>
      <c r="S189" s="21" t="str">
        <f>IF(AND(L189&gt;='Amort. Sched.-BASE'!$R$8, L189&lt;= ($R$7+$R$8)), O189/M189, " ")</f>
        <v xml:space="preserve"> </v>
      </c>
      <c r="U189" s="22">
        <f t="shared" si="35"/>
        <v>178</v>
      </c>
      <c r="V189" s="23">
        <f>IF(AND(U189&gt;='Amort. Sched.-BASE'!$AA$8, U189&lt;= ($AA$7+$AA$8)), PMT('Amort. Sched.-BASE'!$W$8/12, 'Amort. Sched.-BASE'!$AA$7, 'Amort. Sched.-BASE'!$W$7), 0)</f>
        <v>0</v>
      </c>
      <c r="W189" s="5">
        <f>IF(AND(U189&gt;='Amort. Sched.-BASE'!$AA$8, U189&lt;= ($AA$7+$AA$8)), (IPMT($W$8/12, (U189-$AA$8), $AA$7, $W$7)), 0)</f>
        <v>0</v>
      </c>
      <c r="X189" s="23">
        <f>IF(AND(U189&gt;='Amort. Sched.-BASE'!$AA$8, U189&lt;= ($AA$7+$AA$8)), (PPMT($W$8/12, (U189-$AA$8), $AA$7, $W$7)), 0)</f>
        <v>0</v>
      </c>
      <c r="Y189" s="5">
        <f>IF(CreditAmort2BASE[[#This Row],[Month]]=AA$8,W$7,0)</f>
        <v>0</v>
      </c>
      <c r="Z189" s="13">
        <f>IF(AND(U189&gt;='Amort. Sched.-BASE'!$AA$8, U189&lt;= ($AA$7+$AA$8)), Z188+X189, 0)</f>
        <v>0</v>
      </c>
      <c r="AA189" s="24" t="str">
        <f>IF(AND(U189&gt;='Amort. Sched.-BASE'!$AA$8, U189&lt;= ($AA$7+$AA$8)), W189/V189, " ")</f>
        <v xml:space="preserve"> </v>
      </c>
      <c r="AB189" s="25" t="str">
        <f>IF(AND(U189&gt;='Amort. Sched.-BASE'!$AA$8, U189&lt;= ($AA$7+$AA$8)), X189/V189, " ")</f>
        <v xml:space="preserve"> </v>
      </c>
      <c r="AD189" s="20">
        <f t="shared" si="36"/>
        <v>178</v>
      </c>
      <c r="AE189" s="5">
        <f t="shared" si="37"/>
        <v>0</v>
      </c>
      <c r="AF189" s="5">
        <f t="shared" si="38"/>
        <v>0</v>
      </c>
      <c r="AG189" s="5">
        <f t="shared" si="39"/>
        <v>0</v>
      </c>
      <c r="AH189" s="5">
        <f>IF(CreditAmort3BASE[[#This Row],[Month]]=AJ$8,AF$7,0)</f>
        <v>0</v>
      </c>
      <c r="AI189" s="13">
        <f t="shared" si="40"/>
        <v>0</v>
      </c>
      <c r="AJ189" s="6" t="str">
        <f t="shared" si="41"/>
        <v xml:space="preserve"> </v>
      </c>
      <c r="AK189" s="21" t="str">
        <f t="shared" si="42"/>
        <v xml:space="preserve"> </v>
      </c>
      <c r="AM189" s="20">
        <f t="shared" si="43"/>
        <v>178</v>
      </c>
      <c r="AN189" s="5">
        <f t="shared" si="44"/>
        <v>0</v>
      </c>
      <c r="AO189" s="5">
        <f t="shared" si="45"/>
        <v>0</v>
      </c>
      <c r="AP189" s="5">
        <f t="shared" si="46"/>
        <v>0</v>
      </c>
      <c r="AQ189" s="5">
        <f>IF(CreditAmort4BASE[[#This Row],[Month]]=AS$8,AO$7,0)</f>
        <v>0</v>
      </c>
      <c r="AR189" s="13">
        <f t="shared" si="47"/>
        <v>0</v>
      </c>
      <c r="AS189" s="6" t="str">
        <f t="shared" si="48"/>
        <v xml:space="preserve"> </v>
      </c>
      <c r="AT189" s="21" t="str">
        <f t="shared" si="49"/>
        <v xml:space="preserve"> </v>
      </c>
    </row>
    <row r="190" spans="3:46">
      <c r="C190" s="22">
        <f t="shared" si="17"/>
        <v>179</v>
      </c>
      <c r="D190" s="23">
        <f>IF(AND(C190&gt;='Amort. Sched.-BASE'!$I$8, C190&lt;= ($I$7+$I$8)), PMT('Amort. Sched.-BASE'!$E$8/12, 'Amort. Sched.-BASE'!$I$7, 'Amort. Sched.-BASE'!$E$7), 0)</f>
        <v>-1736.5864935892569</v>
      </c>
      <c r="E190" s="5">
        <f>IF(AND(C190&gt;='Amort. Sched.-BASE'!$I$8, C190&lt;= ($I$7+$I$8)), (IPMT($E$8/12, (C190-$I$8), $I$7, $E$7)), 0)</f>
        <v>-964.54177929613081</v>
      </c>
      <c r="F190" s="23">
        <f>IF(AND(C190&gt;='Amort. Sched.-BASE'!$I$8, C190&lt;= ($I$7+$I$8)), (PPMT($E$8/12, (C190-$I$8), $I$7, $E$7)), 0)</f>
        <v>-772.04471429312605</v>
      </c>
      <c r="G190" s="5">
        <f>IF(MortgageAmortBASE[[#This Row],[Month]]=I$8,E$7,0)</f>
        <v>0</v>
      </c>
      <c r="H190" s="13">
        <f>IF(AND(C190&gt;='Amort. Sched.-BASE'!$I$8, C190&lt;= ($I$7+$I$8)), H189+F190, 0)</f>
        <v>143909.22218012656</v>
      </c>
      <c r="I190" s="24">
        <f>IF(AND(C190&gt;='Amort. Sched.-BASE'!$I$8, C190&lt;= ($I$7+$I$8)), E190/D190, " ")</f>
        <v>0.55542397851003178</v>
      </c>
      <c r="J190" s="25">
        <f>IF(AND(C190&gt;='Amort. Sched.-BASE'!$I$8, C190&lt;= ($I$7+$I$8)), F190/D190, " ")</f>
        <v>0.44457602148996822</v>
      </c>
      <c r="L190" s="20">
        <f t="shared" si="34"/>
        <v>179</v>
      </c>
      <c r="M190" s="5">
        <f>IF(AND(L190&gt;='Amort. Sched.-BASE'!$R$8, L190&lt;= ($R$7+$R$8)), PMT('Amort. Sched.-BASE'!$N$8/12, 'Amort. Sched.-BASE'!$R$7, 'Amort. Sched.-BASE'!$N$7), 0)</f>
        <v>0</v>
      </c>
      <c r="N190" s="5">
        <f>IF(AND(L190&gt;='Amort. Sched.-BASE'!$R$8, L190&lt;= ($R$7+$R$8)), (IPMT($N$8/12, (L190-$R$8), $R$7, $N$7)), 0)</f>
        <v>0</v>
      </c>
      <c r="O190" s="5">
        <f>IF(AND(L190&gt;='Amort. Sched.-BASE'!$R$8, L190&lt;= ($R$7+$R$8)), (PPMT($N$8/12, (L190-$R$8), $R$7, $N$7)), 0)</f>
        <v>0</v>
      </c>
      <c r="P190" s="5">
        <f>IF(CreditAmort1BASE[[#This Row],[Month]]=R$8,N$7,0)</f>
        <v>0</v>
      </c>
      <c r="Q190" s="13">
        <f>IF(AND(L190&gt;='Amort. Sched.-BASE'!$R$8, L190&lt;= ($R$7+$R$8)), Q189+O190, 0)</f>
        <v>0</v>
      </c>
      <c r="R190" s="6" t="str">
        <f>IF(AND(L190&gt;='Amort. Sched.-BASE'!$R$8, L190&lt;= ($R$7+$R$8)), N190/M190, " ")</f>
        <v xml:space="preserve"> </v>
      </c>
      <c r="S190" s="21" t="str">
        <f>IF(AND(L190&gt;='Amort. Sched.-BASE'!$R$8, L190&lt;= ($R$7+$R$8)), O190/M190, " ")</f>
        <v xml:space="preserve"> </v>
      </c>
      <c r="U190" s="22">
        <f t="shared" si="35"/>
        <v>179</v>
      </c>
      <c r="V190" s="23">
        <f>IF(AND(U190&gt;='Amort. Sched.-BASE'!$AA$8, U190&lt;= ($AA$7+$AA$8)), PMT('Amort. Sched.-BASE'!$W$8/12, 'Amort. Sched.-BASE'!$AA$7, 'Amort. Sched.-BASE'!$W$7), 0)</f>
        <v>0</v>
      </c>
      <c r="W190" s="5">
        <f>IF(AND(U190&gt;='Amort. Sched.-BASE'!$AA$8, U190&lt;= ($AA$7+$AA$8)), (IPMT($W$8/12, (U190-$AA$8), $AA$7, $W$7)), 0)</f>
        <v>0</v>
      </c>
      <c r="X190" s="23">
        <f>IF(AND(U190&gt;='Amort. Sched.-BASE'!$AA$8, U190&lt;= ($AA$7+$AA$8)), (PPMT($W$8/12, (U190-$AA$8), $AA$7, $W$7)), 0)</f>
        <v>0</v>
      </c>
      <c r="Y190" s="5">
        <f>IF(CreditAmort2BASE[[#This Row],[Month]]=AA$8,W$7,0)</f>
        <v>0</v>
      </c>
      <c r="Z190" s="13">
        <f>IF(AND(U190&gt;='Amort. Sched.-BASE'!$AA$8, U190&lt;= ($AA$7+$AA$8)), Z189+X190, 0)</f>
        <v>0</v>
      </c>
      <c r="AA190" s="24" t="str">
        <f>IF(AND(U190&gt;='Amort. Sched.-BASE'!$AA$8, U190&lt;= ($AA$7+$AA$8)), W190/V190, " ")</f>
        <v xml:space="preserve"> </v>
      </c>
      <c r="AB190" s="25" t="str">
        <f>IF(AND(U190&gt;='Amort. Sched.-BASE'!$AA$8, U190&lt;= ($AA$7+$AA$8)), X190/V190, " ")</f>
        <v xml:space="preserve"> </v>
      </c>
      <c r="AD190" s="20">
        <f t="shared" si="36"/>
        <v>179</v>
      </c>
      <c r="AE190" s="5">
        <f t="shared" si="37"/>
        <v>0</v>
      </c>
      <c r="AF190" s="5">
        <f t="shared" si="38"/>
        <v>0</v>
      </c>
      <c r="AG190" s="5">
        <f t="shared" si="39"/>
        <v>0</v>
      </c>
      <c r="AH190" s="5">
        <f>IF(CreditAmort3BASE[[#This Row],[Month]]=AJ$8,AF$7,0)</f>
        <v>0</v>
      </c>
      <c r="AI190" s="13">
        <f t="shared" si="40"/>
        <v>0</v>
      </c>
      <c r="AJ190" s="6" t="str">
        <f t="shared" si="41"/>
        <v xml:space="preserve"> </v>
      </c>
      <c r="AK190" s="21" t="str">
        <f t="shared" si="42"/>
        <v xml:space="preserve"> </v>
      </c>
      <c r="AM190" s="20">
        <f t="shared" si="43"/>
        <v>179</v>
      </c>
      <c r="AN190" s="5">
        <f t="shared" si="44"/>
        <v>0</v>
      </c>
      <c r="AO190" s="5">
        <f t="shared" si="45"/>
        <v>0</v>
      </c>
      <c r="AP190" s="5">
        <f t="shared" si="46"/>
        <v>0</v>
      </c>
      <c r="AQ190" s="5">
        <f>IF(CreditAmort4BASE[[#This Row],[Month]]=AS$8,AO$7,0)</f>
        <v>0</v>
      </c>
      <c r="AR190" s="13">
        <f t="shared" si="47"/>
        <v>0</v>
      </c>
      <c r="AS190" s="6" t="str">
        <f t="shared" si="48"/>
        <v xml:space="preserve"> </v>
      </c>
      <c r="AT190" s="21" t="str">
        <f t="shared" si="49"/>
        <v xml:space="preserve"> </v>
      </c>
    </row>
    <row r="191" spans="3:46">
      <c r="C191" s="22">
        <f t="shared" si="17"/>
        <v>180</v>
      </c>
      <c r="D191" s="23">
        <f>IF(AND(C191&gt;='Amort. Sched.-BASE'!$I$8, C191&lt;= ($I$7+$I$8)), PMT('Amort. Sched.-BASE'!$E$8/12, 'Amort. Sched.-BASE'!$I$7, 'Amort. Sched.-BASE'!$E$7), 0)</f>
        <v>-1736.5864935892569</v>
      </c>
      <c r="E191" s="5">
        <f>IF(AND(C191&gt;='Amort. Sched.-BASE'!$I$8, C191&lt;= ($I$7+$I$8)), (IPMT($E$8/12, (C191-$I$8), $I$7, $E$7)), 0)</f>
        <v>-959.3948145341767</v>
      </c>
      <c r="F191" s="23">
        <f>IF(AND(C191&gt;='Amort. Sched.-BASE'!$I$8, C191&lt;= ($I$7+$I$8)), (PPMT($E$8/12, (C191-$I$8), $I$7, $E$7)), 0)</f>
        <v>-777.19167905508027</v>
      </c>
      <c r="G191" s="5">
        <f>IF(MortgageAmortBASE[[#This Row],[Month]]=I$8,E$7,0)</f>
        <v>0</v>
      </c>
      <c r="H191" s="13">
        <f>IF(AND(C191&gt;='Amort. Sched.-BASE'!$I$8, C191&lt;= ($I$7+$I$8)), H190+F191, 0)</f>
        <v>143132.03050107148</v>
      </c>
      <c r="I191" s="24">
        <f>IF(AND(C191&gt;='Amort. Sched.-BASE'!$I$8, C191&lt;= ($I$7+$I$8)), E191/D191, " ")</f>
        <v>0.55246013836676533</v>
      </c>
      <c r="J191" s="25">
        <f>IF(AND(C191&gt;='Amort. Sched.-BASE'!$I$8, C191&lt;= ($I$7+$I$8)), F191/D191, " ")</f>
        <v>0.44753986163323473</v>
      </c>
      <c r="L191" s="20">
        <f t="shared" si="34"/>
        <v>180</v>
      </c>
      <c r="M191" s="5">
        <f>IF(AND(L191&gt;='Amort. Sched.-BASE'!$R$8, L191&lt;= ($R$7+$R$8)), PMT('Amort. Sched.-BASE'!$N$8/12, 'Amort. Sched.-BASE'!$R$7, 'Amort. Sched.-BASE'!$N$7), 0)</f>
        <v>0</v>
      </c>
      <c r="N191" s="5">
        <f>IF(AND(L191&gt;='Amort. Sched.-BASE'!$R$8, L191&lt;= ($R$7+$R$8)), (IPMT($N$8/12, (L191-$R$8), $R$7, $N$7)), 0)</f>
        <v>0</v>
      </c>
      <c r="O191" s="5">
        <f>IF(AND(L191&gt;='Amort. Sched.-BASE'!$R$8, L191&lt;= ($R$7+$R$8)), (PPMT($N$8/12, (L191-$R$8), $R$7, $N$7)), 0)</f>
        <v>0</v>
      </c>
      <c r="P191" s="5">
        <f>IF(CreditAmort1BASE[[#This Row],[Month]]=R$8,N$7,0)</f>
        <v>0</v>
      </c>
      <c r="Q191" s="13">
        <f>IF(AND(L191&gt;='Amort. Sched.-BASE'!$R$8, L191&lt;= ($R$7+$R$8)), Q190+O191, 0)</f>
        <v>0</v>
      </c>
      <c r="R191" s="6" t="str">
        <f>IF(AND(L191&gt;='Amort. Sched.-BASE'!$R$8, L191&lt;= ($R$7+$R$8)), N191/M191, " ")</f>
        <v xml:space="preserve"> </v>
      </c>
      <c r="S191" s="21" t="str">
        <f>IF(AND(L191&gt;='Amort. Sched.-BASE'!$R$8, L191&lt;= ($R$7+$R$8)), O191/M191, " ")</f>
        <v xml:space="preserve"> </v>
      </c>
      <c r="U191" s="22">
        <f t="shared" si="35"/>
        <v>180</v>
      </c>
      <c r="V191" s="23">
        <f>IF(AND(U191&gt;='Amort. Sched.-BASE'!$AA$8, U191&lt;= ($AA$7+$AA$8)), PMT('Amort. Sched.-BASE'!$W$8/12, 'Amort. Sched.-BASE'!$AA$7, 'Amort. Sched.-BASE'!$W$7), 0)</f>
        <v>0</v>
      </c>
      <c r="W191" s="5">
        <f>IF(AND(U191&gt;='Amort. Sched.-BASE'!$AA$8, U191&lt;= ($AA$7+$AA$8)), (IPMT($W$8/12, (U191-$AA$8), $AA$7, $W$7)), 0)</f>
        <v>0</v>
      </c>
      <c r="X191" s="23">
        <f>IF(AND(U191&gt;='Amort. Sched.-BASE'!$AA$8, U191&lt;= ($AA$7+$AA$8)), (PPMT($W$8/12, (U191-$AA$8), $AA$7, $W$7)), 0)</f>
        <v>0</v>
      </c>
      <c r="Y191" s="5">
        <f>IF(CreditAmort2BASE[[#This Row],[Month]]=AA$8,W$7,0)</f>
        <v>0</v>
      </c>
      <c r="Z191" s="13">
        <f>IF(AND(U191&gt;='Amort. Sched.-BASE'!$AA$8, U191&lt;= ($AA$7+$AA$8)), Z190+X191, 0)</f>
        <v>0</v>
      </c>
      <c r="AA191" s="24" t="str">
        <f>IF(AND(U191&gt;='Amort. Sched.-BASE'!$AA$8, U191&lt;= ($AA$7+$AA$8)), W191/V191, " ")</f>
        <v xml:space="preserve"> </v>
      </c>
      <c r="AB191" s="25" t="str">
        <f>IF(AND(U191&gt;='Amort. Sched.-BASE'!$AA$8, U191&lt;= ($AA$7+$AA$8)), X191/V191, " ")</f>
        <v xml:space="preserve"> </v>
      </c>
      <c r="AD191" s="20">
        <f t="shared" si="36"/>
        <v>180</v>
      </c>
      <c r="AE191" s="5">
        <f t="shared" si="37"/>
        <v>0</v>
      </c>
      <c r="AF191" s="5">
        <f t="shared" si="38"/>
        <v>0</v>
      </c>
      <c r="AG191" s="5">
        <f t="shared" si="39"/>
        <v>0</v>
      </c>
      <c r="AH191" s="5">
        <f>IF(CreditAmort3BASE[[#This Row],[Month]]=AJ$8,AF$7,0)</f>
        <v>0</v>
      </c>
      <c r="AI191" s="13">
        <f t="shared" si="40"/>
        <v>0</v>
      </c>
      <c r="AJ191" s="6" t="str">
        <f t="shared" si="41"/>
        <v xml:space="preserve"> </v>
      </c>
      <c r="AK191" s="21" t="str">
        <f t="shared" si="42"/>
        <v xml:space="preserve"> </v>
      </c>
      <c r="AM191" s="20">
        <f t="shared" si="43"/>
        <v>180</v>
      </c>
      <c r="AN191" s="5">
        <f t="shared" si="44"/>
        <v>0</v>
      </c>
      <c r="AO191" s="5">
        <f t="shared" si="45"/>
        <v>0</v>
      </c>
      <c r="AP191" s="5">
        <f t="shared" si="46"/>
        <v>0</v>
      </c>
      <c r="AQ191" s="5">
        <f>IF(CreditAmort4BASE[[#This Row],[Month]]=AS$8,AO$7,0)</f>
        <v>0</v>
      </c>
      <c r="AR191" s="13">
        <f t="shared" si="47"/>
        <v>0</v>
      </c>
      <c r="AS191" s="6" t="str">
        <f t="shared" si="48"/>
        <v xml:space="preserve"> </v>
      </c>
      <c r="AT191" s="21" t="str">
        <f t="shared" si="49"/>
        <v xml:space="preserve"> </v>
      </c>
    </row>
    <row r="192" spans="3:46">
      <c r="C192" s="22">
        <f t="shared" si="17"/>
        <v>181</v>
      </c>
      <c r="D192" s="23">
        <f>IF(AND(C192&gt;='Amort. Sched.-BASE'!$I$8, C192&lt;= ($I$7+$I$8)), PMT('Amort. Sched.-BASE'!$E$8/12, 'Amort. Sched.-BASE'!$I$7, 'Amort. Sched.-BASE'!$E$7), 0)</f>
        <v>-1736.5864935892569</v>
      </c>
      <c r="E192" s="5">
        <f>IF(AND(C192&gt;='Amort. Sched.-BASE'!$I$8, C192&lt;= ($I$7+$I$8)), (IPMT($E$8/12, (C192-$I$8), $I$7, $E$7)), 0)</f>
        <v>-954.21353667380959</v>
      </c>
      <c r="F192" s="23">
        <f>IF(AND(C192&gt;='Amort. Sched.-BASE'!$I$8, C192&lt;= ($I$7+$I$8)), (PPMT($E$8/12, (C192-$I$8), $I$7, $E$7)), 0)</f>
        <v>-782.37295691544739</v>
      </c>
      <c r="G192" s="5">
        <f>IF(MortgageAmortBASE[[#This Row],[Month]]=I$8,E$7,0)</f>
        <v>0</v>
      </c>
      <c r="H192" s="13">
        <f>IF(AND(C192&gt;='Amort. Sched.-BASE'!$I$8, C192&lt;= ($I$7+$I$8)), H191+F192, 0)</f>
        <v>142349.65754415604</v>
      </c>
      <c r="I192" s="24">
        <f>IF(AND(C192&gt;='Amort. Sched.-BASE'!$I$8, C192&lt;= ($I$7+$I$8)), E192/D192, " ")</f>
        <v>0.54947653928921047</v>
      </c>
      <c r="J192" s="25">
        <f>IF(AND(C192&gt;='Amort. Sched.-BASE'!$I$8, C192&lt;= ($I$7+$I$8)), F192/D192, " ")</f>
        <v>0.45052346071078958</v>
      </c>
      <c r="L192" s="20">
        <f t="shared" si="34"/>
        <v>181</v>
      </c>
      <c r="M192" s="5">
        <f>IF(AND(L192&gt;='Amort. Sched.-BASE'!$R$8, L192&lt;= ($R$7+$R$8)), PMT('Amort. Sched.-BASE'!$N$8/12, 'Amort. Sched.-BASE'!$R$7, 'Amort. Sched.-BASE'!$N$7), 0)</f>
        <v>0</v>
      </c>
      <c r="N192" s="5">
        <f>IF(AND(L192&gt;='Amort. Sched.-BASE'!$R$8, L192&lt;= ($R$7+$R$8)), (IPMT($N$8/12, (L192-$R$8), $R$7, $N$7)), 0)</f>
        <v>0</v>
      </c>
      <c r="O192" s="5">
        <f>IF(AND(L192&gt;='Amort. Sched.-BASE'!$R$8, L192&lt;= ($R$7+$R$8)), (PPMT($N$8/12, (L192-$R$8), $R$7, $N$7)), 0)</f>
        <v>0</v>
      </c>
      <c r="P192" s="5">
        <f>IF(CreditAmort1BASE[[#This Row],[Month]]=R$8,N$7,0)</f>
        <v>0</v>
      </c>
      <c r="Q192" s="13">
        <f>IF(AND(L192&gt;='Amort. Sched.-BASE'!$R$8, L192&lt;= ($R$7+$R$8)), Q191+O192, 0)</f>
        <v>0</v>
      </c>
      <c r="R192" s="6" t="str">
        <f>IF(AND(L192&gt;='Amort. Sched.-BASE'!$R$8, L192&lt;= ($R$7+$R$8)), N192/M192, " ")</f>
        <v xml:space="preserve"> </v>
      </c>
      <c r="S192" s="21" t="str">
        <f>IF(AND(L192&gt;='Amort. Sched.-BASE'!$R$8, L192&lt;= ($R$7+$R$8)), O192/M192, " ")</f>
        <v xml:space="preserve"> </v>
      </c>
      <c r="U192" s="22">
        <f t="shared" si="35"/>
        <v>181</v>
      </c>
      <c r="V192" s="23">
        <f>IF(AND(U192&gt;='Amort. Sched.-BASE'!$AA$8, U192&lt;= ($AA$7+$AA$8)), PMT('Amort. Sched.-BASE'!$W$8/12, 'Amort. Sched.-BASE'!$AA$7, 'Amort. Sched.-BASE'!$W$7), 0)</f>
        <v>0</v>
      </c>
      <c r="W192" s="5">
        <f>IF(AND(U192&gt;='Amort. Sched.-BASE'!$AA$8, U192&lt;= ($AA$7+$AA$8)), (IPMT($W$8/12, (U192-$AA$8), $AA$7, $W$7)), 0)</f>
        <v>0</v>
      </c>
      <c r="X192" s="23">
        <f>IF(AND(U192&gt;='Amort. Sched.-BASE'!$AA$8, U192&lt;= ($AA$7+$AA$8)), (PPMT($W$8/12, (U192-$AA$8), $AA$7, $W$7)), 0)</f>
        <v>0</v>
      </c>
      <c r="Y192" s="5">
        <f>IF(CreditAmort2BASE[[#This Row],[Month]]=AA$8,W$7,0)</f>
        <v>0</v>
      </c>
      <c r="Z192" s="13">
        <f>IF(AND(U192&gt;='Amort. Sched.-BASE'!$AA$8, U192&lt;= ($AA$7+$AA$8)), Z191+X192, 0)</f>
        <v>0</v>
      </c>
      <c r="AA192" s="24" t="str">
        <f>IF(AND(U192&gt;='Amort. Sched.-BASE'!$AA$8, U192&lt;= ($AA$7+$AA$8)), W192/V192, " ")</f>
        <v xml:space="preserve"> </v>
      </c>
      <c r="AB192" s="25" t="str">
        <f>IF(AND(U192&gt;='Amort. Sched.-BASE'!$AA$8, U192&lt;= ($AA$7+$AA$8)), X192/V192, " ")</f>
        <v xml:space="preserve"> </v>
      </c>
      <c r="AD192" s="20">
        <f t="shared" si="36"/>
        <v>181</v>
      </c>
      <c r="AE192" s="5">
        <f t="shared" si="37"/>
        <v>0</v>
      </c>
      <c r="AF192" s="5">
        <f t="shared" si="38"/>
        <v>0</v>
      </c>
      <c r="AG192" s="5">
        <f t="shared" si="39"/>
        <v>0</v>
      </c>
      <c r="AH192" s="5">
        <f>IF(CreditAmort3BASE[[#This Row],[Month]]=AJ$8,AF$7,0)</f>
        <v>0</v>
      </c>
      <c r="AI192" s="13">
        <f t="shared" si="40"/>
        <v>0</v>
      </c>
      <c r="AJ192" s="6" t="str">
        <f t="shared" si="41"/>
        <v xml:space="preserve"> </v>
      </c>
      <c r="AK192" s="21" t="str">
        <f t="shared" si="42"/>
        <v xml:space="preserve"> </v>
      </c>
      <c r="AM192" s="20">
        <f t="shared" si="43"/>
        <v>181</v>
      </c>
      <c r="AN192" s="5">
        <f t="shared" si="44"/>
        <v>0</v>
      </c>
      <c r="AO192" s="5">
        <f t="shared" si="45"/>
        <v>0</v>
      </c>
      <c r="AP192" s="5">
        <f t="shared" si="46"/>
        <v>0</v>
      </c>
      <c r="AQ192" s="5">
        <f>IF(CreditAmort4BASE[[#This Row],[Month]]=AS$8,AO$7,0)</f>
        <v>0</v>
      </c>
      <c r="AR192" s="13">
        <f t="shared" si="47"/>
        <v>0</v>
      </c>
      <c r="AS192" s="6" t="str">
        <f t="shared" si="48"/>
        <v xml:space="preserve"> </v>
      </c>
      <c r="AT192" s="21" t="str">
        <f t="shared" si="49"/>
        <v xml:space="preserve"> </v>
      </c>
    </row>
    <row r="193" spans="3:46">
      <c r="C193" s="22">
        <f t="shared" si="17"/>
        <v>182</v>
      </c>
      <c r="D193" s="23">
        <f>IF(AND(C193&gt;='Amort. Sched.-BASE'!$I$8, C193&lt;= ($I$7+$I$8)), PMT('Amort. Sched.-BASE'!$E$8/12, 'Amort. Sched.-BASE'!$I$7, 'Amort. Sched.-BASE'!$E$7), 0)</f>
        <v>-1736.5864935892569</v>
      </c>
      <c r="E193" s="5">
        <f>IF(AND(C193&gt;='Amort. Sched.-BASE'!$I$8, C193&lt;= ($I$7+$I$8)), (IPMT($E$8/12, (C193-$I$8), $I$7, $E$7)), 0)</f>
        <v>-948.99771696103994</v>
      </c>
      <c r="F193" s="23">
        <f>IF(AND(C193&gt;='Amort. Sched.-BASE'!$I$8, C193&lt;= ($I$7+$I$8)), (PPMT($E$8/12, (C193-$I$8), $I$7, $E$7)), 0)</f>
        <v>-787.58877662821703</v>
      </c>
      <c r="G193" s="5">
        <f>IF(MortgageAmortBASE[[#This Row],[Month]]=I$8,E$7,0)</f>
        <v>0</v>
      </c>
      <c r="H193" s="13">
        <f>IF(AND(C193&gt;='Amort. Sched.-BASE'!$I$8, C193&lt;= ($I$7+$I$8)), H192+F193, 0)</f>
        <v>141562.06876752782</v>
      </c>
      <c r="I193" s="24">
        <f>IF(AND(C193&gt;='Amort. Sched.-BASE'!$I$8, C193&lt;= ($I$7+$I$8)), E193/D193, " ")</f>
        <v>0.54647304955113851</v>
      </c>
      <c r="J193" s="25">
        <f>IF(AND(C193&gt;='Amort. Sched.-BASE'!$I$8, C193&lt;= ($I$7+$I$8)), F193/D193, " ")</f>
        <v>0.45352695044886149</v>
      </c>
      <c r="L193" s="20">
        <f t="shared" si="34"/>
        <v>182</v>
      </c>
      <c r="M193" s="5">
        <f>IF(AND(L193&gt;='Amort. Sched.-BASE'!$R$8, L193&lt;= ($R$7+$R$8)), PMT('Amort. Sched.-BASE'!$N$8/12, 'Amort. Sched.-BASE'!$R$7, 'Amort. Sched.-BASE'!$N$7), 0)</f>
        <v>0</v>
      </c>
      <c r="N193" s="5">
        <f>IF(AND(L193&gt;='Amort. Sched.-BASE'!$R$8, L193&lt;= ($R$7+$R$8)), (IPMT($N$8/12, (L193-$R$8), $R$7, $N$7)), 0)</f>
        <v>0</v>
      </c>
      <c r="O193" s="5">
        <f>IF(AND(L193&gt;='Amort. Sched.-BASE'!$R$8, L193&lt;= ($R$7+$R$8)), (PPMT($N$8/12, (L193-$R$8), $R$7, $N$7)), 0)</f>
        <v>0</v>
      </c>
      <c r="P193" s="5">
        <f>IF(CreditAmort1BASE[[#This Row],[Month]]=R$8,N$7,0)</f>
        <v>0</v>
      </c>
      <c r="Q193" s="13">
        <f>IF(AND(L193&gt;='Amort. Sched.-BASE'!$R$8, L193&lt;= ($R$7+$R$8)), Q192+O193, 0)</f>
        <v>0</v>
      </c>
      <c r="R193" s="6" t="str">
        <f>IF(AND(L193&gt;='Amort. Sched.-BASE'!$R$8, L193&lt;= ($R$7+$R$8)), N193/M193, " ")</f>
        <v xml:space="preserve"> </v>
      </c>
      <c r="S193" s="21" t="str">
        <f>IF(AND(L193&gt;='Amort. Sched.-BASE'!$R$8, L193&lt;= ($R$7+$R$8)), O193/M193, " ")</f>
        <v xml:space="preserve"> </v>
      </c>
      <c r="U193" s="22">
        <f t="shared" si="35"/>
        <v>182</v>
      </c>
      <c r="V193" s="23">
        <f>IF(AND(U193&gt;='Amort. Sched.-BASE'!$AA$8, U193&lt;= ($AA$7+$AA$8)), PMT('Amort. Sched.-BASE'!$W$8/12, 'Amort. Sched.-BASE'!$AA$7, 'Amort. Sched.-BASE'!$W$7), 0)</f>
        <v>0</v>
      </c>
      <c r="W193" s="5">
        <f>IF(AND(U193&gt;='Amort. Sched.-BASE'!$AA$8, U193&lt;= ($AA$7+$AA$8)), (IPMT($W$8/12, (U193-$AA$8), $AA$7, $W$7)), 0)</f>
        <v>0</v>
      </c>
      <c r="X193" s="23">
        <f>IF(AND(U193&gt;='Amort. Sched.-BASE'!$AA$8, U193&lt;= ($AA$7+$AA$8)), (PPMT($W$8/12, (U193-$AA$8), $AA$7, $W$7)), 0)</f>
        <v>0</v>
      </c>
      <c r="Y193" s="5">
        <f>IF(CreditAmort2BASE[[#This Row],[Month]]=AA$8,W$7,0)</f>
        <v>0</v>
      </c>
      <c r="Z193" s="13">
        <f>IF(AND(U193&gt;='Amort. Sched.-BASE'!$AA$8, U193&lt;= ($AA$7+$AA$8)), Z192+X193, 0)</f>
        <v>0</v>
      </c>
      <c r="AA193" s="24" t="str">
        <f>IF(AND(U193&gt;='Amort. Sched.-BASE'!$AA$8, U193&lt;= ($AA$7+$AA$8)), W193/V193, " ")</f>
        <v xml:space="preserve"> </v>
      </c>
      <c r="AB193" s="25" t="str">
        <f>IF(AND(U193&gt;='Amort. Sched.-BASE'!$AA$8, U193&lt;= ($AA$7+$AA$8)), X193/V193, " ")</f>
        <v xml:space="preserve"> </v>
      </c>
      <c r="AD193" s="20">
        <f t="shared" si="36"/>
        <v>182</v>
      </c>
      <c r="AE193" s="5">
        <f t="shared" si="37"/>
        <v>0</v>
      </c>
      <c r="AF193" s="5">
        <f t="shared" si="38"/>
        <v>0</v>
      </c>
      <c r="AG193" s="5">
        <f t="shared" si="39"/>
        <v>0</v>
      </c>
      <c r="AH193" s="5">
        <f>IF(CreditAmort3BASE[[#This Row],[Month]]=AJ$8,AF$7,0)</f>
        <v>0</v>
      </c>
      <c r="AI193" s="13">
        <f t="shared" si="40"/>
        <v>0</v>
      </c>
      <c r="AJ193" s="6" t="str">
        <f t="shared" si="41"/>
        <v xml:space="preserve"> </v>
      </c>
      <c r="AK193" s="21" t="str">
        <f t="shared" si="42"/>
        <v xml:space="preserve"> </v>
      </c>
      <c r="AM193" s="20">
        <f t="shared" si="43"/>
        <v>182</v>
      </c>
      <c r="AN193" s="5">
        <f t="shared" si="44"/>
        <v>0</v>
      </c>
      <c r="AO193" s="5">
        <f t="shared" si="45"/>
        <v>0</v>
      </c>
      <c r="AP193" s="5">
        <f t="shared" si="46"/>
        <v>0</v>
      </c>
      <c r="AQ193" s="5">
        <f>IF(CreditAmort4BASE[[#This Row],[Month]]=AS$8,AO$7,0)</f>
        <v>0</v>
      </c>
      <c r="AR193" s="13">
        <f t="shared" si="47"/>
        <v>0</v>
      </c>
      <c r="AS193" s="6" t="str">
        <f t="shared" si="48"/>
        <v xml:space="preserve"> </v>
      </c>
      <c r="AT193" s="21" t="str">
        <f t="shared" si="49"/>
        <v xml:space="preserve"> </v>
      </c>
    </row>
    <row r="194" spans="3:46">
      <c r="C194" s="22">
        <f t="shared" si="17"/>
        <v>183</v>
      </c>
      <c r="D194" s="23">
        <f>IF(AND(C194&gt;='Amort. Sched.-BASE'!$I$8, C194&lt;= ($I$7+$I$8)), PMT('Amort. Sched.-BASE'!$E$8/12, 'Amort. Sched.-BASE'!$I$7, 'Amort. Sched.-BASE'!$E$7), 0)</f>
        <v>-1736.5864935892569</v>
      </c>
      <c r="E194" s="5">
        <f>IF(AND(C194&gt;='Amort. Sched.-BASE'!$I$8, C194&lt;= ($I$7+$I$8)), (IPMT($E$8/12, (C194-$I$8), $I$7, $E$7)), 0)</f>
        <v>-943.74712511685175</v>
      </c>
      <c r="F194" s="23">
        <f>IF(AND(C194&gt;='Amort. Sched.-BASE'!$I$8, C194&lt;= ($I$7+$I$8)), (PPMT($E$8/12, (C194-$I$8), $I$7, $E$7)), 0)</f>
        <v>-792.83936847240511</v>
      </c>
      <c r="G194" s="5">
        <f>IF(MortgageAmortBASE[[#This Row],[Month]]=I$8,E$7,0)</f>
        <v>0</v>
      </c>
      <c r="H194" s="13">
        <f>IF(AND(C194&gt;='Amort. Sched.-BASE'!$I$8, C194&lt;= ($I$7+$I$8)), H193+F194, 0)</f>
        <v>140769.22939905542</v>
      </c>
      <c r="I194" s="24">
        <f>IF(AND(C194&gt;='Amort. Sched.-BASE'!$I$8, C194&lt;= ($I$7+$I$8)), E194/D194, " ")</f>
        <v>0.54344953654814609</v>
      </c>
      <c r="J194" s="25">
        <f>IF(AND(C194&gt;='Amort. Sched.-BASE'!$I$8, C194&lt;= ($I$7+$I$8)), F194/D194, " ")</f>
        <v>0.45655046345185391</v>
      </c>
      <c r="L194" s="20">
        <f t="shared" si="34"/>
        <v>183</v>
      </c>
      <c r="M194" s="5">
        <f>IF(AND(L194&gt;='Amort. Sched.-BASE'!$R$8, L194&lt;= ($R$7+$R$8)), PMT('Amort. Sched.-BASE'!$N$8/12, 'Amort. Sched.-BASE'!$R$7, 'Amort. Sched.-BASE'!$N$7), 0)</f>
        <v>0</v>
      </c>
      <c r="N194" s="5">
        <f>IF(AND(L194&gt;='Amort. Sched.-BASE'!$R$8, L194&lt;= ($R$7+$R$8)), (IPMT($N$8/12, (L194-$R$8), $R$7, $N$7)), 0)</f>
        <v>0</v>
      </c>
      <c r="O194" s="5">
        <f>IF(AND(L194&gt;='Amort. Sched.-BASE'!$R$8, L194&lt;= ($R$7+$R$8)), (PPMT($N$8/12, (L194-$R$8), $R$7, $N$7)), 0)</f>
        <v>0</v>
      </c>
      <c r="P194" s="5">
        <f>IF(CreditAmort1BASE[[#This Row],[Month]]=R$8,N$7,0)</f>
        <v>0</v>
      </c>
      <c r="Q194" s="13">
        <f>IF(AND(L194&gt;='Amort. Sched.-BASE'!$R$8, L194&lt;= ($R$7+$R$8)), Q193+O194, 0)</f>
        <v>0</v>
      </c>
      <c r="R194" s="6" t="str">
        <f>IF(AND(L194&gt;='Amort. Sched.-BASE'!$R$8, L194&lt;= ($R$7+$R$8)), N194/M194, " ")</f>
        <v xml:space="preserve"> </v>
      </c>
      <c r="S194" s="21" t="str">
        <f>IF(AND(L194&gt;='Amort. Sched.-BASE'!$R$8, L194&lt;= ($R$7+$R$8)), O194/M194, " ")</f>
        <v xml:space="preserve"> </v>
      </c>
      <c r="U194" s="22">
        <f t="shared" si="35"/>
        <v>183</v>
      </c>
      <c r="V194" s="23">
        <f>IF(AND(U194&gt;='Amort. Sched.-BASE'!$AA$8, U194&lt;= ($AA$7+$AA$8)), PMT('Amort. Sched.-BASE'!$W$8/12, 'Amort. Sched.-BASE'!$AA$7, 'Amort. Sched.-BASE'!$W$7), 0)</f>
        <v>0</v>
      </c>
      <c r="W194" s="5">
        <f>IF(AND(U194&gt;='Amort. Sched.-BASE'!$AA$8, U194&lt;= ($AA$7+$AA$8)), (IPMT($W$8/12, (U194-$AA$8), $AA$7, $W$7)), 0)</f>
        <v>0</v>
      </c>
      <c r="X194" s="23">
        <f>IF(AND(U194&gt;='Amort. Sched.-BASE'!$AA$8, U194&lt;= ($AA$7+$AA$8)), (PPMT($W$8/12, (U194-$AA$8), $AA$7, $W$7)), 0)</f>
        <v>0</v>
      </c>
      <c r="Y194" s="5">
        <f>IF(CreditAmort2BASE[[#This Row],[Month]]=AA$8,W$7,0)</f>
        <v>0</v>
      </c>
      <c r="Z194" s="13">
        <f>IF(AND(U194&gt;='Amort. Sched.-BASE'!$AA$8, U194&lt;= ($AA$7+$AA$8)), Z193+X194, 0)</f>
        <v>0</v>
      </c>
      <c r="AA194" s="24" t="str">
        <f>IF(AND(U194&gt;='Amort. Sched.-BASE'!$AA$8, U194&lt;= ($AA$7+$AA$8)), W194/V194, " ")</f>
        <v xml:space="preserve"> </v>
      </c>
      <c r="AB194" s="25" t="str">
        <f>IF(AND(U194&gt;='Amort. Sched.-BASE'!$AA$8, U194&lt;= ($AA$7+$AA$8)), X194/V194, " ")</f>
        <v xml:space="preserve"> </v>
      </c>
      <c r="AD194" s="20">
        <f t="shared" si="36"/>
        <v>183</v>
      </c>
      <c r="AE194" s="5">
        <f t="shared" si="37"/>
        <v>0</v>
      </c>
      <c r="AF194" s="5">
        <f t="shared" si="38"/>
        <v>0</v>
      </c>
      <c r="AG194" s="5">
        <f t="shared" si="39"/>
        <v>0</v>
      </c>
      <c r="AH194" s="5">
        <f>IF(CreditAmort3BASE[[#This Row],[Month]]=AJ$8,AF$7,0)</f>
        <v>0</v>
      </c>
      <c r="AI194" s="13">
        <f t="shared" si="40"/>
        <v>0</v>
      </c>
      <c r="AJ194" s="6" t="str">
        <f t="shared" si="41"/>
        <v xml:space="preserve"> </v>
      </c>
      <c r="AK194" s="21" t="str">
        <f t="shared" si="42"/>
        <v xml:space="preserve"> </v>
      </c>
      <c r="AM194" s="20">
        <f t="shared" si="43"/>
        <v>183</v>
      </c>
      <c r="AN194" s="5">
        <f t="shared" si="44"/>
        <v>0</v>
      </c>
      <c r="AO194" s="5">
        <f t="shared" si="45"/>
        <v>0</v>
      </c>
      <c r="AP194" s="5">
        <f t="shared" si="46"/>
        <v>0</v>
      </c>
      <c r="AQ194" s="5">
        <f>IF(CreditAmort4BASE[[#This Row],[Month]]=AS$8,AO$7,0)</f>
        <v>0</v>
      </c>
      <c r="AR194" s="13">
        <f t="shared" si="47"/>
        <v>0</v>
      </c>
      <c r="AS194" s="6" t="str">
        <f t="shared" si="48"/>
        <v xml:space="preserve"> </v>
      </c>
      <c r="AT194" s="21" t="str">
        <f t="shared" si="49"/>
        <v xml:space="preserve"> </v>
      </c>
    </row>
    <row r="195" spans="3:46">
      <c r="C195" s="22">
        <f t="shared" si="17"/>
        <v>184</v>
      </c>
      <c r="D195" s="23">
        <f>IF(AND(C195&gt;='Amort. Sched.-BASE'!$I$8, C195&lt;= ($I$7+$I$8)), PMT('Amort. Sched.-BASE'!$E$8/12, 'Amort. Sched.-BASE'!$I$7, 'Amort. Sched.-BASE'!$E$7), 0)</f>
        <v>-1736.5864935892569</v>
      </c>
      <c r="E195" s="5">
        <f>IF(AND(C195&gt;='Amort. Sched.-BASE'!$I$8, C195&lt;= ($I$7+$I$8)), (IPMT($E$8/12, (C195-$I$8), $I$7, $E$7)), 0)</f>
        <v>-938.46152932703558</v>
      </c>
      <c r="F195" s="23">
        <f>IF(AND(C195&gt;='Amort. Sched.-BASE'!$I$8, C195&lt;= ($I$7+$I$8)), (PPMT($E$8/12, (C195-$I$8), $I$7, $E$7)), 0)</f>
        <v>-798.12496426222117</v>
      </c>
      <c r="G195" s="5">
        <f>IF(MortgageAmortBASE[[#This Row],[Month]]=I$8,E$7,0)</f>
        <v>0</v>
      </c>
      <c r="H195" s="13">
        <f>IF(AND(C195&gt;='Amort. Sched.-BASE'!$I$8, C195&lt;= ($I$7+$I$8)), H194+F195, 0)</f>
        <v>139971.1044347932</v>
      </c>
      <c r="I195" s="24">
        <f>IF(AND(C195&gt;='Amort. Sched.-BASE'!$I$8, C195&lt;= ($I$7+$I$8)), E195/D195, " ")</f>
        <v>0.54040586679180036</v>
      </c>
      <c r="J195" s="25">
        <f>IF(AND(C195&gt;='Amort. Sched.-BASE'!$I$8, C195&lt;= ($I$7+$I$8)), F195/D195, " ")</f>
        <v>0.45959413320819958</v>
      </c>
      <c r="L195" s="20">
        <f t="shared" si="34"/>
        <v>184</v>
      </c>
      <c r="M195" s="5">
        <f>IF(AND(L195&gt;='Amort. Sched.-BASE'!$R$8, L195&lt;= ($R$7+$R$8)), PMT('Amort. Sched.-BASE'!$N$8/12, 'Amort. Sched.-BASE'!$R$7, 'Amort. Sched.-BASE'!$N$7), 0)</f>
        <v>0</v>
      </c>
      <c r="N195" s="5">
        <f>IF(AND(L195&gt;='Amort. Sched.-BASE'!$R$8, L195&lt;= ($R$7+$R$8)), (IPMT($N$8/12, (L195-$R$8), $R$7, $N$7)), 0)</f>
        <v>0</v>
      </c>
      <c r="O195" s="5">
        <f>IF(AND(L195&gt;='Amort. Sched.-BASE'!$R$8, L195&lt;= ($R$7+$R$8)), (PPMT($N$8/12, (L195-$R$8), $R$7, $N$7)), 0)</f>
        <v>0</v>
      </c>
      <c r="P195" s="5">
        <f>IF(CreditAmort1BASE[[#This Row],[Month]]=R$8,N$7,0)</f>
        <v>0</v>
      </c>
      <c r="Q195" s="13">
        <f>IF(AND(L195&gt;='Amort. Sched.-BASE'!$R$8, L195&lt;= ($R$7+$R$8)), Q194+O195, 0)</f>
        <v>0</v>
      </c>
      <c r="R195" s="6" t="str">
        <f>IF(AND(L195&gt;='Amort. Sched.-BASE'!$R$8, L195&lt;= ($R$7+$R$8)), N195/M195, " ")</f>
        <v xml:space="preserve"> </v>
      </c>
      <c r="S195" s="21" t="str">
        <f>IF(AND(L195&gt;='Amort. Sched.-BASE'!$R$8, L195&lt;= ($R$7+$R$8)), O195/M195, " ")</f>
        <v xml:space="preserve"> </v>
      </c>
      <c r="U195" s="22">
        <f t="shared" si="35"/>
        <v>184</v>
      </c>
      <c r="V195" s="23">
        <f>IF(AND(U195&gt;='Amort. Sched.-BASE'!$AA$8, U195&lt;= ($AA$7+$AA$8)), PMT('Amort. Sched.-BASE'!$W$8/12, 'Amort. Sched.-BASE'!$AA$7, 'Amort. Sched.-BASE'!$W$7), 0)</f>
        <v>0</v>
      </c>
      <c r="W195" s="5">
        <f>IF(AND(U195&gt;='Amort. Sched.-BASE'!$AA$8, U195&lt;= ($AA$7+$AA$8)), (IPMT($W$8/12, (U195-$AA$8), $AA$7, $W$7)), 0)</f>
        <v>0</v>
      </c>
      <c r="X195" s="23">
        <f>IF(AND(U195&gt;='Amort. Sched.-BASE'!$AA$8, U195&lt;= ($AA$7+$AA$8)), (PPMT($W$8/12, (U195-$AA$8), $AA$7, $W$7)), 0)</f>
        <v>0</v>
      </c>
      <c r="Y195" s="5">
        <f>IF(CreditAmort2BASE[[#This Row],[Month]]=AA$8,W$7,0)</f>
        <v>0</v>
      </c>
      <c r="Z195" s="13">
        <f>IF(AND(U195&gt;='Amort. Sched.-BASE'!$AA$8, U195&lt;= ($AA$7+$AA$8)), Z194+X195, 0)</f>
        <v>0</v>
      </c>
      <c r="AA195" s="24" t="str">
        <f>IF(AND(U195&gt;='Amort. Sched.-BASE'!$AA$8, U195&lt;= ($AA$7+$AA$8)), W195/V195, " ")</f>
        <v xml:space="preserve"> </v>
      </c>
      <c r="AB195" s="25" t="str">
        <f>IF(AND(U195&gt;='Amort. Sched.-BASE'!$AA$8, U195&lt;= ($AA$7+$AA$8)), X195/V195, " ")</f>
        <v xml:space="preserve"> </v>
      </c>
      <c r="AD195" s="20">
        <f t="shared" si="36"/>
        <v>184</v>
      </c>
      <c r="AE195" s="5">
        <f t="shared" si="37"/>
        <v>0</v>
      </c>
      <c r="AF195" s="5">
        <f t="shared" si="38"/>
        <v>0</v>
      </c>
      <c r="AG195" s="5">
        <f t="shared" si="39"/>
        <v>0</v>
      </c>
      <c r="AH195" s="5">
        <f>IF(CreditAmort3BASE[[#This Row],[Month]]=AJ$8,AF$7,0)</f>
        <v>0</v>
      </c>
      <c r="AI195" s="13">
        <f t="shared" si="40"/>
        <v>0</v>
      </c>
      <c r="AJ195" s="6" t="str">
        <f t="shared" si="41"/>
        <v xml:space="preserve"> </v>
      </c>
      <c r="AK195" s="21" t="str">
        <f t="shared" si="42"/>
        <v xml:space="preserve"> </v>
      </c>
      <c r="AM195" s="20">
        <f t="shared" si="43"/>
        <v>184</v>
      </c>
      <c r="AN195" s="5">
        <f t="shared" si="44"/>
        <v>0</v>
      </c>
      <c r="AO195" s="5">
        <f t="shared" si="45"/>
        <v>0</v>
      </c>
      <c r="AP195" s="5">
        <f t="shared" si="46"/>
        <v>0</v>
      </c>
      <c r="AQ195" s="5">
        <f>IF(CreditAmort4BASE[[#This Row],[Month]]=AS$8,AO$7,0)</f>
        <v>0</v>
      </c>
      <c r="AR195" s="13">
        <f t="shared" si="47"/>
        <v>0</v>
      </c>
      <c r="AS195" s="6" t="str">
        <f t="shared" si="48"/>
        <v xml:space="preserve"> </v>
      </c>
      <c r="AT195" s="21" t="str">
        <f t="shared" si="49"/>
        <v xml:space="preserve"> </v>
      </c>
    </row>
    <row r="196" spans="3:46">
      <c r="C196" s="22">
        <f t="shared" si="17"/>
        <v>185</v>
      </c>
      <c r="D196" s="23">
        <f>IF(AND(C196&gt;='Amort. Sched.-BASE'!$I$8, C196&lt;= ($I$7+$I$8)), PMT('Amort. Sched.-BASE'!$E$8/12, 'Amort. Sched.-BASE'!$I$7, 'Amort. Sched.-BASE'!$E$7), 0)</f>
        <v>-1736.5864935892569</v>
      </c>
      <c r="E196" s="5">
        <f>IF(AND(C196&gt;='Amort. Sched.-BASE'!$I$8, C196&lt;= ($I$7+$I$8)), (IPMT($E$8/12, (C196-$I$8), $I$7, $E$7)), 0)</f>
        <v>-933.14069623195417</v>
      </c>
      <c r="F196" s="23">
        <f>IF(AND(C196&gt;='Amort. Sched.-BASE'!$I$8, C196&lt;= ($I$7+$I$8)), (PPMT($E$8/12, (C196-$I$8), $I$7, $E$7)), 0)</f>
        <v>-803.44579735730281</v>
      </c>
      <c r="G196" s="5">
        <f>IF(MortgageAmortBASE[[#This Row],[Month]]=I$8,E$7,0)</f>
        <v>0</v>
      </c>
      <c r="H196" s="13">
        <f>IF(AND(C196&gt;='Amort. Sched.-BASE'!$I$8, C196&lt;= ($I$7+$I$8)), H195+F196, 0)</f>
        <v>139167.6586374359</v>
      </c>
      <c r="I196" s="24">
        <f>IF(AND(C196&gt;='Amort. Sched.-BASE'!$I$8, C196&lt;= ($I$7+$I$8)), E196/D196, " ")</f>
        <v>0.53734190590374575</v>
      </c>
      <c r="J196" s="25">
        <f>IF(AND(C196&gt;='Amort. Sched.-BASE'!$I$8, C196&lt;= ($I$7+$I$8)), F196/D196, " ")</f>
        <v>0.46265809409625436</v>
      </c>
      <c r="L196" s="20">
        <f t="shared" si="34"/>
        <v>185</v>
      </c>
      <c r="M196" s="5">
        <f>IF(AND(L196&gt;='Amort. Sched.-BASE'!$R$8, L196&lt;= ($R$7+$R$8)), PMT('Amort. Sched.-BASE'!$N$8/12, 'Amort. Sched.-BASE'!$R$7, 'Amort. Sched.-BASE'!$N$7), 0)</f>
        <v>0</v>
      </c>
      <c r="N196" s="5">
        <f>IF(AND(L196&gt;='Amort. Sched.-BASE'!$R$8, L196&lt;= ($R$7+$R$8)), (IPMT($N$8/12, (L196-$R$8), $R$7, $N$7)), 0)</f>
        <v>0</v>
      </c>
      <c r="O196" s="5">
        <f>IF(AND(L196&gt;='Amort. Sched.-BASE'!$R$8, L196&lt;= ($R$7+$R$8)), (PPMT($N$8/12, (L196-$R$8), $R$7, $N$7)), 0)</f>
        <v>0</v>
      </c>
      <c r="P196" s="5">
        <f>IF(CreditAmort1BASE[[#This Row],[Month]]=R$8,N$7,0)</f>
        <v>0</v>
      </c>
      <c r="Q196" s="13">
        <f>IF(AND(L196&gt;='Amort. Sched.-BASE'!$R$8, L196&lt;= ($R$7+$R$8)), Q195+O196, 0)</f>
        <v>0</v>
      </c>
      <c r="R196" s="6" t="str">
        <f>IF(AND(L196&gt;='Amort. Sched.-BASE'!$R$8, L196&lt;= ($R$7+$R$8)), N196/M196, " ")</f>
        <v xml:space="preserve"> </v>
      </c>
      <c r="S196" s="21" t="str">
        <f>IF(AND(L196&gt;='Amort. Sched.-BASE'!$R$8, L196&lt;= ($R$7+$R$8)), O196/M196, " ")</f>
        <v xml:space="preserve"> </v>
      </c>
      <c r="U196" s="22">
        <f t="shared" si="35"/>
        <v>185</v>
      </c>
      <c r="V196" s="23">
        <f>IF(AND(U196&gt;='Amort. Sched.-BASE'!$AA$8, U196&lt;= ($AA$7+$AA$8)), PMT('Amort. Sched.-BASE'!$W$8/12, 'Amort. Sched.-BASE'!$AA$7, 'Amort. Sched.-BASE'!$W$7), 0)</f>
        <v>0</v>
      </c>
      <c r="W196" s="5">
        <f>IF(AND(U196&gt;='Amort. Sched.-BASE'!$AA$8, U196&lt;= ($AA$7+$AA$8)), (IPMT($W$8/12, (U196-$AA$8), $AA$7, $W$7)), 0)</f>
        <v>0</v>
      </c>
      <c r="X196" s="23">
        <f>IF(AND(U196&gt;='Amort. Sched.-BASE'!$AA$8, U196&lt;= ($AA$7+$AA$8)), (PPMT($W$8/12, (U196-$AA$8), $AA$7, $W$7)), 0)</f>
        <v>0</v>
      </c>
      <c r="Y196" s="5">
        <f>IF(CreditAmort2BASE[[#This Row],[Month]]=AA$8,W$7,0)</f>
        <v>0</v>
      </c>
      <c r="Z196" s="13">
        <f>IF(AND(U196&gt;='Amort. Sched.-BASE'!$AA$8, U196&lt;= ($AA$7+$AA$8)), Z195+X196, 0)</f>
        <v>0</v>
      </c>
      <c r="AA196" s="24" t="str">
        <f>IF(AND(U196&gt;='Amort. Sched.-BASE'!$AA$8, U196&lt;= ($AA$7+$AA$8)), W196/V196, " ")</f>
        <v xml:space="preserve"> </v>
      </c>
      <c r="AB196" s="25" t="str">
        <f>IF(AND(U196&gt;='Amort. Sched.-BASE'!$AA$8, U196&lt;= ($AA$7+$AA$8)), X196/V196, " ")</f>
        <v xml:space="preserve"> </v>
      </c>
      <c r="AD196" s="20">
        <f t="shared" si="36"/>
        <v>185</v>
      </c>
      <c r="AE196" s="5">
        <f t="shared" si="37"/>
        <v>0</v>
      </c>
      <c r="AF196" s="5">
        <f t="shared" si="38"/>
        <v>0</v>
      </c>
      <c r="AG196" s="5">
        <f t="shared" si="39"/>
        <v>0</v>
      </c>
      <c r="AH196" s="5">
        <f>IF(CreditAmort3BASE[[#This Row],[Month]]=AJ$8,AF$7,0)</f>
        <v>0</v>
      </c>
      <c r="AI196" s="13">
        <f t="shared" si="40"/>
        <v>0</v>
      </c>
      <c r="AJ196" s="6" t="str">
        <f t="shared" si="41"/>
        <v xml:space="preserve"> </v>
      </c>
      <c r="AK196" s="21" t="str">
        <f t="shared" si="42"/>
        <v xml:space="preserve"> </v>
      </c>
      <c r="AM196" s="20">
        <f t="shared" si="43"/>
        <v>185</v>
      </c>
      <c r="AN196" s="5">
        <f t="shared" si="44"/>
        <v>0</v>
      </c>
      <c r="AO196" s="5">
        <f t="shared" si="45"/>
        <v>0</v>
      </c>
      <c r="AP196" s="5">
        <f t="shared" si="46"/>
        <v>0</v>
      </c>
      <c r="AQ196" s="5">
        <f>IF(CreditAmort4BASE[[#This Row],[Month]]=AS$8,AO$7,0)</f>
        <v>0</v>
      </c>
      <c r="AR196" s="13">
        <f t="shared" si="47"/>
        <v>0</v>
      </c>
      <c r="AS196" s="6" t="str">
        <f t="shared" si="48"/>
        <v xml:space="preserve"> </v>
      </c>
      <c r="AT196" s="21" t="str">
        <f t="shared" si="49"/>
        <v xml:space="preserve"> </v>
      </c>
    </row>
    <row r="197" spans="3:46">
      <c r="C197" s="22">
        <f t="shared" si="17"/>
        <v>186</v>
      </c>
      <c r="D197" s="23">
        <f>IF(AND(C197&gt;='Amort. Sched.-BASE'!$I$8, C197&lt;= ($I$7+$I$8)), PMT('Amort. Sched.-BASE'!$E$8/12, 'Amort. Sched.-BASE'!$I$7, 'Amort. Sched.-BASE'!$E$7), 0)</f>
        <v>-1736.5864935892569</v>
      </c>
      <c r="E197" s="5">
        <f>IF(AND(C197&gt;='Amort. Sched.-BASE'!$I$8, C197&lt;= ($I$7+$I$8)), (IPMT($E$8/12, (C197-$I$8), $I$7, $E$7)), 0)</f>
        <v>-927.78439091623886</v>
      </c>
      <c r="F197" s="23">
        <f>IF(AND(C197&gt;='Amort. Sched.-BASE'!$I$8, C197&lt;= ($I$7+$I$8)), (PPMT($E$8/12, (C197-$I$8), $I$7, $E$7)), 0)</f>
        <v>-808.802102673018</v>
      </c>
      <c r="G197" s="5">
        <f>IF(MortgageAmortBASE[[#This Row],[Month]]=I$8,E$7,0)</f>
        <v>0</v>
      </c>
      <c r="H197" s="13">
        <f>IF(AND(C197&gt;='Amort. Sched.-BASE'!$I$8, C197&lt;= ($I$7+$I$8)), H196+F197, 0)</f>
        <v>138358.85653476289</v>
      </c>
      <c r="I197" s="24">
        <f>IF(AND(C197&gt;='Amort. Sched.-BASE'!$I$8, C197&lt;= ($I$7+$I$8)), E197/D197, " ")</f>
        <v>0.53425751860977067</v>
      </c>
      <c r="J197" s="25">
        <f>IF(AND(C197&gt;='Amort. Sched.-BASE'!$I$8, C197&lt;= ($I$7+$I$8)), F197/D197, " ")</f>
        <v>0.46574248139022928</v>
      </c>
      <c r="L197" s="20">
        <f t="shared" si="34"/>
        <v>186</v>
      </c>
      <c r="M197" s="5">
        <f>IF(AND(L197&gt;='Amort. Sched.-BASE'!$R$8, L197&lt;= ($R$7+$R$8)), PMT('Amort. Sched.-BASE'!$N$8/12, 'Amort. Sched.-BASE'!$R$7, 'Amort. Sched.-BASE'!$N$7), 0)</f>
        <v>0</v>
      </c>
      <c r="N197" s="5">
        <f>IF(AND(L197&gt;='Amort. Sched.-BASE'!$R$8, L197&lt;= ($R$7+$R$8)), (IPMT($N$8/12, (L197-$R$8), $R$7, $N$7)), 0)</f>
        <v>0</v>
      </c>
      <c r="O197" s="5">
        <f>IF(AND(L197&gt;='Amort. Sched.-BASE'!$R$8, L197&lt;= ($R$7+$R$8)), (PPMT($N$8/12, (L197-$R$8), $R$7, $N$7)), 0)</f>
        <v>0</v>
      </c>
      <c r="P197" s="5">
        <f>IF(CreditAmort1BASE[[#This Row],[Month]]=R$8,N$7,0)</f>
        <v>0</v>
      </c>
      <c r="Q197" s="13">
        <f>IF(AND(L197&gt;='Amort. Sched.-BASE'!$R$8, L197&lt;= ($R$7+$R$8)), Q196+O197, 0)</f>
        <v>0</v>
      </c>
      <c r="R197" s="6" t="str">
        <f>IF(AND(L197&gt;='Amort. Sched.-BASE'!$R$8, L197&lt;= ($R$7+$R$8)), N197/M197, " ")</f>
        <v xml:space="preserve"> </v>
      </c>
      <c r="S197" s="21" t="str">
        <f>IF(AND(L197&gt;='Amort. Sched.-BASE'!$R$8, L197&lt;= ($R$7+$R$8)), O197/M197, " ")</f>
        <v xml:space="preserve"> </v>
      </c>
      <c r="U197" s="22">
        <f t="shared" si="35"/>
        <v>186</v>
      </c>
      <c r="V197" s="23">
        <f>IF(AND(U197&gt;='Amort. Sched.-BASE'!$AA$8, U197&lt;= ($AA$7+$AA$8)), PMT('Amort. Sched.-BASE'!$W$8/12, 'Amort. Sched.-BASE'!$AA$7, 'Amort. Sched.-BASE'!$W$7), 0)</f>
        <v>0</v>
      </c>
      <c r="W197" s="5">
        <f>IF(AND(U197&gt;='Amort. Sched.-BASE'!$AA$8, U197&lt;= ($AA$7+$AA$8)), (IPMT($W$8/12, (U197-$AA$8), $AA$7, $W$7)), 0)</f>
        <v>0</v>
      </c>
      <c r="X197" s="23">
        <f>IF(AND(U197&gt;='Amort. Sched.-BASE'!$AA$8, U197&lt;= ($AA$7+$AA$8)), (PPMT($W$8/12, (U197-$AA$8), $AA$7, $W$7)), 0)</f>
        <v>0</v>
      </c>
      <c r="Y197" s="5">
        <f>IF(CreditAmort2BASE[[#This Row],[Month]]=AA$8,W$7,0)</f>
        <v>0</v>
      </c>
      <c r="Z197" s="13">
        <f>IF(AND(U197&gt;='Amort. Sched.-BASE'!$AA$8, U197&lt;= ($AA$7+$AA$8)), Z196+X197, 0)</f>
        <v>0</v>
      </c>
      <c r="AA197" s="24" t="str">
        <f>IF(AND(U197&gt;='Amort. Sched.-BASE'!$AA$8, U197&lt;= ($AA$7+$AA$8)), W197/V197, " ")</f>
        <v xml:space="preserve"> </v>
      </c>
      <c r="AB197" s="25" t="str">
        <f>IF(AND(U197&gt;='Amort. Sched.-BASE'!$AA$8, U197&lt;= ($AA$7+$AA$8)), X197/V197, " ")</f>
        <v xml:space="preserve"> </v>
      </c>
      <c r="AD197" s="20">
        <f t="shared" si="36"/>
        <v>186</v>
      </c>
      <c r="AE197" s="5">
        <f t="shared" si="37"/>
        <v>0</v>
      </c>
      <c r="AF197" s="5">
        <f t="shared" si="38"/>
        <v>0</v>
      </c>
      <c r="AG197" s="5">
        <f t="shared" si="39"/>
        <v>0</v>
      </c>
      <c r="AH197" s="5">
        <f>IF(CreditAmort3BASE[[#This Row],[Month]]=AJ$8,AF$7,0)</f>
        <v>0</v>
      </c>
      <c r="AI197" s="13">
        <f t="shared" si="40"/>
        <v>0</v>
      </c>
      <c r="AJ197" s="6" t="str">
        <f t="shared" si="41"/>
        <v xml:space="preserve"> </v>
      </c>
      <c r="AK197" s="21" t="str">
        <f t="shared" si="42"/>
        <v xml:space="preserve"> </v>
      </c>
      <c r="AM197" s="20">
        <f t="shared" si="43"/>
        <v>186</v>
      </c>
      <c r="AN197" s="5">
        <f t="shared" si="44"/>
        <v>0</v>
      </c>
      <c r="AO197" s="5">
        <f t="shared" si="45"/>
        <v>0</v>
      </c>
      <c r="AP197" s="5">
        <f t="shared" si="46"/>
        <v>0</v>
      </c>
      <c r="AQ197" s="5">
        <f>IF(CreditAmort4BASE[[#This Row],[Month]]=AS$8,AO$7,0)</f>
        <v>0</v>
      </c>
      <c r="AR197" s="13">
        <f t="shared" si="47"/>
        <v>0</v>
      </c>
      <c r="AS197" s="6" t="str">
        <f t="shared" si="48"/>
        <v xml:space="preserve"> </v>
      </c>
      <c r="AT197" s="21" t="str">
        <f t="shared" si="49"/>
        <v xml:space="preserve"> </v>
      </c>
    </row>
    <row r="198" spans="3:46">
      <c r="C198" s="22">
        <f t="shared" si="17"/>
        <v>187</v>
      </c>
      <c r="D198" s="23">
        <f>IF(AND(C198&gt;='Amort. Sched.-BASE'!$I$8, C198&lt;= ($I$7+$I$8)), PMT('Amort. Sched.-BASE'!$E$8/12, 'Amort. Sched.-BASE'!$I$7, 'Amort. Sched.-BASE'!$E$7), 0)</f>
        <v>-1736.5864935892569</v>
      </c>
      <c r="E198" s="5">
        <f>IF(AND(C198&gt;='Amort. Sched.-BASE'!$I$8, C198&lt;= ($I$7+$I$8)), (IPMT($E$8/12, (C198-$I$8), $I$7, $E$7)), 0)</f>
        <v>-922.39237689841877</v>
      </c>
      <c r="F198" s="23">
        <f>IF(AND(C198&gt;='Amort. Sched.-BASE'!$I$8, C198&lt;= ($I$7+$I$8)), (PPMT($E$8/12, (C198-$I$8), $I$7, $E$7)), 0)</f>
        <v>-814.19411669083809</v>
      </c>
      <c r="G198" s="5">
        <f>IF(MortgageAmortBASE[[#This Row],[Month]]=I$8,E$7,0)</f>
        <v>0</v>
      </c>
      <c r="H198" s="13">
        <f>IF(AND(C198&gt;='Amort. Sched.-BASE'!$I$8, C198&lt;= ($I$7+$I$8)), H197+F198, 0)</f>
        <v>137544.66241807205</v>
      </c>
      <c r="I198" s="24">
        <f>IF(AND(C198&gt;='Amort. Sched.-BASE'!$I$8, C198&lt;= ($I$7+$I$8)), E198/D198, " ")</f>
        <v>0.53115256873383587</v>
      </c>
      <c r="J198" s="25">
        <f>IF(AND(C198&gt;='Amort. Sched.-BASE'!$I$8, C198&lt;= ($I$7+$I$8)), F198/D198, " ")</f>
        <v>0.46884743126616413</v>
      </c>
      <c r="L198" s="20">
        <f t="shared" si="34"/>
        <v>187</v>
      </c>
      <c r="M198" s="5">
        <f>IF(AND(L198&gt;='Amort. Sched.-BASE'!$R$8, L198&lt;= ($R$7+$R$8)), PMT('Amort. Sched.-BASE'!$N$8/12, 'Amort. Sched.-BASE'!$R$7, 'Amort. Sched.-BASE'!$N$7), 0)</f>
        <v>0</v>
      </c>
      <c r="N198" s="5">
        <f>IF(AND(L198&gt;='Amort. Sched.-BASE'!$R$8, L198&lt;= ($R$7+$R$8)), (IPMT($N$8/12, (L198-$R$8), $R$7, $N$7)), 0)</f>
        <v>0</v>
      </c>
      <c r="O198" s="5">
        <f>IF(AND(L198&gt;='Amort. Sched.-BASE'!$R$8, L198&lt;= ($R$7+$R$8)), (PPMT($N$8/12, (L198-$R$8), $R$7, $N$7)), 0)</f>
        <v>0</v>
      </c>
      <c r="P198" s="5">
        <f>IF(CreditAmort1BASE[[#This Row],[Month]]=R$8,N$7,0)</f>
        <v>0</v>
      </c>
      <c r="Q198" s="13">
        <f>IF(AND(L198&gt;='Amort. Sched.-BASE'!$R$8, L198&lt;= ($R$7+$R$8)), Q197+O198, 0)</f>
        <v>0</v>
      </c>
      <c r="R198" s="6" t="str">
        <f>IF(AND(L198&gt;='Amort. Sched.-BASE'!$R$8, L198&lt;= ($R$7+$R$8)), N198/M198, " ")</f>
        <v xml:space="preserve"> </v>
      </c>
      <c r="S198" s="21" t="str">
        <f>IF(AND(L198&gt;='Amort. Sched.-BASE'!$R$8, L198&lt;= ($R$7+$R$8)), O198/M198, " ")</f>
        <v xml:space="preserve"> </v>
      </c>
      <c r="U198" s="22">
        <f t="shared" si="35"/>
        <v>187</v>
      </c>
      <c r="V198" s="23">
        <f>IF(AND(U198&gt;='Amort. Sched.-BASE'!$AA$8, U198&lt;= ($AA$7+$AA$8)), PMT('Amort. Sched.-BASE'!$W$8/12, 'Amort. Sched.-BASE'!$AA$7, 'Amort. Sched.-BASE'!$W$7), 0)</f>
        <v>0</v>
      </c>
      <c r="W198" s="5">
        <f>IF(AND(U198&gt;='Amort. Sched.-BASE'!$AA$8, U198&lt;= ($AA$7+$AA$8)), (IPMT($W$8/12, (U198-$AA$8), $AA$7, $W$7)), 0)</f>
        <v>0</v>
      </c>
      <c r="X198" s="23">
        <f>IF(AND(U198&gt;='Amort. Sched.-BASE'!$AA$8, U198&lt;= ($AA$7+$AA$8)), (PPMT($W$8/12, (U198-$AA$8), $AA$7, $W$7)), 0)</f>
        <v>0</v>
      </c>
      <c r="Y198" s="5">
        <f>IF(CreditAmort2BASE[[#This Row],[Month]]=AA$8,W$7,0)</f>
        <v>0</v>
      </c>
      <c r="Z198" s="13">
        <f>IF(AND(U198&gt;='Amort. Sched.-BASE'!$AA$8, U198&lt;= ($AA$7+$AA$8)), Z197+X198, 0)</f>
        <v>0</v>
      </c>
      <c r="AA198" s="24" t="str">
        <f>IF(AND(U198&gt;='Amort. Sched.-BASE'!$AA$8, U198&lt;= ($AA$7+$AA$8)), W198/V198, " ")</f>
        <v xml:space="preserve"> </v>
      </c>
      <c r="AB198" s="25" t="str">
        <f>IF(AND(U198&gt;='Amort. Sched.-BASE'!$AA$8, U198&lt;= ($AA$7+$AA$8)), X198/V198, " ")</f>
        <v xml:space="preserve"> </v>
      </c>
      <c r="AD198" s="20">
        <f t="shared" si="36"/>
        <v>187</v>
      </c>
      <c r="AE198" s="5">
        <f t="shared" si="37"/>
        <v>0</v>
      </c>
      <c r="AF198" s="5">
        <f t="shared" si="38"/>
        <v>0</v>
      </c>
      <c r="AG198" s="5">
        <f t="shared" si="39"/>
        <v>0</v>
      </c>
      <c r="AH198" s="5">
        <f>IF(CreditAmort3BASE[[#This Row],[Month]]=AJ$8,AF$7,0)</f>
        <v>0</v>
      </c>
      <c r="AI198" s="13">
        <f t="shared" si="40"/>
        <v>0</v>
      </c>
      <c r="AJ198" s="6" t="str">
        <f t="shared" si="41"/>
        <v xml:space="preserve"> </v>
      </c>
      <c r="AK198" s="21" t="str">
        <f t="shared" si="42"/>
        <v xml:space="preserve"> </v>
      </c>
      <c r="AM198" s="20">
        <f t="shared" si="43"/>
        <v>187</v>
      </c>
      <c r="AN198" s="5">
        <f t="shared" si="44"/>
        <v>0</v>
      </c>
      <c r="AO198" s="5">
        <f t="shared" si="45"/>
        <v>0</v>
      </c>
      <c r="AP198" s="5">
        <f t="shared" si="46"/>
        <v>0</v>
      </c>
      <c r="AQ198" s="5">
        <f>IF(CreditAmort4BASE[[#This Row],[Month]]=AS$8,AO$7,0)</f>
        <v>0</v>
      </c>
      <c r="AR198" s="13">
        <f t="shared" si="47"/>
        <v>0</v>
      </c>
      <c r="AS198" s="6" t="str">
        <f t="shared" si="48"/>
        <v xml:space="preserve"> </v>
      </c>
      <c r="AT198" s="21" t="str">
        <f t="shared" si="49"/>
        <v xml:space="preserve"> </v>
      </c>
    </row>
    <row r="199" spans="3:46">
      <c r="C199" s="22">
        <f t="shared" si="17"/>
        <v>188</v>
      </c>
      <c r="D199" s="23">
        <f>IF(AND(C199&gt;='Amort. Sched.-BASE'!$I$8, C199&lt;= ($I$7+$I$8)), PMT('Amort. Sched.-BASE'!$E$8/12, 'Amort. Sched.-BASE'!$I$7, 'Amort. Sched.-BASE'!$E$7), 0)</f>
        <v>-1736.5864935892569</v>
      </c>
      <c r="E199" s="5">
        <f>IF(AND(C199&gt;='Amort. Sched.-BASE'!$I$8, C199&lt;= ($I$7+$I$8)), (IPMT($E$8/12, (C199-$I$8), $I$7, $E$7)), 0)</f>
        <v>-916.96441612047988</v>
      </c>
      <c r="F199" s="23">
        <f>IF(AND(C199&gt;='Amort. Sched.-BASE'!$I$8, C199&lt;= ($I$7+$I$8)), (PPMT($E$8/12, (C199-$I$8), $I$7, $E$7)), 0)</f>
        <v>-819.62207746877709</v>
      </c>
      <c r="G199" s="5">
        <f>IF(MortgageAmortBASE[[#This Row],[Month]]=I$8,E$7,0)</f>
        <v>0</v>
      </c>
      <c r="H199" s="13">
        <f>IF(AND(C199&gt;='Amort. Sched.-BASE'!$I$8, C199&lt;= ($I$7+$I$8)), H198+F199, 0)</f>
        <v>136725.04034060327</v>
      </c>
      <c r="I199" s="24">
        <f>IF(AND(C199&gt;='Amort. Sched.-BASE'!$I$8, C199&lt;= ($I$7+$I$8)), E199/D199, " ")</f>
        <v>0.52802691919206146</v>
      </c>
      <c r="J199" s="25">
        <f>IF(AND(C199&gt;='Amort. Sched.-BASE'!$I$8, C199&lt;= ($I$7+$I$8)), F199/D199, " ")</f>
        <v>0.47197308080793859</v>
      </c>
      <c r="L199" s="20">
        <f t="shared" si="34"/>
        <v>188</v>
      </c>
      <c r="M199" s="5">
        <f>IF(AND(L199&gt;='Amort. Sched.-BASE'!$R$8, L199&lt;= ($R$7+$R$8)), PMT('Amort. Sched.-BASE'!$N$8/12, 'Amort. Sched.-BASE'!$R$7, 'Amort. Sched.-BASE'!$N$7), 0)</f>
        <v>0</v>
      </c>
      <c r="N199" s="5">
        <f>IF(AND(L199&gt;='Amort. Sched.-BASE'!$R$8, L199&lt;= ($R$7+$R$8)), (IPMT($N$8/12, (L199-$R$8), $R$7, $N$7)), 0)</f>
        <v>0</v>
      </c>
      <c r="O199" s="5">
        <f>IF(AND(L199&gt;='Amort. Sched.-BASE'!$R$8, L199&lt;= ($R$7+$R$8)), (PPMT($N$8/12, (L199-$R$8), $R$7, $N$7)), 0)</f>
        <v>0</v>
      </c>
      <c r="P199" s="5">
        <f>IF(CreditAmort1BASE[[#This Row],[Month]]=R$8,N$7,0)</f>
        <v>0</v>
      </c>
      <c r="Q199" s="13">
        <f>IF(AND(L199&gt;='Amort. Sched.-BASE'!$R$8, L199&lt;= ($R$7+$R$8)), Q198+O199, 0)</f>
        <v>0</v>
      </c>
      <c r="R199" s="6" t="str">
        <f>IF(AND(L199&gt;='Amort. Sched.-BASE'!$R$8, L199&lt;= ($R$7+$R$8)), N199/M199, " ")</f>
        <v xml:space="preserve"> </v>
      </c>
      <c r="S199" s="21" t="str">
        <f>IF(AND(L199&gt;='Amort. Sched.-BASE'!$R$8, L199&lt;= ($R$7+$R$8)), O199/M199, " ")</f>
        <v xml:space="preserve"> </v>
      </c>
      <c r="U199" s="22">
        <f t="shared" si="35"/>
        <v>188</v>
      </c>
      <c r="V199" s="23">
        <f>IF(AND(U199&gt;='Amort. Sched.-BASE'!$AA$8, U199&lt;= ($AA$7+$AA$8)), PMT('Amort. Sched.-BASE'!$W$8/12, 'Amort. Sched.-BASE'!$AA$7, 'Amort. Sched.-BASE'!$W$7), 0)</f>
        <v>0</v>
      </c>
      <c r="W199" s="5">
        <f>IF(AND(U199&gt;='Amort. Sched.-BASE'!$AA$8, U199&lt;= ($AA$7+$AA$8)), (IPMT($W$8/12, (U199-$AA$8), $AA$7, $W$7)), 0)</f>
        <v>0</v>
      </c>
      <c r="X199" s="23">
        <f>IF(AND(U199&gt;='Amort. Sched.-BASE'!$AA$8, U199&lt;= ($AA$7+$AA$8)), (PPMT($W$8/12, (U199-$AA$8), $AA$7, $W$7)), 0)</f>
        <v>0</v>
      </c>
      <c r="Y199" s="5">
        <f>IF(CreditAmort2BASE[[#This Row],[Month]]=AA$8,W$7,0)</f>
        <v>0</v>
      </c>
      <c r="Z199" s="13">
        <f>IF(AND(U199&gt;='Amort. Sched.-BASE'!$AA$8, U199&lt;= ($AA$7+$AA$8)), Z198+X199, 0)</f>
        <v>0</v>
      </c>
      <c r="AA199" s="24" t="str">
        <f>IF(AND(U199&gt;='Amort. Sched.-BASE'!$AA$8, U199&lt;= ($AA$7+$AA$8)), W199/V199, " ")</f>
        <v xml:space="preserve"> </v>
      </c>
      <c r="AB199" s="25" t="str">
        <f>IF(AND(U199&gt;='Amort. Sched.-BASE'!$AA$8, U199&lt;= ($AA$7+$AA$8)), X199/V199, " ")</f>
        <v xml:space="preserve"> </v>
      </c>
      <c r="AD199" s="20">
        <f t="shared" si="36"/>
        <v>188</v>
      </c>
      <c r="AE199" s="5">
        <f t="shared" si="37"/>
        <v>0</v>
      </c>
      <c r="AF199" s="5">
        <f t="shared" si="38"/>
        <v>0</v>
      </c>
      <c r="AG199" s="5">
        <f t="shared" si="39"/>
        <v>0</v>
      </c>
      <c r="AH199" s="5">
        <f>IF(CreditAmort3BASE[[#This Row],[Month]]=AJ$8,AF$7,0)</f>
        <v>0</v>
      </c>
      <c r="AI199" s="13">
        <f t="shared" si="40"/>
        <v>0</v>
      </c>
      <c r="AJ199" s="6" t="str">
        <f t="shared" si="41"/>
        <v xml:space="preserve"> </v>
      </c>
      <c r="AK199" s="21" t="str">
        <f t="shared" si="42"/>
        <v xml:space="preserve"> </v>
      </c>
      <c r="AM199" s="20">
        <f t="shared" si="43"/>
        <v>188</v>
      </c>
      <c r="AN199" s="5">
        <f t="shared" si="44"/>
        <v>0</v>
      </c>
      <c r="AO199" s="5">
        <f t="shared" si="45"/>
        <v>0</v>
      </c>
      <c r="AP199" s="5">
        <f t="shared" si="46"/>
        <v>0</v>
      </c>
      <c r="AQ199" s="5">
        <f>IF(CreditAmort4BASE[[#This Row],[Month]]=AS$8,AO$7,0)</f>
        <v>0</v>
      </c>
      <c r="AR199" s="13">
        <f t="shared" si="47"/>
        <v>0</v>
      </c>
      <c r="AS199" s="6" t="str">
        <f t="shared" si="48"/>
        <v xml:space="preserve"> </v>
      </c>
      <c r="AT199" s="21" t="str">
        <f t="shared" si="49"/>
        <v xml:space="preserve"> </v>
      </c>
    </row>
    <row r="200" spans="3:46">
      <c r="C200" s="22">
        <f t="shared" si="17"/>
        <v>189</v>
      </c>
      <c r="D200" s="23">
        <f>IF(AND(C200&gt;='Amort. Sched.-BASE'!$I$8, C200&lt;= ($I$7+$I$8)), PMT('Amort. Sched.-BASE'!$E$8/12, 'Amort. Sched.-BASE'!$I$7, 'Amort. Sched.-BASE'!$E$7), 0)</f>
        <v>-1736.5864935892569</v>
      </c>
      <c r="E200" s="5">
        <f>IF(AND(C200&gt;='Amort. Sched.-BASE'!$I$8, C200&lt;= ($I$7+$I$8)), (IPMT($E$8/12, (C200-$I$8), $I$7, $E$7)), 0)</f>
        <v>-911.50026893735458</v>
      </c>
      <c r="F200" s="23">
        <f>IF(AND(C200&gt;='Amort. Sched.-BASE'!$I$8, C200&lt;= ($I$7+$I$8)), (PPMT($E$8/12, (C200-$I$8), $I$7, $E$7)), 0)</f>
        <v>-825.08622465190217</v>
      </c>
      <c r="G200" s="5">
        <f>IF(MortgageAmortBASE[[#This Row],[Month]]=I$8,E$7,0)</f>
        <v>0</v>
      </c>
      <c r="H200" s="13">
        <f>IF(AND(C200&gt;='Amort. Sched.-BASE'!$I$8, C200&lt;= ($I$7+$I$8)), H199+F200, 0)</f>
        <v>135899.95411595138</v>
      </c>
      <c r="I200" s="24">
        <f>IF(AND(C200&gt;='Amort. Sched.-BASE'!$I$8, C200&lt;= ($I$7+$I$8)), E200/D200, " ")</f>
        <v>0.52488043198667511</v>
      </c>
      <c r="J200" s="25">
        <f>IF(AND(C200&gt;='Amort. Sched.-BASE'!$I$8, C200&lt;= ($I$7+$I$8)), F200/D200, " ")</f>
        <v>0.47511956801332483</v>
      </c>
      <c r="L200" s="20">
        <f t="shared" si="34"/>
        <v>189</v>
      </c>
      <c r="M200" s="5">
        <f>IF(AND(L200&gt;='Amort. Sched.-BASE'!$R$8, L200&lt;= ($R$7+$R$8)), PMT('Amort. Sched.-BASE'!$N$8/12, 'Amort. Sched.-BASE'!$R$7, 'Amort. Sched.-BASE'!$N$7), 0)</f>
        <v>0</v>
      </c>
      <c r="N200" s="5">
        <f>IF(AND(L200&gt;='Amort. Sched.-BASE'!$R$8, L200&lt;= ($R$7+$R$8)), (IPMT($N$8/12, (L200-$R$8), $R$7, $N$7)), 0)</f>
        <v>0</v>
      </c>
      <c r="O200" s="5">
        <f>IF(AND(L200&gt;='Amort. Sched.-BASE'!$R$8, L200&lt;= ($R$7+$R$8)), (PPMT($N$8/12, (L200-$R$8), $R$7, $N$7)), 0)</f>
        <v>0</v>
      </c>
      <c r="P200" s="5">
        <f>IF(CreditAmort1BASE[[#This Row],[Month]]=R$8,N$7,0)</f>
        <v>0</v>
      </c>
      <c r="Q200" s="13">
        <f>IF(AND(L200&gt;='Amort. Sched.-BASE'!$R$8, L200&lt;= ($R$7+$R$8)), Q199+O200, 0)</f>
        <v>0</v>
      </c>
      <c r="R200" s="6" t="str">
        <f>IF(AND(L200&gt;='Amort. Sched.-BASE'!$R$8, L200&lt;= ($R$7+$R$8)), N200/M200, " ")</f>
        <v xml:space="preserve"> </v>
      </c>
      <c r="S200" s="21" t="str">
        <f>IF(AND(L200&gt;='Amort. Sched.-BASE'!$R$8, L200&lt;= ($R$7+$R$8)), O200/M200, " ")</f>
        <v xml:space="preserve"> </v>
      </c>
      <c r="U200" s="22">
        <f t="shared" si="35"/>
        <v>189</v>
      </c>
      <c r="V200" s="23">
        <f>IF(AND(U200&gt;='Amort. Sched.-BASE'!$AA$8, U200&lt;= ($AA$7+$AA$8)), PMT('Amort. Sched.-BASE'!$W$8/12, 'Amort. Sched.-BASE'!$AA$7, 'Amort. Sched.-BASE'!$W$7), 0)</f>
        <v>0</v>
      </c>
      <c r="W200" s="5">
        <f>IF(AND(U200&gt;='Amort. Sched.-BASE'!$AA$8, U200&lt;= ($AA$7+$AA$8)), (IPMT($W$8/12, (U200-$AA$8), $AA$7, $W$7)), 0)</f>
        <v>0</v>
      </c>
      <c r="X200" s="23">
        <f>IF(AND(U200&gt;='Amort. Sched.-BASE'!$AA$8, U200&lt;= ($AA$7+$AA$8)), (PPMT($W$8/12, (U200-$AA$8), $AA$7, $W$7)), 0)</f>
        <v>0</v>
      </c>
      <c r="Y200" s="5">
        <f>IF(CreditAmort2BASE[[#This Row],[Month]]=AA$8,W$7,0)</f>
        <v>0</v>
      </c>
      <c r="Z200" s="13">
        <f>IF(AND(U200&gt;='Amort. Sched.-BASE'!$AA$8, U200&lt;= ($AA$7+$AA$8)), Z199+X200, 0)</f>
        <v>0</v>
      </c>
      <c r="AA200" s="24" t="str">
        <f>IF(AND(U200&gt;='Amort. Sched.-BASE'!$AA$8, U200&lt;= ($AA$7+$AA$8)), W200/V200, " ")</f>
        <v xml:space="preserve"> </v>
      </c>
      <c r="AB200" s="25" t="str">
        <f>IF(AND(U200&gt;='Amort. Sched.-BASE'!$AA$8, U200&lt;= ($AA$7+$AA$8)), X200/V200, " ")</f>
        <v xml:space="preserve"> </v>
      </c>
      <c r="AD200" s="20">
        <f t="shared" si="36"/>
        <v>189</v>
      </c>
      <c r="AE200" s="5">
        <f t="shared" si="37"/>
        <v>0</v>
      </c>
      <c r="AF200" s="5">
        <f t="shared" si="38"/>
        <v>0</v>
      </c>
      <c r="AG200" s="5">
        <f t="shared" si="39"/>
        <v>0</v>
      </c>
      <c r="AH200" s="5">
        <f>IF(CreditAmort3BASE[[#This Row],[Month]]=AJ$8,AF$7,0)</f>
        <v>0</v>
      </c>
      <c r="AI200" s="13">
        <f t="shared" si="40"/>
        <v>0</v>
      </c>
      <c r="AJ200" s="6" t="str">
        <f t="shared" si="41"/>
        <v xml:space="preserve"> </v>
      </c>
      <c r="AK200" s="21" t="str">
        <f t="shared" si="42"/>
        <v xml:space="preserve"> </v>
      </c>
      <c r="AM200" s="20">
        <f t="shared" si="43"/>
        <v>189</v>
      </c>
      <c r="AN200" s="5">
        <f t="shared" si="44"/>
        <v>0</v>
      </c>
      <c r="AO200" s="5">
        <f t="shared" si="45"/>
        <v>0</v>
      </c>
      <c r="AP200" s="5">
        <f t="shared" si="46"/>
        <v>0</v>
      </c>
      <c r="AQ200" s="5">
        <f>IF(CreditAmort4BASE[[#This Row],[Month]]=AS$8,AO$7,0)</f>
        <v>0</v>
      </c>
      <c r="AR200" s="13">
        <f t="shared" si="47"/>
        <v>0</v>
      </c>
      <c r="AS200" s="6" t="str">
        <f t="shared" si="48"/>
        <v xml:space="preserve"> </v>
      </c>
      <c r="AT200" s="21" t="str">
        <f t="shared" si="49"/>
        <v xml:space="preserve"> </v>
      </c>
    </row>
    <row r="201" spans="3:46">
      <c r="C201" s="22">
        <f t="shared" si="17"/>
        <v>190</v>
      </c>
      <c r="D201" s="23">
        <f>IF(AND(C201&gt;='Amort. Sched.-BASE'!$I$8, C201&lt;= ($I$7+$I$8)), PMT('Amort. Sched.-BASE'!$E$8/12, 'Amort. Sched.-BASE'!$I$7, 'Amort. Sched.-BASE'!$E$7), 0)</f>
        <v>-1736.5864935892569</v>
      </c>
      <c r="E201" s="5">
        <f>IF(AND(C201&gt;='Amort. Sched.-BASE'!$I$8, C201&lt;= ($I$7+$I$8)), (IPMT($E$8/12, (C201-$I$8), $I$7, $E$7)), 0)</f>
        <v>-905.99969410634219</v>
      </c>
      <c r="F201" s="23">
        <f>IF(AND(C201&gt;='Amort. Sched.-BASE'!$I$8, C201&lt;= ($I$7+$I$8)), (PPMT($E$8/12, (C201-$I$8), $I$7, $E$7)), 0)</f>
        <v>-830.5867994829149</v>
      </c>
      <c r="G201" s="5">
        <f>IF(MortgageAmortBASE[[#This Row],[Month]]=I$8,E$7,0)</f>
        <v>0</v>
      </c>
      <c r="H201" s="13">
        <f>IF(AND(C201&gt;='Amort. Sched.-BASE'!$I$8, C201&lt;= ($I$7+$I$8)), H200+F201, 0)</f>
        <v>135069.36731646847</v>
      </c>
      <c r="I201" s="24">
        <f>IF(AND(C201&gt;='Amort. Sched.-BASE'!$I$8, C201&lt;= ($I$7+$I$8)), E201/D201, " ")</f>
        <v>0.52171296819991975</v>
      </c>
      <c r="J201" s="25">
        <f>IF(AND(C201&gt;='Amort. Sched.-BASE'!$I$8, C201&lt;= ($I$7+$I$8)), F201/D201, " ")</f>
        <v>0.47828703180008031</v>
      </c>
      <c r="L201" s="20">
        <f t="shared" si="34"/>
        <v>190</v>
      </c>
      <c r="M201" s="5">
        <f>IF(AND(L201&gt;='Amort. Sched.-BASE'!$R$8, L201&lt;= ($R$7+$R$8)), PMT('Amort. Sched.-BASE'!$N$8/12, 'Amort. Sched.-BASE'!$R$7, 'Amort. Sched.-BASE'!$N$7), 0)</f>
        <v>0</v>
      </c>
      <c r="N201" s="5">
        <f>IF(AND(L201&gt;='Amort. Sched.-BASE'!$R$8, L201&lt;= ($R$7+$R$8)), (IPMT($N$8/12, (L201-$R$8), $R$7, $N$7)), 0)</f>
        <v>0</v>
      </c>
      <c r="O201" s="5">
        <f>IF(AND(L201&gt;='Amort. Sched.-BASE'!$R$8, L201&lt;= ($R$7+$R$8)), (PPMT($N$8/12, (L201-$R$8), $R$7, $N$7)), 0)</f>
        <v>0</v>
      </c>
      <c r="P201" s="5">
        <f>IF(CreditAmort1BASE[[#This Row],[Month]]=R$8,N$7,0)</f>
        <v>0</v>
      </c>
      <c r="Q201" s="13">
        <f>IF(AND(L201&gt;='Amort. Sched.-BASE'!$R$8, L201&lt;= ($R$7+$R$8)), Q200+O201, 0)</f>
        <v>0</v>
      </c>
      <c r="R201" s="6" t="str">
        <f>IF(AND(L201&gt;='Amort. Sched.-BASE'!$R$8, L201&lt;= ($R$7+$R$8)), N201/M201, " ")</f>
        <v xml:space="preserve"> </v>
      </c>
      <c r="S201" s="21" t="str">
        <f>IF(AND(L201&gt;='Amort. Sched.-BASE'!$R$8, L201&lt;= ($R$7+$R$8)), O201/M201, " ")</f>
        <v xml:space="preserve"> </v>
      </c>
      <c r="U201" s="22">
        <f t="shared" si="35"/>
        <v>190</v>
      </c>
      <c r="V201" s="23">
        <f>IF(AND(U201&gt;='Amort. Sched.-BASE'!$AA$8, U201&lt;= ($AA$7+$AA$8)), PMT('Amort. Sched.-BASE'!$W$8/12, 'Amort. Sched.-BASE'!$AA$7, 'Amort. Sched.-BASE'!$W$7), 0)</f>
        <v>0</v>
      </c>
      <c r="W201" s="5">
        <f>IF(AND(U201&gt;='Amort. Sched.-BASE'!$AA$8, U201&lt;= ($AA$7+$AA$8)), (IPMT($W$8/12, (U201-$AA$8), $AA$7, $W$7)), 0)</f>
        <v>0</v>
      </c>
      <c r="X201" s="23">
        <f>IF(AND(U201&gt;='Amort. Sched.-BASE'!$AA$8, U201&lt;= ($AA$7+$AA$8)), (PPMT($W$8/12, (U201-$AA$8), $AA$7, $W$7)), 0)</f>
        <v>0</v>
      </c>
      <c r="Y201" s="5">
        <f>IF(CreditAmort2BASE[[#This Row],[Month]]=AA$8,W$7,0)</f>
        <v>0</v>
      </c>
      <c r="Z201" s="13">
        <f>IF(AND(U201&gt;='Amort. Sched.-BASE'!$AA$8, U201&lt;= ($AA$7+$AA$8)), Z200+X201, 0)</f>
        <v>0</v>
      </c>
      <c r="AA201" s="24" t="str">
        <f>IF(AND(U201&gt;='Amort. Sched.-BASE'!$AA$8, U201&lt;= ($AA$7+$AA$8)), W201/V201, " ")</f>
        <v xml:space="preserve"> </v>
      </c>
      <c r="AB201" s="25" t="str">
        <f>IF(AND(U201&gt;='Amort. Sched.-BASE'!$AA$8, U201&lt;= ($AA$7+$AA$8)), X201/V201, " ")</f>
        <v xml:space="preserve"> </v>
      </c>
      <c r="AD201" s="20">
        <f t="shared" si="36"/>
        <v>190</v>
      </c>
      <c r="AE201" s="5">
        <f t="shared" si="37"/>
        <v>0</v>
      </c>
      <c r="AF201" s="5">
        <f t="shared" si="38"/>
        <v>0</v>
      </c>
      <c r="AG201" s="5">
        <f t="shared" si="39"/>
        <v>0</v>
      </c>
      <c r="AH201" s="5">
        <f>IF(CreditAmort3BASE[[#This Row],[Month]]=AJ$8,AF$7,0)</f>
        <v>0</v>
      </c>
      <c r="AI201" s="13">
        <f t="shared" si="40"/>
        <v>0</v>
      </c>
      <c r="AJ201" s="6" t="str">
        <f t="shared" si="41"/>
        <v xml:space="preserve"> </v>
      </c>
      <c r="AK201" s="21" t="str">
        <f t="shared" si="42"/>
        <v xml:space="preserve"> </v>
      </c>
      <c r="AM201" s="20">
        <f t="shared" si="43"/>
        <v>190</v>
      </c>
      <c r="AN201" s="5">
        <f t="shared" si="44"/>
        <v>0</v>
      </c>
      <c r="AO201" s="5">
        <f t="shared" si="45"/>
        <v>0</v>
      </c>
      <c r="AP201" s="5">
        <f t="shared" si="46"/>
        <v>0</v>
      </c>
      <c r="AQ201" s="5">
        <f>IF(CreditAmort4BASE[[#This Row],[Month]]=AS$8,AO$7,0)</f>
        <v>0</v>
      </c>
      <c r="AR201" s="13">
        <f t="shared" si="47"/>
        <v>0</v>
      </c>
      <c r="AS201" s="6" t="str">
        <f t="shared" si="48"/>
        <v xml:space="preserve"> </v>
      </c>
      <c r="AT201" s="21" t="str">
        <f t="shared" si="49"/>
        <v xml:space="preserve"> </v>
      </c>
    </row>
    <row r="202" spans="3:46">
      <c r="C202" s="22">
        <f t="shared" si="17"/>
        <v>191</v>
      </c>
      <c r="D202" s="23">
        <f>IF(AND(C202&gt;='Amort. Sched.-BASE'!$I$8, C202&lt;= ($I$7+$I$8)), PMT('Amort. Sched.-BASE'!$E$8/12, 'Amort. Sched.-BASE'!$I$7, 'Amort. Sched.-BASE'!$E$7), 0)</f>
        <v>-1736.5864935892569</v>
      </c>
      <c r="E202" s="5">
        <f>IF(AND(C202&gt;='Amort. Sched.-BASE'!$I$8, C202&lt;= ($I$7+$I$8)), (IPMT($E$8/12, (C202-$I$8), $I$7, $E$7)), 0)</f>
        <v>-900.46244877645574</v>
      </c>
      <c r="F202" s="23">
        <f>IF(AND(C202&gt;='Amort. Sched.-BASE'!$I$8, C202&lt;= ($I$7+$I$8)), (PPMT($E$8/12, (C202-$I$8), $I$7, $E$7)), 0)</f>
        <v>-836.124044812801</v>
      </c>
      <c r="G202" s="5">
        <f>IF(MortgageAmortBASE[[#This Row],[Month]]=I$8,E$7,0)</f>
        <v>0</v>
      </c>
      <c r="H202" s="13">
        <f>IF(AND(C202&gt;='Amort. Sched.-BASE'!$I$8, C202&lt;= ($I$7+$I$8)), H201+F202, 0)</f>
        <v>134233.24327165567</v>
      </c>
      <c r="I202" s="24">
        <f>IF(AND(C202&gt;='Amort. Sched.-BASE'!$I$8, C202&lt;= ($I$7+$I$8)), E202/D202, " ")</f>
        <v>0.51852438798791911</v>
      </c>
      <c r="J202" s="25">
        <f>IF(AND(C202&gt;='Amort. Sched.-BASE'!$I$8, C202&lt;= ($I$7+$I$8)), F202/D202, " ")</f>
        <v>0.48147561201208089</v>
      </c>
      <c r="L202" s="20">
        <f t="shared" si="34"/>
        <v>191</v>
      </c>
      <c r="M202" s="5">
        <f>IF(AND(L202&gt;='Amort. Sched.-BASE'!$R$8, L202&lt;= ($R$7+$R$8)), PMT('Amort. Sched.-BASE'!$N$8/12, 'Amort. Sched.-BASE'!$R$7, 'Amort. Sched.-BASE'!$N$7), 0)</f>
        <v>0</v>
      </c>
      <c r="N202" s="5">
        <f>IF(AND(L202&gt;='Amort. Sched.-BASE'!$R$8, L202&lt;= ($R$7+$R$8)), (IPMT($N$8/12, (L202-$R$8), $R$7, $N$7)), 0)</f>
        <v>0</v>
      </c>
      <c r="O202" s="5">
        <f>IF(AND(L202&gt;='Amort. Sched.-BASE'!$R$8, L202&lt;= ($R$7+$R$8)), (PPMT($N$8/12, (L202-$R$8), $R$7, $N$7)), 0)</f>
        <v>0</v>
      </c>
      <c r="P202" s="5">
        <f>IF(CreditAmort1BASE[[#This Row],[Month]]=R$8,N$7,0)</f>
        <v>0</v>
      </c>
      <c r="Q202" s="13">
        <f>IF(AND(L202&gt;='Amort. Sched.-BASE'!$R$8, L202&lt;= ($R$7+$R$8)), Q201+O202, 0)</f>
        <v>0</v>
      </c>
      <c r="R202" s="6" t="str">
        <f>IF(AND(L202&gt;='Amort. Sched.-BASE'!$R$8, L202&lt;= ($R$7+$R$8)), N202/M202, " ")</f>
        <v xml:space="preserve"> </v>
      </c>
      <c r="S202" s="21" t="str">
        <f>IF(AND(L202&gt;='Amort. Sched.-BASE'!$R$8, L202&lt;= ($R$7+$R$8)), O202/M202, " ")</f>
        <v xml:space="preserve"> </v>
      </c>
      <c r="U202" s="22">
        <f t="shared" si="35"/>
        <v>191</v>
      </c>
      <c r="V202" s="23">
        <f>IF(AND(U202&gt;='Amort. Sched.-BASE'!$AA$8, U202&lt;= ($AA$7+$AA$8)), PMT('Amort. Sched.-BASE'!$W$8/12, 'Amort. Sched.-BASE'!$AA$7, 'Amort. Sched.-BASE'!$W$7), 0)</f>
        <v>0</v>
      </c>
      <c r="W202" s="5">
        <f>IF(AND(U202&gt;='Amort. Sched.-BASE'!$AA$8, U202&lt;= ($AA$7+$AA$8)), (IPMT($W$8/12, (U202-$AA$8), $AA$7, $W$7)), 0)</f>
        <v>0</v>
      </c>
      <c r="X202" s="23">
        <f>IF(AND(U202&gt;='Amort. Sched.-BASE'!$AA$8, U202&lt;= ($AA$7+$AA$8)), (PPMT($W$8/12, (U202-$AA$8), $AA$7, $W$7)), 0)</f>
        <v>0</v>
      </c>
      <c r="Y202" s="5">
        <f>IF(CreditAmort2BASE[[#This Row],[Month]]=AA$8,W$7,0)</f>
        <v>0</v>
      </c>
      <c r="Z202" s="13">
        <f>IF(AND(U202&gt;='Amort. Sched.-BASE'!$AA$8, U202&lt;= ($AA$7+$AA$8)), Z201+X202, 0)</f>
        <v>0</v>
      </c>
      <c r="AA202" s="24" t="str">
        <f>IF(AND(U202&gt;='Amort. Sched.-BASE'!$AA$8, U202&lt;= ($AA$7+$AA$8)), W202/V202, " ")</f>
        <v xml:space="preserve"> </v>
      </c>
      <c r="AB202" s="25" t="str">
        <f>IF(AND(U202&gt;='Amort. Sched.-BASE'!$AA$8, U202&lt;= ($AA$7+$AA$8)), X202/V202, " ")</f>
        <v xml:space="preserve"> </v>
      </c>
      <c r="AD202" s="20">
        <f t="shared" si="36"/>
        <v>191</v>
      </c>
      <c r="AE202" s="5">
        <f t="shared" si="37"/>
        <v>0</v>
      </c>
      <c r="AF202" s="5">
        <f t="shared" si="38"/>
        <v>0</v>
      </c>
      <c r="AG202" s="5">
        <f t="shared" si="39"/>
        <v>0</v>
      </c>
      <c r="AH202" s="5">
        <f>IF(CreditAmort3BASE[[#This Row],[Month]]=AJ$8,AF$7,0)</f>
        <v>0</v>
      </c>
      <c r="AI202" s="13">
        <f t="shared" si="40"/>
        <v>0</v>
      </c>
      <c r="AJ202" s="6" t="str">
        <f t="shared" si="41"/>
        <v xml:space="preserve"> </v>
      </c>
      <c r="AK202" s="21" t="str">
        <f t="shared" si="42"/>
        <v xml:space="preserve"> </v>
      </c>
      <c r="AM202" s="20">
        <f t="shared" si="43"/>
        <v>191</v>
      </c>
      <c r="AN202" s="5">
        <f t="shared" si="44"/>
        <v>0</v>
      </c>
      <c r="AO202" s="5">
        <f t="shared" si="45"/>
        <v>0</v>
      </c>
      <c r="AP202" s="5">
        <f t="shared" si="46"/>
        <v>0</v>
      </c>
      <c r="AQ202" s="5">
        <f>IF(CreditAmort4BASE[[#This Row],[Month]]=AS$8,AO$7,0)</f>
        <v>0</v>
      </c>
      <c r="AR202" s="13">
        <f t="shared" si="47"/>
        <v>0</v>
      </c>
      <c r="AS202" s="6" t="str">
        <f t="shared" si="48"/>
        <v xml:space="preserve"> </v>
      </c>
      <c r="AT202" s="21" t="str">
        <f t="shared" si="49"/>
        <v xml:space="preserve"> </v>
      </c>
    </row>
    <row r="203" spans="3:46">
      <c r="C203" s="22">
        <f t="shared" si="17"/>
        <v>192</v>
      </c>
      <c r="D203" s="23">
        <f>IF(AND(C203&gt;='Amort. Sched.-BASE'!$I$8, C203&lt;= ($I$7+$I$8)), PMT('Amort. Sched.-BASE'!$E$8/12, 'Amort. Sched.-BASE'!$I$7, 'Amort. Sched.-BASE'!$E$7), 0)</f>
        <v>-1736.5864935892569</v>
      </c>
      <c r="E203" s="5">
        <f>IF(AND(C203&gt;='Amort. Sched.-BASE'!$I$8, C203&lt;= ($I$7+$I$8)), (IPMT($E$8/12, (C203-$I$8), $I$7, $E$7)), 0)</f>
        <v>-894.8882884777039</v>
      </c>
      <c r="F203" s="23">
        <f>IF(AND(C203&gt;='Amort. Sched.-BASE'!$I$8, C203&lt;= ($I$7+$I$8)), (PPMT($E$8/12, (C203-$I$8), $I$7, $E$7)), 0)</f>
        <v>-841.69820511155297</v>
      </c>
      <c r="G203" s="5">
        <f>IF(MortgageAmortBASE[[#This Row],[Month]]=I$8,E$7,0)</f>
        <v>0</v>
      </c>
      <c r="H203" s="13">
        <f>IF(AND(C203&gt;='Amort. Sched.-BASE'!$I$8, C203&lt;= ($I$7+$I$8)), H202+F203, 0)</f>
        <v>133391.54506654412</v>
      </c>
      <c r="I203" s="24">
        <f>IF(AND(C203&gt;='Amort. Sched.-BASE'!$I$8, C203&lt;= ($I$7+$I$8)), E203/D203, " ")</f>
        <v>0.51531455057450526</v>
      </c>
      <c r="J203" s="25">
        <f>IF(AND(C203&gt;='Amort. Sched.-BASE'!$I$8, C203&lt;= ($I$7+$I$8)), F203/D203, " ")</f>
        <v>0.48468544942549474</v>
      </c>
      <c r="L203" s="20">
        <f t="shared" si="34"/>
        <v>192</v>
      </c>
      <c r="M203" s="5">
        <f>IF(AND(L203&gt;='Amort. Sched.-BASE'!$R$8, L203&lt;= ($R$7+$R$8)), PMT('Amort. Sched.-BASE'!$N$8/12, 'Amort. Sched.-BASE'!$R$7, 'Amort. Sched.-BASE'!$N$7), 0)</f>
        <v>0</v>
      </c>
      <c r="N203" s="5">
        <f>IF(AND(L203&gt;='Amort. Sched.-BASE'!$R$8, L203&lt;= ($R$7+$R$8)), (IPMT($N$8/12, (L203-$R$8), $R$7, $N$7)), 0)</f>
        <v>0</v>
      </c>
      <c r="O203" s="5">
        <f>IF(AND(L203&gt;='Amort. Sched.-BASE'!$R$8, L203&lt;= ($R$7+$R$8)), (PPMT($N$8/12, (L203-$R$8), $R$7, $N$7)), 0)</f>
        <v>0</v>
      </c>
      <c r="P203" s="5">
        <f>IF(CreditAmort1BASE[[#This Row],[Month]]=R$8,N$7,0)</f>
        <v>0</v>
      </c>
      <c r="Q203" s="13">
        <f>IF(AND(L203&gt;='Amort. Sched.-BASE'!$R$8, L203&lt;= ($R$7+$R$8)), Q202+O203, 0)</f>
        <v>0</v>
      </c>
      <c r="R203" s="6" t="str">
        <f>IF(AND(L203&gt;='Amort. Sched.-BASE'!$R$8, L203&lt;= ($R$7+$R$8)), N203/M203, " ")</f>
        <v xml:space="preserve"> </v>
      </c>
      <c r="S203" s="21" t="str">
        <f>IF(AND(L203&gt;='Amort. Sched.-BASE'!$R$8, L203&lt;= ($R$7+$R$8)), O203/M203, " ")</f>
        <v xml:space="preserve"> </v>
      </c>
      <c r="U203" s="22">
        <f t="shared" si="35"/>
        <v>192</v>
      </c>
      <c r="V203" s="23">
        <f>IF(AND(U203&gt;='Amort. Sched.-BASE'!$AA$8, U203&lt;= ($AA$7+$AA$8)), PMT('Amort. Sched.-BASE'!$W$8/12, 'Amort. Sched.-BASE'!$AA$7, 'Amort. Sched.-BASE'!$W$7), 0)</f>
        <v>0</v>
      </c>
      <c r="W203" s="5">
        <f>IF(AND(U203&gt;='Amort. Sched.-BASE'!$AA$8, U203&lt;= ($AA$7+$AA$8)), (IPMT($W$8/12, (U203-$AA$8), $AA$7, $W$7)), 0)</f>
        <v>0</v>
      </c>
      <c r="X203" s="23">
        <f>IF(AND(U203&gt;='Amort. Sched.-BASE'!$AA$8, U203&lt;= ($AA$7+$AA$8)), (PPMT($W$8/12, (U203-$AA$8), $AA$7, $W$7)), 0)</f>
        <v>0</v>
      </c>
      <c r="Y203" s="5">
        <f>IF(CreditAmort2BASE[[#This Row],[Month]]=AA$8,W$7,0)</f>
        <v>0</v>
      </c>
      <c r="Z203" s="13">
        <f>IF(AND(U203&gt;='Amort. Sched.-BASE'!$AA$8, U203&lt;= ($AA$7+$AA$8)), Z202+X203, 0)</f>
        <v>0</v>
      </c>
      <c r="AA203" s="24" t="str">
        <f>IF(AND(U203&gt;='Amort. Sched.-BASE'!$AA$8, U203&lt;= ($AA$7+$AA$8)), W203/V203, " ")</f>
        <v xml:space="preserve"> </v>
      </c>
      <c r="AB203" s="25" t="str">
        <f>IF(AND(U203&gt;='Amort. Sched.-BASE'!$AA$8, U203&lt;= ($AA$7+$AA$8)), X203/V203, " ")</f>
        <v xml:space="preserve"> </v>
      </c>
      <c r="AD203" s="20">
        <f t="shared" si="36"/>
        <v>192</v>
      </c>
      <c r="AE203" s="5">
        <f t="shared" si="37"/>
        <v>0</v>
      </c>
      <c r="AF203" s="5">
        <f t="shared" si="38"/>
        <v>0</v>
      </c>
      <c r="AG203" s="5">
        <f t="shared" si="39"/>
        <v>0</v>
      </c>
      <c r="AH203" s="5">
        <f>IF(CreditAmort3BASE[[#This Row],[Month]]=AJ$8,AF$7,0)</f>
        <v>0</v>
      </c>
      <c r="AI203" s="13">
        <f t="shared" si="40"/>
        <v>0</v>
      </c>
      <c r="AJ203" s="6" t="str">
        <f t="shared" si="41"/>
        <v xml:space="preserve"> </v>
      </c>
      <c r="AK203" s="21" t="str">
        <f t="shared" si="42"/>
        <v xml:space="preserve"> </v>
      </c>
      <c r="AM203" s="20">
        <f t="shared" si="43"/>
        <v>192</v>
      </c>
      <c r="AN203" s="5">
        <f t="shared" si="44"/>
        <v>0</v>
      </c>
      <c r="AO203" s="5">
        <f t="shared" si="45"/>
        <v>0</v>
      </c>
      <c r="AP203" s="5">
        <f t="shared" si="46"/>
        <v>0</v>
      </c>
      <c r="AQ203" s="5">
        <f>IF(CreditAmort4BASE[[#This Row],[Month]]=AS$8,AO$7,0)</f>
        <v>0</v>
      </c>
      <c r="AR203" s="13">
        <f t="shared" si="47"/>
        <v>0</v>
      </c>
      <c r="AS203" s="6" t="str">
        <f t="shared" si="48"/>
        <v xml:space="preserve"> </v>
      </c>
      <c r="AT203" s="21" t="str">
        <f t="shared" si="49"/>
        <v xml:space="preserve"> </v>
      </c>
    </row>
    <row r="204" spans="3:46">
      <c r="C204" s="22">
        <f t="shared" si="17"/>
        <v>193</v>
      </c>
      <c r="D204" s="23">
        <f>IF(AND(C204&gt;='Amort. Sched.-BASE'!$I$8, C204&lt;= ($I$7+$I$8)), PMT('Amort. Sched.-BASE'!$E$8/12, 'Amort. Sched.-BASE'!$I$7, 'Amort. Sched.-BASE'!$E$7), 0)</f>
        <v>-1736.5864935892569</v>
      </c>
      <c r="E204" s="5">
        <f>IF(AND(C204&gt;='Amort. Sched.-BASE'!$I$8, C204&lt;= ($I$7+$I$8)), (IPMT($E$8/12, (C204-$I$8), $I$7, $E$7)), 0)</f>
        <v>-889.27696711029364</v>
      </c>
      <c r="F204" s="23">
        <f>IF(AND(C204&gt;='Amort. Sched.-BASE'!$I$8, C204&lt;= ($I$7+$I$8)), (PPMT($E$8/12, (C204-$I$8), $I$7, $E$7)), 0)</f>
        <v>-847.30952647896333</v>
      </c>
      <c r="G204" s="5">
        <f>IF(MortgageAmortBASE[[#This Row],[Month]]=I$8,E$7,0)</f>
        <v>0</v>
      </c>
      <c r="H204" s="13">
        <f>IF(AND(C204&gt;='Amort. Sched.-BASE'!$I$8, C204&lt;= ($I$7+$I$8)), H203+F204, 0)</f>
        <v>132544.23554006516</v>
      </c>
      <c r="I204" s="24">
        <f>IF(AND(C204&gt;='Amort. Sched.-BASE'!$I$8, C204&lt;= ($I$7+$I$8)), E204/D204, " ")</f>
        <v>0.51208331424500209</v>
      </c>
      <c r="J204" s="25">
        <f>IF(AND(C204&gt;='Amort. Sched.-BASE'!$I$8, C204&lt;= ($I$7+$I$8)), F204/D204, " ")</f>
        <v>0.48791668575499803</v>
      </c>
      <c r="L204" s="20">
        <f t="shared" si="34"/>
        <v>193</v>
      </c>
      <c r="M204" s="5">
        <f>IF(AND(L204&gt;='Amort. Sched.-BASE'!$R$8, L204&lt;= ($R$7+$R$8)), PMT('Amort. Sched.-BASE'!$N$8/12, 'Amort. Sched.-BASE'!$R$7, 'Amort. Sched.-BASE'!$N$7), 0)</f>
        <v>0</v>
      </c>
      <c r="N204" s="5">
        <f>IF(AND(L204&gt;='Amort. Sched.-BASE'!$R$8, L204&lt;= ($R$7+$R$8)), (IPMT($N$8/12, (L204-$R$8), $R$7, $N$7)), 0)</f>
        <v>0</v>
      </c>
      <c r="O204" s="5">
        <f>IF(AND(L204&gt;='Amort. Sched.-BASE'!$R$8, L204&lt;= ($R$7+$R$8)), (PPMT($N$8/12, (L204-$R$8), $R$7, $N$7)), 0)</f>
        <v>0</v>
      </c>
      <c r="P204" s="5">
        <f>IF(CreditAmort1BASE[[#This Row],[Month]]=R$8,N$7,0)</f>
        <v>0</v>
      </c>
      <c r="Q204" s="13">
        <f>IF(AND(L204&gt;='Amort. Sched.-BASE'!$R$8, L204&lt;= ($R$7+$R$8)), Q203+O204, 0)</f>
        <v>0</v>
      </c>
      <c r="R204" s="6" t="str">
        <f>IF(AND(L204&gt;='Amort. Sched.-BASE'!$R$8, L204&lt;= ($R$7+$R$8)), N204/M204, " ")</f>
        <v xml:space="preserve"> </v>
      </c>
      <c r="S204" s="21" t="str">
        <f>IF(AND(L204&gt;='Amort. Sched.-BASE'!$R$8, L204&lt;= ($R$7+$R$8)), O204/M204, " ")</f>
        <v xml:space="preserve"> </v>
      </c>
      <c r="U204" s="22">
        <f t="shared" si="35"/>
        <v>193</v>
      </c>
      <c r="V204" s="23">
        <f>IF(AND(U204&gt;='Amort. Sched.-BASE'!$AA$8, U204&lt;= ($AA$7+$AA$8)), PMT('Amort. Sched.-BASE'!$W$8/12, 'Amort. Sched.-BASE'!$AA$7, 'Amort. Sched.-BASE'!$W$7), 0)</f>
        <v>0</v>
      </c>
      <c r="W204" s="5">
        <f>IF(AND(U204&gt;='Amort. Sched.-BASE'!$AA$8, U204&lt;= ($AA$7+$AA$8)), (IPMT($W$8/12, (U204-$AA$8), $AA$7, $W$7)), 0)</f>
        <v>0</v>
      </c>
      <c r="X204" s="23">
        <f>IF(AND(U204&gt;='Amort. Sched.-BASE'!$AA$8, U204&lt;= ($AA$7+$AA$8)), (PPMT($W$8/12, (U204-$AA$8), $AA$7, $W$7)), 0)</f>
        <v>0</v>
      </c>
      <c r="Y204" s="5">
        <f>IF(CreditAmort2BASE[[#This Row],[Month]]=AA$8,W$7,0)</f>
        <v>0</v>
      </c>
      <c r="Z204" s="13">
        <f>IF(AND(U204&gt;='Amort. Sched.-BASE'!$AA$8, U204&lt;= ($AA$7+$AA$8)), Z203+X204, 0)</f>
        <v>0</v>
      </c>
      <c r="AA204" s="24" t="str">
        <f>IF(AND(U204&gt;='Amort. Sched.-BASE'!$AA$8, U204&lt;= ($AA$7+$AA$8)), W204/V204, " ")</f>
        <v xml:space="preserve"> </v>
      </c>
      <c r="AB204" s="25" t="str">
        <f>IF(AND(U204&gt;='Amort. Sched.-BASE'!$AA$8, U204&lt;= ($AA$7+$AA$8)), X204/V204, " ")</f>
        <v xml:space="preserve"> </v>
      </c>
      <c r="AD204" s="20">
        <f t="shared" si="36"/>
        <v>193</v>
      </c>
      <c r="AE204" s="5">
        <f t="shared" si="37"/>
        <v>0</v>
      </c>
      <c r="AF204" s="5">
        <f t="shared" si="38"/>
        <v>0</v>
      </c>
      <c r="AG204" s="5">
        <f t="shared" si="39"/>
        <v>0</v>
      </c>
      <c r="AH204" s="5">
        <f>IF(CreditAmort3BASE[[#This Row],[Month]]=AJ$8,AF$7,0)</f>
        <v>0</v>
      </c>
      <c r="AI204" s="13">
        <f t="shared" si="40"/>
        <v>0</v>
      </c>
      <c r="AJ204" s="6" t="str">
        <f t="shared" si="41"/>
        <v xml:space="preserve"> </v>
      </c>
      <c r="AK204" s="21" t="str">
        <f t="shared" si="42"/>
        <v xml:space="preserve"> </v>
      </c>
      <c r="AM204" s="20">
        <f t="shared" si="43"/>
        <v>193</v>
      </c>
      <c r="AN204" s="5">
        <f t="shared" si="44"/>
        <v>0</v>
      </c>
      <c r="AO204" s="5">
        <f t="shared" si="45"/>
        <v>0</v>
      </c>
      <c r="AP204" s="5">
        <f t="shared" si="46"/>
        <v>0</v>
      </c>
      <c r="AQ204" s="5">
        <f>IF(CreditAmort4BASE[[#This Row],[Month]]=AS$8,AO$7,0)</f>
        <v>0</v>
      </c>
      <c r="AR204" s="13">
        <f t="shared" si="47"/>
        <v>0</v>
      </c>
      <c r="AS204" s="6" t="str">
        <f t="shared" si="48"/>
        <v xml:space="preserve"> </v>
      </c>
      <c r="AT204" s="21" t="str">
        <f t="shared" si="49"/>
        <v xml:space="preserve"> </v>
      </c>
    </row>
    <row r="205" spans="3:46">
      <c r="C205" s="22">
        <f t="shared" si="17"/>
        <v>194</v>
      </c>
      <c r="D205" s="23">
        <f>IF(AND(C205&gt;='Amort. Sched.-BASE'!$I$8, C205&lt;= ($I$7+$I$8)), PMT('Amort. Sched.-BASE'!$E$8/12, 'Amort. Sched.-BASE'!$I$7, 'Amort. Sched.-BASE'!$E$7), 0)</f>
        <v>-1736.5864935892569</v>
      </c>
      <c r="E205" s="5">
        <f>IF(AND(C205&gt;='Amort. Sched.-BASE'!$I$8, C205&lt;= ($I$7+$I$8)), (IPMT($E$8/12, (C205-$I$8), $I$7, $E$7)), 0)</f>
        <v>-883.62823693376697</v>
      </c>
      <c r="F205" s="23">
        <f>IF(AND(C205&gt;='Amort. Sched.-BASE'!$I$8, C205&lt;= ($I$7+$I$8)), (PPMT($E$8/12, (C205-$I$8), $I$7, $E$7)), 0)</f>
        <v>-852.95825665548978</v>
      </c>
      <c r="G205" s="5">
        <f>IF(MortgageAmortBASE[[#This Row],[Month]]=I$8,E$7,0)</f>
        <v>0</v>
      </c>
      <c r="H205" s="13">
        <f>IF(AND(C205&gt;='Amort. Sched.-BASE'!$I$8, C205&lt;= ($I$7+$I$8)), H204+F205, 0)</f>
        <v>131691.27728340967</v>
      </c>
      <c r="I205" s="24">
        <f>IF(AND(C205&gt;='Amort. Sched.-BASE'!$I$8, C205&lt;= ($I$7+$I$8)), E205/D205, " ")</f>
        <v>0.50883053633996855</v>
      </c>
      <c r="J205" s="25">
        <f>IF(AND(C205&gt;='Amort. Sched.-BASE'!$I$8, C205&lt;= ($I$7+$I$8)), F205/D205, " ")</f>
        <v>0.49116946366003134</v>
      </c>
      <c r="L205" s="20">
        <f t="shared" ref="L205:L268" si="50">L204+1</f>
        <v>194</v>
      </c>
      <c r="M205" s="5">
        <f>IF(AND(L205&gt;='Amort. Sched.-BASE'!$R$8, L205&lt;= ($R$7+$R$8)), PMT('Amort. Sched.-BASE'!$N$8/12, 'Amort. Sched.-BASE'!$R$7, 'Amort. Sched.-BASE'!$N$7), 0)</f>
        <v>0</v>
      </c>
      <c r="N205" s="5">
        <f>IF(AND(L205&gt;='Amort. Sched.-BASE'!$R$8, L205&lt;= ($R$7+$R$8)), (IPMT($N$8/12, (L205-$R$8), $R$7, $N$7)), 0)</f>
        <v>0</v>
      </c>
      <c r="O205" s="5">
        <f>IF(AND(L205&gt;='Amort. Sched.-BASE'!$R$8, L205&lt;= ($R$7+$R$8)), (PPMT($N$8/12, (L205-$R$8), $R$7, $N$7)), 0)</f>
        <v>0</v>
      </c>
      <c r="P205" s="5">
        <f>IF(CreditAmort1BASE[[#This Row],[Month]]=R$8,N$7,0)</f>
        <v>0</v>
      </c>
      <c r="Q205" s="13">
        <f>IF(AND(L205&gt;='Amort. Sched.-BASE'!$R$8, L205&lt;= ($R$7+$R$8)), Q204+O205, 0)</f>
        <v>0</v>
      </c>
      <c r="R205" s="6" t="str">
        <f>IF(AND(L205&gt;='Amort. Sched.-BASE'!$R$8, L205&lt;= ($R$7+$R$8)), N205/M205, " ")</f>
        <v xml:space="preserve"> </v>
      </c>
      <c r="S205" s="21" t="str">
        <f>IF(AND(L205&gt;='Amort. Sched.-BASE'!$R$8, L205&lt;= ($R$7+$R$8)), O205/M205, " ")</f>
        <v xml:space="preserve"> </v>
      </c>
      <c r="U205" s="22">
        <f t="shared" ref="U205:U268" si="51">U204+1</f>
        <v>194</v>
      </c>
      <c r="V205" s="23">
        <f>IF(AND(U205&gt;='Amort. Sched.-BASE'!$AA$8, U205&lt;= ($AA$7+$AA$8)), PMT('Amort. Sched.-BASE'!$W$8/12, 'Amort. Sched.-BASE'!$AA$7, 'Amort. Sched.-BASE'!$W$7), 0)</f>
        <v>0</v>
      </c>
      <c r="W205" s="5">
        <f>IF(AND(U205&gt;='Amort. Sched.-BASE'!$AA$8, U205&lt;= ($AA$7+$AA$8)), (IPMT($W$8/12, (U205-$AA$8), $AA$7, $W$7)), 0)</f>
        <v>0</v>
      </c>
      <c r="X205" s="23">
        <f>IF(AND(U205&gt;='Amort. Sched.-BASE'!$AA$8, U205&lt;= ($AA$7+$AA$8)), (PPMT($W$8/12, (U205-$AA$8), $AA$7, $W$7)), 0)</f>
        <v>0</v>
      </c>
      <c r="Y205" s="5">
        <f>IF(CreditAmort2BASE[[#This Row],[Month]]=AA$8,W$7,0)</f>
        <v>0</v>
      </c>
      <c r="Z205" s="13">
        <f>IF(AND(U205&gt;='Amort. Sched.-BASE'!$AA$8, U205&lt;= ($AA$7+$AA$8)), Z204+X205, 0)</f>
        <v>0</v>
      </c>
      <c r="AA205" s="24" t="str">
        <f>IF(AND(U205&gt;='Amort. Sched.-BASE'!$AA$8, U205&lt;= ($AA$7+$AA$8)), W205/V205, " ")</f>
        <v xml:space="preserve"> </v>
      </c>
      <c r="AB205" s="25" t="str">
        <f>IF(AND(U205&gt;='Amort. Sched.-BASE'!$AA$8, U205&lt;= ($AA$7+$AA$8)), X205/V205, " ")</f>
        <v xml:space="preserve"> </v>
      </c>
      <c r="AD205" s="20">
        <f t="shared" ref="AD205:AD268" si="52">AD204+1</f>
        <v>194</v>
      </c>
      <c r="AE205" s="5">
        <f t="shared" ref="AE205:AE268" si="53">IF(AND(AD205&gt;=$AJ$8, AD205&lt;= ($AJ$7+$AJ$8)), PMT($AF$8/12, $AJ$7, $AF$7), 0)</f>
        <v>0</v>
      </c>
      <c r="AF205" s="5">
        <f t="shared" ref="AF205:AF268" si="54">IF(AND(AD205&gt;=$AJ$8, AD205&lt;= ($AJ$7+$AJ$8)), (IPMT($AF$8/12, (AD205-$AJ$8), $AJ$7, $AF$7)), 0)</f>
        <v>0</v>
      </c>
      <c r="AG205" s="5">
        <f t="shared" ref="AG205:AG268" si="55">IF(AND(AD205&gt;=$AJ$8, AD205&lt;= ($AJ$7+$AJ$8)), (PPMT($AF$8/12, (AD205-$AJ$8), $AJ$7, $AF$7)), 0)</f>
        <v>0</v>
      </c>
      <c r="AH205" s="5">
        <f>IF(CreditAmort3BASE[[#This Row],[Month]]=AJ$8,AF$7,0)</f>
        <v>0</v>
      </c>
      <c r="AI205" s="13">
        <f t="shared" ref="AI205:AI268" si="56">IF(AND(AD205&gt;=$AJ$8, AD205&lt;= ($AJ$7+$AJ$8)), AI204+AG205, 0)</f>
        <v>0</v>
      </c>
      <c r="AJ205" s="6" t="str">
        <f t="shared" ref="AJ205:AJ268" si="57">IF(AND(AD205&gt;=$AJ$8, AD205&lt;= ($AJ$7+$AJ$8)), AF205/AE205, " ")</f>
        <v xml:space="preserve"> </v>
      </c>
      <c r="AK205" s="21" t="str">
        <f t="shared" ref="AK205:AK268" si="58">IF(AND(AD205&gt;=$AJ$8, AD205&lt;= ($AJ$7+$AJ$8)), AG205/AE205, " ")</f>
        <v xml:space="preserve"> </v>
      </c>
      <c r="AM205" s="20">
        <f t="shared" ref="AM205:AM268" si="59">AM204+1</f>
        <v>194</v>
      </c>
      <c r="AN205" s="5">
        <f t="shared" ref="AN205:AN268" si="60">IF(AND(AM205&gt;=$AS$8, AM205&lt;= ($AS$7+$AS$8)), PMT($AO$8/12, $AS$7, $AO$7), 0)</f>
        <v>0</v>
      </c>
      <c r="AO205" s="5">
        <f t="shared" ref="AO205:AO268" si="61">IF(AND(AM205&gt;=$AS$8, AM205&lt;= ($AS$7+$AS$8)), (IPMT($AO$8/12, (AM205-$AS$8), $AS$7, $AO$7)), 0)</f>
        <v>0</v>
      </c>
      <c r="AP205" s="5">
        <f t="shared" ref="AP205:AP268" si="62">IF(AND(AM205&gt;=$AS$8, AM205&lt;= ($AS$7+$AS$8)), (PPMT($AO$8/12, (AM205-$AS$8), $AS$7, $AO$7)), 0)</f>
        <v>0</v>
      </c>
      <c r="AQ205" s="5">
        <f>IF(CreditAmort4BASE[[#This Row],[Month]]=AS$8,AO$7,0)</f>
        <v>0</v>
      </c>
      <c r="AR205" s="13">
        <f t="shared" ref="AR205:AR268" si="63">IF(AND(AM205&gt;=$AS$8, AM205&lt;= ($AS$7+$AS$8)), AR204+AP205, 0)</f>
        <v>0</v>
      </c>
      <c r="AS205" s="6" t="str">
        <f t="shared" ref="AS205:AS268" si="64">IF(AND(AM205&gt;=$AS$8, AM205&lt;= ($AS$7+$AS$8)), AO205/AN205, " ")</f>
        <v xml:space="preserve"> </v>
      </c>
      <c r="AT205" s="21" t="str">
        <f t="shared" ref="AT205:AT268" si="65">IF(AND(AM205&gt;=$AS$8, AM205&lt;= ($AS$7+$AS$8)), AP205/AN205, " ")</f>
        <v xml:space="preserve"> </v>
      </c>
    </row>
    <row r="206" spans="3:46">
      <c r="C206" s="22">
        <f t="shared" si="17"/>
        <v>195</v>
      </c>
      <c r="D206" s="23">
        <f>IF(AND(C206&gt;='Amort. Sched.-BASE'!$I$8, C206&lt;= ($I$7+$I$8)), PMT('Amort. Sched.-BASE'!$E$8/12, 'Amort. Sched.-BASE'!$I$7, 'Amort. Sched.-BASE'!$E$7), 0)</f>
        <v>-1736.5864935892569</v>
      </c>
      <c r="E206" s="5">
        <f>IF(AND(C206&gt;='Amort. Sched.-BASE'!$I$8, C206&lt;= ($I$7+$I$8)), (IPMT($E$8/12, (C206-$I$8), $I$7, $E$7)), 0)</f>
        <v>-877.94184855606375</v>
      </c>
      <c r="F206" s="23">
        <f>IF(AND(C206&gt;='Amort. Sched.-BASE'!$I$8, C206&lt;= ($I$7+$I$8)), (PPMT($E$8/12, (C206-$I$8), $I$7, $E$7)), 0)</f>
        <v>-858.64464503319323</v>
      </c>
      <c r="G206" s="5">
        <f>IF(MortgageAmortBASE[[#This Row],[Month]]=I$8,E$7,0)</f>
        <v>0</v>
      </c>
      <c r="H206" s="13">
        <f>IF(AND(C206&gt;='Amort. Sched.-BASE'!$I$8, C206&lt;= ($I$7+$I$8)), H205+F206, 0)</f>
        <v>130832.63263837647</v>
      </c>
      <c r="I206" s="24">
        <f>IF(AND(C206&gt;='Amort. Sched.-BASE'!$I$8, C206&lt;= ($I$7+$I$8)), E206/D206, " ")</f>
        <v>0.50555607324890173</v>
      </c>
      <c r="J206" s="25">
        <f>IF(AND(C206&gt;='Amort. Sched.-BASE'!$I$8, C206&lt;= ($I$7+$I$8)), F206/D206, " ")</f>
        <v>0.49444392675109833</v>
      </c>
      <c r="L206" s="20">
        <f t="shared" si="50"/>
        <v>195</v>
      </c>
      <c r="M206" s="5">
        <f>IF(AND(L206&gt;='Amort. Sched.-BASE'!$R$8, L206&lt;= ($R$7+$R$8)), PMT('Amort. Sched.-BASE'!$N$8/12, 'Amort. Sched.-BASE'!$R$7, 'Amort. Sched.-BASE'!$N$7), 0)</f>
        <v>0</v>
      </c>
      <c r="N206" s="5">
        <f>IF(AND(L206&gt;='Amort. Sched.-BASE'!$R$8, L206&lt;= ($R$7+$R$8)), (IPMT($N$8/12, (L206-$R$8), $R$7, $N$7)), 0)</f>
        <v>0</v>
      </c>
      <c r="O206" s="5">
        <f>IF(AND(L206&gt;='Amort. Sched.-BASE'!$R$8, L206&lt;= ($R$7+$R$8)), (PPMT($N$8/12, (L206-$R$8), $R$7, $N$7)), 0)</f>
        <v>0</v>
      </c>
      <c r="P206" s="5">
        <f>IF(CreditAmort1BASE[[#This Row],[Month]]=R$8,N$7,0)</f>
        <v>0</v>
      </c>
      <c r="Q206" s="13">
        <f>IF(AND(L206&gt;='Amort. Sched.-BASE'!$R$8, L206&lt;= ($R$7+$R$8)), Q205+O206, 0)</f>
        <v>0</v>
      </c>
      <c r="R206" s="6" t="str">
        <f>IF(AND(L206&gt;='Amort. Sched.-BASE'!$R$8, L206&lt;= ($R$7+$R$8)), N206/M206, " ")</f>
        <v xml:space="preserve"> </v>
      </c>
      <c r="S206" s="21" t="str">
        <f>IF(AND(L206&gt;='Amort. Sched.-BASE'!$R$8, L206&lt;= ($R$7+$R$8)), O206/M206, " ")</f>
        <v xml:space="preserve"> </v>
      </c>
      <c r="U206" s="22">
        <f t="shared" si="51"/>
        <v>195</v>
      </c>
      <c r="V206" s="23">
        <f>IF(AND(U206&gt;='Amort. Sched.-BASE'!$AA$8, U206&lt;= ($AA$7+$AA$8)), PMT('Amort. Sched.-BASE'!$W$8/12, 'Amort. Sched.-BASE'!$AA$7, 'Amort. Sched.-BASE'!$W$7), 0)</f>
        <v>0</v>
      </c>
      <c r="W206" s="5">
        <f>IF(AND(U206&gt;='Amort. Sched.-BASE'!$AA$8, U206&lt;= ($AA$7+$AA$8)), (IPMT($W$8/12, (U206-$AA$8), $AA$7, $W$7)), 0)</f>
        <v>0</v>
      </c>
      <c r="X206" s="23">
        <f>IF(AND(U206&gt;='Amort. Sched.-BASE'!$AA$8, U206&lt;= ($AA$7+$AA$8)), (PPMT($W$8/12, (U206-$AA$8), $AA$7, $W$7)), 0)</f>
        <v>0</v>
      </c>
      <c r="Y206" s="5">
        <f>IF(CreditAmort2BASE[[#This Row],[Month]]=AA$8,W$7,0)</f>
        <v>0</v>
      </c>
      <c r="Z206" s="13">
        <f>IF(AND(U206&gt;='Amort. Sched.-BASE'!$AA$8, U206&lt;= ($AA$7+$AA$8)), Z205+X206, 0)</f>
        <v>0</v>
      </c>
      <c r="AA206" s="24" t="str">
        <f>IF(AND(U206&gt;='Amort. Sched.-BASE'!$AA$8, U206&lt;= ($AA$7+$AA$8)), W206/V206, " ")</f>
        <v xml:space="preserve"> </v>
      </c>
      <c r="AB206" s="25" t="str">
        <f>IF(AND(U206&gt;='Amort. Sched.-BASE'!$AA$8, U206&lt;= ($AA$7+$AA$8)), X206/V206, " ")</f>
        <v xml:space="preserve"> </v>
      </c>
      <c r="AD206" s="20">
        <f t="shared" si="52"/>
        <v>195</v>
      </c>
      <c r="AE206" s="5">
        <f t="shared" si="53"/>
        <v>0</v>
      </c>
      <c r="AF206" s="5">
        <f t="shared" si="54"/>
        <v>0</v>
      </c>
      <c r="AG206" s="5">
        <f t="shared" si="55"/>
        <v>0</v>
      </c>
      <c r="AH206" s="5">
        <f>IF(CreditAmort3BASE[[#This Row],[Month]]=AJ$8,AF$7,0)</f>
        <v>0</v>
      </c>
      <c r="AI206" s="13">
        <f t="shared" si="56"/>
        <v>0</v>
      </c>
      <c r="AJ206" s="6" t="str">
        <f t="shared" si="57"/>
        <v xml:space="preserve"> </v>
      </c>
      <c r="AK206" s="21" t="str">
        <f t="shared" si="58"/>
        <v xml:space="preserve"> </v>
      </c>
      <c r="AM206" s="20">
        <f t="shared" si="59"/>
        <v>195</v>
      </c>
      <c r="AN206" s="5">
        <f t="shared" si="60"/>
        <v>0</v>
      </c>
      <c r="AO206" s="5">
        <f t="shared" si="61"/>
        <v>0</v>
      </c>
      <c r="AP206" s="5">
        <f t="shared" si="62"/>
        <v>0</v>
      </c>
      <c r="AQ206" s="5">
        <f>IF(CreditAmort4BASE[[#This Row],[Month]]=AS$8,AO$7,0)</f>
        <v>0</v>
      </c>
      <c r="AR206" s="13">
        <f t="shared" si="63"/>
        <v>0</v>
      </c>
      <c r="AS206" s="6" t="str">
        <f t="shared" si="64"/>
        <v xml:space="preserve"> </v>
      </c>
      <c r="AT206" s="21" t="str">
        <f t="shared" si="65"/>
        <v xml:space="preserve"> </v>
      </c>
    </row>
    <row r="207" spans="3:46">
      <c r="C207" s="22">
        <f t="shared" si="17"/>
        <v>196</v>
      </c>
      <c r="D207" s="23">
        <f>IF(AND(C207&gt;='Amort. Sched.-BASE'!$I$8, C207&lt;= ($I$7+$I$8)), PMT('Amort. Sched.-BASE'!$E$8/12, 'Amort. Sched.-BASE'!$I$7, 'Amort. Sched.-BASE'!$E$7), 0)</f>
        <v>-1736.5864935892569</v>
      </c>
      <c r="E207" s="5">
        <f>IF(AND(C207&gt;='Amort. Sched.-BASE'!$I$8, C207&lt;= ($I$7+$I$8)), (IPMT($E$8/12, (C207-$I$8), $I$7, $E$7)), 0)</f>
        <v>-872.21755092250919</v>
      </c>
      <c r="F207" s="23">
        <f>IF(AND(C207&gt;='Amort. Sched.-BASE'!$I$8, C207&lt;= ($I$7+$I$8)), (PPMT($E$8/12, (C207-$I$8), $I$7, $E$7)), 0)</f>
        <v>-864.36894266674767</v>
      </c>
      <c r="G207" s="5">
        <f>IF(MortgageAmortBASE[[#This Row],[Month]]=I$8,E$7,0)</f>
        <v>0</v>
      </c>
      <c r="H207" s="13">
        <f>IF(AND(C207&gt;='Amort. Sched.-BASE'!$I$8, C207&lt;= ($I$7+$I$8)), H206+F207, 0)</f>
        <v>129968.26369570973</v>
      </c>
      <c r="I207" s="24">
        <f>IF(AND(C207&gt;='Amort. Sched.-BASE'!$I$8, C207&lt;= ($I$7+$I$8)), E207/D207, " ")</f>
        <v>0.50225978040389441</v>
      </c>
      <c r="J207" s="25">
        <f>IF(AND(C207&gt;='Amort. Sched.-BASE'!$I$8, C207&lt;= ($I$7+$I$8)), F207/D207, " ")</f>
        <v>0.49774021959610554</v>
      </c>
      <c r="L207" s="20">
        <f t="shared" si="50"/>
        <v>196</v>
      </c>
      <c r="M207" s="5">
        <f>IF(AND(L207&gt;='Amort. Sched.-BASE'!$R$8, L207&lt;= ($R$7+$R$8)), PMT('Amort. Sched.-BASE'!$N$8/12, 'Amort. Sched.-BASE'!$R$7, 'Amort. Sched.-BASE'!$N$7), 0)</f>
        <v>0</v>
      </c>
      <c r="N207" s="5">
        <f>IF(AND(L207&gt;='Amort. Sched.-BASE'!$R$8, L207&lt;= ($R$7+$R$8)), (IPMT($N$8/12, (L207-$R$8), $R$7, $N$7)), 0)</f>
        <v>0</v>
      </c>
      <c r="O207" s="5">
        <f>IF(AND(L207&gt;='Amort. Sched.-BASE'!$R$8, L207&lt;= ($R$7+$R$8)), (PPMT($N$8/12, (L207-$R$8), $R$7, $N$7)), 0)</f>
        <v>0</v>
      </c>
      <c r="P207" s="5">
        <f>IF(CreditAmort1BASE[[#This Row],[Month]]=R$8,N$7,0)</f>
        <v>0</v>
      </c>
      <c r="Q207" s="13">
        <f>IF(AND(L207&gt;='Amort. Sched.-BASE'!$R$8, L207&lt;= ($R$7+$R$8)), Q206+O207, 0)</f>
        <v>0</v>
      </c>
      <c r="R207" s="6" t="str">
        <f>IF(AND(L207&gt;='Amort. Sched.-BASE'!$R$8, L207&lt;= ($R$7+$R$8)), N207/M207, " ")</f>
        <v xml:space="preserve"> </v>
      </c>
      <c r="S207" s="21" t="str">
        <f>IF(AND(L207&gt;='Amort. Sched.-BASE'!$R$8, L207&lt;= ($R$7+$R$8)), O207/M207, " ")</f>
        <v xml:space="preserve"> </v>
      </c>
      <c r="U207" s="22">
        <f t="shared" si="51"/>
        <v>196</v>
      </c>
      <c r="V207" s="23">
        <f>IF(AND(U207&gt;='Amort. Sched.-BASE'!$AA$8, U207&lt;= ($AA$7+$AA$8)), PMT('Amort. Sched.-BASE'!$W$8/12, 'Amort. Sched.-BASE'!$AA$7, 'Amort. Sched.-BASE'!$W$7), 0)</f>
        <v>0</v>
      </c>
      <c r="W207" s="5">
        <f>IF(AND(U207&gt;='Amort. Sched.-BASE'!$AA$8, U207&lt;= ($AA$7+$AA$8)), (IPMT($W$8/12, (U207-$AA$8), $AA$7, $W$7)), 0)</f>
        <v>0</v>
      </c>
      <c r="X207" s="23">
        <f>IF(AND(U207&gt;='Amort. Sched.-BASE'!$AA$8, U207&lt;= ($AA$7+$AA$8)), (PPMT($W$8/12, (U207-$AA$8), $AA$7, $W$7)), 0)</f>
        <v>0</v>
      </c>
      <c r="Y207" s="5">
        <f>IF(CreditAmort2BASE[[#This Row],[Month]]=AA$8,W$7,0)</f>
        <v>0</v>
      </c>
      <c r="Z207" s="13">
        <f>IF(AND(U207&gt;='Amort. Sched.-BASE'!$AA$8, U207&lt;= ($AA$7+$AA$8)), Z206+X207, 0)</f>
        <v>0</v>
      </c>
      <c r="AA207" s="24" t="str">
        <f>IF(AND(U207&gt;='Amort. Sched.-BASE'!$AA$8, U207&lt;= ($AA$7+$AA$8)), W207/V207, " ")</f>
        <v xml:space="preserve"> </v>
      </c>
      <c r="AB207" s="25" t="str">
        <f>IF(AND(U207&gt;='Amort. Sched.-BASE'!$AA$8, U207&lt;= ($AA$7+$AA$8)), X207/V207, " ")</f>
        <v xml:space="preserve"> </v>
      </c>
      <c r="AD207" s="20">
        <f t="shared" si="52"/>
        <v>196</v>
      </c>
      <c r="AE207" s="5">
        <f t="shared" si="53"/>
        <v>0</v>
      </c>
      <c r="AF207" s="5">
        <f t="shared" si="54"/>
        <v>0</v>
      </c>
      <c r="AG207" s="5">
        <f t="shared" si="55"/>
        <v>0</v>
      </c>
      <c r="AH207" s="5">
        <f>IF(CreditAmort3BASE[[#This Row],[Month]]=AJ$8,AF$7,0)</f>
        <v>0</v>
      </c>
      <c r="AI207" s="13">
        <f t="shared" si="56"/>
        <v>0</v>
      </c>
      <c r="AJ207" s="6" t="str">
        <f t="shared" si="57"/>
        <v xml:space="preserve"> </v>
      </c>
      <c r="AK207" s="21" t="str">
        <f t="shared" si="58"/>
        <v xml:space="preserve"> </v>
      </c>
      <c r="AM207" s="20">
        <f t="shared" si="59"/>
        <v>196</v>
      </c>
      <c r="AN207" s="5">
        <f t="shared" si="60"/>
        <v>0</v>
      </c>
      <c r="AO207" s="5">
        <f t="shared" si="61"/>
        <v>0</v>
      </c>
      <c r="AP207" s="5">
        <f t="shared" si="62"/>
        <v>0</v>
      </c>
      <c r="AQ207" s="5">
        <f>IF(CreditAmort4BASE[[#This Row],[Month]]=AS$8,AO$7,0)</f>
        <v>0</v>
      </c>
      <c r="AR207" s="13">
        <f t="shared" si="63"/>
        <v>0</v>
      </c>
      <c r="AS207" s="6" t="str">
        <f t="shared" si="64"/>
        <v xml:space="preserve"> </v>
      </c>
      <c r="AT207" s="21" t="str">
        <f t="shared" si="65"/>
        <v xml:space="preserve"> </v>
      </c>
    </row>
    <row r="208" spans="3:46">
      <c r="C208" s="22">
        <f t="shared" si="17"/>
        <v>197</v>
      </c>
      <c r="D208" s="23">
        <f>IF(AND(C208&gt;='Amort. Sched.-BASE'!$I$8, C208&lt;= ($I$7+$I$8)), PMT('Amort. Sched.-BASE'!$E$8/12, 'Amort. Sched.-BASE'!$I$7, 'Amort. Sched.-BASE'!$E$7), 0)</f>
        <v>-1736.5864935892569</v>
      </c>
      <c r="E208" s="5">
        <f>IF(AND(C208&gt;='Amort. Sched.-BASE'!$I$8, C208&lt;= ($I$7+$I$8)), (IPMT($E$8/12, (C208-$I$8), $I$7, $E$7)), 0)</f>
        <v>-866.45509130473101</v>
      </c>
      <c r="F208" s="23">
        <f>IF(AND(C208&gt;='Amort. Sched.-BASE'!$I$8, C208&lt;= ($I$7+$I$8)), (PPMT($E$8/12, (C208-$I$8), $I$7, $E$7)), 0)</f>
        <v>-870.13140228452608</v>
      </c>
      <c r="G208" s="5">
        <f>IF(MortgageAmortBASE[[#This Row],[Month]]=I$8,E$7,0)</f>
        <v>0</v>
      </c>
      <c r="H208" s="13">
        <f>IF(AND(C208&gt;='Amort. Sched.-BASE'!$I$8, C208&lt;= ($I$7+$I$8)), H207+F208, 0)</f>
        <v>129098.13229342519</v>
      </c>
      <c r="I208" s="24">
        <f>IF(AND(C208&gt;='Amort. Sched.-BASE'!$I$8, C208&lt;= ($I$7+$I$8)), E208/D208, " ")</f>
        <v>0.49894151227325384</v>
      </c>
      <c r="J208" s="25">
        <f>IF(AND(C208&gt;='Amort. Sched.-BASE'!$I$8, C208&lt;= ($I$7+$I$8)), F208/D208, " ")</f>
        <v>0.50105848772674633</v>
      </c>
      <c r="L208" s="20">
        <f t="shared" si="50"/>
        <v>197</v>
      </c>
      <c r="M208" s="5">
        <f>IF(AND(L208&gt;='Amort. Sched.-BASE'!$R$8, L208&lt;= ($R$7+$R$8)), PMT('Amort. Sched.-BASE'!$N$8/12, 'Amort. Sched.-BASE'!$R$7, 'Amort. Sched.-BASE'!$N$7), 0)</f>
        <v>0</v>
      </c>
      <c r="N208" s="5">
        <f>IF(AND(L208&gt;='Amort. Sched.-BASE'!$R$8, L208&lt;= ($R$7+$R$8)), (IPMT($N$8/12, (L208-$R$8), $R$7, $N$7)), 0)</f>
        <v>0</v>
      </c>
      <c r="O208" s="5">
        <f>IF(AND(L208&gt;='Amort. Sched.-BASE'!$R$8, L208&lt;= ($R$7+$R$8)), (PPMT($N$8/12, (L208-$R$8), $R$7, $N$7)), 0)</f>
        <v>0</v>
      </c>
      <c r="P208" s="5">
        <f>IF(CreditAmort1BASE[[#This Row],[Month]]=R$8,N$7,0)</f>
        <v>0</v>
      </c>
      <c r="Q208" s="13">
        <f>IF(AND(L208&gt;='Amort. Sched.-BASE'!$R$8, L208&lt;= ($R$7+$R$8)), Q207+O208, 0)</f>
        <v>0</v>
      </c>
      <c r="R208" s="6" t="str">
        <f>IF(AND(L208&gt;='Amort. Sched.-BASE'!$R$8, L208&lt;= ($R$7+$R$8)), N208/M208, " ")</f>
        <v xml:space="preserve"> </v>
      </c>
      <c r="S208" s="21" t="str">
        <f>IF(AND(L208&gt;='Amort. Sched.-BASE'!$R$8, L208&lt;= ($R$7+$R$8)), O208/M208, " ")</f>
        <v xml:space="preserve"> </v>
      </c>
      <c r="U208" s="22">
        <f t="shared" si="51"/>
        <v>197</v>
      </c>
      <c r="V208" s="23">
        <f>IF(AND(U208&gt;='Amort. Sched.-BASE'!$AA$8, U208&lt;= ($AA$7+$AA$8)), PMT('Amort. Sched.-BASE'!$W$8/12, 'Amort. Sched.-BASE'!$AA$7, 'Amort. Sched.-BASE'!$W$7), 0)</f>
        <v>0</v>
      </c>
      <c r="W208" s="5">
        <f>IF(AND(U208&gt;='Amort. Sched.-BASE'!$AA$8, U208&lt;= ($AA$7+$AA$8)), (IPMT($W$8/12, (U208-$AA$8), $AA$7, $W$7)), 0)</f>
        <v>0</v>
      </c>
      <c r="X208" s="23">
        <f>IF(AND(U208&gt;='Amort. Sched.-BASE'!$AA$8, U208&lt;= ($AA$7+$AA$8)), (PPMT($W$8/12, (U208-$AA$8), $AA$7, $W$7)), 0)</f>
        <v>0</v>
      </c>
      <c r="Y208" s="5">
        <f>IF(CreditAmort2BASE[[#This Row],[Month]]=AA$8,W$7,0)</f>
        <v>0</v>
      </c>
      <c r="Z208" s="13">
        <f>IF(AND(U208&gt;='Amort. Sched.-BASE'!$AA$8, U208&lt;= ($AA$7+$AA$8)), Z207+X208, 0)</f>
        <v>0</v>
      </c>
      <c r="AA208" s="24" t="str">
        <f>IF(AND(U208&gt;='Amort. Sched.-BASE'!$AA$8, U208&lt;= ($AA$7+$AA$8)), W208/V208, " ")</f>
        <v xml:space="preserve"> </v>
      </c>
      <c r="AB208" s="25" t="str">
        <f>IF(AND(U208&gt;='Amort. Sched.-BASE'!$AA$8, U208&lt;= ($AA$7+$AA$8)), X208/V208, " ")</f>
        <v xml:space="preserve"> </v>
      </c>
      <c r="AD208" s="20">
        <f t="shared" si="52"/>
        <v>197</v>
      </c>
      <c r="AE208" s="5">
        <f t="shared" si="53"/>
        <v>0</v>
      </c>
      <c r="AF208" s="5">
        <f t="shared" si="54"/>
        <v>0</v>
      </c>
      <c r="AG208" s="5">
        <f t="shared" si="55"/>
        <v>0</v>
      </c>
      <c r="AH208" s="5">
        <f>IF(CreditAmort3BASE[[#This Row],[Month]]=AJ$8,AF$7,0)</f>
        <v>0</v>
      </c>
      <c r="AI208" s="13">
        <f t="shared" si="56"/>
        <v>0</v>
      </c>
      <c r="AJ208" s="6" t="str">
        <f t="shared" si="57"/>
        <v xml:space="preserve"> </v>
      </c>
      <c r="AK208" s="21" t="str">
        <f t="shared" si="58"/>
        <v xml:space="preserve"> </v>
      </c>
      <c r="AM208" s="20">
        <f t="shared" si="59"/>
        <v>197</v>
      </c>
      <c r="AN208" s="5">
        <f t="shared" si="60"/>
        <v>0</v>
      </c>
      <c r="AO208" s="5">
        <f t="shared" si="61"/>
        <v>0</v>
      </c>
      <c r="AP208" s="5">
        <f t="shared" si="62"/>
        <v>0</v>
      </c>
      <c r="AQ208" s="5">
        <f>IF(CreditAmort4BASE[[#This Row],[Month]]=AS$8,AO$7,0)</f>
        <v>0</v>
      </c>
      <c r="AR208" s="13">
        <f t="shared" si="63"/>
        <v>0</v>
      </c>
      <c r="AS208" s="6" t="str">
        <f t="shared" si="64"/>
        <v xml:space="preserve"> </v>
      </c>
      <c r="AT208" s="21" t="str">
        <f t="shared" si="65"/>
        <v xml:space="preserve"> </v>
      </c>
    </row>
    <row r="209" spans="3:46">
      <c r="C209" s="22">
        <f t="shared" si="17"/>
        <v>198</v>
      </c>
      <c r="D209" s="23">
        <f>IF(AND(C209&gt;='Amort. Sched.-BASE'!$I$8, C209&lt;= ($I$7+$I$8)), PMT('Amort. Sched.-BASE'!$E$8/12, 'Amort. Sched.-BASE'!$I$7, 'Amort. Sched.-BASE'!$E$7), 0)</f>
        <v>-1736.5864935892569</v>
      </c>
      <c r="E209" s="5">
        <f>IF(AND(C209&gt;='Amort. Sched.-BASE'!$I$8, C209&lt;= ($I$7+$I$8)), (IPMT($E$8/12, (C209-$I$8), $I$7, $E$7)), 0)</f>
        <v>-860.65421528950083</v>
      </c>
      <c r="F209" s="23">
        <f>IF(AND(C209&gt;='Amort. Sched.-BASE'!$I$8, C209&lt;= ($I$7+$I$8)), (PPMT($E$8/12, (C209-$I$8), $I$7, $E$7)), 0)</f>
        <v>-875.93227829975626</v>
      </c>
      <c r="G209" s="5">
        <f>IF(MortgageAmortBASE[[#This Row],[Month]]=I$8,E$7,0)</f>
        <v>0</v>
      </c>
      <c r="H209" s="13">
        <f>IF(AND(C209&gt;='Amort. Sched.-BASE'!$I$8, C209&lt;= ($I$7+$I$8)), H208+F209, 0)</f>
        <v>128222.20001512543</v>
      </c>
      <c r="I209" s="24">
        <f>IF(AND(C209&gt;='Amort. Sched.-BASE'!$I$8, C209&lt;= ($I$7+$I$8)), E209/D209, " ")</f>
        <v>0.49560112235507547</v>
      </c>
      <c r="J209" s="25">
        <f>IF(AND(C209&gt;='Amort. Sched.-BASE'!$I$8, C209&lt;= ($I$7+$I$8)), F209/D209, " ")</f>
        <v>0.50439887764492464</v>
      </c>
      <c r="L209" s="20">
        <f t="shared" si="50"/>
        <v>198</v>
      </c>
      <c r="M209" s="5">
        <f>IF(AND(L209&gt;='Amort. Sched.-BASE'!$R$8, L209&lt;= ($R$7+$R$8)), PMT('Amort. Sched.-BASE'!$N$8/12, 'Amort. Sched.-BASE'!$R$7, 'Amort. Sched.-BASE'!$N$7), 0)</f>
        <v>0</v>
      </c>
      <c r="N209" s="5">
        <f>IF(AND(L209&gt;='Amort. Sched.-BASE'!$R$8, L209&lt;= ($R$7+$R$8)), (IPMT($N$8/12, (L209-$R$8), $R$7, $N$7)), 0)</f>
        <v>0</v>
      </c>
      <c r="O209" s="5">
        <f>IF(AND(L209&gt;='Amort. Sched.-BASE'!$R$8, L209&lt;= ($R$7+$R$8)), (PPMT($N$8/12, (L209-$R$8), $R$7, $N$7)), 0)</f>
        <v>0</v>
      </c>
      <c r="P209" s="5">
        <f>IF(CreditAmort1BASE[[#This Row],[Month]]=R$8,N$7,0)</f>
        <v>0</v>
      </c>
      <c r="Q209" s="13">
        <f>IF(AND(L209&gt;='Amort. Sched.-BASE'!$R$8, L209&lt;= ($R$7+$R$8)), Q208+O209, 0)</f>
        <v>0</v>
      </c>
      <c r="R209" s="6" t="str">
        <f>IF(AND(L209&gt;='Amort. Sched.-BASE'!$R$8, L209&lt;= ($R$7+$R$8)), N209/M209, " ")</f>
        <v xml:space="preserve"> </v>
      </c>
      <c r="S209" s="21" t="str">
        <f>IF(AND(L209&gt;='Amort. Sched.-BASE'!$R$8, L209&lt;= ($R$7+$R$8)), O209/M209, " ")</f>
        <v xml:space="preserve"> </v>
      </c>
      <c r="U209" s="22">
        <f t="shared" si="51"/>
        <v>198</v>
      </c>
      <c r="V209" s="23">
        <f>IF(AND(U209&gt;='Amort. Sched.-BASE'!$AA$8, U209&lt;= ($AA$7+$AA$8)), PMT('Amort. Sched.-BASE'!$W$8/12, 'Amort. Sched.-BASE'!$AA$7, 'Amort. Sched.-BASE'!$W$7), 0)</f>
        <v>0</v>
      </c>
      <c r="W209" s="5">
        <f>IF(AND(U209&gt;='Amort. Sched.-BASE'!$AA$8, U209&lt;= ($AA$7+$AA$8)), (IPMT($W$8/12, (U209-$AA$8), $AA$7, $W$7)), 0)</f>
        <v>0</v>
      </c>
      <c r="X209" s="23">
        <f>IF(AND(U209&gt;='Amort. Sched.-BASE'!$AA$8, U209&lt;= ($AA$7+$AA$8)), (PPMT($W$8/12, (U209-$AA$8), $AA$7, $W$7)), 0)</f>
        <v>0</v>
      </c>
      <c r="Y209" s="5">
        <f>IF(CreditAmort2BASE[[#This Row],[Month]]=AA$8,W$7,0)</f>
        <v>0</v>
      </c>
      <c r="Z209" s="13">
        <f>IF(AND(U209&gt;='Amort. Sched.-BASE'!$AA$8, U209&lt;= ($AA$7+$AA$8)), Z208+X209, 0)</f>
        <v>0</v>
      </c>
      <c r="AA209" s="24" t="str">
        <f>IF(AND(U209&gt;='Amort. Sched.-BASE'!$AA$8, U209&lt;= ($AA$7+$AA$8)), W209/V209, " ")</f>
        <v xml:space="preserve"> </v>
      </c>
      <c r="AB209" s="25" t="str">
        <f>IF(AND(U209&gt;='Amort. Sched.-BASE'!$AA$8, U209&lt;= ($AA$7+$AA$8)), X209/V209, " ")</f>
        <v xml:space="preserve"> </v>
      </c>
      <c r="AD209" s="20">
        <f t="shared" si="52"/>
        <v>198</v>
      </c>
      <c r="AE209" s="5">
        <f t="shared" si="53"/>
        <v>0</v>
      </c>
      <c r="AF209" s="5">
        <f t="shared" si="54"/>
        <v>0</v>
      </c>
      <c r="AG209" s="5">
        <f t="shared" si="55"/>
        <v>0</v>
      </c>
      <c r="AH209" s="5">
        <f>IF(CreditAmort3BASE[[#This Row],[Month]]=AJ$8,AF$7,0)</f>
        <v>0</v>
      </c>
      <c r="AI209" s="13">
        <f t="shared" si="56"/>
        <v>0</v>
      </c>
      <c r="AJ209" s="6" t="str">
        <f t="shared" si="57"/>
        <v xml:space="preserve"> </v>
      </c>
      <c r="AK209" s="21" t="str">
        <f t="shared" si="58"/>
        <v xml:space="preserve"> </v>
      </c>
      <c r="AM209" s="20">
        <f t="shared" si="59"/>
        <v>198</v>
      </c>
      <c r="AN209" s="5">
        <f t="shared" si="60"/>
        <v>0</v>
      </c>
      <c r="AO209" s="5">
        <f t="shared" si="61"/>
        <v>0</v>
      </c>
      <c r="AP209" s="5">
        <f t="shared" si="62"/>
        <v>0</v>
      </c>
      <c r="AQ209" s="5">
        <f>IF(CreditAmort4BASE[[#This Row],[Month]]=AS$8,AO$7,0)</f>
        <v>0</v>
      </c>
      <c r="AR209" s="13">
        <f t="shared" si="63"/>
        <v>0</v>
      </c>
      <c r="AS209" s="6" t="str">
        <f t="shared" si="64"/>
        <v xml:space="preserve"> </v>
      </c>
      <c r="AT209" s="21" t="str">
        <f t="shared" si="65"/>
        <v xml:space="preserve"> </v>
      </c>
    </row>
    <row r="210" spans="3:46">
      <c r="C210" s="22">
        <f t="shared" si="17"/>
        <v>199</v>
      </c>
      <c r="D210" s="23">
        <f>IF(AND(C210&gt;='Amort. Sched.-BASE'!$I$8, C210&lt;= ($I$7+$I$8)), PMT('Amort. Sched.-BASE'!$E$8/12, 'Amort. Sched.-BASE'!$I$7, 'Amort. Sched.-BASE'!$E$7), 0)</f>
        <v>-1736.5864935892569</v>
      </c>
      <c r="E210" s="5">
        <f>IF(AND(C210&gt;='Amort. Sched.-BASE'!$I$8, C210&lt;= ($I$7+$I$8)), (IPMT($E$8/12, (C210-$I$8), $I$7, $E$7)), 0)</f>
        <v>-854.81466676750233</v>
      </c>
      <c r="F210" s="23">
        <f>IF(AND(C210&gt;='Amort. Sched.-BASE'!$I$8, C210&lt;= ($I$7+$I$8)), (PPMT($E$8/12, (C210-$I$8), $I$7, $E$7)), 0)</f>
        <v>-881.77182682175464</v>
      </c>
      <c r="G210" s="5">
        <f>IF(MortgageAmortBASE[[#This Row],[Month]]=I$8,E$7,0)</f>
        <v>0</v>
      </c>
      <c r="H210" s="13">
        <f>IF(AND(C210&gt;='Amort. Sched.-BASE'!$I$8, C210&lt;= ($I$7+$I$8)), H209+F210, 0)</f>
        <v>127340.42818830367</v>
      </c>
      <c r="I210" s="24">
        <f>IF(AND(C210&gt;='Amort. Sched.-BASE'!$I$8, C210&lt;= ($I$7+$I$8)), E210/D210, " ")</f>
        <v>0.49223846317077591</v>
      </c>
      <c r="J210" s="25">
        <f>IF(AND(C210&gt;='Amort. Sched.-BASE'!$I$8, C210&lt;= ($I$7+$I$8)), F210/D210, " ")</f>
        <v>0.50776153682922409</v>
      </c>
      <c r="L210" s="20">
        <f t="shared" si="50"/>
        <v>199</v>
      </c>
      <c r="M210" s="5">
        <f>IF(AND(L210&gt;='Amort. Sched.-BASE'!$R$8, L210&lt;= ($R$7+$R$8)), PMT('Amort. Sched.-BASE'!$N$8/12, 'Amort. Sched.-BASE'!$R$7, 'Amort. Sched.-BASE'!$N$7), 0)</f>
        <v>0</v>
      </c>
      <c r="N210" s="5">
        <f>IF(AND(L210&gt;='Amort. Sched.-BASE'!$R$8, L210&lt;= ($R$7+$R$8)), (IPMT($N$8/12, (L210-$R$8), $R$7, $N$7)), 0)</f>
        <v>0</v>
      </c>
      <c r="O210" s="5">
        <f>IF(AND(L210&gt;='Amort. Sched.-BASE'!$R$8, L210&lt;= ($R$7+$R$8)), (PPMT($N$8/12, (L210-$R$8), $R$7, $N$7)), 0)</f>
        <v>0</v>
      </c>
      <c r="P210" s="5">
        <f>IF(CreditAmort1BASE[[#This Row],[Month]]=R$8,N$7,0)</f>
        <v>0</v>
      </c>
      <c r="Q210" s="13">
        <f>IF(AND(L210&gt;='Amort. Sched.-BASE'!$R$8, L210&lt;= ($R$7+$R$8)), Q209+O210, 0)</f>
        <v>0</v>
      </c>
      <c r="R210" s="6" t="str">
        <f>IF(AND(L210&gt;='Amort. Sched.-BASE'!$R$8, L210&lt;= ($R$7+$R$8)), N210/M210, " ")</f>
        <v xml:space="preserve"> </v>
      </c>
      <c r="S210" s="21" t="str">
        <f>IF(AND(L210&gt;='Amort. Sched.-BASE'!$R$8, L210&lt;= ($R$7+$R$8)), O210/M210, " ")</f>
        <v xml:space="preserve"> </v>
      </c>
      <c r="U210" s="22">
        <f t="shared" si="51"/>
        <v>199</v>
      </c>
      <c r="V210" s="23">
        <f>IF(AND(U210&gt;='Amort. Sched.-BASE'!$AA$8, U210&lt;= ($AA$7+$AA$8)), PMT('Amort. Sched.-BASE'!$W$8/12, 'Amort. Sched.-BASE'!$AA$7, 'Amort. Sched.-BASE'!$W$7), 0)</f>
        <v>0</v>
      </c>
      <c r="W210" s="5">
        <f>IF(AND(U210&gt;='Amort. Sched.-BASE'!$AA$8, U210&lt;= ($AA$7+$AA$8)), (IPMT($W$8/12, (U210-$AA$8), $AA$7, $W$7)), 0)</f>
        <v>0</v>
      </c>
      <c r="X210" s="23">
        <f>IF(AND(U210&gt;='Amort. Sched.-BASE'!$AA$8, U210&lt;= ($AA$7+$AA$8)), (PPMT($W$8/12, (U210-$AA$8), $AA$7, $W$7)), 0)</f>
        <v>0</v>
      </c>
      <c r="Y210" s="5">
        <f>IF(CreditAmort2BASE[[#This Row],[Month]]=AA$8,W$7,0)</f>
        <v>0</v>
      </c>
      <c r="Z210" s="13">
        <f>IF(AND(U210&gt;='Amort. Sched.-BASE'!$AA$8, U210&lt;= ($AA$7+$AA$8)), Z209+X210, 0)</f>
        <v>0</v>
      </c>
      <c r="AA210" s="24" t="str">
        <f>IF(AND(U210&gt;='Amort. Sched.-BASE'!$AA$8, U210&lt;= ($AA$7+$AA$8)), W210/V210, " ")</f>
        <v xml:space="preserve"> </v>
      </c>
      <c r="AB210" s="25" t="str">
        <f>IF(AND(U210&gt;='Amort. Sched.-BASE'!$AA$8, U210&lt;= ($AA$7+$AA$8)), X210/V210, " ")</f>
        <v xml:space="preserve"> </v>
      </c>
      <c r="AD210" s="20">
        <f t="shared" si="52"/>
        <v>199</v>
      </c>
      <c r="AE210" s="5">
        <f t="shared" si="53"/>
        <v>0</v>
      </c>
      <c r="AF210" s="5">
        <f t="shared" si="54"/>
        <v>0</v>
      </c>
      <c r="AG210" s="5">
        <f t="shared" si="55"/>
        <v>0</v>
      </c>
      <c r="AH210" s="5">
        <f>IF(CreditAmort3BASE[[#This Row],[Month]]=AJ$8,AF$7,0)</f>
        <v>0</v>
      </c>
      <c r="AI210" s="13">
        <f t="shared" si="56"/>
        <v>0</v>
      </c>
      <c r="AJ210" s="6" t="str">
        <f t="shared" si="57"/>
        <v xml:space="preserve"> </v>
      </c>
      <c r="AK210" s="21" t="str">
        <f t="shared" si="58"/>
        <v xml:space="preserve"> </v>
      </c>
      <c r="AM210" s="20">
        <f t="shared" si="59"/>
        <v>199</v>
      </c>
      <c r="AN210" s="5">
        <f t="shared" si="60"/>
        <v>0</v>
      </c>
      <c r="AO210" s="5">
        <f t="shared" si="61"/>
        <v>0</v>
      </c>
      <c r="AP210" s="5">
        <f t="shared" si="62"/>
        <v>0</v>
      </c>
      <c r="AQ210" s="5">
        <f>IF(CreditAmort4BASE[[#This Row],[Month]]=AS$8,AO$7,0)</f>
        <v>0</v>
      </c>
      <c r="AR210" s="13">
        <f t="shared" si="63"/>
        <v>0</v>
      </c>
      <c r="AS210" s="6" t="str">
        <f t="shared" si="64"/>
        <v xml:space="preserve"> </v>
      </c>
      <c r="AT210" s="21" t="str">
        <f t="shared" si="65"/>
        <v xml:space="preserve"> </v>
      </c>
    </row>
    <row r="211" spans="3:46">
      <c r="C211" s="22">
        <f t="shared" si="17"/>
        <v>200</v>
      </c>
      <c r="D211" s="23">
        <f>IF(AND(C211&gt;='Amort. Sched.-BASE'!$I$8, C211&lt;= ($I$7+$I$8)), PMT('Amort. Sched.-BASE'!$E$8/12, 'Amort. Sched.-BASE'!$I$7, 'Amort. Sched.-BASE'!$E$7), 0)</f>
        <v>-1736.5864935892569</v>
      </c>
      <c r="E211" s="5">
        <f>IF(AND(C211&gt;='Amort. Sched.-BASE'!$I$8, C211&lt;= ($I$7+$I$8)), (IPMT($E$8/12, (C211-$I$8), $I$7, $E$7)), 0)</f>
        <v>-848.93618792202392</v>
      </c>
      <c r="F211" s="23">
        <f>IF(AND(C211&gt;='Amort. Sched.-BASE'!$I$8, C211&lt;= ($I$7+$I$8)), (PPMT($E$8/12, (C211-$I$8), $I$7, $E$7)), 0)</f>
        <v>-887.65030566723283</v>
      </c>
      <c r="G211" s="5">
        <f>IF(MortgageAmortBASE[[#This Row],[Month]]=I$8,E$7,0)</f>
        <v>0</v>
      </c>
      <c r="H211" s="13">
        <f>IF(AND(C211&gt;='Amort. Sched.-BASE'!$I$8, C211&lt;= ($I$7+$I$8)), H210+F211, 0)</f>
        <v>126452.77788263644</v>
      </c>
      <c r="I211" s="24">
        <f>IF(AND(C211&gt;='Amort. Sched.-BASE'!$I$8, C211&lt;= ($I$7+$I$8)), E211/D211, " ")</f>
        <v>0.4888533862585811</v>
      </c>
      <c r="J211" s="25">
        <f>IF(AND(C211&gt;='Amort. Sched.-BASE'!$I$8, C211&lt;= ($I$7+$I$8)), F211/D211, " ")</f>
        <v>0.5111466137414189</v>
      </c>
      <c r="L211" s="20">
        <f t="shared" si="50"/>
        <v>200</v>
      </c>
      <c r="M211" s="5">
        <f>IF(AND(L211&gt;='Amort. Sched.-BASE'!$R$8, L211&lt;= ($R$7+$R$8)), PMT('Amort. Sched.-BASE'!$N$8/12, 'Amort. Sched.-BASE'!$R$7, 'Amort. Sched.-BASE'!$N$7), 0)</f>
        <v>0</v>
      </c>
      <c r="N211" s="5">
        <f>IF(AND(L211&gt;='Amort. Sched.-BASE'!$R$8, L211&lt;= ($R$7+$R$8)), (IPMT($N$8/12, (L211-$R$8), $R$7, $N$7)), 0)</f>
        <v>0</v>
      </c>
      <c r="O211" s="5">
        <f>IF(AND(L211&gt;='Amort. Sched.-BASE'!$R$8, L211&lt;= ($R$7+$R$8)), (PPMT($N$8/12, (L211-$R$8), $R$7, $N$7)), 0)</f>
        <v>0</v>
      </c>
      <c r="P211" s="5">
        <f>IF(CreditAmort1BASE[[#This Row],[Month]]=R$8,N$7,0)</f>
        <v>0</v>
      </c>
      <c r="Q211" s="13">
        <f>IF(AND(L211&gt;='Amort. Sched.-BASE'!$R$8, L211&lt;= ($R$7+$R$8)), Q210+O211, 0)</f>
        <v>0</v>
      </c>
      <c r="R211" s="6" t="str">
        <f>IF(AND(L211&gt;='Amort. Sched.-BASE'!$R$8, L211&lt;= ($R$7+$R$8)), N211/M211, " ")</f>
        <v xml:space="preserve"> </v>
      </c>
      <c r="S211" s="21" t="str">
        <f>IF(AND(L211&gt;='Amort. Sched.-BASE'!$R$8, L211&lt;= ($R$7+$R$8)), O211/M211, " ")</f>
        <v xml:space="preserve"> </v>
      </c>
      <c r="U211" s="22">
        <f t="shared" si="51"/>
        <v>200</v>
      </c>
      <c r="V211" s="23">
        <f>IF(AND(U211&gt;='Amort. Sched.-BASE'!$AA$8, U211&lt;= ($AA$7+$AA$8)), PMT('Amort. Sched.-BASE'!$W$8/12, 'Amort. Sched.-BASE'!$AA$7, 'Amort. Sched.-BASE'!$W$7), 0)</f>
        <v>0</v>
      </c>
      <c r="W211" s="5">
        <f>IF(AND(U211&gt;='Amort. Sched.-BASE'!$AA$8, U211&lt;= ($AA$7+$AA$8)), (IPMT($W$8/12, (U211-$AA$8), $AA$7, $W$7)), 0)</f>
        <v>0</v>
      </c>
      <c r="X211" s="23">
        <f>IF(AND(U211&gt;='Amort. Sched.-BASE'!$AA$8, U211&lt;= ($AA$7+$AA$8)), (PPMT($W$8/12, (U211-$AA$8), $AA$7, $W$7)), 0)</f>
        <v>0</v>
      </c>
      <c r="Y211" s="5">
        <f>IF(CreditAmort2BASE[[#This Row],[Month]]=AA$8,W$7,0)</f>
        <v>0</v>
      </c>
      <c r="Z211" s="13">
        <f>IF(AND(U211&gt;='Amort. Sched.-BASE'!$AA$8, U211&lt;= ($AA$7+$AA$8)), Z210+X211, 0)</f>
        <v>0</v>
      </c>
      <c r="AA211" s="24" t="str">
        <f>IF(AND(U211&gt;='Amort. Sched.-BASE'!$AA$8, U211&lt;= ($AA$7+$AA$8)), W211/V211, " ")</f>
        <v xml:space="preserve"> </v>
      </c>
      <c r="AB211" s="25" t="str">
        <f>IF(AND(U211&gt;='Amort. Sched.-BASE'!$AA$8, U211&lt;= ($AA$7+$AA$8)), X211/V211, " ")</f>
        <v xml:space="preserve"> </v>
      </c>
      <c r="AD211" s="20">
        <f t="shared" si="52"/>
        <v>200</v>
      </c>
      <c r="AE211" s="5">
        <f t="shared" si="53"/>
        <v>0</v>
      </c>
      <c r="AF211" s="5">
        <f t="shared" si="54"/>
        <v>0</v>
      </c>
      <c r="AG211" s="5">
        <f t="shared" si="55"/>
        <v>0</v>
      </c>
      <c r="AH211" s="5">
        <f>IF(CreditAmort3BASE[[#This Row],[Month]]=AJ$8,AF$7,0)</f>
        <v>0</v>
      </c>
      <c r="AI211" s="13">
        <f t="shared" si="56"/>
        <v>0</v>
      </c>
      <c r="AJ211" s="6" t="str">
        <f t="shared" si="57"/>
        <v xml:space="preserve"> </v>
      </c>
      <c r="AK211" s="21" t="str">
        <f t="shared" si="58"/>
        <v xml:space="preserve"> </v>
      </c>
      <c r="AM211" s="20">
        <f t="shared" si="59"/>
        <v>200</v>
      </c>
      <c r="AN211" s="5">
        <f t="shared" si="60"/>
        <v>0</v>
      </c>
      <c r="AO211" s="5">
        <f t="shared" si="61"/>
        <v>0</v>
      </c>
      <c r="AP211" s="5">
        <f t="shared" si="62"/>
        <v>0</v>
      </c>
      <c r="AQ211" s="5">
        <f>IF(CreditAmort4BASE[[#This Row],[Month]]=AS$8,AO$7,0)</f>
        <v>0</v>
      </c>
      <c r="AR211" s="13">
        <f t="shared" si="63"/>
        <v>0</v>
      </c>
      <c r="AS211" s="6" t="str">
        <f t="shared" si="64"/>
        <v xml:space="preserve"> </v>
      </c>
      <c r="AT211" s="21" t="str">
        <f t="shared" si="65"/>
        <v xml:space="preserve"> </v>
      </c>
    </row>
    <row r="212" spans="3:46">
      <c r="C212" s="22">
        <f t="shared" si="17"/>
        <v>201</v>
      </c>
      <c r="D212" s="23">
        <f>IF(AND(C212&gt;='Amort. Sched.-BASE'!$I$8, C212&lt;= ($I$7+$I$8)), PMT('Amort. Sched.-BASE'!$E$8/12, 'Amort. Sched.-BASE'!$I$7, 'Amort. Sched.-BASE'!$E$7), 0)</f>
        <v>-1736.5864935892569</v>
      </c>
      <c r="E212" s="5">
        <f>IF(AND(C212&gt;='Amort. Sched.-BASE'!$I$8, C212&lt;= ($I$7+$I$8)), (IPMT($E$8/12, (C212-$I$8), $I$7, $E$7)), 0)</f>
        <v>-843.01851921757577</v>
      </c>
      <c r="F212" s="23">
        <f>IF(AND(C212&gt;='Amort. Sched.-BASE'!$I$8, C212&lt;= ($I$7+$I$8)), (PPMT($E$8/12, (C212-$I$8), $I$7, $E$7)), 0)</f>
        <v>-893.56797437168098</v>
      </c>
      <c r="G212" s="5">
        <f>IF(MortgageAmortBASE[[#This Row],[Month]]=I$8,E$7,0)</f>
        <v>0</v>
      </c>
      <c r="H212" s="13">
        <f>IF(AND(C212&gt;='Amort. Sched.-BASE'!$I$8, C212&lt;= ($I$7+$I$8)), H211+F212, 0)</f>
        <v>125559.20990826476</v>
      </c>
      <c r="I212" s="24">
        <f>IF(AND(C212&gt;='Amort. Sched.-BASE'!$I$8, C212&lt;= ($I$7+$I$8)), E212/D212, " ")</f>
        <v>0.48544574216697167</v>
      </c>
      <c r="J212" s="25">
        <f>IF(AND(C212&gt;='Amort. Sched.-BASE'!$I$8, C212&lt;= ($I$7+$I$8)), F212/D212, " ")</f>
        <v>0.51455425783302833</v>
      </c>
      <c r="L212" s="20">
        <f t="shared" si="50"/>
        <v>201</v>
      </c>
      <c r="M212" s="5">
        <f>IF(AND(L212&gt;='Amort. Sched.-BASE'!$R$8, L212&lt;= ($R$7+$R$8)), PMT('Amort. Sched.-BASE'!$N$8/12, 'Amort. Sched.-BASE'!$R$7, 'Amort. Sched.-BASE'!$N$7), 0)</f>
        <v>0</v>
      </c>
      <c r="N212" s="5">
        <f>IF(AND(L212&gt;='Amort. Sched.-BASE'!$R$8, L212&lt;= ($R$7+$R$8)), (IPMT($N$8/12, (L212-$R$8), $R$7, $N$7)), 0)</f>
        <v>0</v>
      </c>
      <c r="O212" s="5">
        <f>IF(AND(L212&gt;='Amort. Sched.-BASE'!$R$8, L212&lt;= ($R$7+$R$8)), (PPMT($N$8/12, (L212-$R$8), $R$7, $N$7)), 0)</f>
        <v>0</v>
      </c>
      <c r="P212" s="5">
        <f>IF(CreditAmort1BASE[[#This Row],[Month]]=R$8,N$7,0)</f>
        <v>0</v>
      </c>
      <c r="Q212" s="13">
        <f>IF(AND(L212&gt;='Amort. Sched.-BASE'!$R$8, L212&lt;= ($R$7+$R$8)), Q211+O212, 0)</f>
        <v>0</v>
      </c>
      <c r="R212" s="6" t="str">
        <f>IF(AND(L212&gt;='Amort. Sched.-BASE'!$R$8, L212&lt;= ($R$7+$R$8)), N212/M212, " ")</f>
        <v xml:space="preserve"> </v>
      </c>
      <c r="S212" s="21" t="str">
        <f>IF(AND(L212&gt;='Amort. Sched.-BASE'!$R$8, L212&lt;= ($R$7+$R$8)), O212/M212, " ")</f>
        <v xml:space="preserve"> </v>
      </c>
      <c r="U212" s="22">
        <f t="shared" si="51"/>
        <v>201</v>
      </c>
      <c r="V212" s="23">
        <f>IF(AND(U212&gt;='Amort. Sched.-BASE'!$AA$8, U212&lt;= ($AA$7+$AA$8)), PMT('Amort. Sched.-BASE'!$W$8/12, 'Amort. Sched.-BASE'!$AA$7, 'Amort. Sched.-BASE'!$W$7), 0)</f>
        <v>0</v>
      </c>
      <c r="W212" s="5">
        <f>IF(AND(U212&gt;='Amort. Sched.-BASE'!$AA$8, U212&lt;= ($AA$7+$AA$8)), (IPMT($W$8/12, (U212-$AA$8), $AA$7, $W$7)), 0)</f>
        <v>0</v>
      </c>
      <c r="X212" s="23">
        <f>IF(AND(U212&gt;='Amort. Sched.-BASE'!$AA$8, U212&lt;= ($AA$7+$AA$8)), (PPMT($W$8/12, (U212-$AA$8), $AA$7, $W$7)), 0)</f>
        <v>0</v>
      </c>
      <c r="Y212" s="5">
        <f>IF(CreditAmort2BASE[[#This Row],[Month]]=AA$8,W$7,0)</f>
        <v>0</v>
      </c>
      <c r="Z212" s="13">
        <f>IF(AND(U212&gt;='Amort. Sched.-BASE'!$AA$8, U212&lt;= ($AA$7+$AA$8)), Z211+X212, 0)</f>
        <v>0</v>
      </c>
      <c r="AA212" s="24" t="str">
        <f>IF(AND(U212&gt;='Amort. Sched.-BASE'!$AA$8, U212&lt;= ($AA$7+$AA$8)), W212/V212, " ")</f>
        <v xml:space="preserve"> </v>
      </c>
      <c r="AB212" s="25" t="str">
        <f>IF(AND(U212&gt;='Amort. Sched.-BASE'!$AA$8, U212&lt;= ($AA$7+$AA$8)), X212/V212, " ")</f>
        <v xml:space="preserve"> </v>
      </c>
      <c r="AD212" s="20">
        <f t="shared" si="52"/>
        <v>201</v>
      </c>
      <c r="AE212" s="5">
        <f t="shared" si="53"/>
        <v>0</v>
      </c>
      <c r="AF212" s="5">
        <f t="shared" si="54"/>
        <v>0</v>
      </c>
      <c r="AG212" s="5">
        <f t="shared" si="55"/>
        <v>0</v>
      </c>
      <c r="AH212" s="5">
        <f>IF(CreditAmort3BASE[[#This Row],[Month]]=AJ$8,AF$7,0)</f>
        <v>0</v>
      </c>
      <c r="AI212" s="13">
        <f t="shared" si="56"/>
        <v>0</v>
      </c>
      <c r="AJ212" s="6" t="str">
        <f t="shared" si="57"/>
        <v xml:space="preserve"> </v>
      </c>
      <c r="AK212" s="21" t="str">
        <f t="shared" si="58"/>
        <v xml:space="preserve"> </v>
      </c>
      <c r="AM212" s="20">
        <f t="shared" si="59"/>
        <v>201</v>
      </c>
      <c r="AN212" s="5">
        <f t="shared" si="60"/>
        <v>0</v>
      </c>
      <c r="AO212" s="5">
        <f t="shared" si="61"/>
        <v>0</v>
      </c>
      <c r="AP212" s="5">
        <f t="shared" si="62"/>
        <v>0</v>
      </c>
      <c r="AQ212" s="5">
        <f>IF(CreditAmort4BASE[[#This Row],[Month]]=AS$8,AO$7,0)</f>
        <v>0</v>
      </c>
      <c r="AR212" s="13">
        <f t="shared" si="63"/>
        <v>0</v>
      </c>
      <c r="AS212" s="6" t="str">
        <f t="shared" si="64"/>
        <v xml:space="preserve"> </v>
      </c>
      <c r="AT212" s="21" t="str">
        <f t="shared" si="65"/>
        <v xml:space="preserve"> </v>
      </c>
    </row>
    <row r="213" spans="3:46">
      <c r="C213" s="22">
        <f t="shared" si="17"/>
        <v>202</v>
      </c>
      <c r="D213" s="23">
        <f>IF(AND(C213&gt;='Amort. Sched.-BASE'!$I$8, C213&lt;= ($I$7+$I$8)), PMT('Amort. Sched.-BASE'!$E$8/12, 'Amort. Sched.-BASE'!$I$7, 'Amort. Sched.-BASE'!$E$7), 0)</f>
        <v>-1736.5864935892569</v>
      </c>
      <c r="E213" s="5">
        <f>IF(AND(C213&gt;='Amort. Sched.-BASE'!$I$8, C213&lt;= ($I$7+$I$8)), (IPMT($E$8/12, (C213-$I$8), $I$7, $E$7)), 0)</f>
        <v>-837.06139938843137</v>
      </c>
      <c r="F213" s="23">
        <f>IF(AND(C213&gt;='Amort. Sched.-BASE'!$I$8, C213&lt;= ($I$7+$I$8)), (PPMT($E$8/12, (C213-$I$8), $I$7, $E$7)), 0)</f>
        <v>-899.52509420082561</v>
      </c>
      <c r="G213" s="5">
        <f>IF(MortgageAmortBASE[[#This Row],[Month]]=I$8,E$7,0)</f>
        <v>0</v>
      </c>
      <c r="H213" s="13">
        <f>IF(AND(C213&gt;='Amort. Sched.-BASE'!$I$8, C213&lt;= ($I$7+$I$8)), H212+F213, 0)</f>
        <v>124659.68481406393</v>
      </c>
      <c r="I213" s="24">
        <f>IF(AND(C213&gt;='Amort. Sched.-BASE'!$I$8, C213&lt;= ($I$7+$I$8)), E213/D213, " ")</f>
        <v>0.4820153804480849</v>
      </c>
      <c r="J213" s="25">
        <f>IF(AND(C213&gt;='Amort. Sched.-BASE'!$I$8, C213&lt;= ($I$7+$I$8)), F213/D213, " ")</f>
        <v>0.51798461955191522</v>
      </c>
      <c r="L213" s="20">
        <f t="shared" si="50"/>
        <v>202</v>
      </c>
      <c r="M213" s="5">
        <f>IF(AND(L213&gt;='Amort. Sched.-BASE'!$R$8, L213&lt;= ($R$7+$R$8)), PMT('Amort. Sched.-BASE'!$N$8/12, 'Amort. Sched.-BASE'!$R$7, 'Amort. Sched.-BASE'!$N$7), 0)</f>
        <v>0</v>
      </c>
      <c r="N213" s="5">
        <f>IF(AND(L213&gt;='Amort. Sched.-BASE'!$R$8, L213&lt;= ($R$7+$R$8)), (IPMT($N$8/12, (L213-$R$8), $R$7, $N$7)), 0)</f>
        <v>0</v>
      </c>
      <c r="O213" s="5">
        <f>IF(AND(L213&gt;='Amort. Sched.-BASE'!$R$8, L213&lt;= ($R$7+$R$8)), (PPMT($N$8/12, (L213-$R$8), $R$7, $N$7)), 0)</f>
        <v>0</v>
      </c>
      <c r="P213" s="5">
        <f>IF(CreditAmort1BASE[[#This Row],[Month]]=R$8,N$7,0)</f>
        <v>0</v>
      </c>
      <c r="Q213" s="13">
        <f>IF(AND(L213&gt;='Amort. Sched.-BASE'!$R$8, L213&lt;= ($R$7+$R$8)), Q212+O213, 0)</f>
        <v>0</v>
      </c>
      <c r="R213" s="6" t="str">
        <f>IF(AND(L213&gt;='Amort. Sched.-BASE'!$R$8, L213&lt;= ($R$7+$R$8)), N213/M213, " ")</f>
        <v xml:space="preserve"> </v>
      </c>
      <c r="S213" s="21" t="str">
        <f>IF(AND(L213&gt;='Amort. Sched.-BASE'!$R$8, L213&lt;= ($R$7+$R$8)), O213/M213, " ")</f>
        <v xml:space="preserve"> </v>
      </c>
      <c r="U213" s="22">
        <f t="shared" si="51"/>
        <v>202</v>
      </c>
      <c r="V213" s="23">
        <f>IF(AND(U213&gt;='Amort. Sched.-BASE'!$AA$8, U213&lt;= ($AA$7+$AA$8)), PMT('Amort. Sched.-BASE'!$W$8/12, 'Amort. Sched.-BASE'!$AA$7, 'Amort. Sched.-BASE'!$W$7), 0)</f>
        <v>0</v>
      </c>
      <c r="W213" s="5">
        <f>IF(AND(U213&gt;='Amort. Sched.-BASE'!$AA$8, U213&lt;= ($AA$7+$AA$8)), (IPMT($W$8/12, (U213-$AA$8), $AA$7, $W$7)), 0)</f>
        <v>0</v>
      </c>
      <c r="X213" s="23">
        <f>IF(AND(U213&gt;='Amort. Sched.-BASE'!$AA$8, U213&lt;= ($AA$7+$AA$8)), (PPMT($W$8/12, (U213-$AA$8), $AA$7, $W$7)), 0)</f>
        <v>0</v>
      </c>
      <c r="Y213" s="5">
        <f>IF(CreditAmort2BASE[[#This Row],[Month]]=AA$8,W$7,0)</f>
        <v>0</v>
      </c>
      <c r="Z213" s="13">
        <f>IF(AND(U213&gt;='Amort. Sched.-BASE'!$AA$8, U213&lt;= ($AA$7+$AA$8)), Z212+X213, 0)</f>
        <v>0</v>
      </c>
      <c r="AA213" s="24" t="str">
        <f>IF(AND(U213&gt;='Amort. Sched.-BASE'!$AA$8, U213&lt;= ($AA$7+$AA$8)), W213/V213, " ")</f>
        <v xml:space="preserve"> </v>
      </c>
      <c r="AB213" s="25" t="str">
        <f>IF(AND(U213&gt;='Amort. Sched.-BASE'!$AA$8, U213&lt;= ($AA$7+$AA$8)), X213/V213, " ")</f>
        <v xml:space="preserve"> </v>
      </c>
      <c r="AD213" s="20">
        <f t="shared" si="52"/>
        <v>202</v>
      </c>
      <c r="AE213" s="5">
        <f t="shared" si="53"/>
        <v>0</v>
      </c>
      <c r="AF213" s="5">
        <f t="shared" si="54"/>
        <v>0</v>
      </c>
      <c r="AG213" s="5">
        <f t="shared" si="55"/>
        <v>0</v>
      </c>
      <c r="AH213" s="5">
        <f>IF(CreditAmort3BASE[[#This Row],[Month]]=AJ$8,AF$7,0)</f>
        <v>0</v>
      </c>
      <c r="AI213" s="13">
        <f t="shared" si="56"/>
        <v>0</v>
      </c>
      <c r="AJ213" s="6" t="str">
        <f t="shared" si="57"/>
        <v xml:space="preserve"> </v>
      </c>
      <c r="AK213" s="21" t="str">
        <f t="shared" si="58"/>
        <v xml:space="preserve"> </v>
      </c>
      <c r="AM213" s="20">
        <f t="shared" si="59"/>
        <v>202</v>
      </c>
      <c r="AN213" s="5">
        <f t="shared" si="60"/>
        <v>0</v>
      </c>
      <c r="AO213" s="5">
        <f t="shared" si="61"/>
        <v>0</v>
      </c>
      <c r="AP213" s="5">
        <f t="shared" si="62"/>
        <v>0</v>
      </c>
      <c r="AQ213" s="5">
        <f>IF(CreditAmort4BASE[[#This Row],[Month]]=AS$8,AO$7,0)</f>
        <v>0</v>
      </c>
      <c r="AR213" s="13">
        <f t="shared" si="63"/>
        <v>0</v>
      </c>
      <c r="AS213" s="6" t="str">
        <f t="shared" si="64"/>
        <v xml:space="preserve"> </v>
      </c>
      <c r="AT213" s="21" t="str">
        <f t="shared" si="65"/>
        <v xml:space="preserve"> </v>
      </c>
    </row>
    <row r="214" spans="3:46">
      <c r="C214" s="22">
        <f t="shared" si="17"/>
        <v>203</v>
      </c>
      <c r="D214" s="23">
        <f>IF(AND(C214&gt;='Amort. Sched.-BASE'!$I$8, C214&lt;= ($I$7+$I$8)), PMT('Amort. Sched.-BASE'!$E$8/12, 'Amort. Sched.-BASE'!$I$7, 'Amort. Sched.-BASE'!$E$7), 0)</f>
        <v>-1736.5864935892569</v>
      </c>
      <c r="E214" s="5">
        <f>IF(AND(C214&gt;='Amort. Sched.-BASE'!$I$8, C214&lt;= ($I$7+$I$8)), (IPMT($E$8/12, (C214-$I$8), $I$7, $E$7)), 0)</f>
        <v>-831.06456542709248</v>
      </c>
      <c r="F214" s="23">
        <f>IF(AND(C214&gt;='Amort. Sched.-BASE'!$I$8, C214&lt;= ($I$7+$I$8)), (PPMT($E$8/12, (C214-$I$8), $I$7, $E$7)), 0)</f>
        <v>-905.5219281621645</v>
      </c>
      <c r="G214" s="5">
        <f>IF(MortgageAmortBASE[[#This Row],[Month]]=I$8,E$7,0)</f>
        <v>0</v>
      </c>
      <c r="H214" s="13">
        <f>IF(AND(C214&gt;='Amort. Sched.-BASE'!$I$8, C214&lt;= ($I$7+$I$8)), H213+F214, 0)</f>
        <v>123754.16288590177</v>
      </c>
      <c r="I214" s="24">
        <f>IF(AND(C214&gt;='Amort. Sched.-BASE'!$I$8, C214&lt;= ($I$7+$I$8)), E214/D214, " ")</f>
        <v>0.47856214965107208</v>
      </c>
      <c r="J214" s="25">
        <f>IF(AND(C214&gt;='Amort. Sched.-BASE'!$I$8, C214&lt;= ($I$7+$I$8)), F214/D214, " ")</f>
        <v>0.52143785034892798</v>
      </c>
      <c r="L214" s="20">
        <f t="shared" si="50"/>
        <v>203</v>
      </c>
      <c r="M214" s="5">
        <f>IF(AND(L214&gt;='Amort. Sched.-BASE'!$R$8, L214&lt;= ($R$7+$R$8)), PMT('Amort. Sched.-BASE'!$N$8/12, 'Amort. Sched.-BASE'!$R$7, 'Amort. Sched.-BASE'!$N$7), 0)</f>
        <v>0</v>
      </c>
      <c r="N214" s="5">
        <f>IF(AND(L214&gt;='Amort. Sched.-BASE'!$R$8, L214&lt;= ($R$7+$R$8)), (IPMT($N$8/12, (L214-$R$8), $R$7, $N$7)), 0)</f>
        <v>0</v>
      </c>
      <c r="O214" s="5">
        <f>IF(AND(L214&gt;='Amort. Sched.-BASE'!$R$8, L214&lt;= ($R$7+$R$8)), (PPMT($N$8/12, (L214-$R$8), $R$7, $N$7)), 0)</f>
        <v>0</v>
      </c>
      <c r="P214" s="5">
        <f>IF(CreditAmort1BASE[[#This Row],[Month]]=R$8,N$7,0)</f>
        <v>0</v>
      </c>
      <c r="Q214" s="13">
        <f>IF(AND(L214&gt;='Amort. Sched.-BASE'!$R$8, L214&lt;= ($R$7+$R$8)), Q213+O214, 0)</f>
        <v>0</v>
      </c>
      <c r="R214" s="6" t="str">
        <f>IF(AND(L214&gt;='Amort. Sched.-BASE'!$R$8, L214&lt;= ($R$7+$R$8)), N214/M214, " ")</f>
        <v xml:space="preserve"> </v>
      </c>
      <c r="S214" s="21" t="str">
        <f>IF(AND(L214&gt;='Amort. Sched.-BASE'!$R$8, L214&lt;= ($R$7+$R$8)), O214/M214, " ")</f>
        <v xml:space="preserve"> </v>
      </c>
      <c r="U214" s="22">
        <f t="shared" si="51"/>
        <v>203</v>
      </c>
      <c r="V214" s="23">
        <f>IF(AND(U214&gt;='Amort. Sched.-BASE'!$AA$8, U214&lt;= ($AA$7+$AA$8)), PMT('Amort. Sched.-BASE'!$W$8/12, 'Amort. Sched.-BASE'!$AA$7, 'Amort. Sched.-BASE'!$W$7), 0)</f>
        <v>0</v>
      </c>
      <c r="W214" s="5">
        <f>IF(AND(U214&gt;='Amort. Sched.-BASE'!$AA$8, U214&lt;= ($AA$7+$AA$8)), (IPMT($W$8/12, (U214-$AA$8), $AA$7, $W$7)), 0)</f>
        <v>0</v>
      </c>
      <c r="X214" s="23">
        <f>IF(AND(U214&gt;='Amort. Sched.-BASE'!$AA$8, U214&lt;= ($AA$7+$AA$8)), (PPMT($W$8/12, (U214-$AA$8), $AA$7, $W$7)), 0)</f>
        <v>0</v>
      </c>
      <c r="Y214" s="5">
        <f>IF(CreditAmort2BASE[[#This Row],[Month]]=AA$8,W$7,0)</f>
        <v>0</v>
      </c>
      <c r="Z214" s="13">
        <f>IF(AND(U214&gt;='Amort. Sched.-BASE'!$AA$8, U214&lt;= ($AA$7+$AA$8)), Z213+X214, 0)</f>
        <v>0</v>
      </c>
      <c r="AA214" s="24" t="str">
        <f>IF(AND(U214&gt;='Amort. Sched.-BASE'!$AA$8, U214&lt;= ($AA$7+$AA$8)), W214/V214, " ")</f>
        <v xml:space="preserve"> </v>
      </c>
      <c r="AB214" s="25" t="str">
        <f>IF(AND(U214&gt;='Amort. Sched.-BASE'!$AA$8, U214&lt;= ($AA$7+$AA$8)), X214/V214, " ")</f>
        <v xml:space="preserve"> </v>
      </c>
      <c r="AD214" s="20">
        <f t="shared" si="52"/>
        <v>203</v>
      </c>
      <c r="AE214" s="5">
        <f t="shared" si="53"/>
        <v>0</v>
      </c>
      <c r="AF214" s="5">
        <f t="shared" si="54"/>
        <v>0</v>
      </c>
      <c r="AG214" s="5">
        <f t="shared" si="55"/>
        <v>0</v>
      </c>
      <c r="AH214" s="5">
        <f>IF(CreditAmort3BASE[[#This Row],[Month]]=AJ$8,AF$7,0)</f>
        <v>0</v>
      </c>
      <c r="AI214" s="13">
        <f t="shared" si="56"/>
        <v>0</v>
      </c>
      <c r="AJ214" s="6" t="str">
        <f t="shared" si="57"/>
        <v xml:space="preserve"> </v>
      </c>
      <c r="AK214" s="21" t="str">
        <f t="shared" si="58"/>
        <v xml:space="preserve"> </v>
      </c>
      <c r="AM214" s="20">
        <f t="shared" si="59"/>
        <v>203</v>
      </c>
      <c r="AN214" s="5">
        <f t="shared" si="60"/>
        <v>0</v>
      </c>
      <c r="AO214" s="5">
        <f t="shared" si="61"/>
        <v>0</v>
      </c>
      <c r="AP214" s="5">
        <f t="shared" si="62"/>
        <v>0</v>
      </c>
      <c r="AQ214" s="5">
        <f>IF(CreditAmort4BASE[[#This Row],[Month]]=AS$8,AO$7,0)</f>
        <v>0</v>
      </c>
      <c r="AR214" s="13">
        <f t="shared" si="63"/>
        <v>0</v>
      </c>
      <c r="AS214" s="6" t="str">
        <f t="shared" si="64"/>
        <v xml:space="preserve"> </v>
      </c>
      <c r="AT214" s="21" t="str">
        <f t="shared" si="65"/>
        <v xml:space="preserve"> </v>
      </c>
    </row>
    <row r="215" spans="3:46">
      <c r="C215" s="22">
        <f t="shared" si="17"/>
        <v>204</v>
      </c>
      <c r="D215" s="23">
        <f>IF(AND(C215&gt;='Amort. Sched.-BASE'!$I$8, C215&lt;= ($I$7+$I$8)), PMT('Amort. Sched.-BASE'!$E$8/12, 'Amort. Sched.-BASE'!$I$7, 'Amort. Sched.-BASE'!$E$7), 0)</f>
        <v>-1736.5864935892569</v>
      </c>
      <c r="E215" s="5">
        <f>IF(AND(C215&gt;='Amort. Sched.-BASE'!$I$8, C215&lt;= ($I$7+$I$8)), (IPMT($E$8/12, (C215-$I$8), $I$7, $E$7)), 0)</f>
        <v>-825.02775257267785</v>
      </c>
      <c r="F215" s="23">
        <f>IF(AND(C215&gt;='Amort. Sched.-BASE'!$I$8, C215&lt;= ($I$7+$I$8)), (PPMT($E$8/12, (C215-$I$8), $I$7, $E$7)), 0)</f>
        <v>-911.55874101657889</v>
      </c>
      <c r="G215" s="5">
        <f>IF(MortgageAmortBASE[[#This Row],[Month]]=I$8,E$7,0)</f>
        <v>0</v>
      </c>
      <c r="H215" s="13">
        <f>IF(AND(C215&gt;='Amort. Sched.-BASE'!$I$8, C215&lt;= ($I$7+$I$8)), H214+F215, 0)</f>
        <v>122842.60414488519</v>
      </c>
      <c r="I215" s="24">
        <f>IF(AND(C215&gt;='Amort. Sched.-BASE'!$I$8, C215&lt;= ($I$7+$I$8)), E215/D215, " ")</f>
        <v>0.47508589731541245</v>
      </c>
      <c r="J215" s="25">
        <f>IF(AND(C215&gt;='Amort. Sched.-BASE'!$I$8, C215&lt;= ($I$7+$I$8)), F215/D215, " ")</f>
        <v>0.52491410268458749</v>
      </c>
      <c r="L215" s="20">
        <f t="shared" si="50"/>
        <v>204</v>
      </c>
      <c r="M215" s="5">
        <f>IF(AND(L215&gt;='Amort. Sched.-BASE'!$R$8, L215&lt;= ($R$7+$R$8)), PMT('Amort. Sched.-BASE'!$N$8/12, 'Amort. Sched.-BASE'!$R$7, 'Amort. Sched.-BASE'!$N$7), 0)</f>
        <v>0</v>
      </c>
      <c r="N215" s="5">
        <f>IF(AND(L215&gt;='Amort. Sched.-BASE'!$R$8, L215&lt;= ($R$7+$R$8)), (IPMT($N$8/12, (L215-$R$8), $R$7, $N$7)), 0)</f>
        <v>0</v>
      </c>
      <c r="O215" s="5">
        <f>IF(AND(L215&gt;='Amort. Sched.-BASE'!$R$8, L215&lt;= ($R$7+$R$8)), (PPMT($N$8/12, (L215-$R$8), $R$7, $N$7)), 0)</f>
        <v>0</v>
      </c>
      <c r="P215" s="5">
        <f>IF(CreditAmort1BASE[[#This Row],[Month]]=R$8,N$7,0)</f>
        <v>0</v>
      </c>
      <c r="Q215" s="13">
        <f>IF(AND(L215&gt;='Amort. Sched.-BASE'!$R$8, L215&lt;= ($R$7+$R$8)), Q214+O215, 0)</f>
        <v>0</v>
      </c>
      <c r="R215" s="6" t="str">
        <f>IF(AND(L215&gt;='Amort. Sched.-BASE'!$R$8, L215&lt;= ($R$7+$R$8)), N215/M215, " ")</f>
        <v xml:space="preserve"> </v>
      </c>
      <c r="S215" s="21" t="str">
        <f>IF(AND(L215&gt;='Amort. Sched.-BASE'!$R$8, L215&lt;= ($R$7+$R$8)), O215/M215, " ")</f>
        <v xml:space="preserve"> </v>
      </c>
      <c r="U215" s="22">
        <f t="shared" si="51"/>
        <v>204</v>
      </c>
      <c r="V215" s="23">
        <f>IF(AND(U215&gt;='Amort. Sched.-BASE'!$AA$8, U215&lt;= ($AA$7+$AA$8)), PMT('Amort. Sched.-BASE'!$W$8/12, 'Amort. Sched.-BASE'!$AA$7, 'Amort. Sched.-BASE'!$W$7), 0)</f>
        <v>0</v>
      </c>
      <c r="W215" s="5">
        <f>IF(AND(U215&gt;='Amort. Sched.-BASE'!$AA$8, U215&lt;= ($AA$7+$AA$8)), (IPMT($W$8/12, (U215-$AA$8), $AA$7, $W$7)), 0)</f>
        <v>0</v>
      </c>
      <c r="X215" s="23">
        <f>IF(AND(U215&gt;='Amort. Sched.-BASE'!$AA$8, U215&lt;= ($AA$7+$AA$8)), (PPMT($W$8/12, (U215-$AA$8), $AA$7, $W$7)), 0)</f>
        <v>0</v>
      </c>
      <c r="Y215" s="5">
        <f>IF(CreditAmort2BASE[[#This Row],[Month]]=AA$8,W$7,0)</f>
        <v>0</v>
      </c>
      <c r="Z215" s="13">
        <f>IF(AND(U215&gt;='Amort. Sched.-BASE'!$AA$8, U215&lt;= ($AA$7+$AA$8)), Z214+X215, 0)</f>
        <v>0</v>
      </c>
      <c r="AA215" s="24" t="str">
        <f>IF(AND(U215&gt;='Amort. Sched.-BASE'!$AA$8, U215&lt;= ($AA$7+$AA$8)), W215/V215, " ")</f>
        <v xml:space="preserve"> </v>
      </c>
      <c r="AB215" s="25" t="str">
        <f>IF(AND(U215&gt;='Amort. Sched.-BASE'!$AA$8, U215&lt;= ($AA$7+$AA$8)), X215/V215, " ")</f>
        <v xml:space="preserve"> </v>
      </c>
      <c r="AD215" s="20">
        <f t="shared" si="52"/>
        <v>204</v>
      </c>
      <c r="AE215" s="5">
        <f t="shared" si="53"/>
        <v>0</v>
      </c>
      <c r="AF215" s="5">
        <f t="shared" si="54"/>
        <v>0</v>
      </c>
      <c r="AG215" s="5">
        <f t="shared" si="55"/>
        <v>0</v>
      </c>
      <c r="AH215" s="5">
        <f>IF(CreditAmort3BASE[[#This Row],[Month]]=AJ$8,AF$7,0)</f>
        <v>0</v>
      </c>
      <c r="AI215" s="13">
        <f t="shared" si="56"/>
        <v>0</v>
      </c>
      <c r="AJ215" s="6" t="str">
        <f t="shared" si="57"/>
        <v xml:space="preserve"> </v>
      </c>
      <c r="AK215" s="21" t="str">
        <f t="shared" si="58"/>
        <v xml:space="preserve"> </v>
      </c>
      <c r="AM215" s="20">
        <f t="shared" si="59"/>
        <v>204</v>
      </c>
      <c r="AN215" s="5">
        <f t="shared" si="60"/>
        <v>0</v>
      </c>
      <c r="AO215" s="5">
        <f t="shared" si="61"/>
        <v>0</v>
      </c>
      <c r="AP215" s="5">
        <f t="shared" si="62"/>
        <v>0</v>
      </c>
      <c r="AQ215" s="5">
        <f>IF(CreditAmort4BASE[[#This Row],[Month]]=AS$8,AO$7,0)</f>
        <v>0</v>
      </c>
      <c r="AR215" s="13">
        <f t="shared" si="63"/>
        <v>0</v>
      </c>
      <c r="AS215" s="6" t="str">
        <f t="shared" si="64"/>
        <v xml:space="preserve"> </v>
      </c>
      <c r="AT215" s="21" t="str">
        <f t="shared" si="65"/>
        <v xml:space="preserve"> </v>
      </c>
    </row>
    <row r="216" spans="3:46">
      <c r="C216" s="22">
        <f t="shared" si="17"/>
        <v>205</v>
      </c>
      <c r="D216" s="23">
        <f>IF(AND(C216&gt;='Amort. Sched.-BASE'!$I$8, C216&lt;= ($I$7+$I$8)), PMT('Amort. Sched.-BASE'!$E$8/12, 'Amort. Sched.-BASE'!$I$7, 'Amort. Sched.-BASE'!$E$7), 0)</f>
        <v>-1736.5864935892569</v>
      </c>
      <c r="E216" s="5">
        <f>IF(AND(C216&gt;='Amort. Sched.-BASE'!$I$8, C216&lt;= ($I$7+$I$8)), (IPMT($E$8/12, (C216-$I$8), $I$7, $E$7)), 0)</f>
        <v>-818.9506942992341</v>
      </c>
      <c r="F216" s="23">
        <f>IF(AND(C216&gt;='Amort. Sched.-BASE'!$I$8, C216&lt;= ($I$7+$I$8)), (PPMT($E$8/12, (C216-$I$8), $I$7, $E$7)), 0)</f>
        <v>-917.63579929002299</v>
      </c>
      <c r="G216" s="5">
        <f>IF(MortgageAmortBASE[[#This Row],[Month]]=I$8,E$7,0)</f>
        <v>0</v>
      </c>
      <c r="H216" s="13">
        <f>IF(AND(C216&gt;='Amort. Sched.-BASE'!$I$8, C216&lt;= ($I$7+$I$8)), H215+F216, 0)</f>
        <v>121924.96834559517</v>
      </c>
      <c r="I216" s="24">
        <f>IF(AND(C216&gt;='Amort. Sched.-BASE'!$I$8, C216&lt;= ($I$7+$I$8)), E216/D216, " ")</f>
        <v>0.47158646996418191</v>
      </c>
      <c r="J216" s="25">
        <f>IF(AND(C216&gt;='Amort. Sched.-BASE'!$I$8, C216&lt;= ($I$7+$I$8)), F216/D216, " ")</f>
        <v>0.52841353003581815</v>
      </c>
      <c r="L216" s="20">
        <f t="shared" si="50"/>
        <v>205</v>
      </c>
      <c r="M216" s="5">
        <f>IF(AND(L216&gt;='Amort. Sched.-BASE'!$R$8, L216&lt;= ($R$7+$R$8)), PMT('Amort. Sched.-BASE'!$N$8/12, 'Amort. Sched.-BASE'!$R$7, 'Amort. Sched.-BASE'!$N$7), 0)</f>
        <v>0</v>
      </c>
      <c r="N216" s="5">
        <f>IF(AND(L216&gt;='Amort. Sched.-BASE'!$R$8, L216&lt;= ($R$7+$R$8)), (IPMT($N$8/12, (L216-$R$8), $R$7, $N$7)), 0)</f>
        <v>0</v>
      </c>
      <c r="O216" s="5">
        <f>IF(AND(L216&gt;='Amort. Sched.-BASE'!$R$8, L216&lt;= ($R$7+$R$8)), (PPMT($N$8/12, (L216-$R$8), $R$7, $N$7)), 0)</f>
        <v>0</v>
      </c>
      <c r="P216" s="5">
        <f>IF(CreditAmort1BASE[[#This Row],[Month]]=R$8,N$7,0)</f>
        <v>0</v>
      </c>
      <c r="Q216" s="13">
        <f>IF(AND(L216&gt;='Amort. Sched.-BASE'!$R$8, L216&lt;= ($R$7+$R$8)), Q215+O216, 0)</f>
        <v>0</v>
      </c>
      <c r="R216" s="6" t="str">
        <f>IF(AND(L216&gt;='Amort. Sched.-BASE'!$R$8, L216&lt;= ($R$7+$R$8)), N216/M216, " ")</f>
        <v xml:space="preserve"> </v>
      </c>
      <c r="S216" s="21" t="str">
        <f>IF(AND(L216&gt;='Amort. Sched.-BASE'!$R$8, L216&lt;= ($R$7+$R$8)), O216/M216, " ")</f>
        <v xml:space="preserve"> </v>
      </c>
      <c r="U216" s="22">
        <f t="shared" si="51"/>
        <v>205</v>
      </c>
      <c r="V216" s="23">
        <f>IF(AND(U216&gt;='Amort. Sched.-BASE'!$AA$8, U216&lt;= ($AA$7+$AA$8)), PMT('Amort. Sched.-BASE'!$W$8/12, 'Amort. Sched.-BASE'!$AA$7, 'Amort. Sched.-BASE'!$W$7), 0)</f>
        <v>0</v>
      </c>
      <c r="W216" s="5">
        <f>IF(AND(U216&gt;='Amort. Sched.-BASE'!$AA$8, U216&lt;= ($AA$7+$AA$8)), (IPMT($W$8/12, (U216-$AA$8), $AA$7, $W$7)), 0)</f>
        <v>0</v>
      </c>
      <c r="X216" s="23">
        <f>IF(AND(U216&gt;='Amort. Sched.-BASE'!$AA$8, U216&lt;= ($AA$7+$AA$8)), (PPMT($W$8/12, (U216-$AA$8), $AA$7, $W$7)), 0)</f>
        <v>0</v>
      </c>
      <c r="Y216" s="5">
        <f>IF(CreditAmort2BASE[[#This Row],[Month]]=AA$8,W$7,0)</f>
        <v>0</v>
      </c>
      <c r="Z216" s="13">
        <f>IF(AND(U216&gt;='Amort. Sched.-BASE'!$AA$8, U216&lt;= ($AA$7+$AA$8)), Z215+X216, 0)</f>
        <v>0</v>
      </c>
      <c r="AA216" s="24" t="str">
        <f>IF(AND(U216&gt;='Amort. Sched.-BASE'!$AA$8, U216&lt;= ($AA$7+$AA$8)), W216/V216, " ")</f>
        <v xml:space="preserve"> </v>
      </c>
      <c r="AB216" s="25" t="str">
        <f>IF(AND(U216&gt;='Amort. Sched.-BASE'!$AA$8, U216&lt;= ($AA$7+$AA$8)), X216/V216, " ")</f>
        <v xml:space="preserve"> </v>
      </c>
      <c r="AD216" s="20">
        <f t="shared" si="52"/>
        <v>205</v>
      </c>
      <c r="AE216" s="5">
        <f t="shared" si="53"/>
        <v>0</v>
      </c>
      <c r="AF216" s="5">
        <f t="shared" si="54"/>
        <v>0</v>
      </c>
      <c r="AG216" s="5">
        <f t="shared" si="55"/>
        <v>0</v>
      </c>
      <c r="AH216" s="5">
        <f>IF(CreditAmort3BASE[[#This Row],[Month]]=AJ$8,AF$7,0)</f>
        <v>0</v>
      </c>
      <c r="AI216" s="13">
        <f t="shared" si="56"/>
        <v>0</v>
      </c>
      <c r="AJ216" s="6" t="str">
        <f t="shared" si="57"/>
        <v xml:space="preserve"> </v>
      </c>
      <c r="AK216" s="21" t="str">
        <f t="shared" si="58"/>
        <v xml:space="preserve"> </v>
      </c>
      <c r="AM216" s="20">
        <f t="shared" si="59"/>
        <v>205</v>
      </c>
      <c r="AN216" s="5">
        <f t="shared" si="60"/>
        <v>0</v>
      </c>
      <c r="AO216" s="5">
        <f t="shared" si="61"/>
        <v>0</v>
      </c>
      <c r="AP216" s="5">
        <f t="shared" si="62"/>
        <v>0</v>
      </c>
      <c r="AQ216" s="5">
        <f>IF(CreditAmort4BASE[[#This Row],[Month]]=AS$8,AO$7,0)</f>
        <v>0</v>
      </c>
      <c r="AR216" s="13">
        <f t="shared" si="63"/>
        <v>0</v>
      </c>
      <c r="AS216" s="6" t="str">
        <f t="shared" si="64"/>
        <v xml:space="preserve"> </v>
      </c>
      <c r="AT216" s="21" t="str">
        <f t="shared" si="65"/>
        <v xml:space="preserve"> </v>
      </c>
    </row>
    <row r="217" spans="3:46">
      <c r="C217" s="22">
        <f t="shared" si="17"/>
        <v>206</v>
      </c>
      <c r="D217" s="23">
        <f>IF(AND(C217&gt;='Amort. Sched.-BASE'!$I$8, C217&lt;= ($I$7+$I$8)), PMT('Amort. Sched.-BASE'!$E$8/12, 'Amort. Sched.-BASE'!$I$7, 'Amort. Sched.-BASE'!$E$7), 0)</f>
        <v>-1736.5864935892569</v>
      </c>
      <c r="E217" s="5">
        <f>IF(AND(C217&gt;='Amort. Sched.-BASE'!$I$8, C217&lt;= ($I$7+$I$8)), (IPMT($E$8/12, (C217-$I$8), $I$7, $E$7)), 0)</f>
        <v>-812.83312230396734</v>
      </c>
      <c r="F217" s="23">
        <f>IF(AND(C217&gt;='Amort. Sched.-BASE'!$I$8, C217&lt;= ($I$7+$I$8)), (PPMT($E$8/12, (C217-$I$8), $I$7, $E$7)), 0)</f>
        <v>-923.75337128528963</v>
      </c>
      <c r="G217" s="5">
        <f>IF(MortgageAmortBASE[[#This Row],[Month]]=I$8,E$7,0)</f>
        <v>0</v>
      </c>
      <c r="H217" s="13">
        <f>IF(AND(C217&gt;='Amort. Sched.-BASE'!$I$8, C217&lt;= ($I$7+$I$8)), H216+F217, 0)</f>
        <v>121001.21497430989</v>
      </c>
      <c r="I217" s="24">
        <f>IF(AND(C217&gt;='Amort. Sched.-BASE'!$I$8, C217&lt;= ($I$7+$I$8)), E217/D217, " ")</f>
        <v>0.46806371309727651</v>
      </c>
      <c r="J217" s="25">
        <f>IF(AND(C217&gt;='Amort. Sched.-BASE'!$I$8, C217&lt;= ($I$7+$I$8)), F217/D217, " ")</f>
        <v>0.53193628690272354</v>
      </c>
      <c r="L217" s="20">
        <f t="shared" si="50"/>
        <v>206</v>
      </c>
      <c r="M217" s="5">
        <f>IF(AND(L217&gt;='Amort. Sched.-BASE'!$R$8, L217&lt;= ($R$7+$R$8)), PMT('Amort. Sched.-BASE'!$N$8/12, 'Amort. Sched.-BASE'!$R$7, 'Amort. Sched.-BASE'!$N$7), 0)</f>
        <v>0</v>
      </c>
      <c r="N217" s="5">
        <f>IF(AND(L217&gt;='Amort. Sched.-BASE'!$R$8, L217&lt;= ($R$7+$R$8)), (IPMT($N$8/12, (L217-$R$8), $R$7, $N$7)), 0)</f>
        <v>0</v>
      </c>
      <c r="O217" s="5">
        <f>IF(AND(L217&gt;='Amort. Sched.-BASE'!$R$8, L217&lt;= ($R$7+$R$8)), (PPMT($N$8/12, (L217-$R$8), $R$7, $N$7)), 0)</f>
        <v>0</v>
      </c>
      <c r="P217" s="5">
        <f>IF(CreditAmort1BASE[[#This Row],[Month]]=R$8,N$7,0)</f>
        <v>0</v>
      </c>
      <c r="Q217" s="13">
        <f>IF(AND(L217&gt;='Amort. Sched.-BASE'!$R$8, L217&lt;= ($R$7+$R$8)), Q216+O217, 0)</f>
        <v>0</v>
      </c>
      <c r="R217" s="6" t="str">
        <f>IF(AND(L217&gt;='Amort. Sched.-BASE'!$R$8, L217&lt;= ($R$7+$R$8)), N217/M217, " ")</f>
        <v xml:space="preserve"> </v>
      </c>
      <c r="S217" s="21" t="str">
        <f>IF(AND(L217&gt;='Amort. Sched.-BASE'!$R$8, L217&lt;= ($R$7+$R$8)), O217/M217, " ")</f>
        <v xml:space="preserve"> </v>
      </c>
      <c r="U217" s="22">
        <f t="shared" si="51"/>
        <v>206</v>
      </c>
      <c r="V217" s="23">
        <f>IF(AND(U217&gt;='Amort. Sched.-BASE'!$AA$8, U217&lt;= ($AA$7+$AA$8)), PMT('Amort. Sched.-BASE'!$W$8/12, 'Amort. Sched.-BASE'!$AA$7, 'Amort. Sched.-BASE'!$W$7), 0)</f>
        <v>0</v>
      </c>
      <c r="W217" s="5">
        <f>IF(AND(U217&gt;='Amort. Sched.-BASE'!$AA$8, U217&lt;= ($AA$7+$AA$8)), (IPMT($W$8/12, (U217-$AA$8), $AA$7, $W$7)), 0)</f>
        <v>0</v>
      </c>
      <c r="X217" s="23">
        <f>IF(AND(U217&gt;='Amort. Sched.-BASE'!$AA$8, U217&lt;= ($AA$7+$AA$8)), (PPMT($W$8/12, (U217-$AA$8), $AA$7, $W$7)), 0)</f>
        <v>0</v>
      </c>
      <c r="Y217" s="5">
        <f>IF(CreditAmort2BASE[[#This Row],[Month]]=AA$8,W$7,0)</f>
        <v>0</v>
      </c>
      <c r="Z217" s="13">
        <f>IF(AND(U217&gt;='Amort. Sched.-BASE'!$AA$8, U217&lt;= ($AA$7+$AA$8)), Z216+X217, 0)</f>
        <v>0</v>
      </c>
      <c r="AA217" s="24" t="str">
        <f>IF(AND(U217&gt;='Amort. Sched.-BASE'!$AA$8, U217&lt;= ($AA$7+$AA$8)), W217/V217, " ")</f>
        <v xml:space="preserve"> </v>
      </c>
      <c r="AB217" s="25" t="str">
        <f>IF(AND(U217&gt;='Amort. Sched.-BASE'!$AA$8, U217&lt;= ($AA$7+$AA$8)), X217/V217, " ")</f>
        <v xml:space="preserve"> </v>
      </c>
      <c r="AD217" s="20">
        <f t="shared" si="52"/>
        <v>206</v>
      </c>
      <c r="AE217" s="5">
        <f t="shared" si="53"/>
        <v>0</v>
      </c>
      <c r="AF217" s="5">
        <f t="shared" si="54"/>
        <v>0</v>
      </c>
      <c r="AG217" s="5">
        <f t="shared" si="55"/>
        <v>0</v>
      </c>
      <c r="AH217" s="5">
        <f>IF(CreditAmort3BASE[[#This Row],[Month]]=AJ$8,AF$7,0)</f>
        <v>0</v>
      </c>
      <c r="AI217" s="13">
        <f t="shared" si="56"/>
        <v>0</v>
      </c>
      <c r="AJ217" s="6" t="str">
        <f t="shared" si="57"/>
        <v xml:space="preserve"> </v>
      </c>
      <c r="AK217" s="21" t="str">
        <f t="shared" si="58"/>
        <v xml:space="preserve"> </v>
      </c>
      <c r="AM217" s="20">
        <f t="shared" si="59"/>
        <v>206</v>
      </c>
      <c r="AN217" s="5">
        <f t="shared" si="60"/>
        <v>0</v>
      </c>
      <c r="AO217" s="5">
        <f t="shared" si="61"/>
        <v>0</v>
      </c>
      <c r="AP217" s="5">
        <f t="shared" si="62"/>
        <v>0</v>
      </c>
      <c r="AQ217" s="5">
        <f>IF(CreditAmort4BASE[[#This Row],[Month]]=AS$8,AO$7,0)</f>
        <v>0</v>
      </c>
      <c r="AR217" s="13">
        <f t="shared" si="63"/>
        <v>0</v>
      </c>
      <c r="AS217" s="6" t="str">
        <f t="shared" si="64"/>
        <v xml:space="preserve"> </v>
      </c>
      <c r="AT217" s="21" t="str">
        <f t="shared" si="65"/>
        <v xml:space="preserve"> </v>
      </c>
    </row>
    <row r="218" spans="3:46">
      <c r="C218" s="22">
        <f t="shared" si="17"/>
        <v>207</v>
      </c>
      <c r="D218" s="23">
        <f>IF(AND(C218&gt;='Amort. Sched.-BASE'!$I$8, C218&lt;= ($I$7+$I$8)), PMT('Amort. Sched.-BASE'!$E$8/12, 'Amort. Sched.-BASE'!$I$7, 'Amort. Sched.-BASE'!$E$7), 0)</f>
        <v>-1736.5864935892569</v>
      </c>
      <c r="E218" s="5">
        <f>IF(AND(C218&gt;='Amort. Sched.-BASE'!$I$8, C218&lt;= ($I$7+$I$8)), (IPMT($E$8/12, (C218-$I$8), $I$7, $E$7)), 0)</f>
        <v>-806.67476649539879</v>
      </c>
      <c r="F218" s="23">
        <f>IF(AND(C218&gt;='Amort. Sched.-BASE'!$I$8, C218&lt;= ($I$7+$I$8)), (PPMT($E$8/12, (C218-$I$8), $I$7, $E$7)), 0)</f>
        <v>-929.9117270938583</v>
      </c>
      <c r="G218" s="5">
        <f>IF(MortgageAmortBASE[[#This Row],[Month]]=I$8,E$7,0)</f>
        <v>0</v>
      </c>
      <c r="H218" s="13">
        <f>IF(AND(C218&gt;='Amort. Sched.-BASE'!$I$8, C218&lt;= ($I$7+$I$8)), H217+F218, 0)</f>
        <v>120071.30324721603</v>
      </c>
      <c r="I218" s="24">
        <f>IF(AND(C218&gt;='Amort. Sched.-BASE'!$I$8, C218&lt;= ($I$7+$I$8)), E218/D218, " ")</f>
        <v>0.46451747118459169</v>
      </c>
      <c r="J218" s="25">
        <f>IF(AND(C218&gt;='Amort. Sched.-BASE'!$I$8, C218&lt;= ($I$7+$I$8)), F218/D218, " ")</f>
        <v>0.53548252881540837</v>
      </c>
      <c r="L218" s="20">
        <f t="shared" si="50"/>
        <v>207</v>
      </c>
      <c r="M218" s="5">
        <f>IF(AND(L218&gt;='Amort. Sched.-BASE'!$R$8, L218&lt;= ($R$7+$R$8)), PMT('Amort. Sched.-BASE'!$N$8/12, 'Amort. Sched.-BASE'!$R$7, 'Amort. Sched.-BASE'!$N$7), 0)</f>
        <v>0</v>
      </c>
      <c r="N218" s="5">
        <f>IF(AND(L218&gt;='Amort. Sched.-BASE'!$R$8, L218&lt;= ($R$7+$R$8)), (IPMT($N$8/12, (L218-$R$8), $R$7, $N$7)), 0)</f>
        <v>0</v>
      </c>
      <c r="O218" s="5">
        <f>IF(AND(L218&gt;='Amort. Sched.-BASE'!$R$8, L218&lt;= ($R$7+$R$8)), (PPMT($N$8/12, (L218-$R$8), $R$7, $N$7)), 0)</f>
        <v>0</v>
      </c>
      <c r="P218" s="5">
        <f>IF(CreditAmort1BASE[[#This Row],[Month]]=R$8,N$7,0)</f>
        <v>0</v>
      </c>
      <c r="Q218" s="13">
        <f>IF(AND(L218&gt;='Amort. Sched.-BASE'!$R$8, L218&lt;= ($R$7+$R$8)), Q217+O218, 0)</f>
        <v>0</v>
      </c>
      <c r="R218" s="6" t="str">
        <f>IF(AND(L218&gt;='Amort. Sched.-BASE'!$R$8, L218&lt;= ($R$7+$R$8)), N218/M218, " ")</f>
        <v xml:space="preserve"> </v>
      </c>
      <c r="S218" s="21" t="str">
        <f>IF(AND(L218&gt;='Amort. Sched.-BASE'!$R$8, L218&lt;= ($R$7+$R$8)), O218/M218, " ")</f>
        <v xml:space="preserve"> </v>
      </c>
      <c r="U218" s="22">
        <f t="shared" si="51"/>
        <v>207</v>
      </c>
      <c r="V218" s="23">
        <f>IF(AND(U218&gt;='Amort. Sched.-BASE'!$AA$8, U218&lt;= ($AA$7+$AA$8)), PMT('Amort. Sched.-BASE'!$W$8/12, 'Amort. Sched.-BASE'!$AA$7, 'Amort. Sched.-BASE'!$W$7), 0)</f>
        <v>0</v>
      </c>
      <c r="W218" s="5">
        <f>IF(AND(U218&gt;='Amort. Sched.-BASE'!$AA$8, U218&lt;= ($AA$7+$AA$8)), (IPMT($W$8/12, (U218-$AA$8), $AA$7, $W$7)), 0)</f>
        <v>0</v>
      </c>
      <c r="X218" s="23">
        <f>IF(AND(U218&gt;='Amort. Sched.-BASE'!$AA$8, U218&lt;= ($AA$7+$AA$8)), (PPMT($W$8/12, (U218-$AA$8), $AA$7, $W$7)), 0)</f>
        <v>0</v>
      </c>
      <c r="Y218" s="5">
        <f>IF(CreditAmort2BASE[[#This Row],[Month]]=AA$8,W$7,0)</f>
        <v>0</v>
      </c>
      <c r="Z218" s="13">
        <f>IF(AND(U218&gt;='Amort. Sched.-BASE'!$AA$8, U218&lt;= ($AA$7+$AA$8)), Z217+X218, 0)</f>
        <v>0</v>
      </c>
      <c r="AA218" s="24" t="str">
        <f>IF(AND(U218&gt;='Amort. Sched.-BASE'!$AA$8, U218&lt;= ($AA$7+$AA$8)), W218/V218, " ")</f>
        <v xml:space="preserve"> </v>
      </c>
      <c r="AB218" s="25" t="str">
        <f>IF(AND(U218&gt;='Amort. Sched.-BASE'!$AA$8, U218&lt;= ($AA$7+$AA$8)), X218/V218, " ")</f>
        <v xml:space="preserve"> </v>
      </c>
      <c r="AD218" s="20">
        <f t="shared" si="52"/>
        <v>207</v>
      </c>
      <c r="AE218" s="5">
        <f t="shared" si="53"/>
        <v>0</v>
      </c>
      <c r="AF218" s="5">
        <f t="shared" si="54"/>
        <v>0</v>
      </c>
      <c r="AG218" s="5">
        <f t="shared" si="55"/>
        <v>0</v>
      </c>
      <c r="AH218" s="5">
        <f>IF(CreditAmort3BASE[[#This Row],[Month]]=AJ$8,AF$7,0)</f>
        <v>0</v>
      </c>
      <c r="AI218" s="13">
        <f t="shared" si="56"/>
        <v>0</v>
      </c>
      <c r="AJ218" s="6" t="str">
        <f t="shared" si="57"/>
        <v xml:space="preserve"> </v>
      </c>
      <c r="AK218" s="21" t="str">
        <f t="shared" si="58"/>
        <v xml:space="preserve"> </v>
      </c>
      <c r="AM218" s="20">
        <f t="shared" si="59"/>
        <v>207</v>
      </c>
      <c r="AN218" s="5">
        <f t="shared" si="60"/>
        <v>0</v>
      </c>
      <c r="AO218" s="5">
        <f t="shared" si="61"/>
        <v>0</v>
      </c>
      <c r="AP218" s="5">
        <f t="shared" si="62"/>
        <v>0</v>
      </c>
      <c r="AQ218" s="5">
        <f>IF(CreditAmort4BASE[[#This Row],[Month]]=AS$8,AO$7,0)</f>
        <v>0</v>
      </c>
      <c r="AR218" s="13">
        <f t="shared" si="63"/>
        <v>0</v>
      </c>
      <c r="AS218" s="6" t="str">
        <f t="shared" si="64"/>
        <v xml:space="preserve"> </v>
      </c>
      <c r="AT218" s="21" t="str">
        <f t="shared" si="65"/>
        <v xml:space="preserve"> </v>
      </c>
    </row>
    <row r="219" spans="3:46">
      <c r="C219" s="22">
        <f t="shared" si="17"/>
        <v>208</v>
      </c>
      <c r="D219" s="23">
        <f>IF(AND(C219&gt;='Amort. Sched.-BASE'!$I$8, C219&lt;= ($I$7+$I$8)), PMT('Amort. Sched.-BASE'!$E$8/12, 'Amort. Sched.-BASE'!$I$7, 'Amort. Sched.-BASE'!$E$7), 0)</f>
        <v>-1736.5864935892569</v>
      </c>
      <c r="E219" s="5">
        <f>IF(AND(C219&gt;='Amort. Sched.-BASE'!$I$8, C219&lt;= ($I$7+$I$8)), (IPMT($E$8/12, (C219-$I$8), $I$7, $E$7)), 0)</f>
        <v>-800.47535498143964</v>
      </c>
      <c r="F219" s="23">
        <f>IF(AND(C219&gt;='Amort. Sched.-BASE'!$I$8, C219&lt;= ($I$7+$I$8)), (PPMT($E$8/12, (C219-$I$8), $I$7, $E$7)), 0)</f>
        <v>-936.11113860781734</v>
      </c>
      <c r="G219" s="5">
        <f>IF(MortgageAmortBASE[[#This Row],[Month]]=I$8,E$7,0)</f>
        <v>0</v>
      </c>
      <c r="H219" s="13">
        <f>IF(AND(C219&gt;='Amort. Sched.-BASE'!$I$8, C219&lt;= ($I$7+$I$8)), H218+F219, 0)</f>
        <v>119135.19210860821</v>
      </c>
      <c r="I219" s="24">
        <f>IF(AND(C219&gt;='Amort. Sched.-BASE'!$I$8, C219&lt;= ($I$7+$I$8)), E219/D219, " ")</f>
        <v>0.46094758765915561</v>
      </c>
      <c r="J219" s="25">
        <f>IF(AND(C219&gt;='Amort. Sched.-BASE'!$I$8, C219&lt;= ($I$7+$I$8)), F219/D219, " ")</f>
        <v>0.53905241234084444</v>
      </c>
      <c r="L219" s="20">
        <f t="shared" si="50"/>
        <v>208</v>
      </c>
      <c r="M219" s="5">
        <f>IF(AND(L219&gt;='Amort. Sched.-BASE'!$R$8, L219&lt;= ($R$7+$R$8)), PMT('Amort. Sched.-BASE'!$N$8/12, 'Amort. Sched.-BASE'!$R$7, 'Amort. Sched.-BASE'!$N$7), 0)</f>
        <v>0</v>
      </c>
      <c r="N219" s="5">
        <f>IF(AND(L219&gt;='Amort. Sched.-BASE'!$R$8, L219&lt;= ($R$7+$R$8)), (IPMT($N$8/12, (L219-$R$8), $R$7, $N$7)), 0)</f>
        <v>0</v>
      </c>
      <c r="O219" s="5">
        <f>IF(AND(L219&gt;='Amort. Sched.-BASE'!$R$8, L219&lt;= ($R$7+$R$8)), (PPMT($N$8/12, (L219-$R$8), $R$7, $N$7)), 0)</f>
        <v>0</v>
      </c>
      <c r="P219" s="5">
        <f>IF(CreditAmort1BASE[[#This Row],[Month]]=R$8,N$7,0)</f>
        <v>0</v>
      </c>
      <c r="Q219" s="13">
        <f>IF(AND(L219&gt;='Amort. Sched.-BASE'!$R$8, L219&lt;= ($R$7+$R$8)), Q218+O219, 0)</f>
        <v>0</v>
      </c>
      <c r="R219" s="6" t="str">
        <f>IF(AND(L219&gt;='Amort. Sched.-BASE'!$R$8, L219&lt;= ($R$7+$R$8)), N219/M219, " ")</f>
        <v xml:space="preserve"> </v>
      </c>
      <c r="S219" s="21" t="str">
        <f>IF(AND(L219&gt;='Amort. Sched.-BASE'!$R$8, L219&lt;= ($R$7+$R$8)), O219/M219, " ")</f>
        <v xml:space="preserve"> </v>
      </c>
      <c r="U219" s="22">
        <f t="shared" si="51"/>
        <v>208</v>
      </c>
      <c r="V219" s="23">
        <f>IF(AND(U219&gt;='Amort. Sched.-BASE'!$AA$8, U219&lt;= ($AA$7+$AA$8)), PMT('Amort. Sched.-BASE'!$W$8/12, 'Amort. Sched.-BASE'!$AA$7, 'Amort. Sched.-BASE'!$W$7), 0)</f>
        <v>0</v>
      </c>
      <c r="W219" s="5">
        <f>IF(AND(U219&gt;='Amort. Sched.-BASE'!$AA$8, U219&lt;= ($AA$7+$AA$8)), (IPMT($W$8/12, (U219-$AA$8), $AA$7, $W$7)), 0)</f>
        <v>0</v>
      </c>
      <c r="X219" s="23">
        <f>IF(AND(U219&gt;='Amort. Sched.-BASE'!$AA$8, U219&lt;= ($AA$7+$AA$8)), (PPMT($W$8/12, (U219-$AA$8), $AA$7, $W$7)), 0)</f>
        <v>0</v>
      </c>
      <c r="Y219" s="5">
        <f>IF(CreditAmort2BASE[[#This Row],[Month]]=AA$8,W$7,0)</f>
        <v>0</v>
      </c>
      <c r="Z219" s="13">
        <f>IF(AND(U219&gt;='Amort. Sched.-BASE'!$AA$8, U219&lt;= ($AA$7+$AA$8)), Z218+X219, 0)</f>
        <v>0</v>
      </c>
      <c r="AA219" s="24" t="str">
        <f>IF(AND(U219&gt;='Amort. Sched.-BASE'!$AA$8, U219&lt;= ($AA$7+$AA$8)), W219/V219, " ")</f>
        <v xml:space="preserve"> </v>
      </c>
      <c r="AB219" s="25" t="str">
        <f>IF(AND(U219&gt;='Amort. Sched.-BASE'!$AA$8, U219&lt;= ($AA$7+$AA$8)), X219/V219, " ")</f>
        <v xml:space="preserve"> </v>
      </c>
      <c r="AD219" s="20">
        <f t="shared" si="52"/>
        <v>208</v>
      </c>
      <c r="AE219" s="5">
        <f t="shared" si="53"/>
        <v>0</v>
      </c>
      <c r="AF219" s="5">
        <f t="shared" si="54"/>
        <v>0</v>
      </c>
      <c r="AG219" s="5">
        <f t="shared" si="55"/>
        <v>0</v>
      </c>
      <c r="AH219" s="5">
        <f>IF(CreditAmort3BASE[[#This Row],[Month]]=AJ$8,AF$7,0)</f>
        <v>0</v>
      </c>
      <c r="AI219" s="13">
        <f t="shared" si="56"/>
        <v>0</v>
      </c>
      <c r="AJ219" s="6" t="str">
        <f t="shared" si="57"/>
        <v xml:space="preserve"> </v>
      </c>
      <c r="AK219" s="21" t="str">
        <f t="shared" si="58"/>
        <v xml:space="preserve"> </v>
      </c>
      <c r="AM219" s="20">
        <f t="shared" si="59"/>
        <v>208</v>
      </c>
      <c r="AN219" s="5">
        <f t="shared" si="60"/>
        <v>0</v>
      </c>
      <c r="AO219" s="5">
        <f t="shared" si="61"/>
        <v>0</v>
      </c>
      <c r="AP219" s="5">
        <f t="shared" si="62"/>
        <v>0</v>
      </c>
      <c r="AQ219" s="5">
        <f>IF(CreditAmort4BASE[[#This Row],[Month]]=AS$8,AO$7,0)</f>
        <v>0</v>
      </c>
      <c r="AR219" s="13">
        <f t="shared" si="63"/>
        <v>0</v>
      </c>
      <c r="AS219" s="6" t="str">
        <f t="shared" si="64"/>
        <v xml:space="preserve"> </v>
      </c>
      <c r="AT219" s="21" t="str">
        <f t="shared" si="65"/>
        <v xml:space="preserve"> </v>
      </c>
    </row>
    <row r="220" spans="3:46">
      <c r="C220" s="22">
        <f t="shared" si="17"/>
        <v>209</v>
      </c>
      <c r="D220" s="23">
        <f>IF(AND(C220&gt;='Amort. Sched.-BASE'!$I$8, C220&lt;= ($I$7+$I$8)), PMT('Amort. Sched.-BASE'!$E$8/12, 'Amort. Sched.-BASE'!$I$7, 'Amort. Sched.-BASE'!$E$7), 0)</f>
        <v>-1736.5864935892569</v>
      </c>
      <c r="E220" s="5">
        <f>IF(AND(C220&gt;='Amort. Sched.-BASE'!$I$8, C220&lt;= ($I$7+$I$8)), (IPMT($E$8/12, (C220-$I$8), $I$7, $E$7)), 0)</f>
        <v>-794.23461405738738</v>
      </c>
      <c r="F220" s="23">
        <f>IF(AND(C220&gt;='Amort. Sched.-BASE'!$I$8, C220&lt;= ($I$7+$I$8)), (PPMT($E$8/12, (C220-$I$8), $I$7, $E$7)), 0)</f>
        <v>-942.35187953186926</v>
      </c>
      <c r="G220" s="5">
        <f>IF(MortgageAmortBASE[[#This Row],[Month]]=I$8,E$7,0)</f>
        <v>0</v>
      </c>
      <c r="H220" s="13">
        <f>IF(AND(C220&gt;='Amort. Sched.-BASE'!$I$8, C220&lt;= ($I$7+$I$8)), H219+F220, 0)</f>
        <v>118192.84022907635</v>
      </c>
      <c r="I220" s="24">
        <f>IF(AND(C220&gt;='Amort. Sched.-BASE'!$I$8, C220&lt;= ($I$7+$I$8)), E220/D220, " ")</f>
        <v>0.45735390491021655</v>
      </c>
      <c r="J220" s="25">
        <f>IF(AND(C220&gt;='Amort. Sched.-BASE'!$I$8, C220&lt;= ($I$7+$I$8)), F220/D220, " ")</f>
        <v>0.54264609508978334</v>
      </c>
      <c r="L220" s="20">
        <f t="shared" si="50"/>
        <v>209</v>
      </c>
      <c r="M220" s="5">
        <f>IF(AND(L220&gt;='Amort. Sched.-BASE'!$R$8, L220&lt;= ($R$7+$R$8)), PMT('Amort. Sched.-BASE'!$N$8/12, 'Amort. Sched.-BASE'!$R$7, 'Amort. Sched.-BASE'!$N$7), 0)</f>
        <v>0</v>
      </c>
      <c r="N220" s="5">
        <f>IF(AND(L220&gt;='Amort. Sched.-BASE'!$R$8, L220&lt;= ($R$7+$R$8)), (IPMT($N$8/12, (L220-$R$8), $R$7, $N$7)), 0)</f>
        <v>0</v>
      </c>
      <c r="O220" s="5">
        <f>IF(AND(L220&gt;='Amort. Sched.-BASE'!$R$8, L220&lt;= ($R$7+$R$8)), (PPMT($N$8/12, (L220-$R$8), $R$7, $N$7)), 0)</f>
        <v>0</v>
      </c>
      <c r="P220" s="5">
        <f>IF(CreditAmort1BASE[[#This Row],[Month]]=R$8,N$7,0)</f>
        <v>0</v>
      </c>
      <c r="Q220" s="13">
        <f>IF(AND(L220&gt;='Amort. Sched.-BASE'!$R$8, L220&lt;= ($R$7+$R$8)), Q219+O220, 0)</f>
        <v>0</v>
      </c>
      <c r="R220" s="6" t="str">
        <f>IF(AND(L220&gt;='Amort. Sched.-BASE'!$R$8, L220&lt;= ($R$7+$R$8)), N220/M220, " ")</f>
        <v xml:space="preserve"> </v>
      </c>
      <c r="S220" s="21" t="str">
        <f>IF(AND(L220&gt;='Amort. Sched.-BASE'!$R$8, L220&lt;= ($R$7+$R$8)), O220/M220, " ")</f>
        <v xml:space="preserve"> </v>
      </c>
      <c r="U220" s="22">
        <f t="shared" si="51"/>
        <v>209</v>
      </c>
      <c r="V220" s="23">
        <f>IF(AND(U220&gt;='Amort. Sched.-BASE'!$AA$8, U220&lt;= ($AA$7+$AA$8)), PMT('Amort. Sched.-BASE'!$W$8/12, 'Amort. Sched.-BASE'!$AA$7, 'Amort. Sched.-BASE'!$W$7), 0)</f>
        <v>0</v>
      </c>
      <c r="W220" s="5">
        <f>IF(AND(U220&gt;='Amort. Sched.-BASE'!$AA$8, U220&lt;= ($AA$7+$AA$8)), (IPMT($W$8/12, (U220-$AA$8), $AA$7, $W$7)), 0)</f>
        <v>0</v>
      </c>
      <c r="X220" s="23">
        <f>IF(AND(U220&gt;='Amort. Sched.-BASE'!$AA$8, U220&lt;= ($AA$7+$AA$8)), (PPMT($W$8/12, (U220-$AA$8), $AA$7, $W$7)), 0)</f>
        <v>0</v>
      </c>
      <c r="Y220" s="5">
        <f>IF(CreditAmort2BASE[[#This Row],[Month]]=AA$8,W$7,0)</f>
        <v>0</v>
      </c>
      <c r="Z220" s="13">
        <f>IF(AND(U220&gt;='Amort. Sched.-BASE'!$AA$8, U220&lt;= ($AA$7+$AA$8)), Z219+X220, 0)</f>
        <v>0</v>
      </c>
      <c r="AA220" s="24" t="str">
        <f>IF(AND(U220&gt;='Amort. Sched.-BASE'!$AA$8, U220&lt;= ($AA$7+$AA$8)), W220/V220, " ")</f>
        <v xml:space="preserve"> </v>
      </c>
      <c r="AB220" s="25" t="str">
        <f>IF(AND(U220&gt;='Amort. Sched.-BASE'!$AA$8, U220&lt;= ($AA$7+$AA$8)), X220/V220, " ")</f>
        <v xml:space="preserve"> </v>
      </c>
      <c r="AD220" s="20">
        <f t="shared" si="52"/>
        <v>209</v>
      </c>
      <c r="AE220" s="5">
        <f t="shared" si="53"/>
        <v>0</v>
      </c>
      <c r="AF220" s="5">
        <f t="shared" si="54"/>
        <v>0</v>
      </c>
      <c r="AG220" s="5">
        <f t="shared" si="55"/>
        <v>0</v>
      </c>
      <c r="AH220" s="5">
        <f>IF(CreditAmort3BASE[[#This Row],[Month]]=AJ$8,AF$7,0)</f>
        <v>0</v>
      </c>
      <c r="AI220" s="13">
        <f t="shared" si="56"/>
        <v>0</v>
      </c>
      <c r="AJ220" s="6" t="str">
        <f t="shared" si="57"/>
        <v xml:space="preserve"> </v>
      </c>
      <c r="AK220" s="21" t="str">
        <f t="shared" si="58"/>
        <v xml:space="preserve"> </v>
      </c>
      <c r="AM220" s="20">
        <f t="shared" si="59"/>
        <v>209</v>
      </c>
      <c r="AN220" s="5">
        <f t="shared" si="60"/>
        <v>0</v>
      </c>
      <c r="AO220" s="5">
        <f t="shared" si="61"/>
        <v>0</v>
      </c>
      <c r="AP220" s="5">
        <f t="shared" si="62"/>
        <v>0</v>
      </c>
      <c r="AQ220" s="5">
        <f>IF(CreditAmort4BASE[[#This Row],[Month]]=AS$8,AO$7,0)</f>
        <v>0</v>
      </c>
      <c r="AR220" s="13">
        <f t="shared" si="63"/>
        <v>0</v>
      </c>
      <c r="AS220" s="6" t="str">
        <f t="shared" si="64"/>
        <v xml:space="preserve"> </v>
      </c>
      <c r="AT220" s="21" t="str">
        <f t="shared" si="65"/>
        <v xml:space="preserve"> </v>
      </c>
    </row>
    <row r="221" spans="3:46">
      <c r="C221" s="22">
        <f t="shared" si="17"/>
        <v>210</v>
      </c>
      <c r="D221" s="23">
        <f>IF(AND(C221&gt;='Amort. Sched.-BASE'!$I$8, C221&lt;= ($I$7+$I$8)), PMT('Amort. Sched.-BASE'!$E$8/12, 'Amort. Sched.-BASE'!$I$7, 'Amort. Sched.-BASE'!$E$7), 0)</f>
        <v>-1736.5864935892569</v>
      </c>
      <c r="E221" s="5">
        <f>IF(AND(C221&gt;='Amort. Sched.-BASE'!$I$8, C221&lt;= ($I$7+$I$8)), (IPMT($E$8/12, (C221-$I$8), $I$7, $E$7)), 0)</f>
        <v>-787.95226819384175</v>
      </c>
      <c r="F221" s="23">
        <f>IF(AND(C221&gt;='Amort. Sched.-BASE'!$I$8, C221&lt;= ($I$7+$I$8)), (PPMT($E$8/12, (C221-$I$8), $I$7, $E$7)), 0)</f>
        <v>-948.63422539541523</v>
      </c>
      <c r="G221" s="5">
        <f>IF(MortgageAmortBASE[[#This Row],[Month]]=I$8,E$7,0)</f>
        <v>0</v>
      </c>
      <c r="H221" s="13">
        <f>IF(AND(C221&gt;='Amort. Sched.-BASE'!$I$8, C221&lt;= ($I$7+$I$8)), H220+F221, 0)</f>
        <v>117244.20600368093</v>
      </c>
      <c r="I221" s="24">
        <f>IF(AND(C221&gt;='Amort. Sched.-BASE'!$I$8, C221&lt;= ($I$7+$I$8)), E221/D221, " ")</f>
        <v>0.45373626427628477</v>
      </c>
      <c r="J221" s="25">
        <f>IF(AND(C221&gt;='Amort. Sched.-BASE'!$I$8, C221&lt;= ($I$7+$I$8)), F221/D221, " ")</f>
        <v>0.54626373572371534</v>
      </c>
      <c r="L221" s="20">
        <f t="shared" si="50"/>
        <v>210</v>
      </c>
      <c r="M221" s="5">
        <f>IF(AND(L221&gt;='Amort. Sched.-BASE'!$R$8, L221&lt;= ($R$7+$R$8)), PMT('Amort. Sched.-BASE'!$N$8/12, 'Amort. Sched.-BASE'!$R$7, 'Amort. Sched.-BASE'!$N$7), 0)</f>
        <v>0</v>
      </c>
      <c r="N221" s="5">
        <f>IF(AND(L221&gt;='Amort. Sched.-BASE'!$R$8, L221&lt;= ($R$7+$R$8)), (IPMT($N$8/12, (L221-$R$8), $R$7, $N$7)), 0)</f>
        <v>0</v>
      </c>
      <c r="O221" s="5">
        <f>IF(AND(L221&gt;='Amort. Sched.-BASE'!$R$8, L221&lt;= ($R$7+$R$8)), (PPMT($N$8/12, (L221-$R$8), $R$7, $N$7)), 0)</f>
        <v>0</v>
      </c>
      <c r="P221" s="5">
        <f>IF(CreditAmort1BASE[[#This Row],[Month]]=R$8,N$7,0)</f>
        <v>0</v>
      </c>
      <c r="Q221" s="13">
        <f>IF(AND(L221&gt;='Amort. Sched.-BASE'!$R$8, L221&lt;= ($R$7+$R$8)), Q220+O221, 0)</f>
        <v>0</v>
      </c>
      <c r="R221" s="6" t="str">
        <f>IF(AND(L221&gt;='Amort. Sched.-BASE'!$R$8, L221&lt;= ($R$7+$R$8)), N221/M221, " ")</f>
        <v xml:space="preserve"> </v>
      </c>
      <c r="S221" s="21" t="str">
        <f>IF(AND(L221&gt;='Amort. Sched.-BASE'!$R$8, L221&lt;= ($R$7+$R$8)), O221/M221, " ")</f>
        <v xml:space="preserve"> </v>
      </c>
      <c r="U221" s="22">
        <f t="shared" si="51"/>
        <v>210</v>
      </c>
      <c r="V221" s="23">
        <f>IF(AND(U221&gt;='Amort. Sched.-BASE'!$AA$8, U221&lt;= ($AA$7+$AA$8)), PMT('Amort. Sched.-BASE'!$W$8/12, 'Amort. Sched.-BASE'!$AA$7, 'Amort. Sched.-BASE'!$W$7), 0)</f>
        <v>0</v>
      </c>
      <c r="W221" s="5">
        <f>IF(AND(U221&gt;='Amort. Sched.-BASE'!$AA$8, U221&lt;= ($AA$7+$AA$8)), (IPMT($W$8/12, (U221-$AA$8), $AA$7, $W$7)), 0)</f>
        <v>0</v>
      </c>
      <c r="X221" s="23">
        <f>IF(AND(U221&gt;='Amort. Sched.-BASE'!$AA$8, U221&lt;= ($AA$7+$AA$8)), (PPMT($W$8/12, (U221-$AA$8), $AA$7, $W$7)), 0)</f>
        <v>0</v>
      </c>
      <c r="Y221" s="5">
        <f>IF(CreditAmort2BASE[[#This Row],[Month]]=AA$8,W$7,0)</f>
        <v>0</v>
      </c>
      <c r="Z221" s="13">
        <f>IF(AND(U221&gt;='Amort. Sched.-BASE'!$AA$8, U221&lt;= ($AA$7+$AA$8)), Z220+X221, 0)</f>
        <v>0</v>
      </c>
      <c r="AA221" s="24" t="str">
        <f>IF(AND(U221&gt;='Amort. Sched.-BASE'!$AA$8, U221&lt;= ($AA$7+$AA$8)), W221/V221, " ")</f>
        <v xml:space="preserve"> </v>
      </c>
      <c r="AB221" s="25" t="str">
        <f>IF(AND(U221&gt;='Amort. Sched.-BASE'!$AA$8, U221&lt;= ($AA$7+$AA$8)), X221/V221, " ")</f>
        <v xml:space="preserve"> </v>
      </c>
      <c r="AD221" s="20">
        <f t="shared" si="52"/>
        <v>210</v>
      </c>
      <c r="AE221" s="5">
        <f t="shared" si="53"/>
        <v>0</v>
      </c>
      <c r="AF221" s="5">
        <f t="shared" si="54"/>
        <v>0</v>
      </c>
      <c r="AG221" s="5">
        <f t="shared" si="55"/>
        <v>0</v>
      </c>
      <c r="AH221" s="5">
        <f>IF(CreditAmort3BASE[[#This Row],[Month]]=AJ$8,AF$7,0)</f>
        <v>0</v>
      </c>
      <c r="AI221" s="13">
        <f t="shared" si="56"/>
        <v>0</v>
      </c>
      <c r="AJ221" s="6" t="str">
        <f t="shared" si="57"/>
        <v xml:space="preserve"> </v>
      </c>
      <c r="AK221" s="21" t="str">
        <f t="shared" si="58"/>
        <v xml:space="preserve"> </v>
      </c>
      <c r="AM221" s="20">
        <f t="shared" si="59"/>
        <v>210</v>
      </c>
      <c r="AN221" s="5">
        <f t="shared" si="60"/>
        <v>0</v>
      </c>
      <c r="AO221" s="5">
        <f t="shared" si="61"/>
        <v>0</v>
      </c>
      <c r="AP221" s="5">
        <f t="shared" si="62"/>
        <v>0</v>
      </c>
      <c r="AQ221" s="5">
        <f>IF(CreditAmort4BASE[[#This Row],[Month]]=AS$8,AO$7,0)</f>
        <v>0</v>
      </c>
      <c r="AR221" s="13">
        <f t="shared" si="63"/>
        <v>0</v>
      </c>
      <c r="AS221" s="6" t="str">
        <f t="shared" si="64"/>
        <v xml:space="preserve"> </v>
      </c>
      <c r="AT221" s="21" t="str">
        <f t="shared" si="65"/>
        <v xml:space="preserve"> </v>
      </c>
    </row>
    <row r="222" spans="3:46">
      <c r="C222" s="22">
        <f t="shared" si="17"/>
        <v>211</v>
      </c>
      <c r="D222" s="23">
        <f>IF(AND(C222&gt;='Amort. Sched.-BASE'!$I$8, C222&lt;= ($I$7+$I$8)), PMT('Amort. Sched.-BASE'!$E$8/12, 'Amort. Sched.-BASE'!$I$7, 'Amort. Sched.-BASE'!$E$7), 0)</f>
        <v>-1736.5864935892569</v>
      </c>
      <c r="E222" s="5">
        <f>IF(AND(C222&gt;='Amort. Sched.-BASE'!$I$8, C222&lt;= ($I$7+$I$8)), (IPMT($E$8/12, (C222-$I$8), $I$7, $E$7)), 0)</f>
        <v>-781.6280400245389</v>
      </c>
      <c r="F222" s="23">
        <f>IF(AND(C222&gt;='Amort. Sched.-BASE'!$I$8, C222&lt;= ($I$7+$I$8)), (PPMT($E$8/12, (C222-$I$8), $I$7, $E$7)), 0)</f>
        <v>-954.95845356471807</v>
      </c>
      <c r="G222" s="5">
        <f>IF(MortgageAmortBASE[[#This Row],[Month]]=I$8,E$7,0)</f>
        <v>0</v>
      </c>
      <c r="H222" s="13">
        <f>IF(AND(C222&gt;='Amort. Sched.-BASE'!$I$8, C222&lt;= ($I$7+$I$8)), H221+F222, 0)</f>
        <v>116289.24755011621</v>
      </c>
      <c r="I222" s="24">
        <f>IF(AND(C222&gt;='Amort. Sched.-BASE'!$I$8, C222&lt;= ($I$7+$I$8)), E222/D222, " ")</f>
        <v>0.45009450603812662</v>
      </c>
      <c r="J222" s="25">
        <f>IF(AND(C222&gt;='Amort. Sched.-BASE'!$I$8, C222&lt;= ($I$7+$I$8)), F222/D222, " ")</f>
        <v>0.54990549396187349</v>
      </c>
      <c r="L222" s="20">
        <f t="shared" si="50"/>
        <v>211</v>
      </c>
      <c r="M222" s="5">
        <f>IF(AND(L222&gt;='Amort. Sched.-BASE'!$R$8, L222&lt;= ($R$7+$R$8)), PMT('Amort. Sched.-BASE'!$N$8/12, 'Amort. Sched.-BASE'!$R$7, 'Amort. Sched.-BASE'!$N$7), 0)</f>
        <v>0</v>
      </c>
      <c r="N222" s="5">
        <f>IF(AND(L222&gt;='Amort. Sched.-BASE'!$R$8, L222&lt;= ($R$7+$R$8)), (IPMT($N$8/12, (L222-$R$8), $R$7, $N$7)), 0)</f>
        <v>0</v>
      </c>
      <c r="O222" s="5">
        <f>IF(AND(L222&gt;='Amort. Sched.-BASE'!$R$8, L222&lt;= ($R$7+$R$8)), (PPMT($N$8/12, (L222-$R$8), $R$7, $N$7)), 0)</f>
        <v>0</v>
      </c>
      <c r="P222" s="5">
        <f>IF(CreditAmort1BASE[[#This Row],[Month]]=R$8,N$7,0)</f>
        <v>0</v>
      </c>
      <c r="Q222" s="13">
        <f>IF(AND(L222&gt;='Amort. Sched.-BASE'!$R$8, L222&lt;= ($R$7+$R$8)), Q221+O222, 0)</f>
        <v>0</v>
      </c>
      <c r="R222" s="6" t="str">
        <f>IF(AND(L222&gt;='Amort. Sched.-BASE'!$R$8, L222&lt;= ($R$7+$R$8)), N222/M222, " ")</f>
        <v xml:space="preserve"> </v>
      </c>
      <c r="S222" s="21" t="str">
        <f>IF(AND(L222&gt;='Amort. Sched.-BASE'!$R$8, L222&lt;= ($R$7+$R$8)), O222/M222, " ")</f>
        <v xml:space="preserve"> </v>
      </c>
      <c r="U222" s="22">
        <f t="shared" si="51"/>
        <v>211</v>
      </c>
      <c r="V222" s="23">
        <f>IF(AND(U222&gt;='Amort. Sched.-BASE'!$AA$8, U222&lt;= ($AA$7+$AA$8)), PMT('Amort. Sched.-BASE'!$W$8/12, 'Amort. Sched.-BASE'!$AA$7, 'Amort. Sched.-BASE'!$W$7), 0)</f>
        <v>0</v>
      </c>
      <c r="W222" s="5">
        <f>IF(AND(U222&gt;='Amort. Sched.-BASE'!$AA$8, U222&lt;= ($AA$7+$AA$8)), (IPMT($W$8/12, (U222-$AA$8), $AA$7, $W$7)), 0)</f>
        <v>0</v>
      </c>
      <c r="X222" s="23">
        <f>IF(AND(U222&gt;='Amort. Sched.-BASE'!$AA$8, U222&lt;= ($AA$7+$AA$8)), (PPMT($W$8/12, (U222-$AA$8), $AA$7, $W$7)), 0)</f>
        <v>0</v>
      </c>
      <c r="Y222" s="5">
        <f>IF(CreditAmort2BASE[[#This Row],[Month]]=AA$8,W$7,0)</f>
        <v>0</v>
      </c>
      <c r="Z222" s="13">
        <f>IF(AND(U222&gt;='Amort. Sched.-BASE'!$AA$8, U222&lt;= ($AA$7+$AA$8)), Z221+X222, 0)</f>
        <v>0</v>
      </c>
      <c r="AA222" s="24" t="str">
        <f>IF(AND(U222&gt;='Amort. Sched.-BASE'!$AA$8, U222&lt;= ($AA$7+$AA$8)), W222/V222, " ")</f>
        <v xml:space="preserve"> </v>
      </c>
      <c r="AB222" s="25" t="str">
        <f>IF(AND(U222&gt;='Amort. Sched.-BASE'!$AA$8, U222&lt;= ($AA$7+$AA$8)), X222/V222, " ")</f>
        <v xml:space="preserve"> </v>
      </c>
      <c r="AD222" s="20">
        <f t="shared" si="52"/>
        <v>211</v>
      </c>
      <c r="AE222" s="5">
        <f t="shared" si="53"/>
        <v>0</v>
      </c>
      <c r="AF222" s="5">
        <f t="shared" si="54"/>
        <v>0</v>
      </c>
      <c r="AG222" s="5">
        <f t="shared" si="55"/>
        <v>0</v>
      </c>
      <c r="AH222" s="5">
        <f>IF(CreditAmort3BASE[[#This Row],[Month]]=AJ$8,AF$7,0)</f>
        <v>0</v>
      </c>
      <c r="AI222" s="13">
        <f t="shared" si="56"/>
        <v>0</v>
      </c>
      <c r="AJ222" s="6" t="str">
        <f t="shared" si="57"/>
        <v xml:space="preserve"> </v>
      </c>
      <c r="AK222" s="21" t="str">
        <f t="shared" si="58"/>
        <v xml:space="preserve"> </v>
      </c>
      <c r="AM222" s="20">
        <f t="shared" si="59"/>
        <v>211</v>
      </c>
      <c r="AN222" s="5">
        <f t="shared" si="60"/>
        <v>0</v>
      </c>
      <c r="AO222" s="5">
        <f t="shared" si="61"/>
        <v>0</v>
      </c>
      <c r="AP222" s="5">
        <f t="shared" si="62"/>
        <v>0</v>
      </c>
      <c r="AQ222" s="5">
        <f>IF(CreditAmort4BASE[[#This Row],[Month]]=AS$8,AO$7,0)</f>
        <v>0</v>
      </c>
      <c r="AR222" s="13">
        <f t="shared" si="63"/>
        <v>0</v>
      </c>
      <c r="AS222" s="6" t="str">
        <f t="shared" si="64"/>
        <v xml:space="preserve"> </v>
      </c>
      <c r="AT222" s="21" t="str">
        <f t="shared" si="65"/>
        <v xml:space="preserve"> </v>
      </c>
    </row>
    <row r="223" spans="3:46">
      <c r="C223" s="22">
        <f t="shared" si="17"/>
        <v>212</v>
      </c>
      <c r="D223" s="23">
        <f>IF(AND(C223&gt;='Amort. Sched.-BASE'!$I$8, C223&lt;= ($I$7+$I$8)), PMT('Amort. Sched.-BASE'!$E$8/12, 'Amort. Sched.-BASE'!$I$7, 'Amort. Sched.-BASE'!$E$7), 0)</f>
        <v>-1736.5864935892569</v>
      </c>
      <c r="E223" s="5">
        <f>IF(AND(C223&gt;='Amort. Sched.-BASE'!$I$8, C223&lt;= ($I$7+$I$8)), (IPMT($E$8/12, (C223-$I$8), $I$7, $E$7)), 0)</f>
        <v>-775.26165033410757</v>
      </c>
      <c r="F223" s="23">
        <f>IF(AND(C223&gt;='Amort. Sched.-BASE'!$I$8, C223&lt;= ($I$7+$I$8)), (PPMT($E$8/12, (C223-$I$8), $I$7, $E$7)), 0)</f>
        <v>-961.32484325514952</v>
      </c>
      <c r="G223" s="5">
        <f>IF(MortgageAmortBASE[[#This Row],[Month]]=I$8,E$7,0)</f>
        <v>0</v>
      </c>
      <c r="H223" s="13">
        <f>IF(AND(C223&gt;='Amort. Sched.-BASE'!$I$8, C223&lt;= ($I$7+$I$8)), H222+F223, 0)</f>
        <v>115327.92270686106</v>
      </c>
      <c r="I223" s="24">
        <f>IF(AND(C223&gt;='Amort. Sched.-BASE'!$I$8, C223&lt;= ($I$7+$I$8)), E223/D223, " ")</f>
        <v>0.44642846941171421</v>
      </c>
      <c r="J223" s="25">
        <f>IF(AND(C223&gt;='Amort. Sched.-BASE'!$I$8, C223&lt;= ($I$7+$I$8)), F223/D223, " ")</f>
        <v>0.5535715305882859</v>
      </c>
      <c r="L223" s="20">
        <f t="shared" si="50"/>
        <v>212</v>
      </c>
      <c r="M223" s="5">
        <f>IF(AND(L223&gt;='Amort. Sched.-BASE'!$R$8, L223&lt;= ($R$7+$R$8)), PMT('Amort. Sched.-BASE'!$N$8/12, 'Amort. Sched.-BASE'!$R$7, 'Amort. Sched.-BASE'!$N$7), 0)</f>
        <v>0</v>
      </c>
      <c r="N223" s="5">
        <f>IF(AND(L223&gt;='Amort. Sched.-BASE'!$R$8, L223&lt;= ($R$7+$R$8)), (IPMT($N$8/12, (L223-$R$8), $R$7, $N$7)), 0)</f>
        <v>0</v>
      </c>
      <c r="O223" s="5">
        <f>IF(AND(L223&gt;='Amort. Sched.-BASE'!$R$8, L223&lt;= ($R$7+$R$8)), (PPMT($N$8/12, (L223-$R$8), $R$7, $N$7)), 0)</f>
        <v>0</v>
      </c>
      <c r="P223" s="5">
        <f>IF(CreditAmort1BASE[[#This Row],[Month]]=R$8,N$7,0)</f>
        <v>0</v>
      </c>
      <c r="Q223" s="13">
        <f>IF(AND(L223&gt;='Amort. Sched.-BASE'!$R$8, L223&lt;= ($R$7+$R$8)), Q222+O223, 0)</f>
        <v>0</v>
      </c>
      <c r="R223" s="6" t="str">
        <f>IF(AND(L223&gt;='Amort. Sched.-BASE'!$R$8, L223&lt;= ($R$7+$R$8)), N223/M223, " ")</f>
        <v xml:space="preserve"> </v>
      </c>
      <c r="S223" s="21" t="str">
        <f>IF(AND(L223&gt;='Amort. Sched.-BASE'!$R$8, L223&lt;= ($R$7+$R$8)), O223/M223, " ")</f>
        <v xml:space="preserve"> </v>
      </c>
      <c r="U223" s="22">
        <f t="shared" si="51"/>
        <v>212</v>
      </c>
      <c r="V223" s="23">
        <f>IF(AND(U223&gt;='Amort. Sched.-BASE'!$AA$8, U223&lt;= ($AA$7+$AA$8)), PMT('Amort. Sched.-BASE'!$W$8/12, 'Amort. Sched.-BASE'!$AA$7, 'Amort. Sched.-BASE'!$W$7), 0)</f>
        <v>0</v>
      </c>
      <c r="W223" s="5">
        <f>IF(AND(U223&gt;='Amort. Sched.-BASE'!$AA$8, U223&lt;= ($AA$7+$AA$8)), (IPMT($W$8/12, (U223-$AA$8), $AA$7, $W$7)), 0)</f>
        <v>0</v>
      </c>
      <c r="X223" s="23">
        <f>IF(AND(U223&gt;='Amort. Sched.-BASE'!$AA$8, U223&lt;= ($AA$7+$AA$8)), (PPMT($W$8/12, (U223-$AA$8), $AA$7, $W$7)), 0)</f>
        <v>0</v>
      </c>
      <c r="Y223" s="5">
        <f>IF(CreditAmort2BASE[[#This Row],[Month]]=AA$8,W$7,0)</f>
        <v>0</v>
      </c>
      <c r="Z223" s="13">
        <f>IF(AND(U223&gt;='Amort. Sched.-BASE'!$AA$8, U223&lt;= ($AA$7+$AA$8)), Z222+X223, 0)</f>
        <v>0</v>
      </c>
      <c r="AA223" s="24" t="str">
        <f>IF(AND(U223&gt;='Amort. Sched.-BASE'!$AA$8, U223&lt;= ($AA$7+$AA$8)), W223/V223, " ")</f>
        <v xml:space="preserve"> </v>
      </c>
      <c r="AB223" s="25" t="str">
        <f>IF(AND(U223&gt;='Amort. Sched.-BASE'!$AA$8, U223&lt;= ($AA$7+$AA$8)), X223/V223, " ")</f>
        <v xml:space="preserve"> </v>
      </c>
      <c r="AD223" s="20">
        <f t="shared" si="52"/>
        <v>212</v>
      </c>
      <c r="AE223" s="5">
        <f t="shared" si="53"/>
        <v>0</v>
      </c>
      <c r="AF223" s="5">
        <f t="shared" si="54"/>
        <v>0</v>
      </c>
      <c r="AG223" s="5">
        <f t="shared" si="55"/>
        <v>0</v>
      </c>
      <c r="AH223" s="5">
        <f>IF(CreditAmort3BASE[[#This Row],[Month]]=AJ$8,AF$7,0)</f>
        <v>0</v>
      </c>
      <c r="AI223" s="13">
        <f t="shared" si="56"/>
        <v>0</v>
      </c>
      <c r="AJ223" s="6" t="str">
        <f t="shared" si="57"/>
        <v xml:space="preserve"> </v>
      </c>
      <c r="AK223" s="21" t="str">
        <f t="shared" si="58"/>
        <v xml:space="preserve"> </v>
      </c>
      <c r="AM223" s="20">
        <f t="shared" si="59"/>
        <v>212</v>
      </c>
      <c r="AN223" s="5">
        <f t="shared" si="60"/>
        <v>0</v>
      </c>
      <c r="AO223" s="5">
        <f t="shared" si="61"/>
        <v>0</v>
      </c>
      <c r="AP223" s="5">
        <f t="shared" si="62"/>
        <v>0</v>
      </c>
      <c r="AQ223" s="5">
        <f>IF(CreditAmort4BASE[[#This Row],[Month]]=AS$8,AO$7,0)</f>
        <v>0</v>
      </c>
      <c r="AR223" s="13">
        <f t="shared" si="63"/>
        <v>0</v>
      </c>
      <c r="AS223" s="6" t="str">
        <f t="shared" si="64"/>
        <v xml:space="preserve"> </v>
      </c>
      <c r="AT223" s="21" t="str">
        <f t="shared" si="65"/>
        <v xml:space="preserve"> </v>
      </c>
    </row>
    <row r="224" spans="3:46">
      <c r="C224" s="22">
        <f t="shared" si="17"/>
        <v>213</v>
      </c>
      <c r="D224" s="23">
        <f>IF(AND(C224&gt;='Amort. Sched.-BASE'!$I$8, C224&lt;= ($I$7+$I$8)), PMT('Amort. Sched.-BASE'!$E$8/12, 'Amort. Sched.-BASE'!$I$7, 'Amort. Sched.-BASE'!$E$7), 0)</f>
        <v>-1736.5864935892569</v>
      </c>
      <c r="E224" s="5">
        <f>IF(AND(C224&gt;='Amort. Sched.-BASE'!$I$8, C224&lt;= ($I$7+$I$8)), (IPMT($E$8/12, (C224-$I$8), $I$7, $E$7)), 0)</f>
        <v>-768.8528180457397</v>
      </c>
      <c r="F224" s="23">
        <f>IF(AND(C224&gt;='Amort. Sched.-BASE'!$I$8, C224&lt;= ($I$7+$I$8)), (PPMT($E$8/12, (C224-$I$8), $I$7, $E$7)), 0)</f>
        <v>-967.73367554351717</v>
      </c>
      <c r="G224" s="5">
        <f>IF(MortgageAmortBASE[[#This Row],[Month]]=I$8,E$7,0)</f>
        <v>0</v>
      </c>
      <c r="H224" s="13">
        <f>IF(AND(C224&gt;='Amort. Sched.-BASE'!$I$8, C224&lt;= ($I$7+$I$8)), H223+F224, 0)</f>
        <v>114360.18903131754</v>
      </c>
      <c r="I224" s="24">
        <f>IF(AND(C224&gt;='Amort. Sched.-BASE'!$I$8, C224&lt;= ($I$7+$I$8)), E224/D224, " ")</f>
        <v>0.4427379925411255</v>
      </c>
      <c r="J224" s="25">
        <f>IF(AND(C224&gt;='Amort. Sched.-BASE'!$I$8, C224&lt;= ($I$7+$I$8)), F224/D224, " ")</f>
        <v>0.55726200745887444</v>
      </c>
      <c r="L224" s="20">
        <f t="shared" si="50"/>
        <v>213</v>
      </c>
      <c r="M224" s="5">
        <f>IF(AND(L224&gt;='Amort. Sched.-BASE'!$R$8, L224&lt;= ($R$7+$R$8)), PMT('Amort. Sched.-BASE'!$N$8/12, 'Amort. Sched.-BASE'!$R$7, 'Amort. Sched.-BASE'!$N$7), 0)</f>
        <v>0</v>
      </c>
      <c r="N224" s="5">
        <f>IF(AND(L224&gt;='Amort. Sched.-BASE'!$R$8, L224&lt;= ($R$7+$R$8)), (IPMT($N$8/12, (L224-$R$8), $R$7, $N$7)), 0)</f>
        <v>0</v>
      </c>
      <c r="O224" s="5">
        <f>IF(AND(L224&gt;='Amort. Sched.-BASE'!$R$8, L224&lt;= ($R$7+$R$8)), (PPMT($N$8/12, (L224-$R$8), $R$7, $N$7)), 0)</f>
        <v>0</v>
      </c>
      <c r="P224" s="5">
        <f>IF(CreditAmort1BASE[[#This Row],[Month]]=R$8,N$7,0)</f>
        <v>0</v>
      </c>
      <c r="Q224" s="13">
        <f>IF(AND(L224&gt;='Amort. Sched.-BASE'!$R$8, L224&lt;= ($R$7+$R$8)), Q223+O224, 0)</f>
        <v>0</v>
      </c>
      <c r="R224" s="6" t="str">
        <f>IF(AND(L224&gt;='Amort. Sched.-BASE'!$R$8, L224&lt;= ($R$7+$R$8)), N224/M224, " ")</f>
        <v xml:space="preserve"> </v>
      </c>
      <c r="S224" s="21" t="str">
        <f>IF(AND(L224&gt;='Amort. Sched.-BASE'!$R$8, L224&lt;= ($R$7+$R$8)), O224/M224, " ")</f>
        <v xml:space="preserve"> </v>
      </c>
      <c r="U224" s="22">
        <f t="shared" si="51"/>
        <v>213</v>
      </c>
      <c r="V224" s="23">
        <f>IF(AND(U224&gt;='Amort. Sched.-BASE'!$AA$8, U224&lt;= ($AA$7+$AA$8)), PMT('Amort. Sched.-BASE'!$W$8/12, 'Amort. Sched.-BASE'!$AA$7, 'Amort. Sched.-BASE'!$W$7), 0)</f>
        <v>0</v>
      </c>
      <c r="W224" s="5">
        <f>IF(AND(U224&gt;='Amort. Sched.-BASE'!$AA$8, U224&lt;= ($AA$7+$AA$8)), (IPMT($W$8/12, (U224-$AA$8), $AA$7, $W$7)), 0)</f>
        <v>0</v>
      </c>
      <c r="X224" s="23">
        <f>IF(AND(U224&gt;='Amort. Sched.-BASE'!$AA$8, U224&lt;= ($AA$7+$AA$8)), (PPMT($W$8/12, (U224-$AA$8), $AA$7, $W$7)), 0)</f>
        <v>0</v>
      </c>
      <c r="Y224" s="5">
        <f>IF(CreditAmort2BASE[[#This Row],[Month]]=AA$8,W$7,0)</f>
        <v>0</v>
      </c>
      <c r="Z224" s="13">
        <f>IF(AND(U224&gt;='Amort. Sched.-BASE'!$AA$8, U224&lt;= ($AA$7+$AA$8)), Z223+X224, 0)</f>
        <v>0</v>
      </c>
      <c r="AA224" s="24" t="str">
        <f>IF(AND(U224&gt;='Amort. Sched.-BASE'!$AA$8, U224&lt;= ($AA$7+$AA$8)), W224/V224, " ")</f>
        <v xml:space="preserve"> </v>
      </c>
      <c r="AB224" s="25" t="str">
        <f>IF(AND(U224&gt;='Amort. Sched.-BASE'!$AA$8, U224&lt;= ($AA$7+$AA$8)), X224/V224, " ")</f>
        <v xml:space="preserve"> </v>
      </c>
      <c r="AD224" s="20">
        <f t="shared" si="52"/>
        <v>213</v>
      </c>
      <c r="AE224" s="5">
        <f t="shared" si="53"/>
        <v>0</v>
      </c>
      <c r="AF224" s="5">
        <f t="shared" si="54"/>
        <v>0</v>
      </c>
      <c r="AG224" s="5">
        <f t="shared" si="55"/>
        <v>0</v>
      </c>
      <c r="AH224" s="5">
        <f>IF(CreditAmort3BASE[[#This Row],[Month]]=AJ$8,AF$7,0)</f>
        <v>0</v>
      </c>
      <c r="AI224" s="13">
        <f t="shared" si="56"/>
        <v>0</v>
      </c>
      <c r="AJ224" s="6" t="str">
        <f t="shared" si="57"/>
        <v xml:space="preserve"> </v>
      </c>
      <c r="AK224" s="21" t="str">
        <f t="shared" si="58"/>
        <v xml:space="preserve"> </v>
      </c>
      <c r="AM224" s="20">
        <f t="shared" si="59"/>
        <v>213</v>
      </c>
      <c r="AN224" s="5">
        <f t="shared" si="60"/>
        <v>0</v>
      </c>
      <c r="AO224" s="5">
        <f t="shared" si="61"/>
        <v>0</v>
      </c>
      <c r="AP224" s="5">
        <f t="shared" si="62"/>
        <v>0</v>
      </c>
      <c r="AQ224" s="5">
        <f>IF(CreditAmort4BASE[[#This Row],[Month]]=AS$8,AO$7,0)</f>
        <v>0</v>
      </c>
      <c r="AR224" s="13">
        <f t="shared" si="63"/>
        <v>0</v>
      </c>
      <c r="AS224" s="6" t="str">
        <f t="shared" si="64"/>
        <v xml:space="preserve"> </v>
      </c>
      <c r="AT224" s="21" t="str">
        <f t="shared" si="65"/>
        <v xml:space="preserve"> </v>
      </c>
    </row>
    <row r="225" spans="3:46">
      <c r="C225" s="22">
        <f t="shared" si="17"/>
        <v>214</v>
      </c>
      <c r="D225" s="23">
        <f>IF(AND(C225&gt;='Amort. Sched.-BASE'!$I$8, C225&lt;= ($I$7+$I$8)), PMT('Amort. Sched.-BASE'!$E$8/12, 'Amort. Sched.-BASE'!$I$7, 'Amort. Sched.-BASE'!$E$7), 0)</f>
        <v>-1736.5864935892569</v>
      </c>
      <c r="E225" s="5">
        <f>IF(AND(C225&gt;='Amort. Sched.-BASE'!$I$8, C225&lt;= ($I$7+$I$8)), (IPMT($E$8/12, (C225-$I$8), $I$7, $E$7)), 0)</f>
        <v>-762.4012602087829</v>
      </c>
      <c r="F225" s="23">
        <f>IF(AND(C225&gt;='Amort. Sched.-BASE'!$I$8, C225&lt;= ($I$7+$I$8)), (PPMT($E$8/12, (C225-$I$8), $I$7, $E$7)), 0)</f>
        <v>-974.18523338047385</v>
      </c>
      <c r="G225" s="5">
        <f>IF(MortgageAmortBASE[[#This Row],[Month]]=I$8,E$7,0)</f>
        <v>0</v>
      </c>
      <c r="H225" s="13">
        <f>IF(AND(C225&gt;='Amort. Sched.-BASE'!$I$8, C225&lt;= ($I$7+$I$8)), H224+F225, 0)</f>
        <v>113386.00379793707</v>
      </c>
      <c r="I225" s="24">
        <f>IF(AND(C225&gt;='Amort. Sched.-BASE'!$I$8, C225&lt;= ($I$7+$I$8)), E225/D225, " ")</f>
        <v>0.43902291249139969</v>
      </c>
      <c r="J225" s="25">
        <f>IF(AND(C225&gt;='Amort. Sched.-BASE'!$I$8, C225&lt;= ($I$7+$I$8)), F225/D225, " ")</f>
        <v>0.56097708750860031</v>
      </c>
      <c r="L225" s="20">
        <f t="shared" si="50"/>
        <v>214</v>
      </c>
      <c r="M225" s="5">
        <f>IF(AND(L225&gt;='Amort. Sched.-BASE'!$R$8, L225&lt;= ($R$7+$R$8)), PMT('Amort. Sched.-BASE'!$N$8/12, 'Amort. Sched.-BASE'!$R$7, 'Amort. Sched.-BASE'!$N$7), 0)</f>
        <v>0</v>
      </c>
      <c r="N225" s="5">
        <f>IF(AND(L225&gt;='Amort. Sched.-BASE'!$R$8, L225&lt;= ($R$7+$R$8)), (IPMT($N$8/12, (L225-$R$8), $R$7, $N$7)), 0)</f>
        <v>0</v>
      </c>
      <c r="O225" s="5">
        <f>IF(AND(L225&gt;='Amort. Sched.-BASE'!$R$8, L225&lt;= ($R$7+$R$8)), (PPMT($N$8/12, (L225-$R$8), $R$7, $N$7)), 0)</f>
        <v>0</v>
      </c>
      <c r="P225" s="5">
        <f>IF(CreditAmort1BASE[[#This Row],[Month]]=R$8,N$7,0)</f>
        <v>0</v>
      </c>
      <c r="Q225" s="13">
        <f>IF(AND(L225&gt;='Amort. Sched.-BASE'!$R$8, L225&lt;= ($R$7+$R$8)), Q224+O225, 0)</f>
        <v>0</v>
      </c>
      <c r="R225" s="6" t="str">
        <f>IF(AND(L225&gt;='Amort. Sched.-BASE'!$R$8, L225&lt;= ($R$7+$R$8)), N225/M225, " ")</f>
        <v xml:space="preserve"> </v>
      </c>
      <c r="S225" s="21" t="str">
        <f>IF(AND(L225&gt;='Amort. Sched.-BASE'!$R$8, L225&lt;= ($R$7+$R$8)), O225/M225, " ")</f>
        <v xml:space="preserve"> </v>
      </c>
      <c r="U225" s="22">
        <f t="shared" si="51"/>
        <v>214</v>
      </c>
      <c r="V225" s="23">
        <f>IF(AND(U225&gt;='Amort. Sched.-BASE'!$AA$8, U225&lt;= ($AA$7+$AA$8)), PMT('Amort. Sched.-BASE'!$W$8/12, 'Amort. Sched.-BASE'!$AA$7, 'Amort. Sched.-BASE'!$W$7), 0)</f>
        <v>0</v>
      </c>
      <c r="W225" s="5">
        <f>IF(AND(U225&gt;='Amort. Sched.-BASE'!$AA$8, U225&lt;= ($AA$7+$AA$8)), (IPMT($W$8/12, (U225-$AA$8), $AA$7, $W$7)), 0)</f>
        <v>0</v>
      </c>
      <c r="X225" s="23">
        <f>IF(AND(U225&gt;='Amort. Sched.-BASE'!$AA$8, U225&lt;= ($AA$7+$AA$8)), (PPMT($W$8/12, (U225-$AA$8), $AA$7, $W$7)), 0)</f>
        <v>0</v>
      </c>
      <c r="Y225" s="5">
        <f>IF(CreditAmort2BASE[[#This Row],[Month]]=AA$8,W$7,0)</f>
        <v>0</v>
      </c>
      <c r="Z225" s="13">
        <f>IF(AND(U225&gt;='Amort. Sched.-BASE'!$AA$8, U225&lt;= ($AA$7+$AA$8)), Z224+X225, 0)</f>
        <v>0</v>
      </c>
      <c r="AA225" s="24" t="str">
        <f>IF(AND(U225&gt;='Amort. Sched.-BASE'!$AA$8, U225&lt;= ($AA$7+$AA$8)), W225/V225, " ")</f>
        <v xml:space="preserve"> </v>
      </c>
      <c r="AB225" s="25" t="str">
        <f>IF(AND(U225&gt;='Amort. Sched.-BASE'!$AA$8, U225&lt;= ($AA$7+$AA$8)), X225/V225, " ")</f>
        <v xml:space="preserve"> </v>
      </c>
      <c r="AD225" s="20">
        <f t="shared" si="52"/>
        <v>214</v>
      </c>
      <c r="AE225" s="5">
        <f t="shared" si="53"/>
        <v>0</v>
      </c>
      <c r="AF225" s="5">
        <f t="shared" si="54"/>
        <v>0</v>
      </c>
      <c r="AG225" s="5">
        <f t="shared" si="55"/>
        <v>0</v>
      </c>
      <c r="AH225" s="5">
        <f>IF(CreditAmort3BASE[[#This Row],[Month]]=AJ$8,AF$7,0)</f>
        <v>0</v>
      </c>
      <c r="AI225" s="13">
        <f t="shared" si="56"/>
        <v>0</v>
      </c>
      <c r="AJ225" s="6" t="str">
        <f t="shared" si="57"/>
        <v xml:space="preserve"> </v>
      </c>
      <c r="AK225" s="21" t="str">
        <f t="shared" si="58"/>
        <v xml:space="preserve"> </v>
      </c>
      <c r="AM225" s="20">
        <f t="shared" si="59"/>
        <v>214</v>
      </c>
      <c r="AN225" s="5">
        <f t="shared" si="60"/>
        <v>0</v>
      </c>
      <c r="AO225" s="5">
        <f t="shared" si="61"/>
        <v>0</v>
      </c>
      <c r="AP225" s="5">
        <f t="shared" si="62"/>
        <v>0</v>
      </c>
      <c r="AQ225" s="5">
        <f>IF(CreditAmort4BASE[[#This Row],[Month]]=AS$8,AO$7,0)</f>
        <v>0</v>
      </c>
      <c r="AR225" s="13">
        <f t="shared" si="63"/>
        <v>0</v>
      </c>
      <c r="AS225" s="6" t="str">
        <f t="shared" si="64"/>
        <v xml:space="preserve"> </v>
      </c>
      <c r="AT225" s="21" t="str">
        <f t="shared" si="65"/>
        <v xml:space="preserve"> </v>
      </c>
    </row>
    <row r="226" spans="3:46">
      <c r="C226" s="22">
        <f t="shared" si="17"/>
        <v>215</v>
      </c>
      <c r="D226" s="23">
        <f>IF(AND(C226&gt;='Amort. Sched.-BASE'!$I$8, C226&lt;= ($I$7+$I$8)), PMT('Amort. Sched.-BASE'!$E$8/12, 'Amort. Sched.-BASE'!$I$7, 'Amort. Sched.-BASE'!$E$7), 0)</f>
        <v>-1736.5864935892569</v>
      </c>
      <c r="E226" s="5">
        <f>IF(AND(C226&gt;='Amort. Sched.-BASE'!$I$8, C226&lt;= ($I$7+$I$8)), (IPMT($E$8/12, (C226-$I$8), $I$7, $E$7)), 0)</f>
        <v>-755.90669198624664</v>
      </c>
      <c r="F226" s="23">
        <f>IF(AND(C226&gt;='Amort. Sched.-BASE'!$I$8, C226&lt;= ($I$7+$I$8)), (PPMT($E$8/12, (C226-$I$8), $I$7, $E$7)), 0)</f>
        <v>-980.67980160301033</v>
      </c>
      <c r="G226" s="5">
        <f>IF(MortgageAmortBASE[[#This Row],[Month]]=I$8,E$7,0)</f>
        <v>0</v>
      </c>
      <c r="H226" s="13">
        <f>IF(AND(C226&gt;='Amort. Sched.-BASE'!$I$8, C226&lt;= ($I$7+$I$8)), H225+F226, 0)</f>
        <v>112405.32399633406</v>
      </c>
      <c r="I226" s="24">
        <f>IF(AND(C226&gt;='Amort. Sched.-BASE'!$I$8, C226&lt;= ($I$7+$I$8)), E226/D226, " ")</f>
        <v>0.43528306524134247</v>
      </c>
      <c r="J226" s="25">
        <f>IF(AND(C226&gt;='Amort. Sched.-BASE'!$I$8, C226&lt;= ($I$7+$I$8)), F226/D226, " ")</f>
        <v>0.56471693475865758</v>
      </c>
      <c r="L226" s="20">
        <f t="shared" si="50"/>
        <v>215</v>
      </c>
      <c r="M226" s="5">
        <f>IF(AND(L226&gt;='Amort. Sched.-BASE'!$R$8, L226&lt;= ($R$7+$R$8)), PMT('Amort. Sched.-BASE'!$N$8/12, 'Amort. Sched.-BASE'!$R$7, 'Amort. Sched.-BASE'!$N$7), 0)</f>
        <v>0</v>
      </c>
      <c r="N226" s="5">
        <f>IF(AND(L226&gt;='Amort. Sched.-BASE'!$R$8, L226&lt;= ($R$7+$R$8)), (IPMT($N$8/12, (L226-$R$8), $R$7, $N$7)), 0)</f>
        <v>0</v>
      </c>
      <c r="O226" s="5">
        <f>IF(AND(L226&gt;='Amort. Sched.-BASE'!$R$8, L226&lt;= ($R$7+$R$8)), (PPMT($N$8/12, (L226-$R$8), $R$7, $N$7)), 0)</f>
        <v>0</v>
      </c>
      <c r="P226" s="5">
        <f>IF(CreditAmort1BASE[[#This Row],[Month]]=R$8,N$7,0)</f>
        <v>0</v>
      </c>
      <c r="Q226" s="13">
        <f>IF(AND(L226&gt;='Amort. Sched.-BASE'!$R$8, L226&lt;= ($R$7+$R$8)), Q225+O226, 0)</f>
        <v>0</v>
      </c>
      <c r="R226" s="6" t="str">
        <f>IF(AND(L226&gt;='Amort. Sched.-BASE'!$R$8, L226&lt;= ($R$7+$R$8)), N226/M226, " ")</f>
        <v xml:space="preserve"> </v>
      </c>
      <c r="S226" s="21" t="str">
        <f>IF(AND(L226&gt;='Amort. Sched.-BASE'!$R$8, L226&lt;= ($R$7+$R$8)), O226/M226, " ")</f>
        <v xml:space="preserve"> </v>
      </c>
      <c r="U226" s="22">
        <f t="shared" si="51"/>
        <v>215</v>
      </c>
      <c r="V226" s="23">
        <f>IF(AND(U226&gt;='Amort. Sched.-BASE'!$AA$8, U226&lt;= ($AA$7+$AA$8)), PMT('Amort. Sched.-BASE'!$W$8/12, 'Amort. Sched.-BASE'!$AA$7, 'Amort. Sched.-BASE'!$W$7), 0)</f>
        <v>0</v>
      </c>
      <c r="W226" s="5">
        <f>IF(AND(U226&gt;='Amort. Sched.-BASE'!$AA$8, U226&lt;= ($AA$7+$AA$8)), (IPMT($W$8/12, (U226-$AA$8), $AA$7, $W$7)), 0)</f>
        <v>0</v>
      </c>
      <c r="X226" s="23">
        <f>IF(AND(U226&gt;='Amort. Sched.-BASE'!$AA$8, U226&lt;= ($AA$7+$AA$8)), (PPMT($W$8/12, (U226-$AA$8), $AA$7, $W$7)), 0)</f>
        <v>0</v>
      </c>
      <c r="Y226" s="5">
        <f>IF(CreditAmort2BASE[[#This Row],[Month]]=AA$8,W$7,0)</f>
        <v>0</v>
      </c>
      <c r="Z226" s="13">
        <f>IF(AND(U226&gt;='Amort. Sched.-BASE'!$AA$8, U226&lt;= ($AA$7+$AA$8)), Z225+X226, 0)</f>
        <v>0</v>
      </c>
      <c r="AA226" s="24" t="str">
        <f>IF(AND(U226&gt;='Amort. Sched.-BASE'!$AA$8, U226&lt;= ($AA$7+$AA$8)), W226/V226, " ")</f>
        <v xml:space="preserve"> </v>
      </c>
      <c r="AB226" s="25" t="str">
        <f>IF(AND(U226&gt;='Amort. Sched.-BASE'!$AA$8, U226&lt;= ($AA$7+$AA$8)), X226/V226, " ")</f>
        <v xml:space="preserve"> </v>
      </c>
      <c r="AD226" s="20">
        <f t="shared" si="52"/>
        <v>215</v>
      </c>
      <c r="AE226" s="5">
        <f t="shared" si="53"/>
        <v>0</v>
      </c>
      <c r="AF226" s="5">
        <f t="shared" si="54"/>
        <v>0</v>
      </c>
      <c r="AG226" s="5">
        <f t="shared" si="55"/>
        <v>0</v>
      </c>
      <c r="AH226" s="5">
        <f>IF(CreditAmort3BASE[[#This Row],[Month]]=AJ$8,AF$7,0)</f>
        <v>0</v>
      </c>
      <c r="AI226" s="13">
        <f t="shared" si="56"/>
        <v>0</v>
      </c>
      <c r="AJ226" s="6" t="str">
        <f t="shared" si="57"/>
        <v xml:space="preserve"> </v>
      </c>
      <c r="AK226" s="21" t="str">
        <f t="shared" si="58"/>
        <v xml:space="preserve"> </v>
      </c>
      <c r="AM226" s="20">
        <f t="shared" si="59"/>
        <v>215</v>
      </c>
      <c r="AN226" s="5">
        <f t="shared" si="60"/>
        <v>0</v>
      </c>
      <c r="AO226" s="5">
        <f t="shared" si="61"/>
        <v>0</v>
      </c>
      <c r="AP226" s="5">
        <f t="shared" si="62"/>
        <v>0</v>
      </c>
      <c r="AQ226" s="5">
        <f>IF(CreditAmort4BASE[[#This Row],[Month]]=AS$8,AO$7,0)</f>
        <v>0</v>
      </c>
      <c r="AR226" s="13">
        <f t="shared" si="63"/>
        <v>0</v>
      </c>
      <c r="AS226" s="6" t="str">
        <f t="shared" si="64"/>
        <v xml:space="preserve"> </v>
      </c>
      <c r="AT226" s="21" t="str">
        <f t="shared" si="65"/>
        <v xml:space="preserve"> </v>
      </c>
    </row>
    <row r="227" spans="3:46">
      <c r="C227" s="22">
        <f t="shared" si="17"/>
        <v>216</v>
      </c>
      <c r="D227" s="23">
        <f>IF(AND(C227&gt;='Amort. Sched.-BASE'!$I$8, C227&lt;= ($I$7+$I$8)), PMT('Amort. Sched.-BASE'!$E$8/12, 'Amort. Sched.-BASE'!$I$7, 'Amort. Sched.-BASE'!$E$7), 0)</f>
        <v>-1736.5864935892569</v>
      </c>
      <c r="E227" s="5">
        <f>IF(AND(C227&gt;='Amort. Sched.-BASE'!$I$8, C227&lt;= ($I$7+$I$8)), (IPMT($E$8/12, (C227-$I$8), $I$7, $E$7)), 0)</f>
        <v>-749.36882664222651</v>
      </c>
      <c r="F227" s="23">
        <f>IF(AND(C227&gt;='Amort. Sched.-BASE'!$I$8, C227&lt;= ($I$7+$I$8)), (PPMT($E$8/12, (C227-$I$8), $I$7, $E$7)), 0)</f>
        <v>-987.21766694703047</v>
      </c>
      <c r="G227" s="5">
        <f>IF(MortgageAmortBASE[[#This Row],[Month]]=I$8,E$7,0)</f>
        <v>0</v>
      </c>
      <c r="H227" s="13">
        <f>IF(AND(C227&gt;='Amort. Sched.-BASE'!$I$8, C227&lt;= ($I$7+$I$8)), H226+F227, 0)</f>
        <v>111418.10632938702</v>
      </c>
      <c r="I227" s="24">
        <f>IF(AND(C227&gt;='Amort. Sched.-BASE'!$I$8, C227&lt;= ($I$7+$I$8)), E227/D227, " ")</f>
        <v>0.4315182856762847</v>
      </c>
      <c r="J227" s="25">
        <f>IF(AND(C227&gt;='Amort. Sched.-BASE'!$I$8, C227&lt;= ($I$7+$I$8)), F227/D227, " ")</f>
        <v>0.5684817143237153</v>
      </c>
      <c r="L227" s="20">
        <f t="shared" si="50"/>
        <v>216</v>
      </c>
      <c r="M227" s="5">
        <f>IF(AND(L227&gt;='Amort. Sched.-BASE'!$R$8, L227&lt;= ($R$7+$R$8)), PMT('Amort. Sched.-BASE'!$N$8/12, 'Amort. Sched.-BASE'!$R$7, 'Amort. Sched.-BASE'!$N$7), 0)</f>
        <v>0</v>
      </c>
      <c r="N227" s="5">
        <f>IF(AND(L227&gt;='Amort. Sched.-BASE'!$R$8, L227&lt;= ($R$7+$R$8)), (IPMT($N$8/12, (L227-$R$8), $R$7, $N$7)), 0)</f>
        <v>0</v>
      </c>
      <c r="O227" s="5">
        <f>IF(AND(L227&gt;='Amort. Sched.-BASE'!$R$8, L227&lt;= ($R$7+$R$8)), (PPMT($N$8/12, (L227-$R$8), $R$7, $N$7)), 0)</f>
        <v>0</v>
      </c>
      <c r="P227" s="5">
        <f>IF(CreditAmort1BASE[[#This Row],[Month]]=R$8,N$7,0)</f>
        <v>0</v>
      </c>
      <c r="Q227" s="13">
        <f>IF(AND(L227&gt;='Amort. Sched.-BASE'!$R$8, L227&lt;= ($R$7+$R$8)), Q226+O227, 0)</f>
        <v>0</v>
      </c>
      <c r="R227" s="6" t="str">
        <f>IF(AND(L227&gt;='Amort. Sched.-BASE'!$R$8, L227&lt;= ($R$7+$R$8)), N227/M227, " ")</f>
        <v xml:space="preserve"> </v>
      </c>
      <c r="S227" s="21" t="str">
        <f>IF(AND(L227&gt;='Amort. Sched.-BASE'!$R$8, L227&lt;= ($R$7+$R$8)), O227/M227, " ")</f>
        <v xml:space="preserve"> </v>
      </c>
      <c r="U227" s="22">
        <f t="shared" si="51"/>
        <v>216</v>
      </c>
      <c r="V227" s="23">
        <f>IF(AND(U227&gt;='Amort. Sched.-BASE'!$AA$8, U227&lt;= ($AA$7+$AA$8)), PMT('Amort. Sched.-BASE'!$W$8/12, 'Amort. Sched.-BASE'!$AA$7, 'Amort. Sched.-BASE'!$W$7), 0)</f>
        <v>0</v>
      </c>
      <c r="W227" s="5">
        <f>IF(AND(U227&gt;='Amort. Sched.-BASE'!$AA$8, U227&lt;= ($AA$7+$AA$8)), (IPMT($W$8/12, (U227-$AA$8), $AA$7, $W$7)), 0)</f>
        <v>0</v>
      </c>
      <c r="X227" s="23">
        <f>IF(AND(U227&gt;='Amort. Sched.-BASE'!$AA$8, U227&lt;= ($AA$7+$AA$8)), (PPMT($W$8/12, (U227-$AA$8), $AA$7, $W$7)), 0)</f>
        <v>0</v>
      </c>
      <c r="Y227" s="5">
        <f>IF(CreditAmort2BASE[[#This Row],[Month]]=AA$8,W$7,0)</f>
        <v>0</v>
      </c>
      <c r="Z227" s="13">
        <f>IF(AND(U227&gt;='Amort. Sched.-BASE'!$AA$8, U227&lt;= ($AA$7+$AA$8)), Z226+X227, 0)</f>
        <v>0</v>
      </c>
      <c r="AA227" s="24" t="str">
        <f>IF(AND(U227&gt;='Amort. Sched.-BASE'!$AA$8, U227&lt;= ($AA$7+$AA$8)), W227/V227, " ")</f>
        <v xml:space="preserve"> </v>
      </c>
      <c r="AB227" s="25" t="str">
        <f>IF(AND(U227&gt;='Amort. Sched.-BASE'!$AA$8, U227&lt;= ($AA$7+$AA$8)), X227/V227, " ")</f>
        <v xml:space="preserve"> </v>
      </c>
      <c r="AD227" s="20">
        <f t="shared" si="52"/>
        <v>216</v>
      </c>
      <c r="AE227" s="5">
        <f t="shared" si="53"/>
        <v>0</v>
      </c>
      <c r="AF227" s="5">
        <f t="shared" si="54"/>
        <v>0</v>
      </c>
      <c r="AG227" s="5">
        <f t="shared" si="55"/>
        <v>0</v>
      </c>
      <c r="AH227" s="5">
        <f>IF(CreditAmort3BASE[[#This Row],[Month]]=AJ$8,AF$7,0)</f>
        <v>0</v>
      </c>
      <c r="AI227" s="13">
        <f t="shared" si="56"/>
        <v>0</v>
      </c>
      <c r="AJ227" s="6" t="str">
        <f t="shared" si="57"/>
        <v xml:space="preserve"> </v>
      </c>
      <c r="AK227" s="21" t="str">
        <f t="shared" si="58"/>
        <v xml:space="preserve"> </v>
      </c>
      <c r="AM227" s="20">
        <f t="shared" si="59"/>
        <v>216</v>
      </c>
      <c r="AN227" s="5">
        <f t="shared" si="60"/>
        <v>0</v>
      </c>
      <c r="AO227" s="5">
        <f t="shared" si="61"/>
        <v>0</v>
      </c>
      <c r="AP227" s="5">
        <f t="shared" si="62"/>
        <v>0</v>
      </c>
      <c r="AQ227" s="5">
        <f>IF(CreditAmort4BASE[[#This Row],[Month]]=AS$8,AO$7,0)</f>
        <v>0</v>
      </c>
      <c r="AR227" s="13">
        <f t="shared" si="63"/>
        <v>0</v>
      </c>
      <c r="AS227" s="6" t="str">
        <f t="shared" si="64"/>
        <v xml:space="preserve"> </v>
      </c>
      <c r="AT227" s="21" t="str">
        <f t="shared" si="65"/>
        <v xml:space="preserve"> </v>
      </c>
    </row>
    <row r="228" spans="3:46">
      <c r="C228" s="22">
        <f t="shared" si="17"/>
        <v>217</v>
      </c>
      <c r="D228" s="23">
        <f>IF(AND(C228&gt;='Amort. Sched.-BASE'!$I$8, C228&lt;= ($I$7+$I$8)), PMT('Amort. Sched.-BASE'!$E$8/12, 'Amort. Sched.-BASE'!$I$7, 'Amort. Sched.-BASE'!$E$7), 0)</f>
        <v>-1736.5864935892569</v>
      </c>
      <c r="E228" s="5">
        <f>IF(AND(C228&gt;='Amort. Sched.-BASE'!$I$8, C228&lt;= ($I$7+$I$8)), (IPMT($E$8/12, (C228-$I$8), $I$7, $E$7)), 0)</f>
        <v>-742.78737552924622</v>
      </c>
      <c r="F228" s="23">
        <f>IF(AND(C228&gt;='Amort. Sched.-BASE'!$I$8, C228&lt;= ($I$7+$I$8)), (PPMT($E$8/12, (C228-$I$8), $I$7, $E$7)), 0)</f>
        <v>-993.79911806001064</v>
      </c>
      <c r="G228" s="5">
        <f>IF(MortgageAmortBASE[[#This Row],[Month]]=I$8,E$7,0)</f>
        <v>0</v>
      </c>
      <c r="H228" s="13">
        <f>IF(AND(C228&gt;='Amort. Sched.-BASE'!$I$8, C228&lt;= ($I$7+$I$8)), H227+F228, 0)</f>
        <v>110424.30721132702</v>
      </c>
      <c r="I228" s="24">
        <f>IF(AND(C228&gt;='Amort. Sched.-BASE'!$I$8, C228&lt;= ($I$7+$I$8)), E228/D228, " ")</f>
        <v>0.42772840758079322</v>
      </c>
      <c r="J228" s="25">
        <f>IF(AND(C228&gt;='Amort. Sched.-BASE'!$I$8, C228&lt;= ($I$7+$I$8)), F228/D228, " ")</f>
        <v>0.57227159241920678</v>
      </c>
      <c r="L228" s="20">
        <f t="shared" si="50"/>
        <v>217</v>
      </c>
      <c r="M228" s="5">
        <f>IF(AND(L228&gt;='Amort. Sched.-BASE'!$R$8, L228&lt;= ($R$7+$R$8)), PMT('Amort. Sched.-BASE'!$N$8/12, 'Amort. Sched.-BASE'!$R$7, 'Amort. Sched.-BASE'!$N$7), 0)</f>
        <v>0</v>
      </c>
      <c r="N228" s="5">
        <f>IF(AND(L228&gt;='Amort. Sched.-BASE'!$R$8, L228&lt;= ($R$7+$R$8)), (IPMT($N$8/12, (L228-$R$8), $R$7, $N$7)), 0)</f>
        <v>0</v>
      </c>
      <c r="O228" s="5">
        <f>IF(AND(L228&gt;='Amort. Sched.-BASE'!$R$8, L228&lt;= ($R$7+$R$8)), (PPMT($N$8/12, (L228-$R$8), $R$7, $N$7)), 0)</f>
        <v>0</v>
      </c>
      <c r="P228" s="5">
        <f>IF(CreditAmort1BASE[[#This Row],[Month]]=R$8,N$7,0)</f>
        <v>0</v>
      </c>
      <c r="Q228" s="13">
        <f>IF(AND(L228&gt;='Amort. Sched.-BASE'!$R$8, L228&lt;= ($R$7+$R$8)), Q227+O228, 0)</f>
        <v>0</v>
      </c>
      <c r="R228" s="6" t="str">
        <f>IF(AND(L228&gt;='Amort. Sched.-BASE'!$R$8, L228&lt;= ($R$7+$R$8)), N228/M228, " ")</f>
        <v xml:space="preserve"> </v>
      </c>
      <c r="S228" s="21" t="str">
        <f>IF(AND(L228&gt;='Amort. Sched.-BASE'!$R$8, L228&lt;= ($R$7+$R$8)), O228/M228, " ")</f>
        <v xml:space="preserve"> </v>
      </c>
      <c r="U228" s="22">
        <f t="shared" si="51"/>
        <v>217</v>
      </c>
      <c r="V228" s="23">
        <f>IF(AND(U228&gt;='Amort. Sched.-BASE'!$AA$8, U228&lt;= ($AA$7+$AA$8)), PMT('Amort. Sched.-BASE'!$W$8/12, 'Amort. Sched.-BASE'!$AA$7, 'Amort. Sched.-BASE'!$W$7), 0)</f>
        <v>0</v>
      </c>
      <c r="W228" s="5">
        <f>IF(AND(U228&gt;='Amort. Sched.-BASE'!$AA$8, U228&lt;= ($AA$7+$AA$8)), (IPMT($W$8/12, (U228-$AA$8), $AA$7, $W$7)), 0)</f>
        <v>0</v>
      </c>
      <c r="X228" s="23">
        <f>IF(AND(U228&gt;='Amort. Sched.-BASE'!$AA$8, U228&lt;= ($AA$7+$AA$8)), (PPMT($W$8/12, (U228-$AA$8), $AA$7, $W$7)), 0)</f>
        <v>0</v>
      </c>
      <c r="Y228" s="5">
        <f>IF(CreditAmort2BASE[[#This Row],[Month]]=AA$8,W$7,0)</f>
        <v>0</v>
      </c>
      <c r="Z228" s="13">
        <f>IF(AND(U228&gt;='Amort. Sched.-BASE'!$AA$8, U228&lt;= ($AA$7+$AA$8)), Z227+X228, 0)</f>
        <v>0</v>
      </c>
      <c r="AA228" s="24" t="str">
        <f>IF(AND(U228&gt;='Amort. Sched.-BASE'!$AA$8, U228&lt;= ($AA$7+$AA$8)), W228/V228, " ")</f>
        <v xml:space="preserve"> </v>
      </c>
      <c r="AB228" s="25" t="str">
        <f>IF(AND(U228&gt;='Amort. Sched.-BASE'!$AA$8, U228&lt;= ($AA$7+$AA$8)), X228/V228, " ")</f>
        <v xml:space="preserve"> </v>
      </c>
      <c r="AD228" s="20">
        <f t="shared" si="52"/>
        <v>217</v>
      </c>
      <c r="AE228" s="5">
        <f t="shared" si="53"/>
        <v>0</v>
      </c>
      <c r="AF228" s="5">
        <f t="shared" si="54"/>
        <v>0</v>
      </c>
      <c r="AG228" s="5">
        <f t="shared" si="55"/>
        <v>0</v>
      </c>
      <c r="AH228" s="5">
        <f>IF(CreditAmort3BASE[[#This Row],[Month]]=AJ$8,AF$7,0)</f>
        <v>0</v>
      </c>
      <c r="AI228" s="13">
        <f t="shared" si="56"/>
        <v>0</v>
      </c>
      <c r="AJ228" s="6" t="str">
        <f t="shared" si="57"/>
        <v xml:space="preserve"> </v>
      </c>
      <c r="AK228" s="21" t="str">
        <f t="shared" si="58"/>
        <v xml:space="preserve"> </v>
      </c>
      <c r="AM228" s="20">
        <f t="shared" si="59"/>
        <v>217</v>
      </c>
      <c r="AN228" s="5">
        <f t="shared" si="60"/>
        <v>0</v>
      </c>
      <c r="AO228" s="5">
        <f t="shared" si="61"/>
        <v>0</v>
      </c>
      <c r="AP228" s="5">
        <f t="shared" si="62"/>
        <v>0</v>
      </c>
      <c r="AQ228" s="5">
        <f>IF(CreditAmort4BASE[[#This Row],[Month]]=AS$8,AO$7,0)</f>
        <v>0</v>
      </c>
      <c r="AR228" s="13">
        <f t="shared" si="63"/>
        <v>0</v>
      </c>
      <c r="AS228" s="6" t="str">
        <f t="shared" si="64"/>
        <v xml:space="preserve"> </v>
      </c>
      <c r="AT228" s="21" t="str">
        <f t="shared" si="65"/>
        <v xml:space="preserve"> </v>
      </c>
    </row>
    <row r="229" spans="3:46">
      <c r="C229" s="22">
        <f t="shared" si="17"/>
        <v>218</v>
      </c>
      <c r="D229" s="23">
        <f>IF(AND(C229&gt;='Amort. Sched.-BASE'!$I$8, C229&lt;= ($I$7+$I$8)), PMT('Amort. Sched.-BASE'!$E$8/12, 'Amort. Sched.-BASE'!$I$7, 'Amort. Sched.-BASE'!$E$7), 0)</f>
        <v>-1736.5864935892569</v>
      </c>
      <c r="E229" s="5">
        <f>IF(AND(C229&gt;='Amort. Sched.-BASE'!$I$8, C229&lt;= ($I$7+$I$8)), (IPMT($E$8/12, (C229-$I$8), $I$7, $E$7)), 0)</f>
        <v>-736.16204807551287</v>
      </c>
      <c r="F229" s="23">
        <f>IF(AND(C229&gt;='Amort. Sched.-BASE'!$I$8, C229&lt;= ($I$7+$I$8)), (PPMT($E$8/12, (C229-$I$8), $I$7, $E$7)), 0)</f>
        <v>-1000.424445513744</v>
      </c>
      <c r="G229" s="5">
        <f>IF(MortgageAmortBASE[[#This Row],[Month]]=I$8,E$7,0)</f>
        <v>0</v>
      </c>
      <c r="H229" s="13">
        <f>IF(AND(C229&gt;='Amort. Sched.-BASE'!$I$8, C229&lt;= ($I$7+$I$8)), H228+F229, 0)</f>
        <v>109423.88276581328</v>
      </c>
      <c r="I229" s="24">
        <f>IF(AND(C229&gt;='Amort. Sched.-BASE'!$I$8, C229&lt;= ($I$7+$I$8)), E229/D229, " ")</f>
        <v>0.42391326363133186</v>
      </c>
      <c r="J229" s="25">
        <f>IF(AND(C229&gt;='Amort. Sched.-BASE'!$I$8, C229&lt;= ($I$7+$I$8)), F229/D229, " ")</f>
        <v>0.57608673636866814</v>
      </c>
      <c r="L229" s="20">
        <f t="shared" si="50"/>
        <v>218</v>
      </c>
      <c r="M229" s="5">
        <f>IF(AND(L229&gt;='Amort. Sched.-BASE'!$R$8, L229&lt;= ($R$7+$R$8)), PMT('Amort. Sched.-BASE'!$N$8/12, 'Amort. Sched.-BASE'!$R$7, 'Amort. Sched.-BASE'!$N$7), 0)</f>
        <v>0</v>
      </c>
      <c r="N229" s="5">
        <f>IF(AND(L229&gt;='Amort. Sched.-BASE'!$R$8, L229&lt;= ($R$7+$R$8)), (IPMT($N$8/12, (L229-$R$8), $R$7, $N$7)), 0)</f>
        <v>0</v>
      </c>
      <c r="O229" s="5">
        <f>IF(AND(L229&gt;='Amort. Sched.-BASE'!$R$8, L229&lt;= ($R$7+$R$8)), (PPMT($N$8/12, (L229-$R$8), $R$7, $N$7)), 0)</f>
        <v>0</v>
      </c>
      <c r="P229" s="5">
        <f>IF(CreditAmort1BASE[[#This Row],[Month]]=R$8,N$7,0)</f>
        <v>0</v>
      </c>
      <c r="Q229" s="13">
        <f>IF(AND(L229&gt;='Amort. Sched.-BASE'!$R$8, L229&lt;= ($R$7+$R$8)), Q228+O229, 0)</f>
        <v>0</v>
      </c>
      <c r="R229" s="6" t="str">
        <f>IF(AND(L229&gt;='Amort. Sched.-BASE'!$R$8, L229&lt;= ($R$7+$R$8)), N229/M229, " ")</f>
        <v xml:space="preserve"> </v>
      </c>
      <c r="S229" s="21" t="str">
        <f>IF(AND(L229&gt;='Amort. Sched.-BASE'!$R$8, L229&lt;= ($R$7+$R$8)), O229/M229, " ")</f>
        <v xml:space="preserve"> </v>
      </c>
      <c r="U229" s="22">
        <f t="shared" si="51"/>
        <v>218</v>
      </c>
      <c r="V229" s="23">
        <f>IF(AND(U229&gt;='Amort. Sched.-BASE'!$AA$8, U229&lt;= ($AA$7+$AA$8)), PMT('Amort. Sched.-BASE'!$W$8/12, 'Amort. Sched.-BASE'!$AA$7, 'Amort. Sched.-BASE'!$W$7), 0)</f>
        <v>0</v>
      </c>
      <c r="W229" s="5">
        <f>IF(AND(U229&gt;='Amort. Sched.-BASE'!$AA$8, U229&lt;= ($AA$7+$AA$8)), (IPMT($W$8/12, (U229-$AA$8), $AA$7, $W$7)), 0)</f>
        <v>0</v>
      </c>
      <c r="X229" s="23">
        <f>IF(AND(U229&gt;='Amort. Sched.-BASE'!$AA$8, U229&lt;= ($AA$7+$AA$8)), (PPMT($W$8/12, (U229-$AA$8), $AA$7, $W$7)), 0)</f>
        <v>0</v>
      </c>
      <c r="Y229" s="5">
        <f>IF(CreditAmort2BASE[[#This Row],[Month]]=AA$8,W$7,0)</f>
        <v>0</v>
      </c>
      <c r="Z229" s="13">
        <f>IF(AND(U229&gt;='Amort. Sched.-BASE'!$AA$8, U229&lt;= ($AA$7+$AA$8)), Z228+X229, 0)</f>
        <v>0</v>
      </c>
      <c r="AA229" s="24" t="str">
        <f>IF(AND(U229&gt;='Amort. Sched.-BASE'!$AA$8, U229&lt;= ($AA$7+$AA$8)), W229/V229, " ")</f>
        <v xml:space="preserve"> </v>
      </c>
      <c r="AB229" s="25" t="str">
        <f>IF(AND(U229&gt;='Amort. Sched.-BASE'!$AA$8, U229&lt;= ($AA$7+$AA$8)), X229/V229, " ")</f>
        <v xml:space="preserve"> </v>
      </c>
      <c r="AD229" s="20">
        <f t="shared" si="52"/>
        <v>218</v>
      </c>
      <c r="AE229" s="5">
        <f t="shared" si="53"/>
        <v>0</v>
      </c>
      <c r="AF229" s="5">
        <f t="shared" si="54"/>
        <v>0</v>
      </c>
      <c r="AG229" s="5">
        <f t="shared" si="55"/>
        <v>0</v>
      </c>
      <c r="AH229" s="5">
        <f>IF(CreditAmort3BASE[[#This Row],[Month]]=AJ$8,AF$7,0)</f>
        <v>0</v>
      </c>
      <c r="AI229" s="13">
        <f t="shared" si="56"/>
        <v>0</v>
      </c>
      <c r="AJ229" s="6" t="str">
        <f t="shared" si="57"/>
        <v xml:space="preserve"> </v>
      </c>
      <c r="AK229" s="21" t="str">
        <f t="shared" si="58"/>
        <v xml:space="preserve"> </v>
      </c>
      <c r="AM229" s="20">
        <f t="shared" si="59"/>
        <v>218</v>
      </c>
      <c r="AN229" s="5">
        <f t="shared" si="60"/>
        <v>0</v>
      </c>
      <c r="AO229" s="5">
        <f t="shared" si="61"/>
        <v>0</v>
      </c>
      <c r="AP229" s="5">
        <f t="shared" si="62"/>
        <v>0</v>
      </c>
      <c r="AQ229" s="5">
        <f>IF(CreditAmort4BASE[[#This Row],[Month]]=AS$8,AO$7,0)</f>
        <v>0</v>
      </c>
      <c r="AR229" s="13">
        <f t="shared" si="63"/>
        <v>0</v>
      </c>
      <c r="AS229" s="6" t="str">
        <f t="shared" si="64"/>
        <v xml:space="preserve"> </v>
      </c>
      <c r="AT229" s="21" t="str">
        <f t="shared" si="65"/>
        <v xml:space="preserve"> </v>
      </c>
    </row>
    <row r="230" spans="3:46">
      <c r="C230" s="22">
        <f t="shared" si="17"/>
        <v>219</v>
      </c>
      <c r="D230" s="23">
        <f>IF(AND(C230&gt;='Amort. Sched.-BASE'!$I$8, C230&lt;= ($I$7+$I$8)), PMT('Amort. Sched.-BASE'!$E$8/12, 'Amort. Sched.-BASE'!$I$7, 'Amort. Sched.-BASE'!$E$7), 0)</f>
        <v>-1736.5864935892569</v>
      </c>
      <c r="E230" s="5">
        <f>IF(AND(C230&gt;='Amort. Sched.-BASE'!$I$8, C230&lt;= ($I$7+$I$8)), (IPMT($E$8/12, (C230-$I$8), $I$7, $E$7)), 0)</f>
        <v>-729.49255177208795</v>
      </c>
      <c r="F230" s="23">
        <f>IF(AND(C230&gt;='Amort. Sched.-BASE'!$I$8, C230&lt;= ($I$7+$I$8)), (PPMT($E$8/12, (C230-$I$8), $I$7, $E$7)), 0)</f>
        <v>-1007.093941817169</v>
      </c>
      <c r="G230" s="5">
        <f>IF(MortgageAmortBASE[[#This Row],[Month]]=I$8,E$7,0)</f>
        <v>0</v>
      </c>
      <c r="H230" s="13">
        <f>IF(AND(C230&gt;='Amort. Sched.-BASE'!$I$8, C230&lt;= ($I$7+$I$8)), H229+F230, 0)</f>
        <v>108416.78882399612</v>
      </c>
      <c r="I230" s="24">
        <f>IF(AND(C230&gt;='Amort. Sched.-BASE'!$I$8, C230&lt;= ($I$7+$I$8)), E230/D230, " ")</f>
        <v>0.4200726853888741</v>
      </c>
      <c r="J230" s="25">
        <f>IF(AND(C230&gt;='Amort. Sched.-BASE'!$I$8, C230&lt;= ($I$7+$I$8)), F230/D230, " ")</f>
        <v>0.5799273146111259</v>
      </c>
      <c r="L230" s="20">
        <f t="shared" si="50"/>
        <v>219</v>
      </c>
      <c r="M230" s="5">
        <f>IF(AND(L230&gt;='Amort. Sched.-BASE'!$R$8, L230&lt;= ($R$7+$R$8)), PMT('Amort. Sched.-BASE'!$N$8/12, 'Amort. Sched.-BASE'!$R$7, 'Amort. Sched.-BASE'!$N$7), 0)</f>
        <v>0</v>
      </c>
      <c r="N230" s="5">
        <f>IF(AND(L230&gt;='Amort. Sched.-BASE'!$R$8, L230&lt;= ($R$7+$R$8)), (IPMT($N$8/12, (L230-$R$8), $R$7, $N$7)), 0)</f>
        <v>0</v>
      </c>
      <c r="O230" s="5">
        <f>IF(AND(L230&gt;='Amort. Sched.-BASE'!$R$8, L230&lt;= ($R$7+$R$8)), (PPMT($N$8/12, (L230-$R$8), $R$7, $N$7)), 0)</f>
        <v>0</v>
      </c>
      <c r="P230" s="5">
        <f>IF(CreditAmort1BASE[[#This Row],[Month]]=R$8,N$7,0)</f>
        <v>0</v>
      </c>
      <c r="Q230" s="13">
        <f>IF(AND(L230&gt;='Amort. Sched.-BASE'!$R$8, L230&lt;= ($R$7+$R$8)), Q229+O230, 0)</f>
        <v>0</v>
      </c>
      <c r="R230" s="6" t="str">
        <f>IF(AND(L230&gt;='Amort. Sched.-BASE'!$R$8, L230&lt;= ($R$7+$R$8)), N230/M230, " ")</f>
        <v xml:space="preserve"> </v>
      </c>
      <c r="S230" s="21" t="str">
        <f>IF(AND(L230&gt;='Amort. Sched.-BASE'!$R$8, L230&lt;= ($R$7+$R$8)), O230/M230, " ")</f>
        <v xml:space="preserve"> </v>
      </c>
      <c r="U230" s="22">
        <f t="shared" si="51"/>
        <v>219</v>
      </c>
      <c r="V230" s="23">
        <f>IF(AND(U230&gt;='Amort. Sched.-BASE'!$AA$8, U230&lt;= ($AA$7+$AA$8)), PMT('Amort. Sched.-BASE'!$W$8/12, 'Amort. Sched.-BASE'!$AA$7, 'Amort. Sched.-BASE'!$W$7), 0)</f>
        <v>0</v>
      </c>
      <c r="W230" s="5">
        <f>IF(AND(U230&gt;='Amort. Sched.-BASE'!$AA$8, U230&lt;= ($AA$7+$AA$8)), (IPMT($W$8/12, (U230-$AA$8), $AA$7, $W$7)), 0)</f>
        <v>0</v>
      </c>
      <c r="X230" s="23">
        <f>IF(AND(U230&gt;='Amort. Sched.-BASE'!$AA$8, U230&lt;= ($AA$7+$AA$8)), (PPMT($W$8/12, (U230-$AA$8), $AA$7, $W$7)), 0)</f>
        <v>0</v>
      </c>
      <c r="Y230" s="5">
        <f>IF(CreditAmort2BASE[[#This Row],[Month]]=AA$8,W$7,0)</f>
        <v>0</v>
      </c>
      <c r="Z230" s="13">
        <f>IF(AND(U230&gt;='Amort. Sched.-BASE'!$AA$8, U230&lt;= ($AA$7+$AA$8)), Z229+X230, 0)</f>
        <v>0</v>
      </c>
      <c r="AA230" s="24" t="str">
        <f>IF(AND(U230&gt;='Amort. Sched.-BASE'!$AA$8, U230&lt;= ($AA$7+$AA$8)), W230/V230, " ")</f>
        <v xml:space="preserve"> </v>
      </c>
      <c r="AB230" s="25" t="str">
        <f>IF(AND(U230&gt;='Amort. Sched.-BASE'!$AA$8, U230&lt;= ($AA$7+$AA$8)), X230/V230, " ")</f>
        <v xml:space="preserve"> </v>
      </c>
      <c r="AD230" s="20">
        <f t="shared" si="52"/>
        <v>219</v>
      </c>
      <c r="AE230" s="5">
        <f t="shared" si="53"/>
        <v>0</v>
      </c>
      <c r="AF230" s="5">
        <f t="shared" si="54"/>
        <v>0</v>
      </c>
      <c r="AG230" s="5">
        <f t="shared" si="55"/>
        <v>0</v>
      </c>
      <c r="AH230" s="5">
        <f>IF(CreditAmort3BASE[[#This Row],[Month]]=AJ$8,AF$7,0)</f>
        <v>0</v>
      </c>
      <c r="AI230" s="13">
        <f t="shared" si="56"/>
        <v>0</v>
      </c>
      <c r="AJ230" s="6" t="str">
        <f t="shared" si="57"/>
        <v xml:space="preserve"> </v>
      </c>
      <c r="AK230" s="21" t="str">
        <f t="shared" si="58"/>
        <v xml:space="preserve"> </v>
      </c>
      <c r="AM230" s="20">
        <f t="shared" si="59"/>
        <v>219</v>
      </c>
      <c r="AN230" s="5">
        <f t="shared" si="60"/>
        <v>0</v>
      </c>
      <c r="AO230" s="5">
        <f t="shared" si="61"/>
        <v>0</v>
      </c>
      <c r="AP230" s="5">
        <f t="shared" si="62"/>
        <v>0</v>
      </c>
      <c r="AQ230" s="5">
        <f>IF(CreditAmort4BASE[[#This Row],[Month]]=AS$8,AO$7,0)</f>
        <v>0</v>
      </c>
      <c r="AR230" s="13">
        <f t="shared" si="63"/>
        <v>0</v>
      </c>
      <c r="AS230" s="6" t="str">
        <f t="shared" si="64"/>
        <v xml:space="preserve"> </v>
      </c>
      <c r="AT230" s="21" t="str">
        <f t="shared" si="65"/>
        <v xml:space="preserve"> </v>
      </c>
    </row>
    <row r="231" spans="3:46">
      <c r="C231" s="22">
        <f t="shared" si="17"/>
        <v>220</v>
      </c>
      <c r="D231" s="23">
        <f>IF(AND(C231&gt;='Amort. Sched.-BASE'!$I$8, C231&lt;= ($I$7+$I$8)), PMT('Amort. Sched.-BASE'!$E$8/12, 'Amort. Sched.-BASE'!$I$7, 'Amort. Sched.-BASE'!$E$7), 0)</f>
        <v>-1736.5864935892569</v>
      </c>
      <c r="E231" s="5">
        <f>IF(AND(C231&gt;='Amort. Sched.-BASE'!$I$8, C231&lt;= ($I$7+$I$8)), (IPMT($E$8/12, (C231-$I$8), $I$7, $E$7)), 0)</f>
        <v>-722.77859215997341</v>
      </c>
      <c r="F231" s="23">
        <f>IF(AND(C231&gt;='Amort. Sched.-BASE'!$I$8, C231&lt;= ($I$7+$I$8)), (PPMT($E$8/12, (C231-$I$8), $I$7, $E$7)), 0)</f>
        <v>-1013.8079014292836</v>
      </c>
      <c r="G231" s="5">
        <f>IF(MortgageAmortBASE[[#This Row],[Month]]=I$8,E$7,0)</f>
        <v>0</v>
      </c>
      <c r="H231" s="13">
        <f>IF(AND(C231&gt;='Amort. Sched.-BASE'!$I$8, C231&lt;= ($I$7+$I$8)), H230+F231, 0)</f>
        <v>107402.98092256683</v>
      </c>
      <c r="I231" s="24">
        <f>IF(AND(C231&gt;='Amort. Sched.-BASE'!$I$8, C231&lt;= ($I$7+$I$8)), E231/D231, " ")</f>
        <v>0.41620650329146658</v>
      </c>
      <c r="J231" s="25">
        <f>IF(AND(C231&gt;='Amort. Sched.-BASE'!$I$8, C231&lt;= ($I$7+$I$8)), F231/D231, " ")</f>
        <v>0.58379349670853353</v>
      </c>
      <c r="L231" s="20">
        <f t="shared" si="50"/>
        <v>220</v>
      </c>
      <c r="M231" s="5">
        <f>IF(AND(L231&gt;='Amort. Sched.-BASE'!$R$8, L231&lt;= ($R$7+$R$8)), PMT('Amort. Sched.-BASE'!$N$8/12, 'Amort. Sched.-BASE'!$R$7, 'Amort. Sched.-BASE'!$N$7), 0)</f>
        <v>0</v>
      </c>
      <c r="N231" s="5">
        <f>IF(AND(L231&gt;='Amort. Sched.-BASE'!$R$8, L231&lt;= ($R$7+$R$8)), (IPMT($N$8/12, (L231-$R$8), $R$7, $N$7)), 0)</f>
        <v>0</v>
      </c>
      <c r="O231" s="5">
        <f>IF(AND(L231&gt;='Amort. Sched.-BASE'!$R$8, L231&lt;= ($R$7+$R$8)), (PPMT($N$8/12, (L231-$R$8), $R$7, $N$7)), 0)</f>
        <v>0</v>
      </c>
      <c r="P231" s="5">
        <f>IF(CreditAmort1BASE[[#This Row],[Month]]=R$8,N$7,0)</f>
        <v>0</v>
      </c>
      <c r="Q231" s="13">
        <f>IF(AND(L231&gt;='Amort. Sched.-BASE'!$R$8, L231&lt;= ($R$7+$R$8)), Q230+O231, 0)</f>
        <v>0</v>
      </c>
      <c r="R231" s="6" t="str">
        <f>IF(AND(L231&gt;='Amort. Sched.-BASE'!$R$8, L231&lt;= ($R$7+$R$8)), N231/M231, " ")</f>
        <v xml:space="preserve"> </v>
      </c>
      <c r="S231" s="21" t="str">
        <f>IF(AND(L231&gt;='Amort. Sched.-BASE'!$R$8, L231&lt;= ($R$7+$R$8)), O231/M231, " ")</f>
        <v xml:space="preserve"> </v>
      </c>
      <c r="U231" s="22">
        <f t="shared" si="51"/>
        <v>220</v>
      </c>
      <c r="V231" s="23">
        <f>IF(AND(U231&gt;='Amort. Sched.-BASE'!$AA$8, U231&lt;= ($AA$7+$AA$8)), PMT('Amort. Sched.-BASE'!$W$8/12, 'Amort. Sched.-BASE'!$AA$7, 'Amort. Sched.-BASE'!$W$7), 0)</f>
        <v>0</v>
      </c>
      <c r="W231" s="5">
        <f>IF(AND(U231&gt;='Amort. Sched.-BASE'!$AA$8, U231&lt;= ($AA$7+$AA$8)), (IPMT($W$8/12, (U231-$AA$8), $AA$7, $W$7)), 0)</f>
        <v>0</v>
      </c>
      <c r="X231" s="23">
        <f>IF(AND(U231&gt;='Amort. Sched.-BASE'!$AA$8, U231&lt;= ($AA$7+$AA$8)), (PPMT($W$8/12, (U231-$AA$8), $AA$7, $W$7)), 0)</f>
        <v>0</v>
      </c>
      <c r="Y231" s="5">
        <f>IF(CreditAmort2BASE[[#This Row],[Month]]=AA$8,W$7,0)</f>
        <v>0</v>
      </c>
      <c r="Z231" s="13">
        <f>IF(AND(U231&gt;='Amort. Sched.-BASE'!$AA$8, U231&lt;= ($AA$7+$AA$8)), Z230+X231, 0)</f>
        <v>0</v>
      </c>
      <c r="AA231" s="24" t="str">
        <f>IF(AND(U231&gt;='Amort. Sched.-BASE'!$AA$8, U231&lt;= ($AA$7+$AA$8)), W231/V231, " ")</f>
        <v xml:space="preserve"> </v>
      </c>
      <c r="AB231" s="25" t="str">
        <f>IF(AND(U231&gt;='Amort. Sched.-BASE'!$AA$8, U231&lt;= ($AA$7+$AA$8)), X231/V231, " ")</f>
        <v xml:space="preserve"> </v>
      </c>
      <c r="AD231" s="20">
        <f t="shared" si="52"/>
        <v>220</v>
      </c>
      <c r="AE231" s="5">
        <f t="shared" si="53"/>
        <v>0</v>
      </c>
      <c r="AF231" s="5">
        <f t="shared" si="54"/>
        <v>0</v>
      </c>
      <c r="AG231" s="5">
        <f t="shared" si="55"/>
        <v>0</v>
      </c>
      <c r="AH231" s="5">
        <f>IF(CreditAmort3BASE[[#This Row],[Month]]=AJ$8,AF$7,0)</f>
        <v>0</v>
      </c>
      <c r="AI231" s="13">
        <f t="shared" si="56"/>
        <v>0</v>
      </c>
      <c r="AJ231" s="6" t="str">
        <f t="shared" si="57"/>
        <v xml:space="preserve"> </v>
      </c>
      <c r="AK231" s="21" t="str">
        <f t="shared" si="58"/>
        <v xml:space="preserve"> </v>
      </c>
      <c r="AM231" s="20">
        <f t="shared" si="59"/>
        <v>220</v>
      </c>
      <c r="AN231" s="5">
        <f t="shared" si="60"/>
        <v>0</v>
      </c>
      <c r="AO231" s="5">
        <f t="shared" si="61"/>
        <v>0</v>
      </c>
      <c r="AP231" s="5">
        <f t="shared" si="62"/>
        <v>0</v>
      </c>
      <c r="AQ231" s="5">
        <f>IF(CreditAmort4BASE[[#This Row],[Month]]=AS$8,AO$7,0)</f>
        <v>0</v>
      </c>
      <c r="AR231" s="13">
        <f t="shared" si="63"/>
        <v>0</v>
      </c>
      <c r="AS231" s="6" t="str">
        <f t="shared" si="64"/>
        <v xml:space="preserve"> </v>
      </c>
      <c r="AT231" s="21" t="str">
        <f t="shared" si="65"/>
        <v xml:space="preserve"> </v>
      </c>
    </row>
    <row r="232" spans="3:46">
      <c r="C232" s="22">
        <f t="shared" si="17"/>
        <v>221</v>
      </c>
      <c r="D232" s="23">
        <f>IF(AND(C232&gt;='Amort. Sched.-BASE'!$I$8, C232&lt;= ($I$7+$I$8)), PMT('Amort. Sched.-BASE'!$E$8/12, 'Amort. Sched.-BASE'!$I$7, 'Amort. Sched.-BASE'!$E$7), 0)</f>
        <v>-1736.5864935892569</v>
      </c>
      <c r="E232" s="5">
        <f>IF(AND(C232&gt;='Amort. Sched.-BASE'!$I$8, C232&lt;= ($I$7+$I$8)), (IPMT($E$8/12, (C232-$I$8), $I$7, $E$7)), 0)</f>
        <v>-716.01987281711149</v>
      </c>
      <c r="F232" s="23">
        <f>IF(AND(C232&gt;='Amort. Sched.-BASE'!$I$8, C232&lt;= ($I$7+$I$8)), (PPMT($E$8/12, (C232-$I$8), $I$7, $E$7)), 0)</f>
        <v>-1020.5666207721454</v>
      </c>
      <c r="G232" s="5">
        <f>IF(MortgageAmortBASE[[#This Row],[Month]]=I$8,E$7,0)</f>
        <v>0</v>
      </c>
      <c r="H232" s="13">
        <f>IF(AND(C232&gt;='Amort. Sched.-BASE'!$I$8, C232&lt;= ($I$7+$I$8)), H231+F232, 0)</f>
        <v>106382.41430179468</v>
      </c>
      <c r="I232" s="24">
        <f>IF(AND(C232&gt;='Amort. Sched.-BASE'!$I$8, C232&lt;= ($I$7+$I$8)), E232/D232, " ")</f>
        <v>0.412314546646743</v>
      </c>
      <c r="J232" s="25">
        <f>IF(AND(C232&gt;='Amort. Sched.-BASE'!$I$8, C232&lt;= ($I$7+$I$8)), F232/D232, " ")</f>
        <v>0.58768545335325706</v>
      </c>
      <c r="L232" s="20">
        <f t="shared" si="50"/>
        <v>221</v>
      </c>
      <c r="M232" s="5">
        <f>IF(AND(L232&gt;='Amort. Sched.-BASE'!$R$8, L232&lt;= ($R$7+$R$8)), PMT('Amort. Sched.-BASE'!$N$8/12, 'Amort. Sched.-BASE'!$R$7, 'Amort. Sched.-BASE'!$N$7), 0)</f>
        <v>0</v>
      </c>
      <c r="N232" s="5">
        <f>IF(AND(L232&gt;='Amort. Sched.-BASE'!$R$8, L232&lt;= ($R$7+$R$8)), (IPMT($N$8/12, (L232-$R$8), $R$7, $N$7)), 0)</f>
        <v>0</v>
      </c>
      <c r="O232" s="5">
        <f>IF(AND(L232&gt;='Amort. Sched.-BASE'!$R$8, L232&lt;= ($R$7+$R$8)), (PPMT($N$8/12, (L232-$R$8), $R$7, $N$7)), 0)</f>
        <v>0</v>
      </c>
      <c r="P232" s="5">
        <f>IF(CreditAmort1BASE[[#This Row],[Month]]=R$8,N$7,0)</f>
        <v>0</v>
      </c>
      <c r="Q232" s="13">
        <f>IF(AND(L232&gt;='Amort. Sched.-BASE'!$R$8, L232&lt;= ($R$7+$R$8)), Q231+O232, 0)</f>
        <v>0</v>
      </c>
      <c r="R232" s="6" t="str">
        <f>IF(AND(L232&gt;='Amort. Sched.-BASE'!$R$8, L232&lt;= ($R$7+$R$8)), N232/M232, " ")</f>
        <v xml:space="preserve"> </v>
      </c>
      <c r="S232" s="21" t="str">
        <f>IF(AND(L232&gt;='Amort. Sched.-BASE'!$R$8, L232&lt;= ($R$7+$R$8)), O232/M232, " ")</f>
        <v xml:space="preserve"> </v>
      </c>
      <c r="U232" s="22">
        <f t="shared" si="51"/>
        <v>221</v>
      </c>
      <c r="V232" s="23">
        <f>IF(AND(U232&gt;='Amort. Sched.-BASE'!$AA$8, U232&lt;= ($AA$7+$AA$8)), PMT('Amort. Sched.-BASE'!$W$8/12, 'Amort. Sched.-BASE'!$AA$7, 'Amort. Sched.-BASE'!$W$7), 0)</f>
        <v>0</v>
      </c>
      <c r="W232" s="5">
        <f>IF(AND(U232&gt;='Amort. Sched.-BASE'!$AA$8, U232&lt;= ($AA$7+$AA$8)), (IPMT($W$8/12, (U232-$AA$8), $AA$7, $W$7)), 0)</f>
        <v>0</v>
      </c>
      <c r="X232" s="23">
        <f>IF(AND(U232&gt;='Amort. Sched.-BASE'!$AA$8, U232&lt;= ($AA$7+$AA$8)), (PPMT($W$8/12, (U232-$AA$8), $AA$7, $W$7)), 0)</f>
        <v>0</v>
      </c>
      <c r="Y232" s="5">
        <f>IF(CreditAmort2BASE[[#This Row],[Month]]=AA$8,W$7,0)</f>
        <v>0</v>
      </c>
      <c r="Z232" s="13">
        <f>IF(AND(U232&gt;='Amort. Sched.-BASE'!$AA$8, U232&lt;= ($AA$7+$AA$8)), Z231+X232, 0)</f>
        <v>0</v>
      </c>
      <c r="AA232" s="24" t="str">
        <f>IF(AND(U232&gt;='Amort. Sched.-BASE'!$AA$8, U232&lt;= ($AA$7+$AA$8)), W232/V232, " ")</f>
        <v xml:space="preserve"> </v>
      </c>
      <c r="AB232" s="25" t="str">
        <f>IF(AND(U232&gt;='Amort. Sched.-BASE'!$AA$8, U232&lt;= ($AA$7+$AA$8)), X232/V232, " ")</f>
        <v xml:space="preserve"> </v>
      </c>
      <c r="AD232" s="20">
        <f t="shared" si="52"/>
        <v>221</v>
      </c>
      <c r="AE232" s="5">
        <f t="shared" si="53"/>
        <v>0</v>
      </c>
      <c r="AF232" s="5">
        <f t="shared" si="54"/>
        <v>0</v>
      </c>
      <c r="AG232" s="5">
        <f t="shared" si="55"/>
        <v>0</v>
      </c>
      <c r="AH232" s="5">
        <f>IF(CreditAmort3BASE[[#This Row],[Month]]=AJ$8,AF$7,0)</f>
        <v>0</v>
      </c>
      <c r="AI232" s="13">
        <f t="shared" si="56"/>
        <v>0</v>
      </c>
      <c r="AJ232" s="6" t="str">
        <f t="shared" si="57"/>
        <v xml:space="preserve"> </v>
      </c>
      <c r="AK232" s="21" t="str">
        <f t="shared" si="58"/>
        <v xml:space="preserve"> </v>
      </c>
      <c r="AM232" s="20">
        <f t="shared" si="59"/>
        <v>221</v>
      </c>
      <c r="AN232" s="5">
        <f t="shared" si="60"/>
        <v>0</v>
      </c>
      <c r="AO232" s="5">
        <f t="shared" si="61"/>
        <v>0</v>
      </c>
      <c r="AP232" s="5">
        <f t="shared" si="62"/>
        <v>0</v>
      </c>
      <c r="AQ232" s="5">
        <f>IF(CreditAmort4BASE[[#This Row],[Month]]=AS$8,AO$7,0)</f>
        <v>0</v>
      </c>
      <c r="AR232" s="13">
        <f t="shared" si="63"/>
        <v>0</v>
      </c>
      <c r="AS232" s="6" t="str">
        <f t="shared" si="64"/>
        <v xml:space="preserve"> </v>
      </c>
      <c r="AT232" s="21" t="str">
        <f t="shared" si="65"/>
        <v xml:space="preserve"> </v>
      </c>
    </row>
    <row r="233" spans="3:46">
      <c r="C233" s="22">
        <f t="shared" si="17"/>
        <v>222</v>
      </c>
      <c r="D233" s="23">
        <f>IF(AND(C233&gt;='Amort. Sched.-BASE'!$I$8, C233&lt;= ($I$7+$I$8)), PMT('Amort. Sched.-BASE'!$E$8/12, 'Amort. Sched.-BASE'!$I$7, 'Amort. Sched.-BASE'!$E$7), 0)</f>
        <v>-1736.5864935892569</v>
      </c>
      <c r="E233" s="5">
        <f>IF(AND(C233&gt;='Amort. Sched.-BASE'!$I$8, C233&lt;= ($I$7+$I$8)), (IPMT($E$8/12, (C233-$I$8), $I$7, $E$7)), 0)</f>
        <v>-709.21609534529728</v>
      </c>
      <c r="F233" s="23">
        <f>IF(AND(C233&gt;='Amort. Sched.-BASE'!$I$8, C233&lt;= ($I$7+$I$8)), (PPMT($E$8/12, (C233-$I$8), $I$7, $E$7)), 0)</f>
        <v>-1027.3703982439597</v>
      </c>
      <c r="G233" s="5">
        <f>IF(MortgageAmortBASE[[#This Row],[Month]]=I$8,E$7,0)</f>
        <v>0</v>
      </c>
      <c r="H233" s="13">
        <f>IF(AND(C233&gt;='Amort. Sched.-BASE'!$I$8, C233&lt;= ($I$7+$I$8)), H232+F233, 0)</f>
        <v>105355.04390355072</v>
      </c>
      <c r="I233" s="24">
        <f>IF(AND(C233&gt;='Amort. Sched.-BASE'!$I$8, C233&lt;= ($I$7+$I$8)), E233/D233, " ")</f>
        <v>0.40839664362438799</v>
      </c>
      <c r="J233" s="25">
        <f>IF(AND(C233&gt;='Amort. Sched.-BASE'!$I$8, C233&lt;= ($I$7+$I$8)), F233/D233, " ")</f>
        <v>0.59160335637561212</v>
      </c>
      <c r="L233" s="20">
        <f t="shared" si="50"/>
        <v>222</v>
      </c>
      <c r="M233" s="5">
        <f>IF(AND(L233&gt;='Amort. Sched.-BASE'!$R$8, L233&lt;= ($R$7+$R$8)), PMT('Amort. Sched.-BASE'!$N$8/12, 'Amort. Sched.-BASE'!$R$7, 'Amort. Sched.-BASE'!$N$7), 0)</f>
        <v>0</v>
      </c>
      <c r="N233" s="5">
        <f>IF(AND(L233&gt;='Amort. Sched.-BASE'!$R$8, L233&lt;= ($R$7+$R$8)), (IPMT($N$8/12, (L233-$R$8), $R$7, $N$7)), 0)</f>
        <v>0</v>
      </c>
      <c r="O233" s="5">
        <f>IF(AND(L233&gt;='Amort. Sched.-BASE'!$R$8, L233&lt;= ($R$7+$R$8)), (PPMT($N$8/12, (L233-$R$8), $R$7, $N$7)), 0)</f>
        <v>0</v>
      </c>
      <c r="P233" s="5">
        <f>IF(CreditAmort1BASE[[#This Row],[Month]]=R$8,N$7,0)</f>
        <v>0</v>
      </c>
      <c r="Q233" s="13">
        <f>IF(AND(L233&gt;='Amort. Sched.-BASE'!$R$8, L233&lt;= ($R$7+$R$8)), Q232+O233, 0)</f>
        <v>0</v>
      </c>
      <c r="R233" s="6" t="str">
        <f>IF(AND(L233&gt;='Amort. Sched.-BASE'!$R$8, L233&lt;= ($R$7+$R$8)), N233/M233, " ")</f>
        <v xml:space="preserve"> </v>
      </c>
      <c r="S233" s="21" t="str">
        <f>IF(AND(L233&gt;='Amort. Sched.-BASE'!$R$8, L233&lt;= ($R$7+$R$8)), O233/M233, " ")</f>
        <v xml:space="preserve"> </v>
      </c>
      <c r="U233" s="22">
        <f t="shared" si="51"/>
        <v>222</v>
      </c>
      <c r="V233" s="23">
        <f>IF(AND(U233&gt;='Amort. Sched.-BASE'!$AA$8, U233&lt;= ($AA$7+$AA$8)), PMT('Amort. Sched.-BASE'!$W$8/12, 'Amort. Sched.-BASE'!$AA$7, 'Amort. Sched.-BASE'!$W$7), 0)</f>
        <v>0</v>
      </c>
      <c r="W233" s="5">
        <f>IF(AND(U233&gt;='Amort. Sched.-BASE'!$AA$8, U233&lt;= ($AA$7+$AA$8)), (IPMT($W$8/12, (U233-$AA$8), $AA$7, $W$7)), 0)</f>
        <v>0</v>
      </c>
      <c r="X233" s="23">
        <f>IF(AND(U233&gt;='Amort. Sched.-BASE'!$AA$8, U233&lt;= ($AA$7+$AA$8)), (PPMT($W$8/12, (U233-$AA$8), $AA$7, $W$7)), 0)</f>
        <v>0</v>
      </c>
      <c r="Y233" s="5">
        <f>IF(CreditAmort2BASE[[#This Row],[Month]]=AA$8,W$7,0)</f>
        <v>0</v>
      </c>
      <c r="Z233" s="13">
        <f>IF(AND(U233&gt;='Amort. Sched.-BASE'!$AA$8, U233&lt;= ($AA$7+$AA$8)), Z232+X233, 0)</f>
        <v>0</v>
      </c>
      <c r="AA233" s="24" t="str">
        <f>IF(AND(U233&gt;='Amort. Sched.-BASE'!$AA$8, U233&lt;= ($AA$7+$AA$8)), W233/V233, " ")</f>
        <v xml:space="preserve"> </v>
      </c>
      <c r="AB233" s="25" t="str">
        <f>IF(AND(U233&gt;='Amort. Sched.-BASE'!$AA$8, U233&lt;= ($AA$7+$AA$8)), X233/V233, " ")</f>
        <v xml:space="preserve"> </v>
      </c>
      <c r="AD233" s="20">
        <f t="shared" si="52"/>
        <v>222</v>
      </c>
      <c r="AE233" s="5">
        <f t="shared" si="53"/>
        <v>0</v>
      </c>
      <c r="AF233" s="5">
        <f t="shared" si="54"/>
        <v>0</v>
      </c>
      <c r="AG233" s="5">
        <f t="shared" si="55"/>
        <v>0</v>
      </c>
      <c r="AH233" s="5">
        <f>IF(CreditAmort3BASE[[#This Row],[Month]]=AJ$8,AF$7,0)</f>
        <v>0</v>
      </c>
      <c r="AI233" s="13">
        <f t="shared" si="56"/>
        <v>0</v>
      </c>
      <c r="AJ233" s="6" t="str">
        <f t="shared" si="57"/>
        <v xml:space="preserve"> </v>
      </c>
      <c r="AK233" s="21" t="str">
        <f t="shared" si="58"/>
        <v xml:space="preserve"> </v>
      </c>
      <c r="AM233" s="20">
        <f t="shared" si="59"/>
        <v>222</v>
      </c>
      <c r="AN233" s="5">
        <f t="shared" si="60"/>
        <v>0</v>
      </c>
      <c r="AO233" s="5">
        <f t="shared" si="61"/>
        <v>0</v>
      </c>
      <c r="AP233" s="5">
        <f t="shared" si="62"/>
        <v>0</v>
      </c>
      <c r="AQ233" s="5">
        <f>IF(CreditAmort4BASE[[#This Row],[Month]]=AS$8,AO$7,0)</f>
        <v>0</v>
      </c>
      <c r="AR233" s="13">
        <f t="shared" si="63"/>
        <v>0</v>
      </c>
      <c r="AS233" s="6" t="str">
        <f t="shared" si="64"/>
        <v xml:space="preserve"> </v>
      </c>
      <c r="AT233" s="21" t="str">
        <f t="shared" si="65"/>
        <v xml:space="preserve"> </v>
      </c>
    </row>
    <row r="234" spans="3:46">
      <c r="C234" s="22">
        <f t="shared" si="17"/>
        <v>223</v>
      </c>
      <c r="D234" s="23">
        <f>IF(AND(C234&gt;='Amort. Sched.-BASE'!$I$8, C234&lt;= ($I$7+$I$8)), PMT('Amort. Sched.-BASE'!$E$8/12, 'Amort. Sched.-BASE'!$I$7, 'Amort. Sched.-BASE'!$E$7), 0)</f>
        <v>-1736.5864935892569</v>
      </c>
      <c r="E234" s="5">
        <f>IF(AND(C234&gt;='Amort. Sched.-BASE'!$I$8, C234&lt;= ($I$7+$I$8)), (IPMT($E$8/12, (C234-$I$8), $I$7, $E$7)), 0)</f>
        <v>-702.36695935700413</v>
      </c>
      <c r="F234" s="23">
        <f>IF(AND(C234&gt;='Amort. Sched.-BASE'!$I$8, C234&lt;= ($I$7+$I$8)), (PPMT($E$8/12, (C234-$I$8), $I$7, $E$7)), 0)</f>
        <v>-1034.2195342322527</v>
      </c>
      <c r="G234" s="5">
        <f>IF(MortgageAmortBASE[[#This Row],[Month]]=I$8,E$7,0)</f>
        <v>0</v>
      </c>
      <c r="H234" s="13">
        <f>IF(AND(C234&gt;='Amort. Sched.-BASE'!$I$8, C234&lt;= ($I$7+$I$8)), H233+F234, 0)</f>
        <v>104320.82436931846</v>
      </c>
      <c r="I234" s="24">
        <f>IF(AND(C234&gt;='Amort. Sched.-BASE'!$I$8, C234&lt;= ($I$7+$I$8)), E234/D234, " ")</f>
        <v>0.40445262124855053</v>
      </c>
      <c r="J234" s="25">
        <f>IF(AND(C234&gt;='Amort. Sched.-BASE'!$I$8, C234&lt;= ($I$7+$I$8)), F234/D234, " ")</f>
        <v>0.59554737875144947</v>
      </c>
      <c r="L234" s="20">
        <f t="shared" si="50"/>
        <v>223</v>
      </c>
      <c r="M234" s="5">
        <f>IF(AND(L234&gt;='Amort. Sched.-BASE'!$R$8, L234&lt;= ($R$7+$R$8)), PMT('Amort. Sched.-BASE'!$N$8/12, 'Amort. Sched.-BASE'!$R$7, 'Amort. Sched.-BASE'!$N$7), 0)</f>
        <v>0</v>
      </c>
      <c r="N234" s="5">
        <f>IF(AND(L234&gt;='Amort. Sched.-BASE'!$R$8, L234&lt;= ($R$7+$R$8)), (IPMT($N$8/12, (L234-$R$8), $R$7, $N$7)), 0)</f>
        <v>0</v>
      </c>
      <c r="O234" s="5">
        <f>IF(AND(L234&gt;='Amort. Sched.-BASE'!$R$8, L234&lt;= ($R$7+$R$8)), (PPMT($N$8/12, (L234-$R$8), $R$7, $N$7)), 0)</f>
        <v>0</v>
      </c>
      <c r="P234" s="5">
        <f>IF(CreditAmort1BASE[[#This Row],[Month]]=R$8,N$7,0)</f>
        <v>0</v>
      </c>
      <c r="Q234" s="13">
        <f>IF(AND(L234&gt;='Amort. Sched.-BASE'!$R$8, L234&lt;= ($R$7+$R$8)), Q233+O234, 0)</f>
        <v>0</v>
      </c>
      <c r="R234" s="6" t="str">
        <f>IF(AND(L234&gt;='Amort. Sched.-BASE'!$R$8, L234&lt;= ($R$7+$R$8)), N234/M234, " ")</f>
        <v xml:space="preserve"> </v>
      </c>
      <c r="S234" s="21" t="str">
        <f>IF(AND(L234&gt;='Amort. Sched.-BASE'!$R$8, L234&lt;= ($R$7+$R$8)), O234/M234, " ")</f>
        <v xml:space="preserve"> </v>
      </c>
      <c r="U234" s="22">
        <f t="shared" si="51"/>
        <v>223</v>
      </c>
      <c r="V234" s="23">
        <f>IF(AND(U234&gt;='Amort. Sched.-BASE'!$AA$8, U234&lt;= ($AA$7+$AA$8)), PMT('Amort. Sched.-BASE'!$W$8/12, 'Amort. Sched.-BASE'!$AA$7, 'Amort. Sched.-BASE'!$W$7), 0)</f>
        <v>0</v>
      </c>
      <c r="W234" s="5">
        <f>IF(AND(U234&gt;='Amort. Sched.-BASE'!$AA$8, U234&lt;= ($AA$7+$AA$8)), (IPMT($W$8/12, (U234-$AA$8), $AA$7, $W$7)), 0)</f>
        <v>0</v>
      </c>
      <c r="X234" s="23">
        <f>IF(AND(U234&gt;='Amort. Sched.-BASE'!$AA$8, U234&lt;= ($AA$7+$AA$8)), (PPMT($W$8/12, (U234-$AA$8), $AA$7, $W$7)), 0)</f>
        <v>0</v>
      </c>
      <c r="Y234" s="5">
        <f>IF(CreditAmort2BASE[[#This Row],[Month]]=AA$8,W$7,0)</f>
        <v>0</v>
      </c>
      <c r="Z234" s="13">
        <f>IF(AND(U234&gt;='Amort. Sched.-BASE'!$AA$8, U234&lt;= ($AA$7+$AA$8)), Z233+X234, 0)</f>
        <v>0</v>
      </c>
      <c r="AA234" s="24" t="str">
        <f>IF(AND(U234&gt;='Amort. Sched.-BASE'!$AA$8, U234&lt;= ($AA$7+$AA$8)), W234/V234, " ")</f>
        <v xml:space="preserve"> </v>
      </c>
      <c r="AB234" s="25" t="str">
        <f>IF(AND(U234&gt;='Amort. Sched.-BASE'!$AA$8, U234&lt;= ($AA$7+$AA$8)), X234/V234, " ")</f>
        <v xml:space="preserve"> </v>
      </c>
      <c r="AD234" s="20">
        <f t="shared" si="52"/>
        <v>223</v>
      </c>
      <c r="AE234" s="5">
        <f t="shared" si="53"/>
        <v>0</v>
      </c>
      <c r="AF234" s="5">
        <f t="shared" si="54"/>
        <v>0</v>
      </c>
      <c r="AG234" s="5">
        <f t="shared" si="55"/>
        <v>0</v>
      </c>
      <c r="AH234" s="5">
        <f>IF(CreditAmort3BASE[[#This Row],[Month]]=AJ$8,AF$7,0)</f>
        <v>0</v>
      </c>
      <c r="AI234" s="13">
        <f t="shared" si="56"/>
        <v>0</v>
      </c>
      <c r="AJ234" s="6" t="str">
        <f t="shared" si="57"/>
        <v xml:space="preserve"> </v>
      </c>
      <c r="AK234" s="21" t="str">
        <f t="shared" si="58"/>
        <v xml:space="preserve"> </v>
      </c>
      <c r="AM234" s="20">
        <f t="shared" si="59"/>
        <v>223</v>
      </c>
      <c r="AN234" s="5">
        <f t="shared" si="60"/>
        <v>0</v>
      </c>
      <c r="AO234" s="5">
        <f t="shared" si="61"/>
        <v>0</v>
      </c>
      <c r="AP234" s="5">
        <f t="shared" si="62"/>
        <v>0</v>
      </c>
      <c r="AQ234" s="5">
        <f>IF(CreditAmort4BASE[[#This Row],[Month]]=AS$8,AO$7,0)</f>
        <v>0</v>
      </c>
      <c r="AR234" s="13">
        <f t="shared" si="63"/>
        <v>0</v>
      </c>
      <c r="AS234" s="6" t="str">
        <f t="shared" si="64"/>
        <v xml:space="preserve"> </v>
      </c>
      <c r="AT234" s="21" t="str">
        <f t="shared" si="65"/>
        <v xml:space="preserve"> </v>
      </c>
    </row>
    <row r="235" spans="3:46">
      <c r="C235" s="22">
        <f t="shared" si="17"/>
        <v>224</v>
      </c>
      <c r="D235" s="23">
        <f>IF(AND(C235&gt;='Amort. Sched.-BASE'!$I$8, C235&lt;= ($I$7+$I$8)), PMT('Amort. Sched.-BASE'!$E$8/12, 'Amort. Sched.-BASE'!$I$7, 'Amort. Sched.-BASE'!$E$7), 0)</f>
        <v>-1736.5864935892569</v>
      </c>
      <c r="E235" s="5">
        <f>IF(AND(C235&gt;='Amort. Sched.-BASE'!$I$8, C235&lt;= ($I$7+$I$8)), (IPMT($E$8/12, (C235-$I$8), $I$7, $E$7)), 0)</f>
        <v>-695.47216246212258</v>
      </c>
      <c r="F235" s="23">
        <f>IF(AND(C235&gt;='Amort. Sched.-BASE'!$I$8, C235&lt;= ($I$7+$I$8)), (PPMT($E$8/12, (C235-$I$8), $I$7, $E$7)), 0)</f>
        <v>-1041.1143311271344</v>
      </c>
      <c r="G235" s="5">
        <f>IF(MortgageAmortBASE[[#This Row],[Month]]=I$8,E$7,0)</f>
        <v>0</v>
      </c>
      <c r="H235" s="13">
        <f>IF(AND(C235&gt;='Amort. Sched.-BASE'!$I$8, C235&lt;= ($I$7+$I$8)), H234+F235, 0)</f>
        <v>103279.71003819133</v>
      </c>
      <c r="I235" s="24">
        <f>IF(AND(C235&gt;='Amort. Sched.-BASE'!$I$8, C235&lt;= ($I$7+$I$8)), E235/D235, " ")</f>
        <v>0.40048230539020763</v>
      </c>
      <c r="J235" s="25">
        <f>IF(AND(C235&gt;='Amort. Sched.-BASE'!$I$8, C235&lt;= ($I$7+$I$8)), F235/D235, " ")</f>
        <v>0.59951769460979243</v>
      </c>
      <c r="L235" s="20">
        <f t="shared" si="50"/>
        <v>224</v>
      </c>
      <c r="M235" s="5">
        <f>IF(AND(L235&gt;='Amort. Sched.-BASE'!$R$8, L235&lt;= ($R$7+$R$8)), PMT('Amort. Sched.-BASE'!$N$8/12, 'Amort. Sched.-BASE'!$R$7, 'Amort. Sched.-BASE'!$N$7), 0)</f>
        <v>0</v>
      </c>
      <c r="N235" s="5">
        <f>IF(AND(L235&gt;='Amort. Sched.-BASE'!$R$8, L235&lt;= ($R$7+$R$8)), (IPMT($N$8/12, (L235-$R$8), $R$7, $N$7)), 0)</f>
        <v>0</v>
      </c>
      <c r="O235" s="5">
        <f>IF(AND(L235&gt;='Amort. Sched.-BASE'!$R$8, L235&lt;= ($R$7+$R$8)), (PPMT($N$8/12, (L235-$R$8), $R$7, $N$7)), 0)</f>
        <v>0</v>
      </c>
      <c r="P235" s="5">
        <f>IF(CreditAmort1BASE[[#This Row],[Month]]=R$8,N$7,0)</f>
        <v>0</v>
      </c>
      <c r="Q235" s="13">
        <f>IF(AND(L235&gt;='Amort. Sched.-BASE'!$R$8, L235&lt;= ($R$7+$R$8)), Q234+O235, 0)</f>
        <v>0</v>
      </c>
      <c r="R235" s="6" t="str">
        <f>IF(AND(L235&gt;='Amort. Sched.-BASE'!$R$8, L235&lt;= ($R$7+$R$8)), N235/M235, " ")</f>
        <v xml:space="preserve"> </v>
      </c>
      <c r="S235" s="21" t="str">
        <f>IF(AND(L235&gt;='Amort. Sched.-BASE'!$R$8, L235&lt;= ($R$7+$R$8)), O235/M235, " ")</f>
        <v xml:space="preserve"> </v>
      </c>
      <c r="U235" s="22">
        <f t="shared" si="51"/>
        <v>224</v>
      </c>
      <c r="V235" s="23">
        <f>IF(AND(U235&gt;='Amort. Sched.-BASE'!$AA$8, U235&lt;= ($AA$7+$AA$8)), PMT('Amort. Sched.-BASE'!$W$8/12, 'Amort. Sched.-BASE'!$AA$7, 'Amort. Sched.-BASE'!$W$7), 0)</f>
        <v>0</v>
      </c>
      <c r="W235" s="5">
        <f>IF(AND(U235&gt;='Amort. Sched.-BASE'!$AA$8, U235&lt;= ($AA$7+$AA$8)), (IPMT($W$8/12, (U235-$AA$8), $AA$7, $W$7)), 0)</f>
        <v>0</v>
      </c>
      <c r="X235" s="23">
        <f>IF(AND(U235&gt;='Amort. Sched.-BASE'!$AA$8, U235&lt;= ($AA$7+$AA$8)), (PPMT($W$8/12, (U235-$AA$8), $AA$7, $W$7)), 0)</f>
        <v>0</v>
      </c>
      <c r="Y235" s="5">
        <f>IF(CreditAmort2BASE[[#This Row],[Month]]=AA$8,W$7,0)</f>
        <v>0</v>
      </c>
      <c r="Z235" s="13">
        <f>IF(AND(U235&gt;='Amort. Sched.-BASE'!$AA$8, U235&lt;= ($AA$7+$AA$8)), Z234+X235, 0)</f>
        <v>0</v>
      </c>
      <c r="AA235" s="24" t="str">
        <f>IF(AND(U235&gt;='Amort. Sched.-BASE'!$AA$8, U235&lt;= ($AA$7+$AA$8)), W235/V235, " ")</f>
        <v xml:space="preserve"> </v>
      </c>
      <c r="AB235" s="25" t="str">
        <f>IF(AND(U235&gt;='Amort. Sched.-BASE'!$AA$8, U235&lt;= ($AA$7+$AA$8)), X235/V235, " ")</f>
        <v xml:space="preserve"> </v>
      </c>
      <c r="AD235" s="20">
        <f t="shared" si="52"/>
        <v>224</v>
      </c>
      <c r="AE235" s="5">
        <f t="shared" si="53"/>
        <v>0</v>
      </c>
      <c r="AF235" s="5">
        <f t="shared" si="54"/>
        <v>0</v>
      </c>
      <c r="AG235" s="5">
        <f t="shared" si="55"/>
        <v>0</v>
      </c>
      <c r="AH235" s="5">
        <f>IF(CreditAmort3BASE[[#This Row],[Month]]=AJ$8,AF$7,0)</f>
        <v>0</v>
      </c>
      <c r="AI235" s="13">
        <f t="shared" si="56"/>
        <v>0</v>
      </c>
      <c r="AJ235" s="6" t="str">
        <f t="shared" si="57"/>
        <v xml:space="preserve"> </v>
      </c>
      <c r="AK235" s="21" t="str">
        <f t="shared" si="58"/>
        <v xml:space="preserve"> </v>
      </c>
      <c r="AM235" s="20">
        <f t="shared" si="59"/>
        <v>224</v>
      </c>
      <c r="AN235" s="5">
        <f t="shared" si="60"/>
        <v>0</v>
      </c>
      <c r="AO235" s="5">
        <f t="shared" si="61"/>
        <v>0</v>
      </c>
      <c r="AP235" s="5">
        <f t="shared" si="62"/>
        <v>0</v>
      </c>
      <c r="AQ235" s="5">
        <f>IF(CreditAmort4BASE[[#This Row],[Month]]=AS$8,AO$7,0)</f>
        <v>0</v>
      </c>
      <c r="AR235" s="13">
        <f t="shared" si="63"/>
        <v>0</v>
      </c>
      <c r="AS235" s="6" t="str">
        <f t="shared" si="64"/>
        <v xml:space="preserve"> </v>
      </c>
      <c r="AT235" s="21" t="str">
        <f t="shared" si="65"/>
        <v xml:space="preserve"> </v>
      </c>
    </row>
    <row r="236" spans="3:46">
      <c r="C236" s="22">
        <f t="shared" si="17"/>
        <v>225</v>
      </c>
      <c r="D236" s="23">
        <f>IF(AND(C236&gt;='Amort. Sched.-BASE'!$I$8, C236&lt;= ($I$7+$I$8)), PMT('Amort. Sched.-BASE'!$E$8/12, 'Amort. Sched.-BASE'!$I$7, 'Amort. Sched.-BASE'!$E$7), 0)</f>
        <v>-1736.5864935892569</v>
      </c>
      <c r="E236" s="5">
        <f>IF(AND(C236&gt;='Amort. Sched.-BASE'!$I$8, C236&lt;= ($I$7+$I$8)), (IPMT($E$8/12, (C236-$I$8), $I$7, $E$7)), 0)</f>
        <v>-688.53140025460834</v>
      </c>
      <c r="F236" s="23">
        <f>IF(AND(C236&gt;='Amort. Sched.-BASE'!$I$8, C236&lt;= ($I$7+$I$8)), (PPMT($E$8/12, (C236-$I$8), $I$7, $E$7)), 0)</f>
        <v>-1048.0550933346487</v>
      </c>
      <c r="G236" s="5">
        <f>IF(MortgageAmortBASE[[#This Row],[Month]]=I$8,E$7,0)</f>
        <v>0</v>
      </c>
      <c r="H236" s="13">
        <f>IF(AND(C236&gt;='Amort. Sched.-BASE'!$I$8, C236&lt;= ($I$7+$I$8)), H235+F236, 0)</f>
        <v>102231.65494485668</v>
      </c>
      <c r="I236" s="24">
        <f>IF(AND(C236&gt;='Amort. Sched.-BASE'!$I$8, C236&lt;= ($I$7+$I$8)), E236/D236, " ")</f>
        <v>0.39648552075947568</v>
      </c>
      <c r="J236" s="25">
        <f>IF(AND(C236&gt;='Amort. Sched.-BASE'!$I$8, C236&lt;= ($I$7+$I$8)), F236/D236, " ")</f>
        <v>0.60351447924052448</v>
      </c>
      <c r="L236" s="20">
        <f t="shared" si="50"/>
        <v>225</v>
      </c>
      <c r="M236" s="5">
        <f>IF(AND(L236&gt;='Amort. Sched.-BASE'!$R$8, L236&lt;= ($R$7+$R$8)), PMT('Amort. Sched.-BASE'!$N$8/12, 'Amort. Sched.-BASE'!$R$7, 'Amort. Sched.-BASE'!$N$7), 0)</f>
        <v>0</v>
      </c>
      <c r="N236" s="5">
        <f>IF(AND(L236&gt;='Amort. Sched.-BASE'!$R$8, L236&lt;= ($R$7+$R$8)), (IPMT($N$8/12, (L236-$R$8), $R$7, $N$7)), 0)</f>
        <v>0</v>
      </c>
      <c r="O236" s="5">
        <f>IF(AND(L236&gt;='Amort. Sched.-BASE'!$R$8, L236&lt;= ($R$7+$R$8)), (PPMT($N$8/12, (L236-$R$8), $R$7, $N$7)), 0)</f>
        <v>0</v>
      </c>
      <c r="P236" s="5">
        <f>IF(CreditAmort1BASE[[#This Row],[Month]]=R$8,N$7,0)</f>
        <v>0</v>
      </c>
      <c r="Q236" s="13">
        <f>IF(AND(L236&gt;='Amort. Sched.-BASE'!$R$8, L236&lt;= ($R$7+$R$8)), Q235+O236, 0)</f>
        <v>0</v>
      </c>
      <c r="R236" s="6" t="str">
        <f>IF(AND(L236&gt;='Amort. Sched.-BASE'!$R$8, L236&lt;= ($R$7+$R$8)), N236/M236, " ")</f>
        <v xml:space="preserve"> </v>
      </c>
      <c r="S236" s="21" t="str">
        <f>IF(AND(L236&gt;='Amort. Sched.-BASE'!$R$8, L236&lt;= ($R$7+$R$8)), O236/M236, " ")</f>
        <v xml:space="preserve"> </v>
      </c>
      <c r="U236" s="22">
        <f t="shared" si="51"/>
        <v>225</v>
      </c>
      <c r="V236" s="23">
        <f>IF(AND(U236&gt;='Amort. Sched.-BASE'!$AA$8, U236&lt;= ($AA$7+$AA$8)), PMT('Amort. Sched.-BASE'!$W$8/12, 'Amort. Sched.-BASE'!$AA$7, 'Amort. Sched.-BASE'!$W$7), 0)</f>
        <v>0</v>
      </c>
      <c r="W236" s="5">
        <f>IF(AND(U236&gt;='Amort. Sched.-BASE'!$AA$8, U236&lt;= ($AA$7+$AA$8)), (IPMT($W$8/12, (U236-$AA$8), $AA$7, $W$7)), 0)</f>
        <v>0</v>
      </c>
      <c r="X236" s="23">
        <f>IF(AND(U236&gt;='Amort. Sched.-BASE'!$AA$8, U236&lt;= ($AA$7+$AA$8)), (PPMT($W$8/12, (U236-$AA$8), $AA$7, $W$7)), 0)</f>
        <v>0</v>
      </c>
      <c r="Y236" s="5">
        <f>IF(CreditAmort2BASE[[#This Row],[Month]]=AA$8,W$7,0)</f>
        <v>0</v>
      </c>
      <c r="Z236" s="13">
        <f>IF(AND(U236&gt;='Amort. Sched.-BASE'!$AA$8, U236&lt;= ($AA$7+$AA$8)), Z235+X236, 0)</f>
        <v>0</v>
      </c>
      <c r="AA236" s="24" t="str">
        <f>IF(AND(U236&gt;='Amort. Sched.-BASE'!$AA$8, U236&lt;= ($AA$7+$AA$8)), W236/V236, " ")</f>
        <v xml:space="preserve"> </v>
      </c>
      <c r="AB236" s="25" t="str">
        <f>IF(AND(U236&gt;='Amort. Sched.-BASE'!$AA$8, U236&lt;= ($AA$7+$AA$8)), X236/V236, " ")</f>
        <v xml:space="preserve"> </v>
      </c>
      <c r="AD236" s="20">
        <f t="shared" si="52"/>
        <v>225</v>
      </c>
      <c r="AE236" s="5">
        <f t="shared" si="53"/>
        <v>0</v>
      </c>
      <c r="AF236" s="5">
        <f t="shared" si="54"/>
        <v>0</v>
      </c>
      <c r="AG236" s="5">
        <f t="shared" si="55"/>
        <v>0</v>
      </c>
      <c r="AH236" s="5">
        <f>IF(CreditAmort3BASE[[#This Row],[Month]]=AJ$8,AF$7,0)</f>
        <v>0</v>
      </c>
      <c r="AI236" s="13">
        <f t="shared" si="56"/>
        <v>0</v>
      </c>
      <c r="AJ236" s="6" t="str">
        <f t="shared" si="57"/>
        <v xml:space="preserve"> </v>
      </c>
      <c r="AK236" s="21" t="str">
        <f t="shared" si="58"/>
        <v xml:space="preserve"> </v>
      </c>
      <c r="AM236" s="20">
        <f t="shared" si="59"/>
        <v>225</v>
      </c>
      <c r="AN236" s="5">
        <f t="shared" si="60"/>
        <v>0</v>
      </c>
      <c r="AO236" s="5">
        <f t="shared" si="61"/>
        <v>0</v>
      </c>
      <c r="AP236" s="5">
        <f t="shared" si="62"/>
        <v>0</v>
      </c>
      <c r="AQ236" s="5">
        <f>IF(CreditAmort4BASE[[#This Row],[Month]]=AS$8,AO$7,0)</f>
        <v>0</v>
      </c>
      <c r="AR236" s="13">
        <f t="shared" si="63"/>
        <v>0</v>
      </c>
      <c r="AS236" s="6" t="str">
        <f t="shared" si="64"/>
        <v xml:space="preserve"> </v>
      </c>
      <c r="AT236" s="21" t="str">
        <f t="shared" si="65"/>
        <v xml:space="preserve"> </v>
      </c>
    </row>
    <row r="237" spans="3:46">
      <c r="C237" s="22">
        <f t="shared" si="17"/>
        <v>226</v>
      </c>
      <c r="D237" s="23">
        <f>IF(AND(C237&gt;='Amort. Sched.-BASE'!$I$8, C237&lt;= ($I$7+$I$8)), PMT('Amort. Sched.-BASE'!$E$8/12, 'Amort. Sched.-BASE'!$I$7, 'Amort. Sched.-BASE'!$E$7), 0)</f>
        <v>-1736.5864935892569</v>
      </c>
      <c r="E237" s="5">
        <f>IF(AND(C237&gt;='Amort. Sched.-BASE'!$I$8, C237&lt;= ($I$7+$I$8)), (IPMT($E$8/12, (C237-$I$8), $I$7, $E$7)), 0)</f>
        <v>-681.54436629904387</v>
      </c>
      <c r="F237" s="23">
        <f>IF(AND(C237&gt;='Amort. Sched.-BASE'!$I$8, C237&lt;= ($I$7+$I$8)), (PPMT($E$8/12, (C237-$I$8), $I$7, $E$7)), 0)</f>
        <v>-1055.0421272902129</v>
      </c>
      <c r="G237" s="5">
        <f>IF(MortgageAmortBASE[[#This Row],[Month]]=I$8,E$7,0)</f>
        <v>0</v>
      </c>
      <c r="H237" s="13">
        <f>IF(AND(C237&gt;='Amort. Sched.-BASE'!$I$8, C237&lt;= ($I$7+$I$8)), H236+F237, 0)</f>
        <v>101176.61281756646</v>
      </c>
      <c r="I237" s="24">
        <f>IF(AND(C237&gt;='Amort. Sched.-BASE'!$I$8, C237&lt;= ($I$7+$I$8)), E237/D237, " ")</f>
        <v>0.3924620908978721</v>
      </c>
      <c r="J237" s="25">
        <f>IF(AND(C237&gt;='Amort. Sched.-BASE'!$I$8, C237&lt;= ($I$7+$I$8)), F237/D237, " ")</f>
        <v>0.6075379091021279</v>
      </c>
      <c r="L237" s="20">
        <f t="shared" si="50"/>
        <v>226</v>
      </c>
      <c r="M237" s="5">
        <f>IF(AND(L237&gt;='Amort. Sched.-BASE'!$R$8, L237&lt;= ($R$7+$R$8)), PMT('Amort. Sched.-BASE'!$N$8/12, 'Amort. Sched.-BASE'!$R$7, 'Amort. Sched.-BASE'!$N$7), 0)</f>
        <v>0</v>
      </c>
      <c r="N237" s="5">
        <f>IF(AND(L237&gt;='Amort. Sched.-BASE'!$R$8, L237&lt;= ($R$7+$R$8)), (IPMT($N$8/12, (L237-$R$8), $R$7, $N$7)), 0)</f>
        <v>0</v>
      </c>
      <c r="O237" s="5">
        <f>IF(AND(L237&gt;='Amort. Sched.-BASE'!$R$8, L237&lt;= ($R$7+$R$8)), (PPMT($N$8/12, (L237-$R$8), $R$7, $N$7)), 0)</f>
        <v>0</v>
      </c>
      <c r="P237" s="5">
        <f>IF(CreditAmort1BASE[[#This Row],[Month]]=R$8,N$7,0)</f>
        <v>0</v>
      </c>
      <c r="Q237" s="13">
        <f>IF(AND(L237&gt;='Amort. Sched.-BASE'!$R$8, L237&lt;= ($R$7+$R$8)), Q236+O237, 0)</f>
        <v>0</v>
      </c>
      <c r="R237" s="6" t="str">
        <f>IF(AND(L237&gt;='Amort. Sched.-BASE'!$R$8, L237&lt;= ($R$7+$R$8)), N237/M237, " ")</f>
        <v xml:space="preserve"> </v>
      </c>
      <c r="S237" s="21" t="str">
        <f>IF(AND(L237&gt;='Amort. Sched.-BASE'!$R$8, L237&lt;= ($R$7+$R$8)), O237/M237, " ")</f>
        <v xml:space="preserve"> </v>
      </c>
      <c r="U237" s="22">
        <f t="shared" si="51"/>
        <v>226</v>
      </c>
      <c r="V237" s="23">
        <f>IF(AND(U237&gt;='Amort. Sched.-BASE'!$AA$8, U237&lt;= ($AA$7+$AA$8)), PMT('Amort. Sched.-BASE'!$W$8/12, 'Amort. Sched.-BASE'!$AA$7, 'Amort. Sched.-BASE'!$W$7), 0)</f>
        <v>0</v>
      </c>
      <c r="W237" s="5">
        <f>IF(AND(U237&gt;='Amort. Sched.-BASE'!$AA$8, U237&lt;= ($AA$7+$AA$8)), (IPMT($W$8/12, (U237-$AA$8), $AA$7, $W$7)), 0)</f>
        <v>0</v>
      </c>
      <c r="X237" s="23">
        <f>IF(AND(U237&gt;='Amort. Sched.-BASE'!$AA$8, U237&lt;= ($AA$7+$AA$8)), (PPMT($W$8/12, (U237-$AA$8), $AA$7, $W$7)), 0)</f>
        <v>0</v>
      </c>
      <c r="Y237" s="5">
        <f>IF(CreditAmort2BASE[[#This Row],[Month]]=AA$8,W$7,0)</f>
        <v>0</v>
      </c>
      <c r="Z237" s="13">
        <f>IF(AND(U237&gt;='Amort. Sched.-BASE'!$AA$8, U237&lt;= ($AA$7+$AA$8)), Z236+X237, 0)</f>
        <v>0</v>
      </c>
      <c r="AA237" s="24" t="str">
        <f>IF(AND(U237&gt;='Amort. Sched.-BASE'!$AA$8, U237&lt;= ($AA$7+$AA$8)), W237/V237, " ")</f>
        <v xml:space="preserve"> </v>
      </c>
      <c r="AB237" s="25" t="str">
        <f>IF(AND(U237&gt;='Amort. Sched.-BASE'!$AA$8, U237&lt;= ($AA$7+$AA$8)), X237/V237, " ")</f>
        <v xml:space="preserve"> </v>
      </c>
      <c r="AD237" s="20">
        <f t="shared" si="52"/>
        <v>226</v>
      </c>
      <c r="AE237" s="5">
        <f t="shared" si="53"/>
        <v>0</v>
      </c>
      <c r="AF237" s="5">
        <f t="shared" si="54"/>
        <v>0</v>
      </c>
      <c r="AG237" s="5">
        <f t="shared" si="55"/>
        <v>0</v>
      </c>
      <c r="AH237" s="5">
        <f>IF(CreditAmort3BASE[[#This Row],[Month]]=AJ$8,AF$7,0)</f>
        <v>0</v>
      </c>
      <c r="AI237" s="13">
        <f t="shared" si="56"/>
        <v>0</v>
      </c>
      <c r="AJ237" s="6" t="str">
        <f t="shared" si="57"/>
        <v xml:space="preserve"> </v>
      </c>
      <c r="AK237" s="21" t="str">
        <f t="shared" si="58"/>
        <v xml:space="preserve"> </v>
      </c>
      <c r="AM237" s="20">
        <f t="shared" si="59"/>
        <v>226</v>
      </c>
      <c r="AN237" s="5">
        <f t="shared" si="60"/>
        <v>0</v>
      </c>
      <c r="AO237" s="5">
        <f t="shared" si="61"/>
        <v>0</v>
      </c>
      <c r="AP237" s="5">
        <f t="shared" si="62"/>
        <v>0</v>
      </c>
      <c r="AQ237" s="5">
        <f>IF(CreditAmort4BASE[[#This Row],[Month]]=AS$8,AO$7,0)</f>
        <v>0</v>
      </c>
      <c r="AR237" s="13">
        <f t="shared" si="63"/>
        <v>0</v>
      </c>
      <c r="AS237" s="6" t="str">
        <f t="shared" si="64"/>
        <v xml:space="preserve"> </v>
      </c>
      <c r="AT237" s="21" t="str">
        <f t="shared" si="65"/>
        <v xml:space="preserve"> </v>
      </c>
    </row>
    <row r="238" spans="3:46">
      <c r="C238" s="22">
        <f t="shared" si="17"/>
        <v>227</v>
      </c>
      <c r="D238" s="23">
        <f>IF(AND(C238&gt;='Amort. Sched.-BASE'!$I$8, C238&lt;= ($I$7+$I$8)), PMT('Amort. Sched.-BASE'!$E$8/12, 'Amort. Sched.-BASE'!$I$7, 'Amort. Sched.-BASE'!$E$7), 0)</f>
        <v>-1736.5864935892569</v>
      </c>
      <c r="E238" s="5">
        <f>IF(AND(C238&gt;='Amort. Sched.-BASE'!$I$8, C238&lt;= ($I$7+$I$8)), (IPMT($E$8/12, (C238-$I$8), $I$7, $E$7)), 0)</f>
        <v>-674.51075211710918</v>
      </c>
      <c r="F238" s="23">
        <f>IF(AND(C238&gt;='Amort. Sched.-BASE'!$I$8, C238&lt;= ($I$7+$I$8)), (PPMT($E$8/12, (C238-$I$8), $I$7, $E$7)), 0)</f>
        <v>-1062.0757414721477</v>
      </c>
      <c r="G238" s="5">
        <f>IF(MortgageAmortBASE[[#This Row],[Month]]=I$8,E$7,0)</f>
        <v>0</v>
      </c>
      <c r="H238" s="13">
        <f>IF(AND(C238&gt;='Amort. Sched.-BASE'!$I$8, C238&lt;= ($I$7+$I$8)), H237+F238, 0)</f>
        <v>100114.53707609432</v>
      </c>
      <c r="I238" s="24">
        <f>IF(AND(C238&gt;='Amort. Sched.-BASE'!$I$8, C238&lt;= ($I$7+$I$8)), E238/D238, " ")</f>
        <v>0.3884118381705246</v>
      </c>
      <c r="J238" s="25">
        <f>IF(AND(C238&gt;='Amort. Sched.-BASE'!$I$8, C238&lt;= ($I$7+$I$8)), F238/D238, " ")</f>
        <v>0.6115881618294754</v>
      </c>
      <c r="L238" s="20">
        <f t="shared" si="50"/>
        <v>227</v>
      </c>
      <c r="M238" s="5">
        <f>IF(AND(L238&gt;='Amort. Sched.-BASE'!$R$8, L238&lt;= ($R$7+$R$8)), PMT('Amort. Sched.-BASE'!$N$8/12, 'Amort. Sched.-BASE'!$R$7, 'Amort. Sched.-BASE'!$N$7), 0)</f>
        <v>0</v>
      </c>
      <c r="N238" s="5">
        <f>IF(AND(L238&gt;='Amort. Sched.-BASE'!$R$8, L238&lt;= ($R$7+$R$8)), (IPMT($N$8/12, (L238-$R$8), $R$7, $N$7)), 0)</f>
        <v>0</v>
      </c>
      <c r="O238" s="5">
        <f>IF(AND(L238&gt;='Amort. Sched.-BASE'!$R$8, L238&lt;= ($R$7+$R$8)), (PPMT($N$8/12, (L238-$R$8), $R$7, $N$7)), 0)</f>
        <v>0</v>
      </c>
      <c r="P238" s="5">
        <f>IF(CreditAmort1BASE[[#This Row],[Month]]=R$8,N$7,0)</f>
        <v>0</v>
      </c>
      <c r="Q238" s="13">
        <f>IF(AND(L238&gt;='Amort. Sched.-BASE'!$R$8, L238&lt;= ($R$7+$R$8)), Q237+O238, 0)</f>
        <v>0</v>
      </c>
      <c r="R238" s="6" t="str">
        <f>IF(AND(L238&gt;='Amort. Sched.-BASE'!$R$8, L238&lt;= ($R$7+$R$8)), N238/M238, " ")</f>
        <v xml:space="preserve"> </v>
      </c>
      <c r="S238" s="21" t="str">
        <f>IF(AND(L238&gt;='Amort. Sched.-BASE'!$R$8, L238&lt;= ($R$7+$R$8)), O238/M238, " ")</f>
        <v xml:space="preserve"> </v>
      </c>
      <c r="U238" s="22">
        <f t="shared" si="51"/>
        <v>227</v>
      </c>
      <c r="V238" s="23">
        <f>IF(AND(U238&gt;='Amort. Sched.-BASE'!$AA$8, U238&lt;= ($AA$7+$AA$8)), PMT('Amort. Sched.-BASE'!$W$8/12, 'Amort. Sched.-BASE'!$AA$7, 'Amort. Sched.-BASE'!$W$7), 0)</f>
        <v>0</v>
      </c>
      <c r="W238" s="5">
        <f>IF(AND(U238&gt;='Amort. Sched.-BASE'!$AA$8, U238&lt;= ($AA$7+$AA$8)), (IPMT($W$8/12, (U238-$AA$8), $AA$7, $W$7)), 0)</f>
        <v>0</v>
      </c>
      <c r="X238" s="23">
        <f>IF(AND(U238&gt;='Amort. Sched.-BASE'!$AA$8, U238&lt;= ($AA$7+$AA$8)), (PPMT($W$8/12, (U238-$AA$8), $AA$7, $W$7)), 0)</f>
        <v>0</v>
      </c>
      <c r="Y238" s="5">
        <f>IF(CreditAmort2BASE[[#This Row],[Month]]=AA$8,W$7,0)</f>
        <v>0</v>
      </c>
      <c r="Z238" s="13">
        <f>IF(AND(U238&gt;='Amort. Sched.-BASE'!$AA$8, U238&lt;= ($AA$7+$AA$8)), Z237+X238, 0)</f>
        <v>0</v>
      </c>
      <c r="AA238" s="24" t="str">
        <f>IF(AND(U238&gt;='Amort. Sched.-BASE'!$AA$8, U238&lt;= ($AA$7+$AA$8)), W238/V238, " ")</f>
        <v xml:space="preserve"> </v>
      </c>
      <c r="AB238" s="25" t="str">
        <f>IF(AND(U238&gt;='Amort. Sched.-BASE'!$AA$8, U238&lt;= ($AA$7+$AA$8)), X238/V238, " ")</f>
        <v xml:space="preserve"> </v>
      </c>
      <c r="AD238" s="20">
        <f t="shared" si="52"/>
        <v>227</v>
      </c>
      <c r="AE238" s="5">
        <f t="shared" si="53"/>
        <v>0</v>
      </c>
      <c r="AF238" s="5">
        <f t="shared" si="54"/>
        <v>0</v>
      </c>
      <c r="AG238" s="5">
        <f t="shared" si="55"/>
        <v>0</v>
      </c>
      <c r="AH238" s="5">
        <f>IF(CreditAmort3BASE[[#This Row],[Month]]=AJ$8,AF$7,0)</f>
        <v>0</v>
      </c>
      <c r="AI238" s="13">
        <f t="shared" si="56"/>
        <v>0</v>
      </c>
      <c r="AJ238" s="6" t="str">
        <f t="shared" si="57"/>
        <v xml:space="preserve"> </v>
      </c>
      <c r="AK238" s="21" t="str">
        <f t="shared" si="58"/>
        <v xml:space="preserve"> </v>
      </c>
      <c r="AM238" s="20">
        <f t="shared" si="59"/>
        <v>227</v>
      </c>
      <c r="AN238" s="5">
        <f t="shared" si="60"/>
        <v>0</v>
      </c>
      <c r="AO238" s="5">
        <f t="shared" si="61"/>
        <v>0</v>
      </c>
      <c r="AP238" s="5">
        <f t="shared" si="62"/>
        <v>0</v>
      </c>
      <c r="AQ238" s="5">
        <f>IF(CreditAmort4BASE[[#This Row],[Month]]=AS$8,AO$7,0)</f>
        <v>0</v>
      </c>
      <c r="AR238" s="13">
        <f t="shared" si="63"/>
        <v>0</v>
      </c>
      <c r="AS238" s="6" t="str">
        <f t="shared" si="64"/>
        <v xml:space="preserve"> </v>
      </c>
      <c r="AT238" s="21" t="str">
        <f t="shared" si="65"/>
        <v xml:space="preserve"> </v>
      </c>
    </row>
    <row r="239" spans="3:46">
      <c r="C239" s="22">
        <f t="shared" si="17"/>
        <v>228</v>
      </c>
      <c r="D239" s="23">
        <f>IF(AND(C239&gt;='Amort. Sched.-BASE'!$I$8, C239&lt;= ($I$7+$I$8)), PMT('Amort. Sched.-BASE'!$E$8/12, 'Amort. Sched.-BASE'!$I$7, 'Amort. Sched.-BASE'!$E$7), 0)</f>
        <v>-1736.5864935892569</v>
      </c>
      <c r="E239" s="5">
        <f>IF(AND(C239&gt;='Amort. Sched.-BASE'!$I$8, C239&lt;= ($I$7+$I$8)), (IPMT($E$8/12, (C239-$I$8), $I$7, $E$7)), 0)</f>
        <v>-667.43024717396156</v>
      </c>
      <c r="F239" s="23">
        <f>IF(AND(C239&gt;='Amort. Sched.-BASE'!$I$8, C239&lt;= ($I$7+$I$8)), (PPMT($E$8/12, (C239-$I$8), $I$7, $E$7)), 0)</f>
        <v>-1069.1562464152955</v>
      </c>
      <c r="G239" s="5">
        <f>IF(MortgageAmortBASE[[#This Row],[Month]]=I$8,E$7,0)</f>
        <v>0</v>
      </c>
      <c r="H239" s="13">
        <f>IF(AND(C239&gt;='Amort. Sched.-BASE'!$I$8, C239&lt;= ($I$7+$I$8)), H238+F239, 0)</f>
        <v>99045.380829679023</v>
      </c>
      <c r="I239" s="24">
        <f>IF(AND(C239&gt;='Amort. Sched.-BASE'!$I$8, C239&lt;= ($I$7+$I$8)), E239/D239, " ")</f>
        <v>0.38433458375832813</v>
      </c>
      <c r="J239" s="25">
        <f>IF(AND(C239&gt;='Amort. Sched.-BASE'!$I$8, C239&lt;= ($I$7+$I$8)), F239/D239, " ")</f>
        <v>0.61566541624167204</v>
      </c>
      <c r="L239" s="20">
        <f t="shared" si="50"/>
        <v>228</v>
      </c>
      <c r="M239" s="5">
        <f>IF(AND(L239&gt;='Amort. Sched.-BASE'!$R$8, L239&lt;= ($R$7+$R$8)), PMT('Amort. Sched.-BASE'!$N$8/12, 'Amort. Sched.-BASE'!$R$7, 'Amort. Sched.-BASE'!$N$7), 0)</f>
        <v>0</v>
      </c>
      <c r="N239" s="5">
        <f>IF(AND(L239&gt;='Amort. Sched.-BASE'!$R$8, L239&lt;= ($R$7+$R$8)), (IPMT($N$8/12, (L239-$R$8), $R$7, $N$7)), 0)</f>
        <v>0</v>
      </c>
      <c r="O239" s="5">
        <f>IF(AND(L239&gt;='Amort. Sched.-BASE'!$R$8, L239&lt;= ($R$7+$R$8)), (PPMT($N$8/12, (L239-$R$8), $R$7, $N$7)), 0)</f>
        <v>0</v>
      </c>
      <c r="P239" s="5">
        <f>IF(CreditAmort1BASE[[#This Row],[Month]]=R$8,N$7,0)</f>
        <v>0</v>
      </c>
      <c r="Q239" s="13">
        <f>IF(AND(L239&gt;='Amort. Sched.-BASE'!$R$8, L239&lt;= ($R$7+$R$8)), Q238+O239, 0)</f>
        <v>0</v>
      </c>
      <c r="R239" s="6" t="str">
        <f>IF(AND(L239&gt;='Amort. Sched.-BASE'!$R$8, L239&lt;= ($R$7+$R$8)), N239/M239, " ")</f>
        <v xml:space="preserve"> </v>
      </c>
      <c r="S239" s="21" t="str">
        <f>IF(AND(L239&gt;='Amort. Sched.-BASE'!$R$8, L239&lt;= ($R$7+$R$8)), O239/M239, " ")</f>
        <v xml:space="preserve"> </v>
      </c>
      <c r="U239" s="22">
        <f t="shared" si="51"/>
        <v>228</v>
      </c>
      <c r="V239" s="23">
        <f>IF(AND(U239&gt;='Amort. Sched.-BASE'!$AA$8, U239&lt;= ($AA$7+$AA$8)), PMT('Amort. Sched.-BASE'!$W$8/12, 'Amort. Sched.-BASE'!$AA$7, 'Amort. Sched.-BASE'!$W$7), 0)</f>
        <v>0</v>
      </c>
      <c r="W239" s="5">
        <f>IF(AND(U239&gt;='Amort. Sched.-BASE'!$AA$8, U239&lt;= ($AA$7+$AA$8)), (IPMT($W$8/12, (U239-$AA$8), $AA$7, $W$7)), 0)</f>
        <v>0</v>
      </c>
      <c r="X239" s="23">
        <f>IF(AND(U239&gt;='Amort. Sched.-BASE'!$AA$8, U239&lt;= ($AA$7+$AA$8)), (PPMT($W$8/12, (U239-$AA$8), $AA$7, $W$7)), 0)</f>
        <v>0</v>
      </c>
      <c r="Y239" s="5">
        <f>IF(CreditAmort2BASE[[#This Row],[Month]]=AA$8,W$7,0)</f>
        <v>0</v>
      </c>
      <c r="Z239" s="13">
        <f>IF(AND(U239&gt;='Amort. Sched.-BASE'!$AA$8, U239&lt;= ($AA$7+$AA$8)), Z238+X239, 0)</f>
        <v>0</v>
      </c>
      <c r="AA239" s="24" t="str">
        <f>IF(AND(U239&gt;='Amort. Sched.-BASE'!$AA$8, U239&lt;= ($AA$7+$AA$8)), W239/V239, " ")</f>
        <v xml:space="preserve"> </v>
      </c>
      <c r="AB239" s="25" t="str">
        <f>IF(AND(U239&gt;='Amort. Sched.-BASE'!$AA$8, U239&lt;= ($AA$7+$AA$8)), X239/V239, " ")</f>
        <v xml:space="preserve"> </v>
      </c>
      <c r="AD239" s="20">
        <f t="shared" si="52"/>
        <v>228</v>
      </c>
      <c r="AE239" s="5">
        <f t="shared" si="53"/>
        <v>0</v>
      </c>
      <c r="AF239" s="5">
        <f t="shared" si="54"/>
        <v>0</v>
      </c>
      <c r="AG239" s="5">
        <f t="shared" si="55"/>
        <v>0</v>
      </c>
      <c r="AH239" s="5">
        <f>IF(CreditAmort3BASE[[#This Row],[Month]]=AJ$8,AF$7,0)</f>
        <v>0</v>
      </c>
      <c r="AI239" s="13">
        <f t="shared" si="56"/>
        <v>0</v>
      </c>
      <c r="AJ239" s="6" t="str">
        <f t="shared" si="57"/>
        <v xml:space="preserve"> </v>
      </c>
      <c r="AK239" s="21" t="str">
        <f t="shared" si="58"/>
        <v xml:space="preserve"> </v>
      </c>
      <c r="AM239" s="20">
        <f t="shared" si="59"/>
        <v>228</v>
      </c>
      <c r="AN239" s="5">
        <f t="shared" si="60"/>
        <v>0</v>
      </c>
      <c r="AO239" s="5">
        <f t="shared" si="61"/>
        <v>0</v>
      </c>
      <c r="AP239" s="5">
        <f t="shared" si="62"/>
        <v>0</v>
      </c>
      <c r="AQ239" s="5">
        <f>IF(CreditAmort4BASE[[#This Row],[Month]]=AS$8,AO$7,0)</f>
        <v>0</v>
      </c>
      <c r="AR239" s="13">
        <f t="shared" si="63"/>
        <v>0</v>
      </c>
      <c r="AS239" s="6" t="str">
        <f t="shared" si="64"/>
        <v xml:space="preserve"> </v>
      </c>
      <c r="AT239" s="21" t="str">
        <f t="shared" si="65"/>
        <v xml:space="preserve"> </v>
      </c>
    </row>
    <row r="240" spans="3:46">
      <c r="C240" s="22">
        <f t="shared" si="17"/>
        <v>229</v>
      </c>
      <c r="D240" s="23">
        <f>IF(AND(C240&gt;='Amort. Sched.-BASE'!$I$8, C240&lt;= ($I$7+$I$8)), PMT('Amort. Sched.-BASE'!$E$8/12, 'Amort. Sched.-BASE'!$I$7, 'Amort. Sched.-BASE'!$E$7), 0)</f>
        <v>-1736.5864935892569</v>
      </c>
      <c r="E240" s="5">
        <f>IF(AND(C240&gt;='Amort. Sched.-BASE'!$I$8, C240&lt;= ($I$7+$I$8)), (IPMT($E$8/12, (C240-$I$8), $I$7, $E$7)), 0)</f>
        <v>-660.30253886452613</v>
      </c>
      <c r="F240" s="23">
        <f>IF(AND(C240&gt;='Amort. Sched.-BASE'!$I$8, C240&lt;= ($I$7+$I$8)), (PPMT($E$8/12, (C240-$I$8), $I$7, $E$7)), 0)</f>
        <v>-1076.2839547247306</v>
      </c>
      <c r="G240" s="5">
        <f>IF(MortgageAmortBASE[[#This Row],[Month]]=I$8,E$7,0)</f>
        <v>0</v>
      </c>
      <c r="H240" s="13">
        <f>IF(AND(C240&gt;='Amort. Sched.-BASE'!$I$8, C240&lt;= ($I$7+$I$8)), H239+F240, 0)</f>
        <v>97969.096874954295</v>
      </c>
      <c r="I240" s="24">
        <f>IF(AND(C240&gt;='Amort. Sched.-BASE'!$I$8, C240&lt;= ($I$7+$I$8)), E240/D240, " ")</f>
        <v>0.3802301476500502</v>
      </c>
      <c r="J240" s="25">
        <f>IF(AND(C240&gt;='Amort. Sched.-BASE'!$I$8, C240&lt;= ($I$7+$I$8)), F240/D240, " ")</f>
        <v>0.61976985234994975</v>
      </c>
      <c r="L240" s="20">
        <f t="shared" si="50"/>
        <v>229</v>
      </c>
      <c r="M240" s="5">
        <f>IF(AND(L240&gt;='Amort. Sched.-BASE'!$R$8, L240&lt;= ($R$7+$R$8)), PMT('Amort. Sched.-BASE'!$N$8/12, 'Amort. Sched.-BASE'!$R$7, 'Amort. Sched.-BASE'!$N$7), 0)</f>
        <v>0</v>
      </c>
      <c r="N240" s="5">
        <f>IF(AND(L240&gt;='Amort. Sched.-BASE'!$R$8, L240&lt;= ($R$7+$R$8)), (IPMT($N$8/12, (L240-$R$8), $R$7, $N$7)), 0)</f>
        <v>0</v>
      </c>
      <c r="O240" s="5">
        <f>IF(AND(L240&gt;='Amort. Sched.-BASE'!$R$8, L240&lt;= ($R$7+$R$8)), (PPMT($N$8/12, (L240-$R$8), $R$7, $N$7)), 0)</f>
        <v>0</v>
      </c>
      <c r="P240" s="5">
        <f>IF(CreditAmort1BASE[[#This Row],[Month]]=R$8,N$7,0)</f>
        <v>0</v>
      </c>
      <c r="Q240" s="13">
        <f>IF(AND(L240&gt;='Amort. Sched.-BASE'!$R$8, L240&lt;= ($R$7+$R$8)), Q239+O240, 0)</f>
        <v>0</v>
      </c>
      <c r="R240" s="6" t="str">
        <f>IF(AND(L240&gt;='Amort. Sched.-BASE'!$R$8, L240&lt;= ($R$7+$R$8)), N240/M240, " ")</f>
        <v xml:space="preserve"> </v>
      </c>
      <c r="S240" s="21" t="str">
        <f>IF(AND(L240&gt;='Amort. Sched.-BASE'!$R$8, L240&lt;= ($R$7+$R$8)), O240/M240, " ")</f>
        <v xml:space="preserve"> </v>
      </c>
      <c r="U240" s="22">
        <f t="shared" si="51"/>
        <v>229</v>
      </c>
      <c r="V240" s="23">
        <f>IF(AND(U240&gt;='Amort. Sched.-BASE'!$AA$8, U240&lt;= ($AA$7+$AA$8)), PMT('Amort. Sched.-BASE'!$W$8/12, 'Amort. Sched.-BASE'!$AA$7, 'Amort. Sched.-BASE'!$W$7), 0)</f>
        <v>0</v>
      </c>
      <c r="W240" s="5">
        <f>IF(AND(U240&gt;='Amort. Sched.-BASE'!$AA$8, U240&lt;= ($AA$7+$AA$8)), (IPMT($W$8/12, (U240-$AA$8), $AA$7, $W$7)), 0)</f>
        <v>0</v>
      </c>
      <c r="X240" s="23">
        <f>IF(AND(U240&gt;='Amort. Sched.-BASE'!$AA$8, U240&lt;= ($AA$7+$AA$8)), (PPMT($W$8/12, (U240-$AA$8), $AA$7, $W$7)), 0)</f>
        <v>0</v>
      </c>
      <c r="Y240" s="5">
        <f>IF(CreditAmort2BASE[[#This Row],[Month]]=AA$8,W$7,0)</f>
        <v>0</v>
      </c>
      <c r="Z240" s="13">
        <f>IF(AND(U240&gt;='Amort. Sched.-BASE'!$AA$8, U240&lt;= ($AA$7+$AA$8)), Z239+X240, 0)</f>
        <v>0</v>
      </c>
      <c r="AA240" s="24" t="str">
        <f>IF(AND(U240&gt;='Amort. Sched.-BASE'!$AA$8, U240&lt;= ($AA$7+$AA$8)), W240/V240, " ")</f>
        <v xml:space="preserve"> </v>
      </c>
      <c r="AB240" s="25" t="str">
        <f>IF(AND(U240&gt;='Amort. Sched.-BASE'!$AA$8, U240&lt;= ($AA$7+$AA$8)), X240/V240, " ")</f>
        <v xml:space="preserve"> </v>
      </c>
      <c r="AD240" s="20">
        <f t="shared" si="52"/>
        <v>229</v>
      </c>
      <c r="AE240" s="5">
        <f t="shared" si="53"/>
        <v>0</v>
      </c>
      <c r="AF240" s="5">
        <f t="shared" si="54"/>
        <v>0</v>
      </c>
      <c r="AG240" s="5">
        <f t="shared" si="55"/>
        <v>0</v>
      </c>
      <c r="AH240" s="5">
        <f>IF(CreditAmort3BASE[[#This Row],[Month]]=AJ$8,AF$7,0)</f>
        <v>0</v>
      </c>
      <c r="AI240" s="13">
        <f t="shared" si="56"/>
        <v>0</v>
      </c>
      <c r="AJ240" s="6" t="str">
        <f t="shared" si="57"/>
        <v xml:space="preserve"> </v>
      </c>
      <c r="AK240" s="21" t="str">
        <f t="shared" si="58"/>
        <v xml:space="preserve"> </v>
      </c>
      <c r="AM240" s="20">
        <f t="shared" si="59"/>
        <v>229</v>
      </c>
      <c r="AN240" s="5">
        <f t="shared" si="60"/>
        <v>0</v>
      </c>
      <c r="AO240" s="5">
        <f t="shared" si="61"/>
        <v>0</v>
      </c>
      <c r="AP240" s="5">
        <f t="shared" si="62"/>
        <v>0</v>
      </c>
      <c r="AQ240" s="5">
        <f>IF(CreditAmort4BASE[[#This Row],[Month]]=AS$8,AO$7,0)</f>
        <v>0</v>
      </c>
      <c r="AR240" s="13">
        <f t="shared" si="63"/>
        <v>0</v>
      </c>
      <c r="AS240" s="6" t="str">
        <f t="shared" si="64"/>
        <v xml:space="preserve"> </v>
      </c>
      <c r="AT240" s="21" t="str">
        <f t="shared" si="65"/>
        <v xml:space="preserve"> </v>
      </c>
    </row>
    <row r="241" spans="3:46">
      <c r="C241" s="22">
        <f t="shared" si="17"/>
        <v>230</v>
      </c>
      <c r="D241" s="23">
        <f>IF(AND(C241&gt;='Amort. Sched.-BASE'!$I$8, C241&lt;= ($I$7+$I$8)), PMT('Amort. Sched.-BASE'!$E$8/12, 'Amort. Sched.-BASE'!$I$7, 'Amort. Sched.-BASE'!$E$7), 0)</f>
        <v>-1736.5864935892569</v>
      </c>
      <c r="E241" s="5">
        <f>IF(AND(C241&gt;='Amort. Sched.-BASE'!$I$8, C241&lt;= ($I$7+$I$8)), (IPMT($E$8/12, (C241-$I$8), $I$7, $E$7)), 0)</f>
        <v>-653.12731249969465</v>
      </c>
      <c r="F241" s="23">
        <f>IF(AND(C241&gt;='Amort. Sched.-BASE'!$I$8, C241&lt;= ($I$7+$I$8)), (PPMT($E$8/12, (C241-$I$8), $I$7, $E$7)), 0)</f>
        <v>-1083.4591810895622</v>
      </c>
      <c r="G241" s="5">
        <f>IF(MortgageAmortBASE[[#This Row],[Month]]=I$8,E$7,0)</f>
        <v>0</v>
      </c>
      <c r="H241" s="13">
        <f>IF(AND(C241&gt;='Amort. Sched.-BASE'!$I$8, C241&lt;= ($I$7+$I$8)), H240+F241, 0)</f>
        <v>96885.63769386473</v>
      </c>
      <c r="I241" s="24">
        <f>IF(AND(C241&gt;='Amort. Sched.-BASE'!$I$8, C241&lt;= ($I$7+$I$8)), E241/D241, " ")</f>
        <v>0.37609834863438391</v>
      </c>
      <c r="J241" s="25">
        <f>IF(AND(C241&gt;='Amort. Sched.-BASE'!$I$8, C241&lt;= ($I$7+$I$8)), F241/D241, " ")</f>
        <v>0.62390165136561604</v>
      </c>
      <c r="L241" s="20">
        <f t="shared" si="50"/>
        <v>230</v>
      </c>
      <c r="M241" s="5">
        <f>IF(AND(L241&gt;='Amort. Sched.-BASE'!$R$8, L241&lt;= ($R$7+$R$8)), PMT('Amort. Sched.-BASE'!$N$8/12, 'Amort. Sched.-BASE'!$R$7, 'Amort. Sched.-BASE'!$N$7), 0)</f>
        <v>0</v>
      </c>
      <c r="N241" s="5">
        <f>IF(AND(L241&gt;='Amort. Sched.-BASE'!$R$8, L241&lt;= ($R$7+$R$8)), (IPMT($N$8/12, (L241-$R$8), $R$7, $N$7)), 0)</f>
        <v>0</v>
      </c>
      <c r="O241" s="5">
        <f>IF(AND(L241&gt;='Amort. Sched.-BASE'!$R$8, L241&lt;= ($R$7+$R$8)), (PPMT($N$8/12, (L241-$R$8), $R$7, $N$7)), 0)</f>
        <v>0</v>
      </c>
      <c r="P241" s="5">
        <f>IF(CreditAmort1BASE[[#This Row],[Month]]=R$8,N$7,0)</f>
        <v>0</v>
      </c>
      <c r="Q241" s="13">
        <f>IF(AND(L241&gt;='Amort. Sched.-BASE'!$R$8, L241&lt;= ($R$7+$R$8)), Q240+O241, 0)</f>
        <v>0</v>
      </c>
      <c r="R241" s="6" t="str">
        <f>IF(AND(L241&gt;='Amort. Sched.-BASE'!$R$8, L241&lt;= ($R$7+$R$8)), N241/M241, " ")</f>
        <v xml:space="preserve"> </v>
      </c>
      <c r="S241" s="21" t="str">
        <f>IF(AND(L241&gt;='Amort. Sched.-BASE'!$R$8, L241&lt;= ($R$7+$R$8)), O241/M241, " ")</f>
        <v xml:space="preserve"> </v>
      </c>
      <c r="U241" s="22">
        <f t="shared" si="51"/>
        <v>230</v>
      </c>
      <c r="V241" s="23">
        <f>IF(AND(U241&gt;='Amort. Sched.-BASE'!$AA$8, U241&lt;= ($AA$7+$AA$8)), PMT('Amort. Sched.-BASE'!$W$8/12, 'Amort. Sched.-BASE'!$AA$7, 'Amort. Sched.-BASE'!$W$7), 0)</f>
        <v>0</v>
      </c>
      <c r="W241" s="5">
        <f>IF(AND(U241&gt;='Amort. Sched.-BASE'!$AA$8, U241&lt;= ($AA$7+$AA$8)), (IPMT($W$8/12, (U241-$AA$8), $AA$7, $W$7)), 0)</f>
        <v>0</v>
      </c>
      <c r="X241" s="23">
        <f>IF(AND(U241&gt;='Amort. Sched.-BASE'!$AA$8, U241&lt;= ($AA$7+$AA$8)), (PPMT($W$8/12, (U241-$AA$8), $AA$7, $W$7)), 0)</f>
        <v>0</v>
      </c>
      <c r="Y241" s="5">
        <f>IF(CreditAmort2BASE[[#This Row],[Month]]=AA$8,W$7,0)</f>
        <v>0</v>
      </c>
      <c r="Z241" s="13">
        <f>IF(AND(U241&gt;='Amort. Sched.-BASE'!$AA$8, U241&lt;= ($AA$7+$AA$8)), Z240+X241, 0)</f>
        <v>0</v>
      </c>
      <c r="AA241" s="24" t="str">
        <f>IF(AND(U241&gt;='Amort. Sched.-BASE'!$AA$8, U241&lt;= ($AA$7+$AA$8)), W241/V241, " ")</f>
        <v xml:space="preserve"> </v>
      </c>
      <c r="AB241" s="25" t="str">
        <f>IF(AND(U241&gt;='Amort. Sched.-BASE'!$AA$8, U241&lt;= ($AA$7+$AA$8)), X241/V241, " ")</f>
        <v xml:space="preserve"> </v>
      </c>
      <c r="AD241" s="20">
        <f t="shared" si="52"/>
        <v>230</v>
      </c>
      <c r="AE241" s="5">
        <f t="shared" si="53"/>
        <v>0</v>
      </c>
      <c r="AF241" s="5">
        <f t="shared" si="54"/>
        <v>0</v>
      </c>
      <c r="AG241" s="5">
        <f t="shared" si="55"/>
        <v>0</v>
      </c>
      <c r="AH241" s="5">
        <f>IF(CreditAmort3BASE[[#This Row],[Month]]=AJ$8,AF$7,0)</f>
        <v>0</v>
      </c>
      <c r="AI241" s="13">
        <f t="shared" si="56"/>
        <v>0</v>
      </c>
      <c r="AJ241" s="6" t="str">
        <f t="shared" si="57"/>
        <v xml:space="preserve"> </v>
      </c>
      <c r="AK241" s="21" t="str">
        <f t="shared" si="58"/>
        <v xml:space="preserve"> </v>
      </c>
      <c r="AM241" s="20">
        <f t="shared" si="59"/>
        <v>230</v>
      </c>
      <c r="AN241" s="5">
        <f t="shared" si="60"/>
        <v>0</v>
      </c>
      <c r="AO241" s="5">
        <f t="shared" si="61"/>
        <v>0</v>
      </c>
      <c r="AP241" s="5">
        <f t="shared" si="62"/>
        <v>0</v>
      </c>
      <c r="AQ241" s="5">
        <f>IF(CreditAmort4BASE[[#This Row],[Month]]=AS$8,AO$7,0)</f>
        <v>0</v>
      </c>
      <c r="AR241" s="13">
        <f t="shared" si="63"/>
        <v>0</v>
      </c>
      <c r="AS241" s="6" t="str">
        <f t="shared" si="64"/>
        <v xml:space="preserve"> </v>
      </c>
      <c r="AT241" s="21" t="str">
        <f t="shared" si="65"/>
        <v xml:space="preserve"> </v>
      </c>
    </row>
    <row r="242" spans="3:46">
      <c r="C242" s="22">
        <f t="shared" si="17"/>
        <v>231</v>
      </c>
      <c r="D242" s="23">
        <f>IF(AND(C242&gt;='Amort. Sched.-BASE'!$I$8, C242&lt;= ($I$7+$I$8)), PMT('Amort. Sched.-BASE'!$E$8/12, 'Amort. Sched.-BASE'!$I$7, 'Amort. Sched.-BASE'!$E$7), 0)</f>
        <v>-1736.5864935892569</v>
      </c>
      <c r="E242" s="5">
        <f>IF(AND(C242&gt;='Amort. Sched.-BASE'!$I$8, C242&lt;= ($I$7+$I$8)), (IPMT($E$8/12, (C242-$I$8), $I$7, $E$7)), 0)</f>
        <v>-645.90425129243101</v>
      </c>
      <c r="F242" s="23">
        <f>IF(AND(C242&gt;='Amort. Sched.-BASE'!$I$8, C242&lt;= ($I$7+$I$8)), (PPMT($E$8/12, (C242-$I$8), $I$7, $E$7)), 0)</f>
        <v>-1090.682242296826</v>
      </c>
      <c r="G242" s="5">
        <f>IF(MortgageAmortBASE[[#This Row],[Month]]=I$8,E$7,0)</f>
        <v>0</v>
      </c>
      <c r="H242" s="13">
        <f>IF(AND(C242&gt;='Amort. Sched.-BASE'!$I$8, C242&lt;= ($I$7+$I$8)), H241+F242, 0)</f>
        <v>95794.955451567905</v>
      </c>
      <c r="I242" s="24">
        <f>IF(AND(C242&gt;='Amort. Sched.-BASE'!$I$8, C242&lt;= ($I$7+$I$8)), E242/D242, " ")</f>
        <v>0.37193900429194654</v>
      </c>
      <c r="J242" s="25">
        <f>IF(AND(C242&gt;='Amort. Sched.-BASE'!$I$8, C242&lt;= ($I$7+$I$8)), F242/D242, " ")</f>
        <v>0.62806099570805352</v>
      </c>
      <c r="L242" s="20">
        <f t="shared" si="50"/>
        <v>231</v>
      </c>
      <c r="M242" s="5">
        <f>IF(AND(L242&gt;='Amort. Sched.-BASE'!$R$8, L242&lt;= ($R$7+$R$8)), PMT('Amort. Sched.-BASE'!$N$8/12, 'Amort. Sched.-BASE'!$R$7, 'Amort. Sched.-BASE'!$N$7), 0)</f>
        <v>0</v>
      </c>
      <c r="N242" s="5">
        <f>IF(AND(L242&gt;='Amort. Sched.-BASE'!$R$8, L242&lt;= ($R$7+$R$8)), (IPMT($N$8/12, (L242-$R$8), $R$7, $N$7)), 0)</f>
        <v>0</v>
      </c>
      <c r="O242" s="5">
        <f>IF(AND(L242&gt;='Amort. Sched.-BASE'!$R$8, L242&lt;= ($R$7+$R$8)), (PPMT($N$8/12, (L242-$R$8), $R$7, $N$7)), 0)</f>
        <v>0</v>
      </c>
      <c r="P242" s="5">
        <f>IF(CreditAmort1BASE[[#This Row],[Month]]=R$8,N$7,0)</f>
        <v>0</v>
      </c>
      <c r="Q242" s="13">
        <f>IF(AND(L242&gt;='Amort. Sched.-BASE'!$R$8, L242&lt;= ($R$7+$R$8)), Q241+O242, 0)</f>
        <v>0</v>
      </c>
      <c r="R242" s="6" t="str">
        <f>IF(AND(L242&gt;='Amort. Sched.-BASE'!$R$8, L242&lt;= ($R$7+$R$8)), N242/M242, " ")</f>
        <v xml:space="preserve"> </v>
      </c>
      <c r="S242" s="21" t="str">
        <f>IF(AND(L242&gt;='Amort. Sched.-BASE'!$R$8, L242&lt;= ($R$7+$R$8)), O242/M242, " ")</f>
        <v xml:space="preserve"> </v>
      </c>
      <c r="U242" s="22">
        <f t="shared" si="51"/>
        <v>231</v>
      </c>
      <c r="V242" s="23">
        <f>IF(AND(U242&gt;='Amort. Sched.-BASE'!$AA$8, U242&lt;= ($AA$7+$AA$8)), PMT('Amort. Sched.-BASE'!$W$8/12, 'Amort. Sched.-BASE'!$AA$7, 'Amort. Sched.-BASE'!$W$7), 0)</f>
        <v>0</v>
      </c>
      <c r="W242" s="5">
        <f>IF(AND(U242&gt;='Amort. Sched.-BASE'!$AA$8, U242&lt;= ($AA$7+$AA$8)), (IPMT($W$8/12, (U242-$AA$8), $AA$7, $W$7)), 0)</f>
        <v>0</v>
      </c>
      <c r="X242" s="23">
        <f>IF(AND(U242&gt;='Amort. Sched.-BASE'!$AA$8, U242&lt;= ($AA$7+$AA$8)), (PPMT($W$8/12, (U242-$AA$8), $AA$7, $W$7)), 0)</f>
        <v>0</v>
      </c>
      <c r="Y242" s="5">
        <f>IF(CreditAmort2BASE[[#This Row],[Month]]=AA$8,W$7,0)</f>
        <v>0</v>
      </c>
      <c r="Z242" s="13">
        <f>IF(AND(U242&gt;='Amort. Sched.-BASE'!$AA$8, U242&lt;= ($AA$7+$AA$8)), Z241+X242, 0)</f>
        <v>0</v>
      </c>
      <c r="AA242" s="24" t="str">
        <f>IF(AND(U242&gt;='Amort. Sched.-BASE'!$AA$8, U242&lt;= ($AA$7+$AA$8)), W242/V242, " ")</f>
        <v xml:space="preserve"> </v>
      </c>
      <c r="AB242" s="25" t="str">
        <f>IF(AND(U242&gt;='Amort. Sched.-BASE'!$AA$8, U242&lt;= ($AA$7+$AA$8)), X242/V242, " ")</f>
        <v xml:space="preserve"> </v>
      </c>
      <c r="AD242" s="20">
        <f t="shared" si="52"/>
        <v>231</v>
      </c>
      <c r="AE242" s="5">
        <f t="shared" si="53"/>
        <v>0</v>
      </c>
      <c r="AF242" s="5">
        <f t="shared" si="54"/>
        <v>0</v>
      </c>
      <c r="AG242" s="5">
        <f t="shared" si="55"/>
        <v>0</v>
      </c>
      <c r="AH242" s="5">
        <f>IF(CreditAmort3BASE[[#This Row],[Month]]=AJ$8,AF$7,0)</f>
        <v>0</v>
      </c>
      <c r="AI242" s="13">
        <f t="shared" si="56"/>
        <v>0</v>
      </c>
      <c r="AJ242" s="6" t="str">
        <f t="shared" si="57"/>
        <v xml:space="preserve"> </v>
      </c>
      <c r="AK242" s="21" t="str">
        <f t="shared" si="58"/>
        <v xml:space="preserve"> </v>
      </c>
      <c r="AM242" s="20">
        <f t="shared" si="59"/>
        <v>231</v>
      </c>
      <c r="AN242" s="5">
        <f t="shared" si="60"/>
        <v>0</v>
      </c>
      <c r="AO242" s="5">
        <f t="shared" si="61"/>
        <v>0</v>
      </c>
      <c r="AP242" s="5">
        <f t="shared" si="62"/>
        <v>0</v>
      </c>
      <c r="AQ242" s="5">
        <f>IF(CreditAmort4BASE[[#This Row],[Month]]=AS$8,AO$7,0)</f>
        <v>0</v>
      </c>
      <c r="AR242" s="13">
        <f t="shared" si="63"/>
        <v>0</v>
      </c>
      <c r="AS242" s="6" t="str">
        <f t="shared" si="64"/>
        <v xml:space="preserve"> </v>
      </c>
      <c r="AT242" s="21" t="str">
        <f t="shared" si="65"/>
        <v xml:space="preserve"> </v>
      </c>
    </row>
    <row r="243" spans="3:46">
      <c r="C243" s="22">
        <f t="shared" si="17"/>
        <v>232</v>
      </c>
      <c r="D243" s="23">
        <f>IF(AND(C243&gt;='Amort. Sched.-BASE'!$I$8, C243&lt;= ($I$7+$I$8)), PMT('Amort. Sched.-BASE'!$E$8/12, 'Amort. Sched.-BASE'!$I$7, 'Amort. Sched.-BASE'!$E$7), 0)</f>
        <v>-1736.5864935892569</v>
      </c>
      <c r="E243" s="5">
        <f>IF(AND(C243&gt;='Amort. Sched.-BASE'!$I$8, C243&lt;= ($I$7+$I$8)), (IPMT($E$8/12, (C243-$I$8), $I$7, $E$7)), 0)</f>
        <v>-638.63303634378542</v>
      </c>
      <c r="F243" s="23">
        <f>IF(AND(C243&gt;='Amort. Sched.-BASE'!$I$8, C243&lt;= ($I$7+$I$8)), (PPMT($E$8/12, (C243-$I$8), $I$7, $E$7)), 0)</f>
        <v>-1097.9534572454716</v>
      </c>
      <c r="G243" s="5">
        <f>IF(MortgageAmortBASE[[#This Row],[Month]]=I$8,E$7,0)</f>
        <v>0</v>
      </c>
      <c r="H243" s="13">
        <f>IF(AND(C243&gt;='Amort. Sched.-BASE'!$I$8, C243&lt;= ($I$7+$I$8)), H242+F243, 0)</f>
        <v>94697.001994322432</v>
      </c>
      <c r="I243" s="24">
        <f>IF(AND(C243&gt;='Amort. Sched.-BASE'!$I$8, C243&lt;= ($I$7+$I$8)), E243/D243, " ")</f>
        <v>0.36775193098722614</v>
      </c>
      <c r="J243" s="25">
        <f>IF(AND(C243&gt;='Amort. Sched.-BASE'!$I$8, C243&lt;= ($I$7+$I$8)), F243/D243, " ")</f>
        <v>0.63224806901277397</v>
      </c>
      <c r="L243" s="20">
        <f t="shared" si="50"/>
        <v>232</v>
      </c>
      <c r="M243" s="5">
        <f>IF(AND(L243&gt;='Amort. Sched.-BASE'!$R$8, L243&lt;= ($R$7+$R$8)), PMT('Amort. Sched.-BASE'!$N$8/12, 'Amort. Sched.-BASE'!$R$7, 'Amort. Sched.-BASE'!$N$7), 0)</f>
        <v>0</v>
      </c>
      <c r="N243" s="5">
        <f>IF(AND(L243&gt;='Amort. Sched.-BASE'!$R$8, L243&lt;= ($R$7+$R$8)), (IPMT($N$8/12, (L243-$R$8), $R$7, $N$7)), 0)</f>
        <v>0</v>
      </c>
      <c r="O243" s="5">
        <f>IF(AND(L243&gt;='Amort. Sched.-BASE'!$R$8, L243&lt;= ($R$7+$R$8)), (PPMT($N$8/12, (L243-$R$8), $R$7, $N$7)), 0)</f>
        <v>0</v>
      </c>
      <c r="P243" s="5">
        <f>IF(CreditAmort1BASE[[#This Row],[Month]]=R$8,N$7,0)</f>
        <v>0</v>
      </c>
      <c r="Q243" s="13">
        <f>IF(AND(L243&gt;='Amort. Sched.-BASE'!$R$8, L243&lt;= ($R$7+$R$8)), Q242+O243, 0)</f>
        <v>0</v>
      </c>
      <c r="R243" s="6" t="str">
        <f>IF(AND(L243&gt;='Amort. Sched.-BASE'!$R$8, L243&lt;= ($R$7+$R$8)), N243/M243, " ")</f>
        <v xml:space="preserve"> </v>
      </c>
      <c r="S243" s="21" t="str">
        <f>IF(AND(L243&gt;='Amort. Sched.-BASE'!$R$8, L243&lt;= ($R$7+$R$8)), O243/M243, " ")</f>
        <v xml:space="preserve"> </v>
      </c>
      <c r="U243" s="22">
        <f t="shared" si="51"/>
        <v>232</v>
      </c>
      <c r="V243" s="23">
        <f>IF(AND(U243&gt;='Amort. Sched.-BASE'!$AA$8, U243&lt;= ($AA$7+$AA$8)), PMT('Amort. Sched.-BASE'!$W$8/12, 'Amort. Sched.-BASE'!$AA$7, 'Amort. Sched.-BASE'!$W$7), 0)</f>
        <v>0</v>
      </c>
      <c r="W243" s="5">
        <f>IF(AND(U243&gt;='Amort. Sched.-BASE'!$AA$8, U243&lt;= ($AA$7+$AA$8)), (IPMT($W$8/12, (U243-$AA$8), $AA$7, $W$7)), 0)</f>
        <v>0</v>
      </c>
      <c r="X243" s="23">
        <f>IF(AND(U243&gt;='Amort. Sched.-BASE'!$AA$8, U243&lt;= ($AA$7+$AA$8)), (PPMT($W$8/12, (U243-$AA$8), $AA$7, $W$7)), 0)</f>
        <v>0</v>
      </c>
      <c r="Y243" s="5">
        <f>IF(CreditAmort2BASE[[#This Row],[Month]]=AA$8,W$7,0)</f>
        <v>0</v>
      </c>
      <c r="Z243" s="13">
        <f>IF(AND(U243&gt;='Amort. Sched.-BASE'!$AA$8, U243&lt;= ($AA$7+$AA$8)), Z242+X243, 0)</f>
        <v>0</v>
      </c>
      <c r="AA243" s="24" t="str">
        <f>IF(AND(U243&gt;='Amort. Sched.-BASE'!$AA$8, U243&lt;= ($AA$7+$AA$8)), W243/V243, " ")</f>
        <v xml:space="preserve"> </v>
      </c>
      <c r="AB243" s="25" t="str">
        <f>IF(AND(U243&gt;='Amort. Sched.-BASE'!$AA$8, U243&lt;= ($AA$7+$AA$8)), X243/V243, " ")</f>
        <v xml:space="preserve"> </v>
      </c>
      <c r="AD243" s="20">
        <f t="shared" si="52"/>
        <v>232</v>
      </c>
      <c r="AE243" s="5">
        <f t="shared" si="53"/>
        <v>0</v>
      </c>
      <c r="AF243" s="5">
        <f t="shared" si="54"/>
        <v>0</v>
      </c>
      <c r="AG243" s="5">
        <f t="shared" si="55"/>
        <v>0</v>
      </c>
      <c r="AH243" s="5">
        <f>IF(CreditAmort3BASE[[#This Row],[Month]]=AJ$8,AF$7,0)</f>
        <v>0</v>
      </c>
      <c r="AI243" s="13">
        <f t="shared" si="56"/>
        <v>0</v>
      </c>
      <c r="AJ243" s="6" t="str">
        <f t="shared" si="57"/>
        <v xml:space="preserve"> </v>
      </c>
      <c r="AK243" s="21" t="str">
        <f t="shared" si="58"/>
        <v xml:space="preserve"> </v>
      </c>
      <c r="AM243" s="20">
        <f t="shared" si="59"/>
        <v>232</v>
      </c>
      <c r="AN243" s="5">
        <f t="shared" si="60"/>
        <v>0</v>
      </c>
      <c r="AO243" s="5">
        <f t="shared" si="61"/>
        <v>0</v>
      </c>
      <c r="AP243" s="5">
        <f t="shared" si="62"/>
        <v>0</v>
      </c>
      <c r="AQ243" s="5">
        <f>IF(CreditAmort4BASE[[#This Row],[Month]]=AS$8,AO$7,0)</f>
        <v>0</v>
      </c>
      <c r="AR243" s="13">
        <f t="shared" si="63"/>
        <v>0</v>
      </c>
      <c r="AS243" s="6" t="str">
        <f t="shared" si="64"/>
        <v xml:space="preserve"> </v>
      </c>
      <c r="AT243" s="21" t="str">
        <f t="shared" si="65"/>
        <v xml:space="preserve"> </v>
      </c>
    </row>
    <row r="244" spans="3:46">
      <c r="C244" s="22">
        <f t="shared" si="17"/>
        <v>233</v>
      </c>
      <c r="D244" s="23">
        <f>IF(AND(C244&gt;='Amort. Sched.-BASE'!$I$8, C244&lt;= ($I$7+$I$8)), PMT('Amort. Sched.-BASE'!$E$8/12, 'Amort. Sched.-BASE'!$I$7, 'Amort. Sched.-BASE'!$E$7), 0)</f>
        <v>-1736.5864935892569</v>
      </c>
      <c r="E244" s="5">
        <f>IF(AND(C244&gt;='Amort. Sched.-BASE'!$I$8, C244&lt;= ($I$7+$I$8)), (IPMT($E$8/12, (C244-$I$8), $I$7, $E$7)), 0)</f>
        <v>-631.31334662881557</v>
      </c>
      <c r="F244" s="23">
        <f>IF(AND(C244&gt;='Amort. Sched.-BASE'!$I$8, C244&lt;= ($I$7+$I$8)), (PPMT($E$8/12, (C244-$I$8), $I$7, $E$7)), 0)</f>
        <v>-1105.2731469604412</v>
      </c>
      <c r="G244" s="5">
        <f>IF(MortgageAmortBASE[[#This Row],[Month]]=I$8,E$7,0)</f>
        <v>0</v>
      </c>
      <c r="H244" s="13">
        <f>IF(AND(C244&gt;='Amort. Sched.-BASE'!$I$8, C244&lt;= ($I$7+$I$8)), H243+F244, 0)</f>
        <v>93591.728847361985</v>
      </c>
      <c r="I244" s="24">
        <f>IF(AND(C244&gt;='Amort. Sched.-BASE'!$I$8, C244&lt;= ($I$7+$I$8)), E244/D244, " ")</f>
        <v>0.3635369438604743</v>
      </c>
      <c r="J244" s="25">
        <f>IF(AND(C244&gt;='Amort. Sched.-BASE'!$I$8, C244&lt;= ($I$7+$I$8)), F244/D244, " ")</f>
        <v>0.6364630561395257</v>
      </c>
      <c r="L244" s="20">
        <f t="shared" si="50"/>
        <v>233</v>
      </c>
      <c r="M244" s="5">
        <f>IF(AND(L244&gt;='Amort. Sched.-BASE'!$R$8, L244&lt;= ($R$7+$R$8)), PMT('Amort. Sched.-BASE'!$N$8/12, 'Amort. Sched.-BASE'!$R$7, 'Amort. Sched.-BASE'!$N$7), 0)</f>
        <v>0</v>
      </c>
      <c r="N244" s="5">
        <f>IF(AND(L244&gt;='Amort. Sched.-BASE'!$R$8, L244&lt;= ($R$7+$R$8)), (IPMT($N$8/12, (L244-$R$8), $R$7, $N$7)), 0)</f>
        <v>0</v>
      </c>
      <c r="O244" s="5">
        <f>IF(AND(L244&gt;='Amort. Sched.-BASE'!$R$8, L244&lt;= ($R$7+$R$8)), (PPMT($N$8/12, (L244-$R$8), $R$7, $N$7)), 0)</f>
        <v>0</v>
      </c>
      <c r="P244" s="5">
        <f>IF(CreditAmort1BASE[[#This Row],[Month]]=R$8,N$7,0)</f>
        <v>0</v>
      </c>
      <c r="Q244" s="13">
        <f>IF(AND(L244&gt;='Amort. Sched.-BASE'!$R$8, L244&lt;= ($R$7+$R$8)), Q243+O244, 0)</f>
        <v>0</v>
      </c>
      <c r="R244" s="6" t="str">
        <f>IF(AND(L244&gt;='Amort. Sched.-BASE'!$R$8, L244&lt;= ($R$7+$R$8)), N244/M244, " ")</f>
        <v xml:space="preserve"> </v>
      </c>
      <c r="S244" s="21" t="str">
        <f>IF(AND(L244&gt;='Amort. Sched.-BASE'!$R$8, L244&lt;= ($R$7+$R$8)), O244/M244, " ")</f>
        <v xml:space="preserve"> </v>
      </c>
      <c r="U244" s="22">
        <f t="shared" si="51"/>
        <v>233</v>
      </c>
      <c r="V244" s="23">
        <f>IF(AND(U244&gt;='Amort. Sched.-BASE'!$AA$8, U244&lt;= ($AA$7+$AA$8)), PMT('Amort. Sched.-BASE'!$W$8/12, 'Amort. Sched.-BASE'!$AA$7, 'Amort. Sched.-BASE'!$W$7), 0)</f>
        <v>0</v>
      </c>
      <c r="W244" s="5">
        <f>IF(AND(U244&gt;='Amort. Sched.-BASE'!$AA$8, U244&lt;= ($AA$7+$AA$8)), (IPMT($W$8/12, (U244-$AA$8), $AA$7, $W$7)), 0)</f>
        <v>0</v>
      </c>
      <c r="X244" s="23">
        <f>IF(AND(U244&gt;='Amort. Sched.-BASE'!$AA$8, U244&lt;= ($AA$7+$AA$8)), (PPMT($W$8/12, (U244-$AA$8), $AA$7, $W$7)), 0)</f>
        <v>0</v>
      </c>
      <c r="Y244" s="5">
        <f>IF(CreditAmort2BASE[[#This Row],[Month]]=AA$8,W$7,0)</f>
        <v>0</v>
      </c>
      <c r="Z244" s="13">
        <f>IF(AND(U244&gt;='Amort. Sched.-BASE'!$AA$8, U244&lt;= ($AA$7+$AA$8)), Z243+X244, 0)</f>
        <v>0</v>
      </c>
      <c r="AA244" s="24" t="str">
        <f>IF(AND(U244&gt;='Amort. Sched.-BASE'!$AA$8, U244&lt;= ($AA$7+$AA$8)), W244/V244, " ")</f>
        <v xml:space="preserve"> </v>
      </c>
      <c r="AB244" s="25" t="str">
        <f>IF(AND(U244&gt;='Amort. Sched.-BASE'!$AA$8, U244&lt;= ($AA$7+$AA$8)), X244/V244, " ")</f>
        <v xml:space="preserve"> </v>
      </c>
      <c r="AD244" s="20">
        <f t="shared" si="52"/>
        <v>233</v>
      </c>
      <c r="AE244" s="5">
        <f t="shared" si="53"/>
        <v>0</v>
      </c>
      <c r="AF244" s="5">
        <f t="shared" si="54"/>
        <v>0</v>
      </c>
      <c r="AG244" s="5">
        <f t="shared" si="55"/>
        <v>0</v>
      </c>
      <c r="AH244" s="5">
        <f>IF(CreditAmort3BASE[[#This Row],[Month]]=AJ$8,AF$7,0)</f>
        <v>0</v>
      </c>
      <c r="AI244" s="13">
        <f t="shared" si="56"/>
        <v>0</v>
      </c>
      <c r="AJ244" s="6" t="str">
        <f t="shared" si="57"/>
        <v xml:space="preserve"> </v>
      </c>
      <c r="AK244" s="21" t="str">
        <f t="shared" si="58"/>
        <v xml:space="preserve"> </v>
      </c>
      <c r="AM244" s="20">
        <f t="shared" si="59"/>
        <v>233</v>
      </c>
      <c r="AN244" s="5">
        <f t="shared" si="60"/>
        <v>0</v>
      </c>
      <c r="AO244" s="5">
        <f t="shared" si="61"/>
        <v>0</v>
      </c>
      <c r="AP244" s="5">
        <f t="shared" si="62"/>
        <v>0</v>
      </c>
      <c r="AQ244" s="5">
        <f>IF(CreditAmort4BASE[[#This Row],[Month]]=AS$8,AO$7,0)</f>
        <v>0</v>
      </c>
      <c r="AR244" s="13">
        <f t="shared" si="63"/>
        <v>0</v>
      </c>
      <c r="AS244" s="6" t="str">
        <f t="shared" si="64"/>
        <v xml:space="preserve"> </v>
      </c>
      <c r="AT244" s="21" t="str">
        <f t="shared" si="65"/>
        <v xml:space="preserve"> </v>
      </c>
    </row>
    <row r="245" spans="3:46">
      <c r="C245" s="22">
        <f t="shared" si="17"/>
        <v>234</v>
      </c>
      <c r="D245" s="23">
        <f>IF(AND(C245&gt;='Amort. Sched.-BASE'!$I$8, C245&lt;= ($I$7+$I$8)), PMT('Amort. Sched.-BASE'!$E$8/12, 'Amort. Sched.-BASE'!$I$7, 'Amort. Sched.-BASE'!$E$7), 0)</f>
        <v>-1736.5864935892569</v>
      </c>
      <c r="E245" s="5">
        <f>IF(AND(C245&gt;='Amort. Sched.-BASE'!$I$8, C245&lt;= ($I$7+$I$8)), (IPMT($E$8/12, (C245-$I$8), $I$7, $E$7)), 0)</f>
        <v>-623.94485898241271</v>
      </c>
      <c r="F245" s="23">
        <f>IF(AND(C245&gt;='Amort. Sched.-BASE'!$I$8, C245&lt;= ($I$7+$I$8)), (PPMT($E$8/12, (C245-$I$8), $I$7, $E$7)), 0)</f>
        <v>-1112.6416346068443</v>
      </c>
      <c r="G245" s="5">
        <f>IF(MortgageAmortBASE[[#This Row],[Month]]=I$8,E$7,0)</f>
        <v>0</v>
      </c>
      <c r="H245" s="13">
        <f>IF(AND(C245&gt;='Amort. Sched.-BASE'!$I$8, C245&lt;= ($I$7+$I$8)), H244+F245, 0)</f>
        <v>92479.087212755141</v>
      </c>
      <c r="I245" s="24">
        <f>IF(AND(C245&gt;='Amort. Sched.-BASE'!$I$8, C245&lt;= ($I$7+$I$8)), E245/D245, " ")</f>
        <v>0.35929385681954418</v>
      </c>
      <c r="J245" s="25">
        <f>IF(AND(C245&gt;='Amort. Sched.-BASE'!$I$8, C245&lt;= ($I$7+$I$8)), F245/D245, " ")</f>
        <v>0.64070614318045593</v>
      </c>
      <c r="L245" s="20">
        <f t="shared" si="50"/>
        <v>234</v>
      </c>
      <c r="M245" s="5">
        <f>IF(AND(L245&gt;='Amort. Sched.-BASE'!$R$8, L245&lt;= ($R$7+$R$8)), PMT('Amort. Sched.-BASE'!$N$8/12, 'Amort. Sched.-BASE'!$R$7, 'Amort. Sched.-BASE'!$N$7), 0)</f>
        <v>0</v>
      </c>
      <c r="N245" s="5">
        <f>IF(AND(L245&gt;='Amort. Sched.-BASE'!$R$8, L245&lt;= ($R$7+$R$8)), (IPMT($N$8/12, (L245-$R$8), $R$7, $N$7)), 0)</f>
        <v>0</v>
      </c>
      <c r="O245" s="5">
        <f>IF(AND(L245&gt;='Amort. Sched.-BASE'!$R$8, L245&lt;= ($R$7+$R$8)), (PPMT($N$8/12, (L245-$R$8), $R$7, $N$7)), 0)</f>
        <v>0</v>
      </c>
      <c r="P245" s="5">
        <f>IF(CreditAmort1BASE[[#This Row],[Month]]=R$8,N$7,0)</f>
        <v>0</v>
      </c>
      <c r="Q245" s="13">
        <f>IF(AND(L245&gt;='Amort. Sched.-BASE'!$R$8, L245&lt;= ($R$7+$R$8)), Q244+O245, 0)</f>
        <v>0</v>
      </c>
      <c r="R245" s="6" t="str">
        <f>IF(AND(L245&gt;='Amort. Sched.-BASE'!$R$8, L245&lt;= ($R$7+$R$8)), N245/M245, " ")</f>
        <v xml:space="preserve"> </v>
      </c>
      <c r="S245" s="21" t="str">
        <f>IF(AND(L245&gt;='Amort. Sched.-BASE'!$R$8, L245&lt;= ($R$7+$R$8)), O245/M245, " ")</f>
        <v xml:space="preserve"> </v>
      </c>
      <c r="U245" s="22">
        <f t="shared" si="51"/>
        <v>234</v>
      </c>
      <c r="V245" s="23">
        <f>IF(AND(U245&gt;='Amort. Sched.-BASE'!$AA$8, U245&lt;= ($AA$7+$AA$8)), PMT('Amort. Sched.-BASE'!$W$8/12, 'Amort. Sched.-BASE'!$AA$7, 'Amort. Sched.-BASE'!$W$7), 0)</f>
        <v>0</v>
      </c>
      <c r="W245" s="5">
        <f>IF(AND(U245&gt;='Amort. Sched.-BASE'!$AA$8, U245&lt;= ($AA$7+$AA$8)), (IPMT($W$8/12, (U245-$AA$8), $AA$7, $W$7)), 0)</f>
        <v>0</v>
      </c>
      <c r="X245" s="23">
        <f>IF(AND(U245&gt;='Amort. Sched.-BASE'!$AA$8, U245&lt;= ($AA$7+$AA$8)), (PPMT($W$8/12, (U245-$AA$8), $AA$7, $W$7)), 0)</f>
        <v>0</v>
      </c>
      <c r="Y245" s="5">
        <f>IF(CreditAmort2BASE[[#This Row],[Month]]=AA$8,W$7,0)</f>
        <v>0</v>
      </c>
      <c r="Z245" s="13">
        <f>IF(AND(U245&gt;='Amort. Sched.-BASE'!$AA$8, U245&lt;= ($AA$7+$AA$8)), Z244+X245, 0)</f>
        <v>0</v>
      </c>
      <c r="AA245" s="24" t="str">
        <f>IF(AND(U245&gt;='Amort. Sched.-BASE'!$AA$8, U245&lt;= ($AA$7+$AA$8)), W245/V245, " ")</f>
        <v xml:space="preserve"> </v>
      </c>
      <c r="AB245" s="25" t="str">
        <f>IF(AND(U245&gt;='Amort. Sched.-BASE'!$AA$8, U245&lt;= ($AA$7+$AA$8)), X245/V245, " ")</f>
        <v xml:space="preserve"> </v>
      </c>
      <c r="AD245" s="20">
        <f t="shared" si="52"/>
        <v>234</v>
      </c>
      <c r="AE245" s="5">
        <f t="shared" si="53"/>
        <v>0</v>
      </c>
      <c r="AF245" s="5">
        <f t="shared" si="54"/>
        <v>0</v>
      </c>
      <c r="AG245" s="5">
        <f t="shared" si="55"/>
        <v>0</v>
      </c>
      <c r="AH245" s="5">
        <f>IF(CreditAmort3BASE[[#This Row],[Month]]=AJ$8,AF$7,0)</f>
        <v>0</v>
      </c>
      <c r="AI245" s="13">
        <f t="shared" si="56"/>
        <v>0</v>
      </c>
      <c r="AJ245" s="6" t="str">
        <f t="shared" si="57"/>
        <v xml:space="preserve"> </v>
      </c>
      <c r="AK245" s="21" t="str">
        <f t="shared" si="58"/>
        <v xml:space="preserve"> </v>
      </c>
      <c r="AM245" s="20">
        <f t="shared" si="59"/>
        <v>234</v>
      </c>
      <c r="AN245" s="5">
        <f t="shared" si="60"/>
        <v>0</v>
      </c>
      <c r="AO245" s="5">
        <f t="shared" si="61"/>
        <v>0</v>
      </c>
      <c r="AP245" s="5">
        <f t="shared" si="62"/>
        <v>0</v>
      </c>
      <c r="AQ245" s="5">
        <f>IF(CreditAmort4BASE[[#This Row],[Month]]=AS$8,AO$7,0)</f>
        <v>0</v>
      </c>
      <c r="AR245" s="13">
        <f t="shared" si="63"/>
        <v>0</v>
      </c>
      <c r="AS245" s="6" t="str">
        <f t="shared" si="64"/>
        <v xml:space="preserve"> </v>
      </c>
      <c r="AT245" s="21" t="str">
        <f t="shared" si="65"/>
        <v xml:space="preserve"> </v>
      </c>
    </row>
    <row r="246" spans="3:46">
      <c r="C246" s="22">
        <f t="shared" si="17"/>
        <v>235</v>
      </c>
      <c r="D246" s="23">
        <f>IF(AND(C246&gt;='Amort. Sched.-BASE'!$I$8, C246&lt;= ($I$7+$I$8)), PMT('Amort. Sched.-BASE'!$E$8/12, 'Amort. Sched.-BASE'!$I$7, 'Amort. Sched.-BASE'!$E$7), 0)</f>
        <v>-1736.5864935892569</v>
      </c>
      <c r="E246" s="5">
        <f>IF(AND(C246&gt;='Amort. Sched.-BASE'!$I$8, C246&lt;= ($I$7+$I$8)), (IPMT($E$8/12, (C246-$I$8), $I$7, $E$7)), 0)</f>
        <v>-616.52724808503376</v>
      </c>
      <c r="F246" s="23">
        <f>IF(AND(C246&gt;='Amort. Sched.-BASE'!$I$8, C246&lt;= ($I$7+$I$8)), (PPMT($E$8/12, (C246-$I$8), $I$7, $E$7)), 0)</f>
        <v>-1120.0592455042231</v>
      </c>
      <c r="G246" s="5">
        <f>IF(MortgageAmortBASE[[#This Row],[Month]]=I$8,E$7,0)</f>
        <v>0</v>
      </c>
      <c r="H246" s="13">
        <f>IF(AND(C246&gt;='Amort. Sched.-BASE'!$I$8, C246&lt;= ($I$7+$I$8)), H245+F246, 0)</f>
        <v>91359.02796725092</v>
      </c>
      <c r="I246" s="24">
        <f>IF(AND(C246&gt;='Amort. Sched.-BASE'!$I$8, C246&lt;= ($I$7+$I$8)), E246/D246, " ")</f>
        <v>0.35502248253167445</v>
      </c>
      <c r="J246" s="25">
        <f>IF(AND(C246&gt;='Amort. Sched.-BASE'!$I$8, C246&lt;= ($I$7+$I$8)), F246/D246, " ")</f>
        <v>0.64497751746832555</v>
      </c>
      <c r="L246" s="20">
        <f t="shared" si="50"/>
        <v>235</v>
      </c>
      <c r="M246" s="5">
        <f>IF(AND(L246&gt;='Amort. Sched.-BASE'!$R$8, L246&lt;= ($R$7+$R$8)), PMT('Amort. Sched.-BASE'!$N$8/12, 'Amort. Sched.-BASE'!$R$7, 'Amort. Sched.-BASE'!$N$7), 0)</f>
        <v>0</v>
      </c>
      <c r="N246" s="5">
        <f>IF(AND(L246&gt;='Amort. Sched.-BASE'!$R$8, L246&lt;= ($R$7+$R$8)), (IPMT($N$8/12, (L246-$R$8), $R$7, $N$7)), 0)</f>
        <v>0</v>
      </c>
      <c r="O246" s="5">
        <f>IF(AND(L246&gt;='Amort. Sched.-BASE'!$R$8, L246&lt;= ($R$7+$R$8)), (PPMT($N$8/12, (L246-$R$8), $R$7, $N$7)), 0)</f>
        <v>0</v>
      </c>
      <c r="P246" s="5">
        <f>IF(CreditAmort1BASE[[#This Row],[Month]]=R$8,N$7,0)</f>
        <v>0</v>
      </c>
      <c r="Q246" s="13">
        <f>IF(AND(L246&gt;='Amort. Sched.-BASE'!$R$8, L246&lt;= ($R$7+$R$8)), Q245+O246, 0)</f>
        <v>0</v>
      </c>
      <c r="R246" s="6" t="str">
        <f>IF(AND(L246&gt;='Amort. Sched.-BASE'!$R$8, L246&lt;= ($R$7+$R$8)), N246/M246, " ")</f>
        <v xml:space="preserve"> </v>
      </c>
      <c r="S246" s="21" t="str">
        <f>IF(AND(L246&gt;='Amort. Sched.-BASE'!$R$8, L246&lt;= ($R$7+$R$8)), O246/M246, " ")</f>
        <v xml:space="preserve"> </v>
      </c>
      <c r="U246" s="22">
        <f t="shared" si="51"/>
        <v>235</v>
      </c>
      <c r="V246" s="23">
        <f>IF(AND(U246&gt;='Amort. Sched.-BASE'!$AA$8, U246&lt;= ($AA$7+$AA$8)), PMT('Amort. Sched.-BASE'!$W$8/12, 'Amort. Sched.-BASE'!$AA$7, 'Amort. Sched.-BASE'!$W$7), 0)</f>
        <v>0</v>
      </c>
      <c r="W246" s="5">
        <f>IF(AND(U246&gt;='Amort. Sched.-BASE'!$AA$8, U246&lt;= ($AA$7+$AA$8)), (IPMT($W$8/12, (U246-$AA$8), $AA$7, $W$7)), 0)</f>
        <v>0</v>
      </c>
      <c r="X246" s="23">
        <f>IF(AND(U246&gt;='Amort. Sched.-BASE'!$AA$8, U246&lt;= ($AA$7+$AA$8)), (PPMT($W$8/12, (U246-$AA$8), $AA$7, $W$7)), 0)</f>
        <v>0</v>
      </c>
      <c r="Y246" s="5">
        <f>IF(CreditAmort2BASE[[#This Row],[Month]]=AA$8,W$7,0)</f>
        <v>0</v>
      </c>
      <c r="Z246" s="13">
        <f>IF(AND(U246&gt;='Amort. Sched.-BASE'!$AA$8, U246&lt;= ($AA$7+$AA$8)), Z245+X246, 0)</f>
        <v>0</v>
      </c>
      <c r="AA246" s="24" t="str">
        <f>IF(AND(U246&gt;='Amort. Sched.-BASE'!$AA$8, U246&lt;= ($AA$7+$AA$8)), W246/V246, " ")</f>
        <v xml:space="preserve"> </v>
      </c>
      <c r="AB246" s="25" t="str">
        <f>IF(AND(U246&gt;='Amort. Sched.-BASE'!$AA$8, U246&lt;= ($AA$7+$AA$8)), X246/V246, " ")</f>
        <v xml:space="preserve"> </v>
      </c>
      <c r="AD246" s="20">
        <f t="shared" si="52"/>
        <v>235</v>
      </c>
      <c r="AE246" s="5">
        <f t="shared" si="53"/>
        <v>0</v>
      </c>
      <c r="AF246" s="5">
        <f t="shared" si="54"/>
        <v>0</v>
      </c>
      <c r="AG246" s="5">
        <f t="shared" si="55"/>
        <v>0</v>
      </c>
      <c r="AH246" s="5">
        <f>IF(CreditAmort3BASE[[#This Row],[Month]]=AJ$8,AF$7,0)</f>
        <v>0</v>
      </c>
      <c r="AI246" s="13">
        <f t="shared" si="56"/>
        <v>0</v>
      </c>
      <c r="AJ246" s="6" t="str">
        <f t="shared" si="57"/>
        <v xml:space="preserve"> </v>
      </c>
      <c r="AK246" s="21" t="str">
        <f t="shared" si="58"/>
        <v xml:space="preserve"> </v>
      </c>
      <c r="AM246" s="20">
        <f t="shared" si="59"/>
        <v>235</v>
      </c>
      <c r="AN246" s="5">
        <f t="shared" si="60"/>
        <v>0</v>
      </c>
      <c r="AO246" s="5">
        <f t="shared" si="61"/>
        <v>0</v>
      </c>
      <c r="AP246" s="5">
        <f t="shared" si="62"/>
        <v>0</v>
      </c>
      <c r="AQ246" s="5">
        <f>IF(CreditAmort4BASE[[#This Row],[Month]]=AS$8,AO$7,0)</f>
        <v>0</v>
      </c>
      <c r="AR246" s="13">
        <f t="shared" si="63"/>
        <v>0</v>
      </c>
      <c r="AS246" s="6" t="str">
        <f t="shared" si="64"/>
        <v xml:space="preserve"> </v>
      </c>
      <c r="AT246" s="21" t="str">
        <f t="shared" si="65"/>
        <v xml:space="preserve"> </v>
      </c>
    </row>
    <row r="247" spans="3:46">
      <c r="C247" s="22">
        <f t="shared" si="17"/>
        <v>236</v>
      </c>
      <c r="D247" s="23">
        <f>IF(AND(C247&gt;='Amort. Sched.-BASE'!$I$8, C247&lt;= ($I$7+$I$8)), PMT('Amort. Sched.-BASE'!$E$8/12, 'Amort. Sched.-BASE'!$I$7, 'Amort. Sched.-BASE'!$E$7), 0)</f>
        <v>-1736.5864935892569</v>
      </c>
      <c r="E247" s="5">
        <f>IF(AND(C247&gt;='Amort. Sched.-BASE'!$I$8, C247&lt;= ($I$7+$I$8)), (IPMT($E$8/12, (C247-$I$8), $I$7, $E$7)), 0)</f>
        <v>-609.06018644833898</v>
      </c>
      <c r="F247" s="23">
        <f>IF(AND(C247&gt;='Amort. Sched.-BASE'!$I$8, C247&lt;= ($I$7+$I$8)), (PPMT($E$8/12, (C247-$I$8), $I$7, $E$7)), 0)</f>
        <v>-1127.5263071409179</v>
      </c>
      <c r="G247" s="5">
        <f>IF(MortgageAmortBASE[[#This Row],[Month]]=I$8,E$7,0)</f>
        <v>0</v>
      </c>
      <c r="H247" s="13">
        <f>IF(AND(C247&gt;='Amort. Sched.-BASE'!$I$8, C247&lt;= ($I$7+$I$8)), H246+F247, 0)</f>
        <v>90231.501660110007</v>
      </c>
      <c r="I247" s="24">
        <f>IF(AND(C247&gt;='Amort. Sched.-BASE'!$I$8, C247&lt;= ($I$7+$I$8)), E247/D247, " ")</f>
        <v>0.350722632415219</v>
      </c>
      <c r="J247" s="25">
        <f>IF(AND(C247&gt;='Amort. Sched.-BASE'!$I$8, C247&lt;= ($I$7+$I$8)), F247/D247, " ")</f>
        <v>0.64927736758478105</v>
      </c>
      <c r="L247" s="20">
        <f t="shared" si="50"/>
        <v>236</v>
      </c>
      <c r="M247" s="5">
        <f>IF(AND(L247&gt;='Amort. Sched.-BASE'!$R$8, L247&lt;= ($R$7+$R$8)), PMT('Amort. Sched.-BASE'!$N$8/12, 'Amort. Sched.-BASE'!$R$7, 'Amort. Sched.-BASE'!$N$7), 0)</f>
        <v>0</v>
      </c>
      <c r="N247" s="5">
        <f>IF(AND(L247&gt;='Amort. Sched.-BASE'!$R$8, L247&lt;= ($R$7+$R$8)), (IPMT($N$8/12, (L247-$R$8), $R$7, $N$7)), 0)</f>
        <v>0</v>
      </c>
      <c r="O247" s="5">
        <f>IF(AND(L247&gt;='Amort. Sched.-BASE'!$R$8, L247&lt;= ($R$7+$R$8)), (PPMT($N$8/12, (L247-$R$8), $R$7, $N$7)), 0)</f>
        <v>0</v>
      </c>
      <c r="P247" s="5">
        <f>IF(CreditAmort1BASE[[#This Row],[Month]]=R$8,N$7,0)</f>
        <v>0</v>
      </c>
      <c r="Q247" s="13">
        <f>IF(AND(L247&gt;='Amort. Sched.-BASE'!$R$8, L247&lt;= ($R$7+$R$8)), Q246+O247, 0)</f>
        <v>0</v>
      </c>
      <c r="R247" s="6" t="str">
        <f>IF(AND(L247&gt;='Amort. Sched.-BASE'!$R$8, L247&lt;= ($R$7+$R$8)), N247/M247, " ")</f>
        <v xml:space="preserve"> </v>
      </c>
      <c r="S247" s="21" t="str">
        <f>IF(AND(L247&gt;='Amort. Sched.-BASE'!$R$8, L247&lt;= ($R$7+$R$8)), O247/M247, " ")</f>
        <v xml:space="preserve"> </v>
      </c>
      <c r="U247" s="22">
        <f t="shared" si="51"/>
        <v>236</v>
      </c>
      <c r="V247" s="23">
        <f>IF(AND(U247&gt;='Amort. Sched.-BASE'!$AA$8, U247&lt;= ($AA$7+$AA$8)), PMT('Amort. Sched.-BASE'!$W$8/12, 'Amort. Sched.-BASE'!$AA$7, 'Amort. Sched.-BASE'!$W$7), 0)</f>
        <v>0</v>
      </c>
      <c r="W247" s="5">
        <f>IF(AND(U247&gt;='Amort. Sched.-BASE'!$AA$8, U247&lt;= ($AA$7+$AA$8)), (IPMT($W$8/12, (U247-$AA$8), $AA$7, $W$7)), 0)</f>
        <v>0</v>
      </c>
      <c r="X247" s="23">
        <f>IF(AND(U247&gt;='Amort. Sched.-BASE'!$AA$8, U247&lt;= ($AA$7+$AA$8)), (PPMT($W$8/12, (U247-$AA$8), $AA$7, $W$7)), 0)</f>
        <v>0</v>
      </c>
      <c r="Y247" s="5">
        <f>IF(CreditAmort2BASE[[#This Row],[Month]]=AA$8,W$7,0)</f>
        <v>0</v>
      </c>
      <c r="Z247" s="13">
        <f>IF(AND(U247&gt;='Amort. Sched.-BASE'!$AA$8, U247&lt;= ($AA$7+$AA$8)), Z246+X247, 0)</f>
        <v>0</v>
      </c>
      <c r="AA247" s="24" t="str">
        <f>IF(AND(U247&gt;='Amort. Sched.-BASE'!$AA$8, U247&lt;= ($AA$7+$AA$8)), W247/V247, " ")</f>
        <v xml:space="preserve"> </v>
      </c>
      <c r="AB247" s="25" t="str">
        <f>IF(AND(U247&gt;='Amort. Sched.-BASE'!$AA$8, U247&lt;= ($AA$7+$AA$8)), X247/V247, " ")</f>
        <v xml:space="preserve"> </v>
      </c>
      <c r="AD247" s="20">
        <f t="shared" si="52"/>
        <v>236</v>
      </c>
      <c r="AE247" s="5">
        <f t="shared" si="53"/>
        <v>0</v>
      </c>
      <c r="AF247" s="5">
        <f t="shared" si="54"/>
        <v>0</v>
      </c>
      <c r="AG247" s="5">
        <f t="shared" si="55"/>
        <v>0</v>
      </c>
      <c r="AH247" s="5">
        <f>IF(CreditAmort3BASE[[#This Row],[Month]]=AJ$8,AF$7,0)</f>
        <v>0</v>
      </c>
      <c r="AI247" s="13">
        <f t="shared" si="56"/>
        <v>0</v>
      </c>
      <c r="AJ247" s="6" t="str">
        <f t="shared" si="57"/>
        <v xml:space="preserve"> </v>
      </c>
      <c r="AK247" s="21" t="str">
        <f t="shared" si="58"/>
        <v xml:space="preserve"> </v>
      </c>
      <c r="AM247" s="20">
        <f t="shared" si="59"/>
        <v>236</v>
      </c>
      <c r="AN247" s="5">
        <f t="shared" si="60"/>
        <v>0</v>
      </c>
      <c r="AO247" s="5">
        <f t="shared" si="61"/>
        <v>0</v>
      </c>
      <c r="AP247" s="5">
        <f t="shared" si="62"/>
        <v>0</v>
      </c>
      <c r="AQ247" s="5">
        <f>IF(CreditAmort4BASE[[#This Row],[Month]]=AS$8,AO$7,0)</f>
        <v>0</v>
      </c>
      <c r="AR247" s="13">
        <f t="shared" si="63"/>
        <v>0</v>
      </c>
      <c r="AS247" s="6" t="str">
        <f t="shared" si="64"/>
        <v xml:space="preserve"> </v>
      </c>
      <c r="AT247" s="21" t="str">
        <f t="shared" si="65"/>
        <v xml:space="preserve"> </v>
      </c>
    </row>
    <row r="248" spans="3:46">
      <c r="C248" s="22">
        <f t="shared" si="17"/>
        <v>237</v>
      </c>
      <c r="D248" s="23">
        <f>IF(AND(C248&gt;='Amort. Sched.-BASE'!$I$8, C248&lt;= ($I$7+$I$8)), PMT('Amort. Sched.-BASE'!$E$8/12, 'Amort. Sched.-BASE'!$I$7, 'Amort. Sched.-BASE'!$E$7), 0)</f>
        <v>-1736.5864935892569</v>
      </c>
      <c r="E248" s="5">
        <f>IF(AND(C248&gt;='Amort. Sched.-BASE'!$I$8, C248&lt;= ($I$7+$I$8)), (IPMT($E$8/12, (C248-$I$8), $I$7, $E$7)), 0)</f>
        <v>-601.54334440073285</v>
      </c>
      <c r="F248" s="23">
        <f>IF(AND(C248&gt;='Amort. Sched.-BASE'!$I$8, C248&lt;= ($I$7+$I$8)), (PPMT($E$8/12, (C248-$I$8), $I$7, $E$7)), 0)</f>
        <v>-1135.0431491885242</v>
      </c>
      <c r="G248" s="5">
        <f>IF(MortgageAmortBASE[[#This Row],[Month]]=I$8,E$7,0)</f>
        <v>0</v>
      </c>
      <c r="H248" s="13">
        <f>IF(AND(C248&gt;='Amort. Sched.-BASE'!$I$8, C248&lt;= ($I$7+$I$8)), H247+F248, 0)</f>
        <v>89096.458510921482</v>
      </c>
      <c r="I248" s="24">
        <f>IF(AND(C248&gt;='Amort. Sched.-BASE'!$I$8, C248&lt;= ($I$7+$I$8)), E248/D248, " ")</f>
        <v>0.34639411663132041</v>
      </c>
      <c r="J248" s="25">
        <f>IF(AND(C248&gt;='Amort. Sched.-BASE'!$I$8, C248&lt;= ($I$7+$I$8)), F248/D248, " ")</f>
        <v>0.65360588336867964</v>
      </c>
      <c r="L248" s="20">
        <f t="shared" si="50"/>
        <v>237</v>
      </c>
      <c r="M248" s="5">
        <f>IF(AND(L248&gt;='Amort. Sched.-BASE'!$R$8, L248&lt;= ($R$7+$R$8)), PMT('Amort. Sched.-BASE'!$N$8/12, 'Amort. Sched.-BASE'!$R$7, 'Amort. Sched.-BASE'!$N$7), 0)</f>
        <v>0</v>
      </c>
      <c r="N248" s="5">
        <f>IF(AND(L248&gt;='Amort. Sched.-BASE'!$R$8, L248&lt;= ($R$7+$R$8)), (IPMT($N$8/12, (L248-$R$8), $R$7, $N$7)), 0)</f>
        <v>0</v>
      </c>
      <c r="O248" s="5">
        <f>IF(AND(L248&gt;='Amort. Sched.-BASE'!$R$8, L248&lt;= ($R$7+$R$8)), (PPMT($N$8/12, (L248-$R$8), $R$7, $N$7)), 0)</f>
        <v>0</v>
      </c>
      <c r="P248" s="5">
        <f>IF(CreditAmort1BASE[[#This Row],[Month]]=R$8,N$7,0)</f>
        <v>0</v>
      </c>
      <c r="Q248" s="13">
        <f>IF(AND(L248&gt;='Amort. Sched.-BASE'!$R$8, L248&lt;= ($R$7+$R$8)), Q247+O248, 0)</f>
        <v>0</v>
      </c>
      <c r="R248" s="6" t="str">
        <f>IF(AND(L248&gt;='Amort. Sched.-BASE'!$R$8, L248&lt;= ($R$7+$R$8)), N248/M248, " ")</f>
        <v xml:space="preserve"> </v>
      </c>
      <c r="S248" s="21" t="str">
        <f>IF(AND(L248&gt;='Amort. Sched.-BASE'!$R$8, L248&lt;= ($R$7+$R$8)), O248/M248, " ")</f>
        <v xml:space="preserve"> </v>
      </c>
      <c r="U248" s="22">
        <f t="shared" si="51"/>
        <v>237</v>
      </c>
      <c r="V248" s="23">
        <f>IF(AND(U248&gt;='Amort. Sched.-BASE'!$AA$8, U248&lt;= ($AA$7+$AA$8)), PMT('Amort. Sched.-BASE'!$W$8/12, 'Amort. Sched.-BASE'!$AA$7, 'Amort. Sched.-BASE'!$W$7), 0)</f>
        <v>0</v>
      </c>
      <c r="W248" s="5">
        <f>IF(AND(U248&gt;='Amort. Sched.-BASE'!$AA$8, U248&lt;= ($AA$7+$AA$8)), (IPMT($W$8/12, (U248-$AA$8), $AA$7, $W$7)), 0)</f>
        <v>0</v>
      </c>
      <c r="X248" s="23">
        <f>IF(AND(U248&gt;='Amort. Sched.-BASE'!$AA$8, U248&lt;= ($AA$7+$AA$8)), (PPMT($W$8/12, (U248-$AA$8), $AA$7, $W$7)), 0)</f>
        <v>0</v>
      </c>
      <c r="Y248" s="5">
        <f>IF(CreditAmort2BASE[[#This Row],[Month]]=AA$8,W$7,0)</f>
        <v>0</v>
      </c>
      <c r="Z248" s="13">
        <f>IF(AND(U248&gt;='Amort. Sched.-BASE'!$AA$8, U248&lt;= ($AA$7+$AA$8)), Z247+X248, 0)</f>
        <v>0</v>
      </c>
      <c r="AA248" s="24" t="str">
        <f>IF(AND(U248&gt;='Amort. Sched.-BASE'!$AA$8, U248&lt;= ($AA$7+$AA$8)), W248/V248, " ")</f>
        <v xml:space="preserve"> </v>
      </c>
      <c r="AB248" s="25" t="str">
        <f>IF(AND(U248&gt;='Amort. Sched.-BASE'!$AA$8, U248&lt;= ($AA$7+$AA$8)), X248/V248, " ")</f>
        <v xml:space="preserve"> </v>
      </c>
      <c r="AD248" s="20">
        <f t="shared" si="52"/>
        <v>237</v>
      </c>
      <c r="AE248" s="5">
        <f t="shared" si="53"/>
        <v>0</v>
      </c>
      <c r="AF248" s="5">
        <f t="shared" si="54"/>
        <v>0</v>
      </c>
      <c r="AG248" s="5">
        <f t="shared" si="55"/>
        <v>0</v>
      </c>
      <c r="AH248" s="5">
        <f>IF(CreditAmort3BASE[[#This Row],[Month]]=AJ$8,AF$7,0)</f>
        <v>0</v>
      </c>
      <c r="AI248" s="13">
        <f t="shared" si="56"/>
        <v>0</v>
      </c>
      <c r="AJ248" s="6" t="str">
        <f t="shared" si="57"/>
        <v xml:space="preserve"> </v>
      </c>
      <c r="AK248" s="21" t="str">
        <f t="shared" si="58"/>
        <v xml:space="preserve"> </v>
      </c>
      <c r="AM248" s="20">
        <f t="shared" si="59"/>
        <v>237</v>
      </c>
      <c r="AN248" s="5">
        <f t="shared" si="60"/>
        <v>0</v>
      </c>
      <c r="AO248" s="5">
        <f t="shared" si="61"/>
        <v>0</v>
      </c>
      <c r="AP248" s="5">
        <f t="shared" si="62"/>
        <v>0</v>
      </c>
      <c r="AQ248" s="5">
        <f>IF(CreditAmort4BASE[[#This Row],[Month]]=AS$8,AO$7,0)</f>
        <v>0</v>
      </c>
      <c r="AR248" s="13">
        <f t="shared" si="63"/>
        <v>0</v>
      </c>
      <c r="AS248" s="6" t="str">
        <f t="shared" si="64"/>
        <v xml:space="preserve"> </v>
      </c>
      <c r="AT248" s="21" t="str">
        <f t="shared" si="65"/>
        <v xml:space="preserve"> </v>
      </c>
    </row>
    <row r="249" spans="3:46">
      <c r="C249" s="22">
        <f t="shared" si="17"/>
        <v>238</v>
      </c>
      <c r="D249" s="23">
        <f>IF(AND(C249&gt;='Amort. Sched.-BASE'!$I$8, C249&lt;= ($I$7+$I$8)), PMT('Amort. Sched.-BASE'!$E$8/12, 'Amort. Sched.-BASE'!$I$7, 'Amort. Sched.-BASE'!$E$7), 0)</f>
        <v>-1736.5864935892569</v>
      </c>
      <c r="E249" s="5">
        <f>IF(AND(C249&gt;='Amort. Sched.-BASE'!$I$8, C249&lt;= ($I$7+$I$8)), (IPMT($E$8/12, (C249-$I$8), $I$7, $E$7)), 0)</f>
        <v>-593.97639007280929</v>
      </c>
      <c r="F249" s="23">
        <f>IF(AND(C249&gt;='Amort. Sched.-BASE'!$I$8, C249&lt;= ($I$7+$I$8)), (PPMT($E$8/12, (C249-$I$8), $I$7, $E$7)), 0)</f>
        <v>-1142.6101035164477</v>
      </c>
      <c r="G249" s="5">
        <f>IF(MortgageAmortBASE[[#This Row],[Month]]=I$8,E$7,0)</f>
        <v>0</v>
      </c>
      <c r="H249" s="13">
        <f>IF(AND(C249&gt;='Amort. Sched.-BASE'!$I$8, C249&lt;= ($I$7+$I$8)), H248+F249, 0)</f>
        <v>87953.848407405036</v>
      </c>
      <c r="I249" s="24">
        <f>IF(AND(C249&gt;='Amort. Sched.-BASE'!$I$8, C249&lt;= ($I$7+$I$8)), E249/D249, " ")</f>
        <v>0.3420367440755292</v>
      </c>
      <c r="J249" s="25">
        <f>IF(AND(C249&gt;='Amort. Sched.-BASE'!$I$8, C249&lt;= ($I$7+$I$8)), F249/D249, " ")</f>
        <v>0.6579632559244708</v>
      </c>
      <c r="L249" s="20">
        <f t="shared" si="50"/>
        <v>238</v>
      </c>
      <c r="M249" s="5">
        <f>IF(AND(L249&gt;='Amort. Sched.-BASE'!$R$8, L249&lt;= ($R$7+$R$8)), PMT('Amort. Sched.-BASE'!$N$8/12, 'Amort. Sched.-BASE'!$R$7, 'Amort. Sched.-BASE'!$N$7), 0)</f>
        <v>0</v>
      </c>
      <c r="N249" s="5">
        <f>IF(AND(L249&gt;='Amort. Sched.-BASE'!$R$8, L249&lt;= ($R$7+$R$8)), (IPMT($N$8/12, (L249-$R$8), $R$7, $N$7)), 0)</f>
        <v>0</v>
      </c>
      <c r="O249" s="5">
        <f>IF(AND(L249&gt;='Amort. Sched.-BASE'!$R$8, L249&lt;= ($R$7+$R$8)), (PPMT($N$8/12, (L249-$R$8), $R$7, $N$7)), 0)</f>
        <v>0</v>
      </c>
      <c r="P249" s="5">
        <f>IF(CreditAmort1BASE[[#This Row],[Month]]=R$8,N$7,0)</f>
        <v>0</v>
      </c>
      <c r="Q249" s="13">
        <f>IF(AND(L249&gt;='Amort. Sched.-BASE'!$R$8, L249&lt;= ($R$7+$R$8)), Q248+O249, 0)</f>
        <v>0</v>
      </c>
      <c r="R249" s="6" t="str">
        <f>IF(AND(L249&gt;='Amort. Sched.-BASE'!$R$8, L249&lt;= ($R$7+$R$8)), N249/M249, " ")</f>
        <v xml:space="preserve"> </v>
      </c>
      <c r="S249" s="21" t="str">
        <f>IF(AND(L249&gt;='Amort. Sched.-BASE'!$R$8, L249&lt;= ($R$7+$R$8)), O249/M249, " ")</f>
        <v xml:space="preserve"> </v>
      </c>
      <c r="U249" s="22">
        <f t="shared" si="51"/>
        <v>238</v>
      </c>
      <c r="V249" s="23">
        <f>IF(AND(U249&gt;='Amort. Sched.-BASE'!$AA$8, U249&lt;= ($AA$7+$AA$8)), PMT('Amort. Sched.-BASE'!$W$8/12, 'Amort. Sched.-BASE'!$AA$7, 'Amort. Sched.-BASE'!$W$7), 0)</f>
        <v>0</v>
      </c>
      <c r="W249" s="5">
        <f>IF(AND(U249&gt;='Amort. Sched.-BASE'!$AA$8, U249&lt;= ($AA$7+$AA$8)), (IPMT($W$8/12, (U249-$AA$8), $AA$7, $W$7)), 0)</f>
        <v>0</v>
      </c>
      <c r="X249" s="23">
        <f>IF(AND(U249&gt;='Amort. Sched.-BASE'!$AA$8, U249&lt;= ($AA$7+$AA$8)), (PPMT($W$8/12, (U249-$AA$8), $AA$7, $W$7)), 0)</f>
        <v>0</v>
      </c>
      <c r="Y249" s="5">
        <f>IF(CreditAmort2BASE[[#This Row],[Month]]=AA$8,W$7,0)</f>
        <v>0</v>
      </c>
      <c r="Z249" s="13">
        <f>IF(AND(U249&gt;='Amort. Sched.-BASE'!$AA$8, U249&lt;= ($AA$7+$AA$8)), Z248+X249, 0)</f>
        <v>0</v>
      </c>
      <c r="AA249" s="24" t="str">
        <f>IF(AND(U249&gt;='Amort. Sched.-BASE'!$AA$8, U249&lt;= ($AA$7+$AA$8)), W249/V249, " ")</f>
        <v xml:space="preserve"> </v>
      </c>
      <c r="AB249" s="25" t="str">
        <f>IF(AND(U249&gt;='Amort. Sched.-BASE'!$AA$8, U249&lt;= ($AA$7+$AA$8)), X249/V249, " ")</f>
        <v xml:space="preserve"> </v>
      </c>
      <c r="AD249" s="20">
        <f t="shared" si="52"/>
        <v>238</v>
      </c>
      <c r="AE249" s="5">
        <f t="shared" si="53"/>
        <v>0</v>
      </c>
      <c r="AF249" s="5">
        <f t="shared" si="54"/>
        <v>0</v>
      </c>
      <c r="AG249" s="5">
        <f t="shared" si="55"/>
        <v>0</v>
      </c>
      <c r="AH249" s="5">
        <f>IF(CreditAmort3BASE[[#This Row],[Month]]=AJ$8,AF$7,0)</f>
        <v>0</v>
      </c>
      <c r="AI249" s="13">
        <f t="shared" si="56"/>
        <v>0</v>
      </c>
      <c r="AJ249" s="6" t="str">
        <f t="shared" si="57"/>
        <v xml:space="preserve"> </v>
      </c>
      <c r="AK249" s="21" t="str">
        <f t="shared" si="58"/>
        <v xml:space="preserve"> </v>
      </c>
      <c r="AM249" s="20">
        <f t="shared" si="59"/>
        <v>238</v>
      </c>
      <c r="AN249" s="5">
        <f t="shared" si="60"/>
        <v>0</v>
      </c>
      <c r="AO249" s="5">
        <f t="shared" si="61"/>
        <v>0</v>
      </c>
      <c r="AP249" s="5">
        <f t="shared" si="62"/>
        <v>0</v>
      </c>
      <c r="AQ249" s="5">
        <f>IF(CreditAmort4BASE[[#This Row],[Month]]=AS$8,AO$7,0)</f>
        <v>0</v>
      </c>
      <c r="AR249" s="13">
        <f t="shared" si="63"/>
        <v>0</v>
      </c>
      <c r="AS249" s="6" t="str">
        <f t="shared" si="64"/>
        <v xml:space="preserve"> </v>
      </c>
      <c r="AT249" s="21" t="str">
        <f t="shared" si="65"/>
        <v xml:space="preserve"> </v>
      </c>
    </row>
    <row r="250" spans="3:46">
      <c r="C250" s="22">
        <f t="shared" si="17"/>
        <v>239</v>
      </c>
      <c r="D250" s="23">
        <f>IF(AND(C250&gt;='Amort. Sched.-BASE'!$I$8, C250&lt;= ($I$7+$I$8)), PMT('Amort. Sched.-BASE'!$E$8/12, 'Amort. Sched.-BASE'!$I$7, 'Amort. Sched.-BASE'!$E$7), 0)</f>
        <v>-1736.5864935892569</v>
      </c>
      <c r="E250" s="5">
        <f>IF(AND(C250&gt;='Amort. Sched.-BASE'!$I$8, C250&lt;= ($I$7+$I$8)), (IPMT($E$8/12, (C250-$I$8), $I$7, $E$7)), 0)</f>
        <v>-586.35898938269975</v>
      </c>
      <c r="F250" s="23">
        <f>IF(AND(C250&gt;='Amort. Sched.-BASE'!$I$8, C250&lt;= ($I$7+$I$8)), (PPMT($E$8/12, (C250-$I$8), $I$7, $E$7)), 0)</f>
        <v>-1150.2275042065571</v>
      </c>
      <c r="G250" s="5">
        <f>IF(MortgageAmortBASE[[#This Row],[Month]]=I$8,E$7,0)</f>
        <v>0</v>
      </c>
      <c r="H250" s="13">
        <f>IF(AND(C250&gt;='Amort. Sched.-BASE'!$I$8, C250&lt;= ($I$7+$I$8)), H249+F250, 0)</f>
        <v>86803.620903198476</v>
      </c>
      <c r="I250" s="24">
        <f>IF(AND(C250&gt;='Amort. Sched.-BASE'!$I$8, C250&lt;= ($I$7+$I$8)), E250/D250, " ")</f>
        <v>0.33765032236936615</v>
      </c>
      <c r="J250" s="25">
        <f>IF(AND(C250&gt;='Amort. Sched.-BASE'!$I$8, C250&lt;= ($I$7+$I$8)), F250/D250, " ")</f>
        <v>0.6623496776306339</v>
      </c>
      <c r="L250" s="20">
        <f t="shared" si="50"/>
        <v>239</v>
      </c>
      <c r="M250" s="5">
        <f>IF(AND(L250&gt;='Amort. Sched.-BASE'!$R$8, L250&lt;= ($R$7+$R$8)), PMT('Amort. Sched.-BASE'!$N$8/12, 'Amort. Sched.-BASE'!$R$7, 'Amort. Sched.-BASE'!$N$7), 0)</f>
        <v>0</v>
      </c>
      <c r="N250" s="5">
        <f>IF(AND(L250&gt;='Amort. Sched.-BASE'!$R$8, L250&lt;= ($R$7+$R$8)), (IPMT($N$8/12, (L250-$R$8), $R$7, $N$7)), 0)</f>
        <v>0</v>
      </c>
      <c r="O250" s="5">
        <f>IF(AND(L250&gt;='Amort. Sched.-BASE'!$R$8, L250&lt;= ($R$7+$R$8)), (PPMT($N$8/12, (L250-$R$8), $R$7, $N$7)), 0)</f>
        <v>0</v>
      </c>
      <c r="P250" s="5">
        <f>IF(CreditAmort1BASE[[#This Row],[Month]]=R$8,N$7,0)</f>
        <v>0</v>
      </c>
      <c r="Q250" s="13">
        <f>IF(AND(L250&gt;='Amort. Sched.-BASE'!$R$8, L250&lt;= ($R$7+$R$8)), Q249+O250, 0)</f>
        <v>0</v>
      </c>
      <c r="R250" s="6" t="str">
        <f>IF(AND(L250&gt;='Amort. Sched.-BASE'!$R$8, L250&lt;= ($R$7+$R$8)), N250/M250, " ")</f>
        <v xml:space="preserve"> </v>
      </c>
      <c r="S250" s="21" t="str">
        <f>IF(AND(L250&gt;='Amort. Sched.-BASE'!$R$8, L250&lt;= ($R$7+$R$8)), O250/M250, " ")</f>
        <v xml:space="preserve"> </v>
      </c>
      <c r="U250" s="22">
        <f t="shared" si="51"/>
        <v>239</v>
      </c>
      <c r="V250" s="23">
        <f>IF(AND(U250&gt;='Amort. Sched.-BASE'!$AA$8, U250&lt;= ($AA$7+$AA$8)), PMT('Amort. Sched.-BASE'!$W$8/12, 'Amort. Sched.-BASE'!$AA$7, 'Amort. Sched.-BASE'!$W$7), 0)</f>
        <v>0</v>
      </c>
      <c r="W250" s="5">
        <f>IF(AND(U250&gt;='Amort. Sched.-BASE'!$AA$8, U250&lt;= ($AA$7+$AA$8)), (IPMT($W$8/12, (U250-$AA$8), $AA$7, $W$7)), 0)</f>
        <v>0</v>
      </c>
      <c r="X250" s="23">
        <f>IF(AND(U250&gt;='Amort. Sched.-BASE'!$AA$8, U250&lt;= ($AA$7+$AA$8)), (PPMT($W$8/12, (U250-$AA$8), $AA$7, $W$7)), 0)</f>
        <v>0</v>
      </c>
      <c r="Y250" s="5">
        <f>IF(CreditAmort2BASE[[#This Row],[Month]]=AA$8,W$7,0)</f>
        <v>0</v>
      </c>
      <c r="Z250" s="13">
        <f>IF(AND(U250&gt;='Amort. Sched.-BASE'!$AA$8, U250&lt;= ($AA$7+$AA$8)), Z249+X250, 0)</f>
        <v>0</v>
      </c>
      <c r="AA250" s="24" t="str">
        <f>IF(AND(U250&gt;='Amort. Sched.-BASE'!$AA$8, U250&lt;= ($AA$7+$AA$8)), W250/V250, " ")</f>
        <v xml:space="preserve"> </v>
      </c>
      <c r="AB250" s="25" t="str">
        <f>IF(AND(U250&gt;='Amort. Sched.-BASE'!$AA$8, U250&lt;= ($AA$7+$AA$8)), X250/V250, " ")</f>
        <v xml:space="preserve"> </v>
      </c>
      <c r="AD250" s="20">
        <f t="shared" si="52"/>
        <v>239</v>
      </c>
      <c r="AE250" s="5">
        <f t="shared" si="53"/>
        <v>0</v>
      </c>
      <c r="AF250" s="5">
        <f t="shared" si="54"/>
        <v>0</v>
      </c>
      <c r="AG250" s="5">
        <f t="shared" si="55"/>
        <v>0</v>
      </c>
      <c r="AH250" s="5">
        <f>IF(CreditAmort3BASE[[#This Row],[Month]]=AJ$8,AF$7,0)</f>
        <v>0</v>
      </c>
      <c r="AI250" s="13">
        <f t="shared" si="56"/>
        <v>0</v>
      </c>
      <c r="AJ250" s="6" t="str">
        <f t="shared" si="57"/>
        <v xml:space="preserve"> </v>
      </c>
      <c r="AK250" s="21" t="str">
        <f t="shared" si="58"/>
        <v xml:space="preserve"> </v>
      </c>
      <c r="AM250" s="20">
        <f t="shared" si="59"/>
        <v>239</v>
      </c>
      <c r="AN250" s="5">
        <f t="shared" si="60"/>
        <v>0</v>
      </c>
      <c r="AO250" s="5">
        <f t="shared" si="61"/>
        <v>0</v>
      </c>
      <c r="AP250" s="5">
        <f t="shared" si="62"/>
        <v>0</v>
      </c>
      <c r="AQ250" s="5">
        <f>IF(CreditAmort4BASE[[#This Row],[Month]]=AS$8,AO$7,0)</f>
        <v>0</v>
      </c>
      <c r="AR250" s="13">
        <f t="shared" si="63"/>
        <v>0</v>
      </c>
      <c r="AS250" s="6" t="str">
        <f t="shared" si="64"/>
        <v xml:space="preserve"> </v>
      </c>
      <c r="AT250" s="21" t="str">
        <f t="shared" si="65"/>
        <v xml:space="preserve"> </v>
      </c>
    </row>
    <row r="251" spans="3:46">
      <c r="C251" s="22">
        <f t="shared" si="17"/>
        <v>240</v>
      </c>
      <c r="D251" s="23">
        <f>IF(AND(C251&gt;='Amort. Sched.-BASE'!$I$8, C251&lt;= ($I$7+$I$8)), PMT('Amort. Sched.-BASE'!$E$8/12, 'Amort. Sched.-BASE'!$I$7, 'Amort. Sched.-BASE'!$E$7), 0)</f>
        <v>-1736.5864935892569</v>
      </c>
      <c r="E251" s="5">
        <f>IF(AND(C251&gt;='Amort. Sched.-BASE'!$I$8, C251&lt;= ($I$7+$I$8)), (IPMT($E$8/12, (C251-$I$8), $I$7, $E$7)), 0)</f>
        <v>-578.6908060213226</v>
      </c>
      <c r="F251" s="23">
        <f>IF(AND(C251&gt;='Amort. Sched.-BASE'!$I$8, C251&lt;= ($I$7+$I$8)), (PPMT($E$8/12, (C251-$I$8), $I$7, $E$7)), 0)</f>
        <v>-1157.8956875679344</v>
      </c>
      <c r="G251" s="5">
        <f>IF(MortgageAmortBASE[[#This Row],[Month]]=I$8,E$7,0)</f>
        <v>0</v>
      </c>
      <c r="H251" s="13">
        <f>IF(AND(C251&gt;='Amort. Sched.-BASE'!$I$8, C251&lt;= ($I$7+$I$8)), H250+F251, 0)</f>
        <v>85645.725215630548</v>
      </c>
      <c r="I251" s="24">
        <f>IF(AND(C251&gt;='Amort. Sched.-BASE'!$I$8, C251&lt;= ($I$7+$I$8)), E251/D251, " ")</f>
        <v>0.33323465785182849</v>
      </c>
      <c r="J251" s="25">
        <f>IF(AND(C251&gt;='Amort. Sched.-BASE'!$I$8, C251&lt;= ($I$7+$I$8)), F251/D251, " ")</f>
        <v>0.66676534214817151</v>
      </c>
      <c r="L251" s="20">
        <f t="shared" si="50"/>
        <v>240</v>
      </c>
      <c r="M251" s="5">
        <f>IF(AND(L251&gt;='Amort. Sched.-BASE'!$R$8, L251&lt;= ($R$7+$R$8)), PMT('Amort. Sched.-BASE'!$N$8/12, 'Amort. Sched.-BASE'!$R$7, 'Amort. Sched.-BASE'!$N$7), 0)</f>
        <v>0</v>
      </c>
      <c r="N251" s="5">
        <f>IF(AND(L251&gt;='Amort. Sched.-BASE'!$R$8, L251&lt;= ($R$7+$R$8)), (IPMT($N$8/12, (L251-$R$8), $R$7, $N$7)), 0)</f>
        <v>0</v>
      </c>
      <c r="O251" s="5">
        <f>IF(AND(L251&gt;='Amort. Sched.-BASE'!$R$8, L251&lt;= ($R$7+$R$8)), (PPMT($N$8/12, (L251-$R$8), $R$7, $N$7)), 0)</f>
        <v>0</v>
      </c>
      <c r="P251" s="5">
        <f>IF(CreditAmort1BASE[[#This Row],[Month]]=R$8,N$7,0)</f>
        <v>0</v>
      </c>
      <c r="Q251" s="13">
        <f>IF(AND(L251&gt;='Amort. Sched.-BASE'!$R$8, L251&lt;= ($R$7+$R$8)), Q250+O251, 0)</f>
        <v>0</v>
      </c>
      <c r="R251" s="6" t="str">
        <f>IF(AND(L251&gt;='Amort. Sched.-BASE'!$R$8, L251&lt;= ($R$7+$R$8)), N251/M251, " ")</f>
        <v xml:space="preserve"> </v>
      </c>
      <c r="S251" s="21" t="str">
        <f>IF(AND(L251&gt;='Amort. Sched.-BASE'!$R$8, L251&lt;= ($R$7+$R$8)), O251/M251, " ")</f>
        <v xml:space="preserve"> </v>
      </c>
      <c r="U251" s="22">
        <f t="shared" si="51"/>
        <v>240</v>
      </c>
      <c r="V251" s="23">
        <f>IF(AND(U251&gt;='Amort. Sched.-BASE'!$AA$8, U251&lt;= ($AA$7+$AA$8)), PMT('Amort. Sched.-BASE'!$W$8/12, 'Amort. Sched.-BASE'!$AA$7, 'Amort. Sched.-BASE'!$W$7), 0)</f>
        <v>0</v>
      </c>
      <c r="W251" s="5">
        <f>IF(AND(U251&gt;='Amort. Sched.-BASE'!$AA$8, U251&lt;= ($AA$7+$AA$8)), (IPMT($W$8/12, (U251-$AA$8), $AA$7, $W$7)), 0)</f>
        <v>0</v>
      </c>
      <c r="X251" s="23">
        <f>IF(AND(U251&gt;='Amort. Sched.-BASE'!$AA$8, U251&lt;= ($AA$7+$AA$8)), (PPMT($W$8/12, (U251-$AA$8), $AA$7, $W$7)), 0)</f>
        <v>0</v>
      </c>
      <c r="Y251" s="5">
        <f>IF(CreditAmort2BASE[[#This Row],[Month]]=AA$8,W$7,0)</f>
        <v>0</v>
      </c>
      <c r="Z251" s="13">
        <f>IF(AND(U251&gt;='Amort. Sched.-BASE'!$AA$8, U251&lt;= ($AA$7+$AA$8)), Z250+X251, 0)</f>
        <v>0</v>
      </c>
      <c r="AA251" s="24" t="str">
        <f>IF(AND(U251&gt;='Amort. Sched.-BASE'!$AA$8, U251&lt;= ($AA$7+$AA$8)), W251/V251, " ")</f>
        <v xml:space="preserve"> </v>
      </c>
      <c r="AB251" s="25" t="str">
        <f>IF(AND(U251&gt;='Amort. Sched.-BASE'!$AA$8, U251&lt;= ($AA$7+$AA$8)), X251/V251, " ")</f>
        <v xml:space="preserve"> </v>
      </c>
      <c r="AD251" s="20">
        <f t="shared" si="52"/>
        <v>240</v>
      </c>
      <c r="AE251" s="5">
        <f t="shared" si="53"/>
        <v>0</v>
      </c>
      <c r="AF251" s="5">
        <f t="shared" si="54"/>
        <v>0</v>
      </c>
      <c r="AG251" s="5">
        <f t="shared" si="55"/>
        <v>0</v>
      </c>
      <c r="AH251" s="5">
        <f>IF(CreditAmort3BASE[[#This Row],[Month]]=AJ$8,AF$7,0)</f>
        <v>0</v>
      </c>
      <c r="AI251" s="13">
        <f t="shared" si="56"/>
        <v>0</v>
      </c>
      <c r="AJ251" s="6" t="str">
        <f t="shared" si="57"/>
        <v xml:space="preserve"> </v>
      </c>
      <c r="AK251" s="21" t="str">
        <f t="shared" si="58"/>
        <v xml:space="preserve"> </v>
      </c>
      <c r="AM251" s="20">
        <f t="shared" si="59"/>
        <v>240</v>
      </c>
      <c r="AN251" s="5">
        <f t="shared" si="60"/>
        <v>0</v>
      </c>
      <c r="AO251" s="5">
        <f t="shared" si="61"/>
        <v>0</v>
      </c>
      <c r="AP251" s="5">
        <f t="shared" si="62"/>
        <v>0</v>
      </c>
      <c r="AQ251" s="5">
        <f>IF(CreditAmort4BASE[[#This Row],[Month]]=AS$8,AO$7,0)</f>
        <v>0</v>
      </c>
      <c r="AR251" s="13">
        <f t="shared" si="63"/>
        <v>0</v>
      </c>
      <c r="AS251" s="6" t="str">
        <f t="shared" si="64"/>
        <v xml:space="preserve"> </v>
      </c>
      <c r="AT251" s="21" t="str">
        <f t="shared" si="65"/>
        <v xml:space="preserve"> </v>
      </c>
    </row>
    <row r="252" spans="3:46">
      <c r="C252" s="22">
        <f t="shared" si="17"/>
        <v>241</v>
      </c>
      <c r="D252" s="23">
        <f>IF(AND(C252&gt;='Amort. Sched.-BASE'!$I$8, C252&lt;= ($I$7+$I$8)), PMT('Amort. Sched.-BASE'!$E$8/12, 'Amort. Sched.-BASE'!$I$7, 'Amort. Sched.-BASE'!$E$7), 0)</f>
        <v>-1736.5864935892569</v>
      </c>
      <c r="E252" s="5">
        <f>IF(AND(C252&gt;='Amort. Sched.-BASE'!$I$8, C252&lt;= ($I$7+$I$8)), (IPMT($E$8/12, (C252-$I$8), $I$7, $E$7)), 0)</f>
        <v>-570.9715014375364</v>
      </c>
      <c r="F252" s="23">
        <f>IF(AND(C252&gt;='Amort. Sched.-BASE'!$I$8, C252&lt;= ($I$7+$I$8)), (PPMT($E$8/12, (C252-$I$8), $I$7, $E$7)), 0)</f>
        <v>-1165.6149921517206</v>
      </c>
      <c r="G252" s="5">
        <f>IF(MortgageAmortBASE[[#This Row],[Month]]=I$8,E$7,0)</f>
        <v>0</v>
      </c>
      <c r="H252" s="13">
        <f>IF(AND(C252&gt;='Amort. Sched.-BASE'!$I$8, C252&lt;= ($I$7+$I$8)), H251+F252, 0)</f>
        <v>84480.110223478827</v>
      </c>
      <c r="I252" s="24">
        <f>IF(AND(C252&gt;='Amort. Sched.-BASE'!$I$8, C252&lt;= ($I$7+$I$8)), E252/D252, " ")</f>
        <v>0.32878955557084072</v>
      </c>
      <c r="J252" s="25">
        <f>IF(AND(C252&gt;='Amort. Sched.-BASE'!$I$8, C252&lt;= ($I$7+$I$8)), F252/D252, " ")</f>
        <v>0.67121044442915934</v>
      </c>
      <c r="L252" s="20">
        <f t="shared" si="50"/>
        <v>241</v>
      </c>
      <c r="M252" s="5">
        <f>IF(AND(L252&gt;='Amort. Sched.-BASE'!$R$8, L252&lt;= ($R$7+$R$8)), PMT('Amort. Sched.-BASE'!$N$8/12, 'Amort. Sched.-BASE'!$R$7, 'Amort. Sched.-BASE'!$N$7), 0)</f>
        <v>0</v>
      </c>
      <c r="N252" s="5">
        <f>IF(AND(L252&gt;='Amort. Sched.-BASE'!$R$8, L252&lt;= ($R$7+$R$8)), (IPMT($N$8/12, (L252-$R$8), $R$7, $N$7)), 0)</f>
        <v>0</v>
      </c>
      <c r="O252" s="5">
        <f>IF(AND(L252&gt;='Amort. Sched.-BASE'!$R$8, L252&lt;= ($R$7+$R$8)), (PPMT($N$8/12, (L252-$R$8), $R$7, $N$7)), 0)</f>
        <v>0</v>
      </c>
      <c r="P252" s="5">
        <f>IF(CreditAmort1BASE[[#This Row],[Month]]=R$8,N$7,0)</f>
        <v>0</v>
      </c>
      <c r="Q252" s="13">
        <f>IF(AND(L252&gt;='Amort. Sched.-BASE'!$R$8, L252&lt;= ($R$7+$R$8)), Q251+O252, 0)</f>
        <v>0</v>
      </c>
      <c r="R252" s="6" t="str">
        <f>IF(AND(L252&gt;='Amort. Sched.-BASE'!$R$8, L252&lt;= ($R$7+$R$8)), N252/M252, " ")</f>
        <v xml:space="preserve"> </v>
      </c>
      <c r="S252" s="21" t="str">
        <f>IF(AND(L252&gt;='Amort. Sched.-BASE'!$R$8, L252&lt;= ($R$7+$R$8)), O252/M252, " ")</f>
        <v xml:space="preserve"> </v>
      </c>
      <c r="U252" s="22">
        <f t="shared" si="51"/>
        <v>241</v>
      </c>
      <c r="V252" s="23">
        <f>IF(AND(U252&gt;='Amort. Sched.-BASE'!$AA$8, U252&lt;= ($AA$7+$AA$8)), PMT('Amort. Sched.-BASE'!$W$8/12, 'Amort. Sched.-BASE'!$AA$7, 'Amort. Sched.-BASE'!$W$7), 0)</f>
        <v>0</v>
      </c>
      <c r="W252" s="5">
        <f>IF(AND(U252&gt;='Amort. Sched.-BASE'!$AA$8, U252&lt;= ($AA$7+$AA$8)), (IPMT($W$8/12, (U252-$AA$8), $AA$7, $W$7)), 0)</f>
        <v>0</v>
      </c>
      <c r="X252" s="23">
        <f>IF(AND(U252&gt;='Amort. Sched.-BASE'!$AA$8, U252&lt;= ($AA$7+$AA$8)), (PPMT($W$8/12, (U252-$AA$8), $AA$7, $W$7)), 0)</f>
        <v>0</v>
      </c>
      <c r="Y252" s="5">
        <f>IF(CreditAmort2BASE[[#This Row],[Month]]=AA$8,W$7,0)</f>
        <v>0</v>
      </c>
      <c r="Z252" s="13">
        <f>IF(AND(U252&gt;='Amort. Sched.-BASE'!$AA$8, U252&lt;= ($AA$7+$AA$8)), Z251+X252, 0)</f>
        <v>0</v>
      </c>
      <c r="AA252" s="24" t="str">
        <f>IF(AND(U252&gt;='Amort. Sched.-BASE'!$AA$8, U252&lt;= ($AA$7+$AA$8)), W252/V252, " ")</f>
        <v xml:space="preserve"> </v>
      </c>
      <c r="AB252" s="25" t="str">
        <f>IF(AND(U252&gt;='Amort. Sched.-BASE'!$AA$8, U252&lt;= ($AA$7+$AA$8)), X252/V252, " ")</f>
        <v xml:space="preserve"> </v>
      </c>
      <c r="AD252" s="20">
        <f t="shared" si="52"/>
        <v>241</v>
      </c>
      <c r="AE252" s="5">
        <f t="shared" si="53"/>
        <v>0</v>
      </c>
      <c r="AF252" s="5">
        <f t="shared" si="54"/>
        <v>0</v>
      </c>
      <c r="AG252" s="5">
        <f t="shared" si="55"/>
        <v>0</v>
      </c>
      <c r="AH252" s="5">
        <f>IF(CreditAmort3BASE[[#This Row],[Month]]=AJ$8,AF$7,0)</f>
        <v>0</v>
      </c>
      <c r="AI252" s="13">
        <f t="shared" si="56"/>
        <v>0</v>
      </c>
      <c r="AJ252" s="6" t="str">
        <f t="shared" si="57"/>
        <v xml:space="preserve"> </v>
      </c>
      <c r="AK252" s="21" t="str">
        <f t="shared" si="58"/>
        <v xml:space="preserve"> </v>
      </c>
      <c r="AM252" s="20">
        <f t="shared" si="59"/>
        <v>241</v>
      </c>
      <c r="AN252" s="5">
        <f t="shared" si="60"/>
        <v>0</v>
      </c>
      <c r="AO252" s="5">
        <f t="shared" si="61"/>
        <v>0</v>
      </c>
      <c r="AP252" s="5">
        <f t="shared" si="62"/>
        <v>0</v>
      </c>
      <c r="AQ252" s="5">
        <f>IF(CreditAmort4BASE[[#This Row],[Month]]=AS$8,AO$7,0)</f>
        <v>0</v>
      </c>
      <c r="AR252" s="13">
        <f t="shared" si="63"/>
        <v>0</v>
      </c>
      <c r="AS252" s="6" t="str">
        <f t="shared" si="64"/>
        <v xml:space="preserve"> </v>
      </c>
      <c r="AT252" s="21" t="str">
        <f t="shared" si="65"/>
        <v xml:space="preserve"> </v>
      </c>
    </row>
    <row r="253" spans="3:46">
      <c r="C253" s="22">
        <f t="shared" si="17"/>
        <v>242</v>
      </c>
      <c r="D253" s="23">
        <f>IF(AND(C253&gt;='Amort. Sched.-BASE'!$I$8, C253&lt;= ($I$7+$I$8)), PMT('Amort. Sched.-BASE'!$E$8/12, 'Amort. Sched.-BASE'!$I$7, 'Amort. Sched.-BASE'!$E$7), 0)</f>
        <v>-1736.5864935892569</v>
      </c>
      <c r="E253" s="5">
        <f>IF(AND(C253&gt;='Amort. Sched.-BASE'!$I$8, C253&lt;= ($I$7+$I$8)), (IPMT($E$8/12, (C253-$I$8), $I$7, $E$7)), 0)</f>
        <v>-563.20073482319151</v>
      </c>
      <c r="F253" s="23">
        <f>IF(AND(C253&gt;='Amort. Sched.-BASE'!$I$8, C253&lt;= ($I$7+$I$8)), (PPMT($E$8/12, (C253-$I$8), $I$7, $E$7)), 0)</f>
        <v>-1173.3857587660652</v>
      </c>
      <c r="G253" s="5">
        <f>IF(MortgageAmortBASE[[#This Row],[Month]]=I$8,E$7,0)</f>
        <v>0</v>
      </c>
      <c r="H253" s="13">
        <f>IF(AND(C253&gt;='Amort. Sched.-BASE'!$I$8, C253&lt;= ($I$7+$I$8)), H252+F253, 0)</f>
        <v>83306.724464712766</v>
      </c>
      <c r="I253" s="24">
        <f>IF(AND(C253&gt;='Amort. Sched.-BASE'!$I$8, C253&lt;= ($I$7+$I$8)), E253/D253, " ")</f>
        <v>0.32431481927464628</v>
      </c>
      <c r="J253" s="25">
        <f>IF(AND(C253&gt;='Amort. Sched.-BASE'!$I$8, C253&lt;= ($I$7+$I$8)), F253/D253, " ")</f>
        <v>0.67568518072535366</v>
      </c>
      <c r="L253" s="20">
        <f t="shared" si="50"/>
        <v>242</v>
      </c>
      <c r="M253" s="5">
        <f>IF(AND(L253&gt;='Amort. Sched.-BASE'!$R$8, L253&lt;= ($R$7+$R$8)), PMT('Amort. Sched.-BASE'!$N$8/12, 'Amort. Sched.-BASE'!$R$7, 'Amort. Sched.-BASE'!$N$7), 0)</f>
        <v>0</v>
      </c>
      <c r="N253" s="5">
        <f>IF(AND(L253&gt;='Amort. Sched.-BASE'!$R$8, L253&lt;= ($R$7+$R$8)), (IPMT($N$8/12, (L253-$R$8), $R$7, $N$7)), 0)</f>
        <v>0</v>
      </c>
      <c r="O253" s="5">
        <f>IF(AND(L253&gt;='Amort. Sched.-BASE'!$R$8, L253&lt;= ($R$7+$R$8)), (PPMT($N$8/12, (L253-$R$8), $R$7, $N$7)), 0)</f>
        <v>0</v>
      </c>
      <c r="P253" s="5">
        <f>IF(CreditAmort1BASE[[#This Row],[Month]]=R$8,N$7,0)</f>
        <v>0</v>
      </c>
      <c r="Q253" s="13">
        <f>IF(AND(L253&gt;='Amort. Sched.-BASE'!$R$8, L253&lt;= ($R$7+$R$8)), Q252+O253, 0)</f>
        <v>0</v>
      </c>
      <c r="R253" s="6" t="str">
        <f>IF(AND(L253&gt;='Amort. Sched.-BASE'!$R$8, L253&lt;= ($R$7+$R$8)), N253/M253, " ")</f>
        <v xml:space="preserve"> </v>
      </c>
      <c r="S253" s="21" t="str">
        <f>IF(AND(L253&gt;='Amort. Sched.-BASE'!$R$8, L253&lt;= ($R$7+$R$8)), O253/M253, " ")</f>
        <v xml:space="preserve"> </v>
      </c>
      <c r="U253" s="22">
        <f t="shared" si="51"/>
        <v>242</v>
      </c>
      <c r="V253" s="23">
        <f>IF(AND(U253&gt;='Amort. Sched.-BASE'!$AA$8, U253&lt;= ($AA$7+$AA$8)), PMT('Amort. Sched.-BASE'!$W$8/12, 'Amort. Sched.-BASE'!$AA$7, 'Amort. Sched.-BASE'!$W$7), 0)</f>
        <v>0</v>
      </c>
      <c r="W253" s="5">
        <f>IF(AND(U253&gt;='Amort. Sched.-BASE'!$AA$8, U253&lt;= ($AA$7+$AA$8)), (IPMT($W$8/12, (U253-$AA$8), $AA$7, $W$7)), 0)</f>
        <v>0</v>
      </c>
      <c r="X253" s="23">
        <f>IF(AND(U253&gt;='Amort. Sched.-BASE'!$AA$8, U253&lt;= ($AA$7+$AA$8)), (PPMT($W$8/12, (U253-$AA$8), $AA$7, $W$7)), 0)</f>
        <v>0</v>
      </c>
      <c r="Y253" s="5">
        <f>IF(CreditAmort2BASE[[#This Row],[Month]]=AA$8,W$7,0)</f>
        <v>0</v>
      </c>
      <c r="Z253" s="13">
        <f>IF(AND(U253&gt;='Amort. Sched.-BASE'!$AA$8, U253&lt;= ($AA$7+$AA$8)), Z252+X253, 0)</f>
        <v>0</v>
      </c>
      <c r="AA253" s="24" t="str">
        <f>IF(AND(U253&gt;='Amort. Sched.-BASE'!$AA$8, U253&lt;= ($AA$7+$AA$8)), W253/V253, " ")</f>
        <v xml:space="preserve"> </v>
      </c>
      <c r="AB253" s="25" t="str">
        <f>IF(AND(U253&gt;='Amort. Sched.-BASE'!$AA$8, U253&lt;= ($AA$7+$AA$8)), X253/V253, " ")</f>
        <v xml:space="preserve"> </v>
      </c>
      <c r="AD253" s="20">
        <f t="shared" si="52"/>
        <v>242</v>
      </c>
      <c r="AE253" s="5">
        <f t="shared" si="53"/>
        <v>0</v>
      </c>
      <c r="AF253" s="5">
        <f t="shared" si="54"/>
        <v>0</v>
      </c>
      <c r="AG253" s="5">
        <f t="shared" si="55"/>
        <v>0</v>
      </c>
      <c r="AH253" s="5">
        <f>IF(CreditAmort3BASE[[#This Row],[Month]]=AJ$8,AF$7,0)</f>
        <v>0</v>
      </c>
      <c r="AI253" s="13">
        <f t="shared" si="56"/>
        <v>0</v>
      </c>
      <c r="AJ253" s="6" t="str">
        <f t="shared" si="57"/>
        <v xml:space="preserve"> </v>
      </c>
      <c r="AK253" s="21" t="str">
        <f t="shared" si="58"/>
        <v xml:space="preserve"> </v>
      </c>
      <c r="AM253" s="20">
        <f t="shared" si="59"/>
        <v>242</v>
      </c>
      <c r="AN253" s="5">
        <f t="shared" si="60"/>
        <v>0</v>
      </c>
      <c r="AO253" s="5">
        <f t="shared" si="61"/>
        <v>0</v>
      </c>
      <c r="AP253" s="5">
        <f t="shared" si="62"/>
        <v>0</v>
      </c>
      <c r="AQ253" s="5">
        <f>IF(CreditAmort4BASE[[#This Row],[Month]]=AS$8,AO$7,0)</f>
        <v>0</v>
      </c>
      <c r="AR253" s="13">
        <f t="shared" si="63"/>
        <v>0</v>
      </c>
      <c r="AS253" s="6" t="str">
        <f t="shared" si="64"/>
        <v xml:space="preserve"> </v>
      </c>
      <c r="AT253" s="21" t="str">
        <f t="shared" si="65"/>
        <v xml:space="preserve"> </v>
      </c>
    </row>
    <row r="254" spans="3:46">
      <c r="C254" s="22">
        <f t="shared" si="17"/>
        <v>243</v>
      </c>
      <c r="D254" s="23">
        <f>IF(AND(C254&gt;='Amort. Sched.-BASE'!$I$8, C254&lt;= ($I$7+$I$8)), PMT('Amort. Sched.-BASE'!$E$8/12, 'Amort. Sched.-BASE'!$I$7, 'Amort. Sched.-BASE'!$E$7), 0)</f>
        <v>-1736.5864935892569</v>
      </c>
      <c r="E254" s="5">
        <f>IF(AND(C254&gt;='Amort. Sched.-BASE'!$I$8, C254&lt;= ($I$7+$I$8)), (IPMT($E$8/12, (C254-$I$8), $I$7, $E$7)), 0)</f>
        <v>-555.37816309808443</v>
      </c>
      <c r="F254" s="23">
        <f>IF(AND(C254&gt;='Amort. Sched.-BASE'!$I$8, C254&lt;= ($I$7+$I$8)), (PPMT($E$8/12, (C254-$I$8), $I$7, $E$7)), 0)</f>
        <v>-1181.2083304911725</v>
      </c>
      <c r="G254" s="5">
        <f>IF(MortgageAmortBASE[[#This Row],[Month]]=I$8,E$7,0)</f>
        <v>0</v>
      </c>
      <c r="H254" s="13">
        <f>IF(AND(C254&gt;='Amort. Sched.-BASE'!$I$8, C254&lt;= ($I$7+$I$8)), H253+F254, 0)</f>
        <v>82125.516134221587</v>
      </c>
      <c r="I254" s="24">
        <f>IF(AND(C254&gt;='Amort. Sched.-BASE'!$I$8, C254&lt;= ($I$7+$I$8)), E254/D254, " ")</f>
        <v>0.31981025140314395</v>
      </c>
      <c r="J254" s="25">
        <f>IF(AND(C254&gt;='Amort. Sched.-BASE'!$I$8, C254&lt;= ($I$7+$I$8)), F254/D254, " ")</f>
        <v>0.6801897485968561</v>
      </c>
      <c r="L254" s="20">
        <f t="shared" si="50"/>
        <v>243</v>
      </c>
      <c r="M254" s="5">
        <f>IF(AND(L254&gt;='Amort. Sched.-BASE'!$R$8, L254&lt;= ($R$7+$R$8)), PMT('Amort. Sched.-BASE'!$N$8/12, 'Amort. Sched.-BASE'!$R$7, 'Amort. Sched.-BASE'!$N$7), 0)</f>
        <v>0</v>
      </c>
      <c r="N254" s="5">
        <f>IF(AND(L254&gt;='Amort. Sched.-BASE'!$R$8, L254&lt;= ($R$7+$R$8)), (IPMT($N$8/12, (L254-$R$8), $R$7, $N$7)), 0)</f>
        <v>0</v>
      </c>
      <c r="O254" s="5">
        <f>IF(AND(L254&gt;='Amort. Sched.-BASE'!$R$8, L254&lt;= ($R$7+$R$8)), (PPMT($N$8/12, (L254-$R$8), $R$7, $N$7)), 0)</f>
        <v>0</v>
      </c>
      <c r="P254" s="5">
        <f>IF(CreditAmort1BASE[[#This Row],[Month]]=R$8,N$7,0)</f>
        <v>0</v>
      </c>
      <c r="Q254" s="13">
        <f>IF(AND(L254&gt;='Amort. Sched.-BASE'!$R$8, L254&lt;= ($R$7+$R$8)), Q253+O254, 0)</f>
        <v>0</v>
      </c>
      <c r="R254" s="6" t="str">
        <f>IF(AND(L254&gt;='Amort. Sched.-BASE'!$R$8, L254&lt;= ($R$7+$R$8)), N254/M254, " ")</f>
        <v xml:space="preserve"> </v>
      </c>
      <c r="S254" s="21" t="str">
        <f>IF(AND(L254&gt;='Amort. Sched.-BASE'!$R$8, L254&lt;= ($R$7+$R$8)), O254/M254, " ")</f>
        <v xml:space="preserve"> </v>
      </c>
      <c r="U254" s="22">
        <f t="shared" si="51"/>
        <v>243</v>
      </c>
      <c r="V254" s="23">
        <f>IF(AND(U254&gt;='Amort. Sched.-BASE'!$AA$8, U254&lt;= ($AA$7+$AA$8)), PMT('Amort. Sched.-BASE'!$W$8/12, 'Amort. Sched.-BASE'!$AA$7, 'Amort. Sched.-BASE'!$W$7), 0)</f>
        <v>0</v>
      </c>
      <c r="W254" s="5">
        <f>IF(AND(U254&gt;='Amort. Sched.-BASE'!$AA$8, U254&lt;= ($AA$7+$AA$8)), (IPMT($W$8/12, (U254-$AA$8), $AA$7, $W$7)), 0)</f>
        <v>0</v>
      </c>
      <c r="X254" s="23">
        <f>IF(AND(U254&gt;='Amort. Sched.-BASE'!$AA$8, U254&lt;= ($AA$7+$AA$8)), (PPMT($W$8/12, (U254-$AA$8), $AA$7, $W$7)), 0)</f>
        <v>0</v>
      </c>
      <c r="Y254" s="5">
        <f>IF(CreditAmort2BASE[[#This Row],[Month]]=AA$8,W$7,0)</f>
        <v>0</v>
      </c>
      <c r="Z254" s="13">
        <f>IF(AND(U254&gt;='Amort. Sched.-BASE'!$AA$8, U254&lt;= ($AA$7+$AA$8)), Z253+X254, 0)</f>
        <v>0</v>
      </c>
      <c r="AA254" s="24" t="str">
        <f>IF(AND(U254&gt;='Amort. Sched.-BASE'!$AA$8, U254&lt;= ($AA$7+$AA$8)), W254/V254, " ")</f>
        <v xml:space="preserve"> </v>
      </c>
      <c r="AB254" s="25" t="str">
        <f>IF(AND(U254&gt;='Amort. Sched.-BASE'!$AA$8, U254&lt;= ($AA$7+$AA$8)), X254/V254, " ")</f>
        <v xml:space="preserve"> </v>
      </c>
      <c r="AD254" s="20">
        <f t="shared" si="52"/>
        <v>243</v>
      </c>
      <c r="AE254" s="5">
        <f t="shared" si="53"/>
        <v>0</v>
      </c>
      <c r="AF254" s="5">
        <f t="shared" si="54"/>
        <v>0</v>
      </c>
      <c r="AG254" s="5">
        <f t="shared" si="55"/>
        <v>0</v>
      </c>
      <c r="AH254" s="5">
        <f>IF(CreditAmort3BASE[[#This Row],[Month]]=AJ$8,AF$7,0)</f>
        <v>0</v>
      </c>
      <c r="AI254" s="13">
        <f t="shared" si="56"/>
        <v>0</v>
      </c>
      <c r="AJ254" s="6" t="str">
        <f t="shared" si="57"/>
        <v xml:space="preserve"> </v>
      </c>
      <c r="AK254" s="21" t="str">
        <f t="shared" si="58"/>
        <v xml:space="preserve"> </v>
      </c>
      <c r="AM254" s="20">
        <f t="shared" si="59"/>
        <v>243</v>
      </c>
      <c r="AN254" s="5">
        <f t="shared" si="60"/>
        <v>0</v>
      </c>
      <c r="AO254" s="5">
        <f t="shared" si="61"/>
        <v>0</v>
      </c>
      <c r="AP254" s="5">
        <f t="shared" si="62"/>
        <v>0</v>
      </c>
      <c r="AQ254" s="5">
        <f>IF(CreditAmort4BASE[[#This Row],[Month]]=AS$8,AO$7,0)</f>
        <v>0</v>
      </c>
      <c r="AR254" s="13">
        <f t="shared" si="63"/>
        <v>0</v>
      </c>
      <c r="AS254" s="6" t="str">
        <f t="shared" si="64"/>
        <v xml:space="preserve"> </v>
      </c>
      <c r="AT254" s="21" t="str">
        <f t="shared" si="65"/>
        <v xml:space="preserve"> </v>
      </c>
    </row>
    <row r="255" spans="3:46">
      <c r="C255" s="22">
        <f t="shared" si="17"/>
        <v>244</v>
      </c>
      <c r="D255" s="23">
        <f>IF(AND(C255&gt;='Amort. Sched.-BASE'!$I$8, C255&lt;= ($I$7+$I$8)), PMT('Amort. Sched.-BASE'!$E$8/12, 'Amort. Sched.-BASE'!$I$7, 'Amort. Sched.-BASE'!$E$7), 0)</f>
        <v>-1736.5864935892569</v>
      </c>
      <c r="E255" s="5">
        <f>IF(AND(C255&gt;='Amort. Sched.-BASE'!$I$8, C255&lt;= ($I$7+$I$8)), (IPMT($E$8/12, (C255-$I$8), $I$7, $E$7)), 0)</f>
        <v>-547.50344089480996</v>
      </c>
      <c r="F255" s="23">
        <f>IF(AND(C255&gt;='Amort. Sched.-BASE'!$I$8, C255&lt;= ($I$7+$I$8)), (PPMT($E$8/12, (C255-$I$8), $I$7, $E$7)), 0)</f>
        <v>-1189.0830526944469</v>
      </c>
      <c r="G255" s="5">
        <f>IF(MortgageAmortBASE[[#This Row],[Month]]=I$8,E$7,0)</f>
        <v>0</v>
      </c>
      <c r="H255" s="13">
        <f>IF(AND(C255&gt;='Amort. Sched.-BASE'!$I$8, C255&lt;= ($I$7+$I$8)), H254+F255, 0)</f>
        <v>80936.433081527139</v>
      </c>
      <c r="I255" s="24">
        <f>IF(AND(C255&gt;='Amort. Sched.-BASE'!$I$8, C255&lt;= ($I$7+$I$8)), E255/D255, " ")</f>
        <v>0.31527565307916489</v>
      </c>
      <c r="J255" s="25">
        <f>IF(AND(C255&gt;='Amort. Sched.-BASE'!$I$8, C255&lt;= ($I$7+$I$8)), F255/D255, " ")</f>
        <v>0.68472434692083506</v>
      </c>
      <c r="L255" s="20">
        <f t="shared" si="50"/>
        <v>244</v>
      </c>
      <c r="M255" s="5">
        <f>IF(AND(L255&gt;='Amort. Sched.-BASE'!$R$8, L255&lt;= ($R$7+$R$8)), PMT('Amort. Sched.-BASE'!$N$8/12, 'Amort. Sched.-BASE'!$R$7, 'Amort. Sched.-BASE'!$N$7), 0)</f>
        <v>0</v>
      </c>
      <c r="N255" s="5">
        <f>IF(AND(L255&gt;='Amort. Sched.-BASE'!$R$8, L255&lt;= ($R$7+$R$8)), (IPMT($N$8/12, (L255-$R$8), $R$7, $N$7)), 0)</f>
        <v>0</v>
      </c>
      <c r="O255" s="5">
        <f>IF(AND(L255&gt;='Amort. Sched.-BASE'!$R$8, L255&lt;= ($R$7+$R$8)), (PPMT($N$8/12, (L255-$R$8), $R$7, $N$7)), 0)</f>
        <v>0</v>
      </c>
      <c r="P255" s="5">
        <f>IF(CreditAmort1BASE[[#This Row],[Month]]=R$8,N$7,0)</f>
        <v>0</v>
      </c>
      <c r="Q255" s="13">
        <f>IF(AND(L255&gt;='Amort. Sched.-BASE'!$R$8, L255&lt;= ($R$7+$R$8)), Q254+O255, 0)</f>
        <v>0</v>
      </c>
      <c r="R255" s="6" t="str">
        <f>IF(AND(L255&gt;='Amort. Sched.-BASE'!$R$8, L255&lt;= ($R$7+$R$8)), N255/M255, " ")</f>
        <v xml:space="preserve"> </v>
      </c>
      <c r="S255" s="21" t="str">
        <f>IF(AND(L255&gt;='Amort. Sched.-BASE'!$R$8, L255&lt;= ($R$7+$R$8)), O255/M255, " ")</f>
        <v xml:space="preserve"> </v>
      </c>
      <c r="U255" s="22">
        <f t="shared" si="51"/>
        <v>244</v>
      </c>
      <c r="V255" s="23">
        <f>IF(AND(U255&gt;='Amort. Sched.-BASE'!$AA$8, U255&lt;= ($AA$7+$AA$8)), PMT('Amort. Sched.-BASE'!$W$8/12, 'Amort. Sched.-BASE'!$AA$7, 'Amort. Sched.-BASE'!$W$7), 0)</f>
        <v>0</v>
      </c>
      <c r="W255" s="5">
        <f>IF(AND(U255&gt;='Amort. Sched.-BASE'!$AA$8, U255&lt;= ($AA$7+$AA$8)), (IPMT($W$8/12, (U255-$AA$8), $AA$7, $W$7)), 0)</f>
        <v>0</v>
      </c>
      <c r="X255" s="23">
        <f>IF(AND(U255&gt;='Amort. Sched.-BASE'!$AA$8, U255&lt;= ($AA$7+$AA$8)), (PPMT($W$8/12, (U255-$AA$8), $AA$7, $W$7)), 0)</f>
        <v>0</v>
      </c>
      <c r="Y255" s="5">
        <f>IF(CreditAmort2BASE[[#This Row],[Month]]=AA$8,W$7,0)</f>
        <v>0</v>
      </c>
      <c r="Z255" s="13">
        <f>IF(AND(U255&gt;='Amort. Sched.-BASE'!$AA$8, U255&lt;= ($AA$7+$AA$8)), Z254+X255, 0)</f>
        <v>0</v>
      </c>
      <c r="AA255" s="24" t="str">
        <f>IF(AND(U255&gt;='Amort. Sched.-BASE'!$AA$8, U255&lt;= ($AA$7+$AA$8)), W255/V255, " ")</f>
        <v xml:space="preserve"> </v>
      </c>
      <c r="AB255" s="25" t="str">
        <f>IF(AND(U255&gt;='Amort. Sched.-BASE'!$AA$8, U255&lt;= ($AA$7+$AA$8)), X255/V255, " ")</f>
        <v xml:space="preserve"> </v>
      </c>
      <c r="AD255" s="20">
        <f t="shared" si="52"/>
        <v>244</v>
      </c>
      <c r="AE255" s="5">
        <f t="shared" si="53"/>
        <v>0</v>
      </c>
      <c r="AF255" s="5">
        <f t="shared" si="54"/>
        <v>0</v>
      </c>
      <c r="AG255" s="5">
        <f t="shared" si="55"/>
        <v>0</v>
      </c>
      <c r="AH255" s="5">
        <f>IF(CreditAmort3BASE[[#This Row],[Month]]=AJ$8,AF$7,0)</f>
        <v>0</v>
      </c>
      <c r="AI255" s="13">
        <f t="shared" si="56"/>
        <v>0</v>
      </c>
      <c r="AJ255" s="6" t="str">
        <f t="shared" si="57"/>
        <v xml:space="preserve"> </v>
      </c>
      <c r="AK255" s="21" t="str">
        <f t="shared" si="58"/>
        <v xml:space="preserve"> </v>
      </c>
      <c r="AM255" s="20">
        <f t="shared" si="59"/>
        <v>244</v>
      </c>
      <c r="AN255" s="5">
        <f t="shared" si="60"/>
        <v>0</v>
      </c>
      <c r="AO255" s="5">
        <f t="shared" si="61"/>
        <v>0</v>
      </c>
      <c r="AP255" s="5">
        <f t="shared" si="62"/>
        <v>0</v>
      </c>
      <c r="AQ255" s="5">
        <f>IF(CreditAmort4BASE[[#This Row],[Month]]=AS$8,AO$7,0)</f>
        <v>0</v>
      </c>
      <c r="AR255" s="13">
        <f t="shared" si="63"/>
        <v>0</v>
      </c>
      <c r="AS255" s="6" t="str">
        <f t="shared" si="64"/>
        <v xml:space="preserve"> </v>
      </c>
      <c r="AT255" s="21" t="str">
        <f t="shared" si="65"/>
        <v xml:space="preserve"> </v>
      </c>
    </row>
    <row r="256" spans="3:46">
      <c r="C256" s="22">
        <f t="shared" si="17"/>
        <v>245</v>
      </c>
      <c r="D256" s="23">
        <f>IF(AND(C256&gt;='Amort. Sched.-BASE'!$I$8, C256&lt;= ($I$7+$I$8)), PMT('Amort. Sched.-BASE'!$E$8/12, 'Amort. Sched.-BASE'!$I$7, 'Amort. Sched.-BASE'!$E$7), 0)</f>
        <v>-1736.5864935892569</v>
      </c>
      <c r="E256" s="5">
        <f>IF(AND(C256&gt;='Amort. Sched.-BASE'!$I$8, C256&lt;= ($I$7+$I$8)), (IPMT($E$8/12, (C256-$I$8), $I$7, $E$7)), 0)</f>
        <v>-539.57622054351361</v>
      </c>
      <c r="F256" s="23">
        <f>IF(AND(C256&gt;='Amort. Sched.-BASE'!$I$8, C256&lt;= ($I$7+$I$8)), (PPMT($E$8/12, (C256-$I$8), $I$7, $E$7)), 0)</f>
        <v>-1197.0102730457434</v>
      </c>
      <c r="G256" s="5">
        <f>IF(MortgageAmortBASE[[#This Row],[Month]]=I$8,E$7,0)</f>
        <v>0</v>
      </c>
      <c r="H256" s="13">
        <f>IF(AND(C256&gt;='Amort. Sched.-BASE'!$I$8, C256&lt;= ($I$7+$I$8)), H255+F256, 0)</f>
        <v>79739.422808481395</v>
      </c>
      <c r="I256" s="24">
        <f>IF(AND(C256&gt;='Amort. Sched.-BASE'!$I$8, C256&lt;= ($I$7+$I$8)), E256/D256, " ")</f>
        <v>0.31071082409969264</v>
      </c>
      <c r="J256" s="25">
        <f>IF(AND(C256&gt;='Amort. Sched.-BASE'!$I$8, C256&lt;= ($I$7+$I$8)), F256/D256, " ")</f>
        <v>0.68928917590030747</v>
      </c>
      <c r="L256" s="20">
        <f t="shared" si="50"/>
        <v>245</v>
      </c>
      <c r="M256" s="5">
        <f>IF(AND(L256&gt;='Amort. Sched.-BASE'!$R$8, L256&lt;= ($R$7+$R$8)), PMT('Amort. Sched.-BASE'!$N$8/12, 'Amort. Sched.-BASE'!$R$7, 'Amort. Sched.-BASE'!$N$7), 0)</f>
        <v>0</v>
      </c>
      <c r="N256" s="5">
        <f>IF(AND(L256&gt;='Amort. Sched.-BASE'!$R$8, L256&lt;= ($R$7+$R$8)), (IPMT($N$8/12, (L256-$R$8), $R$7, $N$7)), 0)</f>
        <v>0</v>
      </c>
      <c r="O256" s="5">
        <f>IF(AND(L256&gt;='Amort. Sched.-BASE'!$R$8, L256&lt;= ($R$7+$R$8)), (PPMT($N$8/12, (L256-$R$8), $R$7, $N$7)), 0)</f>
        <v>0</v>
      </c>
      <c r="P256" s="5">
        <f>IF(CreditAmort1BASE[[#This Row],[Month]]=R$8,N$7,0)</f>
        <v>0</v>
      </c>
      <c r="Q256" s="13">
        <f>IF(AND(L256&gt;='Amort. Sched.-BASE'!$R$8, L256&lt;= ($R$7+$R$8)), Q255+O256, 0)</f>
        <v>0</v>
      </c>
      <c r="R256" s="6" t="str">
        <f>IF(AND(L256&gt;='Amort. Sched.-BASE'!$R$8, L256&lt;= ($R$7+$R$8)), N256/M256, " ")</f>
        <v xml:space="preserve"> </v>
      </c>
      <c r="S256" s="21" t="str">
        <f>IF(AND(L256&gt;='Amort. Sched.-BASE'!$R$8, L256&lt;= ($R$7+$R$8)), O256/M256, " ")</f>
        <v xml:space="preserve"> </v>
      </c>
      <c r="U256" s="22">
        <f t="shared" si="51"/>
        <v>245</v>
      </c>
      <c r="V256" s="23">
        <f>IF(AND(U256&gt;='Amort. Sched.-BASE'!$AA$8, U256&lt;= ($AA$7+$AA$8)), PMT('Amort. Sched.-BASE'!$W$8/12, 'Amort. Sched.-BASE'!$AA$7, 'Amort. Sched.-BASE'!$W$7), 0)</f>
        <v>0</v>
      </c>
      <c r="W256" s="5">
        <f>IF(AND(U256&gt;='Amort. Sched.-BASE'!$AA$8, U256&lt;= ($AA$7+$AA$8)), (IPMT($W$8/12, (U256-$AA$8), $AA$7, $W$7)), 0)</f>
        <v>0</v>
      </c>
      <c r="X256" s="23">
        <f>IF(AND(U256&gt;='Amort. Sched.-BASE'!$AA$8, U256&lt;= ($AA$7+$AA$8)), (PPMT($W$8/12, (U256-$AA$8), $AA$7, $W$7)), 0)</f>
        <v>0</v>
      </c>
      <c r="Y256" s="5">
        <f>IF(CreditAmort2BASE[[#This Row],[Month]]=AA$8,W$7,0)</f>
        <v>0</v>
      </c>
      <c r="Z256" s="13">
        <f>IF(AND(U256&gt;='Amort. Sched.-BASE'!$AA$8, U256&lt;= ($AA$7+$AA$8)), Z255+X256, 0)</f>
        <v>0</v>
      </c>
      <c r="AA256" s="24" t="str">
        <f>IF(AND(U256&gt;='Amort. Sched.-BASE'!$AA$8, U256&lt;= ($AA$7+$AA$8)), W256/V256, " ")</f>
        <v xml:space="preserve"> </v>
      </c>
      <c r="AB256" s="25" t="str">
        <f>IF(AND(U256&gt;='Amort. Sched.-BASE'!$AA$8, U256&lt;= ($AA$7+$AA$8)), X256/V256, " ")</f>
        <v xml:space="preserve"> </v>
      </c>
      <c r="AD256" s="20">
        <f t="shared" si="52"/>
        <v>245</v>
      </c>
      <c r="AE256" s="5">
        <f t="shared" si="53"/>
        <v>0</v>
      </c>
      <c r="AF256" s="5">
        <f t="shared" si="54"/>
        <v>0</v>
      </c>
      <c r="AG256" s="5">
        <f t="shared" si="55"/>
        <v>0</v>
      </c>
      <c r="AH256" s="5">
        <f>IF(CreditAmort3BASE[[#This Row],[Month]]=AJ$8,AF$7,0)</f>
        <v>0</v>
      </c>
      <c r="AI256" s="13">
        <f t="shared" si="56"/>
        <v>0</v>
      </c>
      <c r="AJ256" s="6" t="str">
        <f t="shared" si="57"/>
        <v xml:space="preserve"> </v>
      </c>
      <c r="AK256" s="21" t="str">
        <f t="shared" si="58"/>
        <v xml:space="preserve"> </v>
      </c>
      <c r="AM256" s="20">
        <f t="shared" si="59"/>
        <v>245</v>
      </c>
      <c r="AN256" s="5">
        <f t="shared" si="60"/>
        <v>0</v>
      </c>
      <c r="AO256" s="5">
        <f t="shared" si="61"/>
        <v>0</v>
      </c>
      <c r="AP256" s="5">
        <f t="shared" si="62"/>
        <v>0</v>
      </c>
      <c r="AQ256" s="5">
        <f>IF(CreditAmort4BASE[[#This Row],[Month]]=AS$8,AO$7,0)</f>
        <v>0</v>
      </c>
      <c r="AR256" s="13">
        <f t="shared" si="63"/>
        <v>0</v>
      </c>
      <c r="AS256" s="6" t="str">
        <f t="shared" si="64"/>
        <v xml:space="preserve"> </v>
      </c>
      <c r="AT256" s="21" t="str">
        <f t="shared" si="65"/>
        <v xml:space="preserve"> </v>
      </c>
    </row>
    <row r="257" spans="3:46">
      <c r="C257" s="22">
        <f t="shared" si="17"/>
        <v>246</v>
      </c>
      <c r="D257" s="23">
        <f>IF(AND(C257&gt;='Amort. Sched.-BASE'!$I$8, C257&lt;= ($I$7+$I$8)), PMT('Amort. Sched.-BASE'!$E$8/12, 'Amort. Sched.-BASE'!$I$7, 'Amort. Sched.-BASE'!$E$7), 0)</f>
        <v>-1736.5864935892569</v>
      </c>
      <c r="E257" s="5">
        <f>IF(AND(C257&gt;='Amort. Sched.-BASE'!$I$8, C257&lt;= ($I$7+$I$8)), (IPMT($E$8/12, (C257-$I$8), $I$7, $E$7)), 0)</f>
        <v>-531.596152056542</v>
      </c>
      <c r="F257" s="23">
        <f>IF(AND(C257&gt;='Amort. Sched.-BASE'!$I$8, C257&lt;= ($I$7+$I$8)), (PPMT($E$8/12, (C257-$I$8), $I$7, $E$7)), 0)</f>
        <v>-1204.9903415327149</v>
      </c>
      <c r="G257" s="5">
        <f>IF(MortgageAmortBASE[[#This Row],[Month]]=I$8,E$7,0)</f>
        <v>0</v>
      </c>
      <c r="H257" s="13">
        <f>IF(AND(C257&gt;='Amort. Sched.-BASE'!$I$8, C257&lt;= ($I$7+$I$8)), H256+F257, 0)</f>
        <v>78534.432466948681</v>
      </c>
      <c r="I257" s="24">
        <f>IF(AND(C257&gt;='Amort. Sched.-BASE'!$I$8, C257&lt;= ($I$7+$I$8)), E257/D257, " ")</f>
        <v>0.30611556292702391</v>
      </c>
      <c r="J257" s="25">
        <f>IF(AND(C257&gt;='Amort. Sched.-BASE'!$I$8, C257&lt;= ($I$7+$I$8)), F257/D257, " ")</f>
        <v>0.69388443707297609</v>
      </c>
      <c r="L257" s="20">
        <f t="shared" si="50"/>
        <v>246</v>
      </c>
      <c r="M257" s="5">
        <f>IF(AND(L257&gt;='Amort. Sched.-BASE'!$R$8, L257&lt;= ($R$7+$R$8)), PMT('Amort. Sched.-BASE'!$N$8/12, 'Amort. Sched.-BASE'!$R$7, 'Amort. Sched.-BASE'!$N$7), 0)</f>
        <v>0</v>
      </c>
      <c r="N257" s="5">
        <f>IF(AND(L257&gt;='Amort. Sched.-BASE'!$R$8, L257&lt;= ($R$7+$R$8)), (IPMT($N$8/12, (L257-$R$8), $R$7, $N$7)), 0)</f>
        <v>0</v>
      </c>
      <c r="O257" s="5">
        <f>IF(AND(L257&gt;='Amort. Sched.-BASE'!$R$8, L257&lt;= ($R$7+$R$8)), (PPMT($N$8/12, (L257-$R$8), $R$7, $N$7)), 0)</f>
        <v>0</v>
      </c>
      <c r="P257" s="5">
        <f>IF(CreditAmort1BASE[[#This Row],[Month]]=R$8,N$7,0)</f>
        <v>0</v>
      </c>
      <c r="Q257" s="13">
        <f>IF(AND(L257&gt;='Amort. Sched.-BASE'!$R$8, L257&lt;= ($R$7+$R$8)), Q256+O257, 0)</f>
        <v>0</v>
      </c>
      <c r="R257" s="6" t="str">
        <f>IF(AND(L257&gt;='Amort. Sched.-BASE'!$R$8, L257&lt;= ($R$7+$R$8)), N257/M257, " ")</f>
        <v xml:space="preserve"> </v>
      </c>
      <c r="S257" s="21" t="str">
        <f>IF(AND(L257&gt;='Amort. Sched.-BASE'!$R$8, L257&lt;= ($R$7+$R$8)), O257/M257, " ")</f>
        <v xml:space="preserve"> </v>
      </c>
      <c r="U257" s="22">
        <f t="shared" si="51"/>
        <v>246</v>
      </c>
      <c r="V257" s="23">
        <f>IF(AND(U257&gt;='Amort. Sched.-BASE'!$AA$8, U257&lt;= ($AA$7+$AA$8)), PMT('Amort. Sched.-BASE'!$W$8/12, 'Amort. Sched.-BASE'!$AA$7, 'Amort. Sched.-BASE'!$W$7), 0)</f>
        <v>0</v>
      </c>
      <c r="W257" s="5">
        <f>IF(AND(U257&gt;='Amort. Sched.-BASE'!$AA$8, U257&lt;= ($AA$7+$AA$8)), (IPMT($W$8/12, (U257-$AA$8), $AA$7, $W$7)), 0)</f>
        <v>0</v>
      </c>
      <c r="X257" s="23">
        <f>IF(AND(U257&gt;='Amort. Sched.-BASE'!$AA$8, U257&lt;= ($AA$7+$AA$8)), (PPMT($W$8/12, (U257-$AA$8), $AA$7, $W$7)), 0)</f>
        <v>0</v>
      </c>
      <c r="Y257" s="5">
        <f>IF(CreditAmort2BASE[[#This Row],[Month]]=AA$8,W$7,0)</f>
        <v>0</v>
      </c>
      <c r="Z257" s="13">
        <f>IF(AND(U257&gt;='Amort. Sched.-BASE'!$AA$8, U257&lt;= ($AA$7+$AA$8)), Z256+X257, 0)</f>
        <v>0</v>
      </c>
      <c r="AA257" s="24" t="str">
        <f>IF(AND(U257&gt;='Amort. Sched.-BASE'!$AA$8, U257&lt;= ($AA$7+$AA$8)), W257/V257, " ")</f>
        <v xml:space="preserve"> </v>
      </c>
      <c r="AB257" s="25" t="str">
        <f>IF(AND(U257&gt;='Amort. Sched.-BASE'!$AA$8, U257&lt;= ($AA$7+$AA$8)), X257/V257, " ")</f>
        <v xml:space="preserve"> </v>
      </c>
      <c r="AD257" s="20">
        <f t="shared" si="52"/>
        <v>246</v>
      </c>
      <c r="AE257" s="5">
        <f t="shared" si="53"/>
        <v>0</v>
      </c>
      <c r="AF257" s="5">
        <f t="shared" si="54"/>
        <v>0</v>
      </c>
      <c r="AG257" s="5">
        <f t="shared" si="55"/>
        <v>0</v>
      </c>
      <c r="AH257" s="5">
        <f>IF(CreditAmort3BASE[[#This Row],[Month]]=AJ$8,AF$7,0)</f>
        <v>0</v>
      </c>
      <c r="AI257" s="13">
        <f t="shared" si="56"/>
        <v>0</v>
      </c>
      <c r="AJ257" s="6" t="str">
        <f t="shared" si="57"/>
        <v xml:space="preserve"> </v>
      </c>
      <c r="AK257" s="21" t="str">
        <f t="shared" si="58"/>
        <v xml:space="preserve"> </v>
      </c>
      <c r="AM257" s="20">
        <f t="shared" si="59"/>
        <v>246</v>
      </c>
      <c r="AN257" s="5">
        <f t="shared" si="60"/>
        <v>0</v>
      </c>
      <c r="AO257" s="5">
        <f t="shared" si="61"/>
        <v>0</v>
      </c>
      <c r="AP257" s="5">
        <f t="shared" si="62"/>
        <v>0</v>
      </c>
      <c r="AQ257" s="5">
        <f>IF(CreditAmort4BASE[[#This Row],[Month]]=AS$8,AO$7,0)</f>
        <v>0</v>
      </c>
      <c r="AR257" s="13">
        <f t="shared" si="63"/>
        <v>0</v>
      </c>
      <c r="AS257" s="6" t="str">
        <f t="shared" si="64"/>
        <v xml:space="preserve"> </v>
      </c>
      <c r="AT257" s="21" t="str">
        <f t="shared" si="65"/>
        <v xml:space="preserve"> </v>
      </c>
    </row>
    <row r="258" spans="3:46">
      <c r="C258" s="22">
        <f t="shared" si="17"/>
        <v>247</v>
      </c>
      <c r="D258" s="23">
        <f>IF(AND(C258&gt;='Amort. Sched.-BASE'!$I$8, C258&lt;= ($I$7+$I$8)), PMT('Amort. Sched.-BASE'!$E$8/12, 'Amort. Sched.-BASE'!$I$7, 'Amort. Sched.-BASE'!$E$7), 0)</f>
        <v>-1736.5864935892569</v>
      </c>
      <c r="E258" s="5">
        <f>IF(AND(C258&gt;='Amort. Sched.-BASE'!$I$8, C258&lt;= ($I$7+$I$8)), (IPMT($E$8/12, (C258-$I$8), $I$7, $E$7)), 0)</f>
        <v>-523.56288311299056</v>
      </c>
      <c r="F258" s="23">
        <f>IF(AND(C258&gt;='Amort. Sched.-BASE'!$I$8, C258&lt;= ($I$7+$I$8)), (PPMT($E$8/12, (C258-$I$8), $I$7, $E$7)), 0)</f>
        <v>-1213.0236104762664</v>
      </c>
      <c r="G258" s="5">
        <f>IF(MortgageAmortBASE[[#This Row],[Month]]=I$8,E$7,0)</f>
        <v>0</v>
      </c>
      <c r="H258" s="13">
        <f>IF(AND(C258&gt;='Amort. Sched.-BASE'!$I$8, C258&lt;= ($I$7+$I$8)), H257+F258, 0)</f>
        <v>77321.408856472408</v>
      </c>
      <c r="I258" s="24">
        <f>IF(AND(C258&gt;='Amort. Sched.-BASE'!$I$8, C258&lt;= ($I$7+$I$8)), E258/D258, " ")</f>
        <v>0.30148966667987076</v>
      </c>
      <c r="J258" s="25">
        <f>IF(AND(C258&gt;='Amort. Sched.-BASE'!$I$8, C258&lt;= ($I$7+$I$8)), F258/D258, " ")</f>
        <v>0.69851033332012935</v>
      </c>
      <c r="L258" s="20">
        <f t="shared" si="50"/>
        <v>247</v>
      </c>
      <c r="M258" s="5">
        <f>IF(AND(L258&gt;='Amort. Sched.-BASE'!$R$8, L258&lt;= ($R$7+$R$8)), PMT('Amort. Sched.-BASE'!$N$8/12, 'Amort. Sched.-BASE'!$R$7, 'Amort. Sched.-BASE'!$N$7), 0)</f>
        <v>0</v>
      </c>
      <c r="N258" s="5">
        <f>IF(AND(L258&gt;='Amort. Sched.-BASE'!$R$8, L258&lt;= ($R$7+$R$8)), (IPMT($N$8/12, (L258-$R$8), $R$7, $N$7)), 0)</f>
        <v>0</v>
      </c>
      <c r="O258" s="5">
        <f>IF(AND(L258&gt;='Amort. Sched.-BASE'!$R$8, L258&lt;= ($R$7+$R$8)), (PPMT($N$8/12, (L258-$R$8), $R$7, $N$7)), 0)</f>
        <v>0</v>
      </c>
      <c r="P258" s="5">
        <f>IF(CreditAmort1BASE[[#This Row],[Month]]=R$8,N$7,0)</f>
        <v>0</v>
      </c>
      <c r="Q258" s="13">
        <f>IF(AND(L258&gt;='Amort. Sched.-BASE'!$R$8, L258&lt;= ($R$7+$R$8)), Q257+O258, 0)</f>
        <v>0</v>
      </c>
      <c r="R258" s="6" t="str">
        <f>IF(AND(L258&gt;='Amort. Sched.-BASE'!$R$8, L258&lt;= ($R$7+$R$8)), N258/M258, " ")</f>
        <v xml:space="preserve"> </v>
      </c>
      <c r="S258" s="21" t="str">
        <f>IF(AND(L258&gt;='Amort. Sched.-BASE'!$R$8, L258&lt;= ($R$7+$R$8)), O258/M258, " ")</f>
        <v xml:space="preserve"> </v>
      </c>
      <c r="U258" s="22">
        <f t="shared" si="51"/>
        <v>247</v>
      </c>
      <c r="V258" s="23">
        <f>IF(AND(U258&gt;='Amort. Sched.-BASE'!$AA$8, U258&lt;= ($AA$7+$AA$8)), PMT('Amort. Sched.-BASE'!$W$8/12, 'Amort. Sched.-BASE'!$AA$7, 'Amort. Sched.-BASE'!$W$7), 0)</f>
        <v>0</v>
      </c>
      <c r="W258" s="5">
        <f>IF(AND(U258&gt;='Amort. Sched.-BASE'!$AA$8, U258&lt;= ($AA$7+$AA$8)), (IPMT($W$8/12, (U258-$AA$8), $AA$7, $W$7)), 0)</f>
        <v>0</v>
      </c>
      <c r="X258" s="23">
        <f>IF(AND(U258&gt;='Amort. Sched.-BASE'!$AA$8, U258&lt;= ($AA$7+$AA$8)), (PPMT($W$8/12, (U258-$AA$8), $AA$7, $W$7)), 0)</f>
        <v>0</v>
      </c>
      <c r="Y258" s="5">
        <f>IF(CreditAmort2BASE[[#This Row],[Month]]=AA$8,W$7,0)</f>
        <v>0</v>
      </c>
      <c r="Z258" s="13">
        <f>IF(AND(U258&gt;='Amort. Sched.-BASE'!$AA$8, U258&lt;= ($AA$7+$AA$8)), Z257+X258, 0)</f>
        <v>0</v>
      </c>
      <c r="AA258" s="24" t="str">
        <f>IF(AND(U258&gt;='Amort. Sched.-BASE'!$AA$8, U258&lt;= ($AA$7+$AA$8)), W258/V258, " ")</f>
        <v xml:space="preserve"> </v>
      </c>
      <c r="AB258" s="25" t="str">
        <f>IF(AND(U258&gt;='Amort. Sched.-BASE'!$AA$8, U258&lt;= ($AA$7+$AA$8)), X258/V258, " ")</f>
        <v xml:space="preserve"> </v>
      </c>
      <c r="AD258" s="20">
        <f t="shared" si="52"/>
        <v>247</v>
      </c>
      <c r="AE258" s="5">
        <f t="shared" si="53"/>
        <v>0</v>
      </c>
      <c r="AF258" s="5">
        <f t="shared" si="54"/>
        <v>0</v>
      </c>
      <c r="AG258" s="5">
        <f t="shared" si="55"/>
        <v>0</v>
      </c>
      <c r="AH258" s="5">
        <f>IF(CreditAmort3BASE[[#This Row],[Month]]=AJ$8,AF$7,0)</f>
        <v>0</v>
      </c>
      <c r="AI258" s="13">
        <f t="shared" si="56"/>
        <v>0</v>
      </c>
      <c r="AJ258" s="6" t="str">
        <f t="shared" si="57"/>
        <v xml:space="preserve"> </v>
      </c>
      <c r="AK258" s="21" t="str">
        <f t="shared" si="58"/>
        <v xml:space="preserve"> </v>
      </c>
      <c r="AM258" s="20">
        <f t="shared" si="59"/>
        <v>247</v>
      </c>
      <c r="AN258" s="5">
        <f t="shared" si="60"/>
        <v>0</v>
      </c>
      <c r="AO258" s="5">
        <f t="shared" si="61"/>
        <v>0</v>
      </c>
      <c r="AP258" s="5">
        <f t="shared" si="62"/>
        <v>0</v>
      </c>
      <c r="AQ258" s="5">
        <f>IF(CreditAmort4BASE[[#This Row],[Month]]=AS$8,AO$7,0)</f>
        <v>0</v>
      </c>
      <c r="AR258" s="13">
        <f t="shared" si="63"/>
        <v>0</v>
      </c>
      <c r="AS258" s="6" t="str">
        <f t="shared" si="64"/>
        <v xml:space="preserve"> </v>
      </c>
      <c r="AT258" s="21" t="str">
        <f t="shared" si="65"/>
        <v xml:space="preserve"> </v>
      </c>
    </row>
    <row r="259" spans="3:46">
      <c r="C259" s="22">
        <f t="shared" si="17"/>
        <v>248</v>
      </c>
      <c r="D259" s="23">
        <f>IF(AND(C259&gt;='Amort. Sched.-BASE'!$I$8, C259&lt;= ($I$7+$I$8)), PMT('Amort. Sched.-BASE'!$E$8/12, 'Amort. Sched.-BASE'!$I$7, 'Amort. Sched.-BASE'!$E$7), 0)</f>
        <v>-1736.5864935892569</v>
      </c>
      <c r="E259" s="5">
        <f>IF(AND(C259&gt;='Amort. Sched.-BASE'!$I$8, C259&lt;= ($I$7+$I$8)), (IPMT($E$8/12, (C259-$I$8), $I$7, $E$7)), 0)</f>
        <v>-515.47605904314889</v>
      </c>
      <c r="F259" s="23">
        <f>IF(AND(C259&gt;='Amort. Sched.-BASE'!$I$8, C259&lt;= ($I$7+$I$8)), (PPMT($E$8/12, (C259-$I$8), $I$7, $E$7)), 0)</f>
        <v>-1221.1104345461081</v>
      </c>
      <c r="G259" s="5">
        <f>IF(MortgageAmortBASE[[#This Row],[Month]]=I$8,E$7,0)</f>
        <v>0</v>
      </c>
      <c r="H259" s="13">
        <f>IF(AND(C259&gt;='Amort. Sched.-BASE'!$I$8, C259&lt;= ($I$7+$I$8)), H258+F259, 0)</f>
        <v>76100.298421926302</v>
      </c>
      <c r="I259" s="24">
        <f>IF(AND(C259&gt;='Amort. Sched.-BASE'!$I$8, C259&lt;= ($I$7+$I$8)), E259/D259, " ")</f>
        <v>0.29683293112440329</v>
      </c>
      <c r="J259" s="25">
        <f>IF(AND(C259&gt;='Amort. Sched.-BASE'!$I$8, C259&lt;= ($I$7+$I$8)), F259/D259, " ")</f>
        <v>0.70316706887559677</v>
      </c>
      <c r="L259" s="20">
        <f t="shared" si="50"/>
        <v>248</v>
      </c>
      <c r="M259" s="5">
        <f>IF(AND(L259&gt;='Amort. Sched.-BASE'!$R$8, L259&lt;= ($R$7+$R$8)), PMT('Amort. Sched.-BASE'!$N$8/12, 'Amort. Sched.-BASE'!$R$7, 'Amort. Sched.-BASE'!$N$7), 0)</f>
        <v>0</v>
      </c>
      <c r="N259" s="5">
        <f>IF(AND(L259&gt;='Amort. Sched.-BASE'!$R$8, L259&lt;= ($R$7+$R$8)), (IPMT($N$8/12, (L259-$R$8), $R$7, $N$7)), 0)</f>
        <v>0</v>
      </c>
      <c r="O259" s="5">
        <f>IF(AND(L259&gt;='Amort. Sched.-BASE'!$R$8, L259&lt;= ($R$7+$R$8)), (PPMT($N$8/12, (L259-$R$8), $R$7, $N$7)), 0)</f>
        <v>0</v>
      </c>
      <c r="P259" s="5">
        <f>IF(CreditAmort1BASE[[#This Row],[Month]]=R$8,N$7,0)</f>
        <v>0</v>
      </c>
      <c r="Q259" s="13">
        <f>IF(AND(L259&gt;='Amort. Sched.-BASE'!$R$8, L259&lt;= ($R$7+$R$8)), Q258+O259, 0)</f>
        <v>0</v>
      </c>
      <c r="R259" s="6" t="str">
        <f>IF(AND(L259&gt;='Amort. Sched.-BASE'!$R$8, L259&lt;= ($R$7+$R$8)), N259/M259, " ")</f>
        <v xml:space="preserve"> </v>
      </c>
      <c r="S259" s="21" t="str">
        <f>IF(AND(L259&gt;='Amort. Sched.-BASE'!$R$8, L259&lt;= ($R$7+$R$8)), O259/M259, " ")</f>
        <v xml:space="preserve"> </v>
      </c>
      <c r="U259" s="22">
        <f t="shared" si="51"/>
        <v>248</v>
      </c>
      <c r="V259" s="23">
        <f>IF(AND(U259&gt;='Amort. Sched.-BASE'!$AA$8, U259&lt;= ($AA$7+$AA$8)), PMT('Amort. Sched.-BASE'!$W$8/12, 'Amort. Sched.-BASE'!$AA$7, 'Amort. Sched.-BASE'!$W$7), 0)</f>
        <v>0</v>
      </c>
      <c r="W259" s="5">
        <f>IF(AND(U259&gt;='Amort. Sched.-BASE'!$AA$8, U259&lt;= ($AA$7+$AA$8)), (IPMT($W$8/12, (U259-$AA$8), $AA$7, $W$7)), 0)</f>
        <v>0</v>
      </c>
      <c r="X259" s="23">
        <f>IF(AND(U259&gt;='Amort. Sched.-BASE'!$AA$8, U259&lt;= ($AA$7+$AA$8)), (PPMT($W$8/12, (U259-$AA$8), $AA$7, $W$7)), 0)</f>
        <v>0</v>
      </c>
      <c r="Y259" s="5">
        <f>IF(CreditAmort2BASE[[#This Row],[Month]]=AA$8,W$7,0)</f>
        <v>0</v>
      </c>
      <c r="Z259" s="13">
        <f>IF(AND(U259&gt;='Amort. Sched.-BASE'!$AA$8, U259&lt;= ($AA$7+$AA$8)), Z258+X259, 0)</f>
        <v>0</v>
      </c>
      <c r="AA259" s="24" t="str">
        <f>IF(AND(U259&gt;='Amort. Sched.-BASE'!$AA$8, U259&lt;= ($AA$7+$AA$8)), W259/V259, " ")</f>
        <v xml:space="preserve"> </v>
      </c>
      <c r="AB259" s="25" t="str">
        <f>IF(AND(U259&gt;='Amort. Sched.-BASE'!$AA$8, U259&lt;= ($AA$7+$AA$8)), X259/V259, " ")</f>
        <v xml:space="preserve"> </v>
      </c>
      <c r="AD259" s="20">
        <f t="shared" si="52"/>
        <v>248</v>
      </c>
      <c r="AE259" s="5">
        <f t="shared" si="53"/>
        <v>0</v>
      </c>
      <c r="AF259" s="5">
        <f t="shared" si="54"/>
        <v>0</v>
      </c>
      <c r="AG259" s="5">
        <f t="shared" si="55"/>
        <v>0</v>
      </c>
      <c r="AH259" s="5">
        <f>IF(CreditAmort3BASE[[#This Row],[Month]]=AJ$8,AF$7,0)</f>
        <v>0</v>
      </c>
      <c r="AI259" s="13">
        <f t="shared" si="56"/>
        <v>0</v>
      </c>
      <c r="AJ259" s="6" t="str">
        <f t="shared" si="57"/>
        <v xml:space="preserve"> </v>
      </c>
      <c r="AK259" s="21" t="str">
        <f t="shared" si="58"/>
        <v xml:space="preserve"> </v>
      </c>
      <c r="AM259" s="20">
        <f t="shared" si="59"/>
        <v>248</v>
      </c>
      <c r="AN259" s="5">
        <f t="shared" si="60"/>
        <v>0</v>
      </c>
      <c r="AO259" s="5">
        <f t="shared" si="61"/>
        <v>0</v>
      </c>
      <c r="AP259" s="5">
        <f t="shared" si="62"/>
        <v>0</v>
      </c>
      <c r="AQ259" s="5">
        <f>IF(CreditAmort4BASE[[#This Row],[Month]]=AS$8,AO$7,0)</f>
        <v>0</v>
      </c>
      <c r="AR259" s="13">
        <f t="shared" si="63"/>
        <v>0</v>
      </c>
      <c r="AS259" s="6" t="str">
        <f t="shared" si="64"/>
        <v xml:space="preserve"> </v>
      </c>
      <c r="AT259" s="21" t="str">
        <f t="shared" si="65"/>
        <v xml:space="preserve"> </v>
      </c>
    </row>
    <row r="260" spans="3:46">
      <c r="C260" s="22">
        <f t="shared" si="17"/>
        <v>249</v>
      </c>
      <c r="D260" s="23">
        <f>IF(AND(C260&gt;='Amort. Sched.-BASE'!$I$8, C260&lt;= ($I$7+$I$8)), PMT('Amort. Sched.-BASE'!$E$8/12, 'Amort. Sched.-BASE'!$I$7, 'Amort. Sched.-BASE'!$E$7), 0)</f>
        <v>-1736.5864935892569</v>
      </c>
      <c r="E260" s="5">
        <f>IF(AND(C260&gt;='Amort. Sched.-BASE'!$I$8, C260&lt;= ($I$7+$I$8)), (IPMT($E$8/12, (C260-$I$8), $I$7, $E$7)), 0)</f>
        <v>-507.33532281284135</v>
      </c>
      <c r="F260" s="23">
        <f>IF(AND(C260&gt;='Amort. Sched.-BASE'!$I$8, C260&lt;= ($I$7+$I$8)), (PPMT($E$8/12, (C260-$I$8), $I$7, $E$7)), 0)</f>
        <v>-1229.2511707764154</v>
      </c>
      <c r="G260" s="5">
        <f>IF(MortgageAmortBASE[[#This Row],[Month]]=I$8,E$7,0)</f>
        <v>0</v>
      </c>
      <c r="H260" s="13">
        <f>IF(AND(C260&gt;='Amort. Sched.-BASE'!$I$8, C260&lt;= ($I$7+$I$8)), H259+F260, 0)</f>
        <v>74871.047251149881</v>
      </c>
      <c r="I260" s="24">
        <f>IF(AND(C260&gt;='Amort. Sched.-BASE'!$I$8, C260&lt;= ($I$7+$I$8)), E260/D260, " ")</f>
        <v>0.29214515066523256</v>
      </c>
      <c r="J260" s="25">
        <f>IF(AND(C260&gt;='Amort. Sched.-BASE'!$I$8, C260&lt;= ($I$7+$I$8)), F260/D260, " ")</f>
        <v>0.70785484933476739</v>
      </c>
      <c r="L260" s="20">
        <f t="shared" si="50"/>
        <v>249</v>
      </c>
      <c r="M260" s="5">
        <f>IF(AND(L260&gt;='Amort. Sched.-BASE'!$R$8, L260&lt;= ($R$7+$R$8)), PMT('Amort. Sched.-BASE'!$N$8/12, 'Amort. Sched.-BASE'!$R$7, 'Amort. Sched.-BASE'!$N$7), 0)</f>
        <v>0</v>
      </c>
      <c r="N260" s="5">
        <f>IF(AND(L260&gt;='Amort. Sched.-BASE'!$R$8, L260&lt;= ($R$7+$R$8)), (IPMT($N$8/12, (L260-$R$8), $R$7, $N$7)), 0)</f>
        <v>0</v>
      </c>
      <c r="O260" s="5">
        <f>IF(AND(L260&gt;='Amort. Sched.-BASE'!$R$8, L260&lt;= ($R$7+$R$8)), (PPMT($N$8/12, (L260-$R$8), $R$7, $N$7)), 0)</f>
        <v>0</v>
      </c>
      <c r="P260" s="5">
        <f>IF(CreditAmort1BASE[[#This Row],[Month]]=R$8,N$7,0)</f>
        <v>0</v>
      </c>
      <c r="Q260" s="13">
        <f>IF(AND(L260&gt;='Amort. Sched.-BASE'!$R$8, L260&lt;= ($R$7+$R$8)), Q259+O260, 0)</f>
        <v>0</v>
      </c>
      <c r="R260" s="6" t="str">
        <f>IF(AND(L260&gt;='Amort. Sched.-BASE'!$R$8, L260&lt;= ($R$7+$R$8)), N260/M260, " ")</f>
        <v xml:space="preserve"> </v>
      </c>
      <c r="S260" s="21" t="str">
        <f>IF(AND(L260&gt;='Amort. Sched.-BASE'!$R$8, L260&lt;= ($R$7+$R$8)), O260/M260, " ")</f>
        <v xml:space="preserve"> </v>
      </c>
      <c r="U260" s="22">
        <f t="shared" si="51"/>
        <v>249</v>
      </c>
      <c r="V260" s="23">
        <f>IF(AND(U260&gt;='Amort. Sched.-BASE'!$AA$8, U260&lt;= ($AA$7+$AA$8)), PMT('Amort. Sched.-BASE'!$W$8/12, 'Amort. Sched.-BASE'!$AA$7, 'Amort. Sched.-BASE'!$W$7), 0)</f>
        <v>0</v>
      </c>
      <c r="W260" s="5">
        <f>IF(AND(U260&gt;='Amort. Sched.-BASE'!$AA$8, U260&lt;= ($AA$7+$AA$8)), (IPMT($W$8/12, (U260-$AA$8), $AA$7, $W$7)), 0)</f>
        <v>0</v>
      </c>
      <c r="X260" s="23">
        <f>IF(AND(U260&gt;='Amort. Sched.-BASE'!$AA$8, U260&lt;= ($AA$7+$AA$8)), (PPMT($W$8/12, (U260-$AA$8), $AA$7, $W$7)), 0)</f>
        <v>0</v>
      </c>
      <c r="Y260" s="5">
        <f>IF(CreditAmort2BASE[[#This Row],[Month]]=AA$8,W$7,0)</f>
        <v>0</v>
      </c>
      <c r="Z260" s="13">
        <f>IF(AND(U260&gt;='Amort. Sched.-BASE'!$AA$8, U260&lt;= ($AA$7+$AA$8)), Z259+X260, 0)</f>
        <v>0</v>
      </c>
      <c r="AA260" s="24" t="str">
        <f>IF(AND(U260&gt;='Amort. Sched.-BASE'!$AA$8, U260&lt;= ($AA$7+$AA$8)), W260/V260, " ")</f>
        <v xml:space="preserve"> </v>
      </c>
      <c r="AB260" s="25" t="str">
        <f>IF(AND(U260&gt;='Amort. Sched.-BASE'!$AA$8, U260&lt;= ($AA$7+$AA$8)), X260/V260, " ")</f>
        <v xml:space="preserve"> </v>
      </c>
      <c r="AD260" s="20">
        <f t="shared" si="52"/>
        <v>249</v>
      </c>
      <c r="AE260" s="5">
        <f t="shared" si="53"/>
        <v>0</v>
      </c>
      <c r="AF260" s="5">
        <f t="shared" si="54"/>
        <v>0</v>
      </c>
      <c r="AG260" s="5">
        <f t="shared" si="55"/>
        <v>0</v>
      </c>
      <c r="AH260" s="5">
        <f>IF(CreditAmort3BASE[[#This Row],[Month]]=AJ$8,AF$7,0)</f>
        <v>0</v>
      </c>
      <c r="AI260" s="13">
        <f t="shared" si="56"/>
        <v>0</v>
      </c>
      <c r="AJ260" s="6" t="str">
        <f t="shared" si="57"/>
        <v xml:space="preserve"> </v>
      </c>
      <c r="AK260" s="21" t="str">
        <f t="shared" si="58"/>
        <v xml:space="preserve"> </v>
      </c>
      <c r="AM260" s="20">
        <f t="shared" si="59"/>
        <v>249</v>
      </c>
      <c r="AN260" s="5">
        <f t="shared" si="60"/>
        <v>0</v>
      </c>
      <c r="AO260" s="5">
        <f t="shared" si="61"/>
        <v>0</v>
      </c>
      <c r="AP260" s="5">
        <f t="shared" si="62"/>
        <v>0</v>
      </c>
      <c r="AQ260" s="5">
        <f>IF(CreditAmort4BASE[[#This Row],[Month]]=AS$8,AO$7,0)</f>
        <v>0</v>
      </c>
      <c r="AR260" s="13">
        <f t="shared" si="63"/>
        <v>0</v>
      </c>
      <c r="AS260" s="6" t="str">
        <f t="shared" si="64"/>
        <v xml:space="preserve"> </v>
      </c>
      <c r="AT260" s="21" t="str">
        <f t="shared" si="65"/>
        <v xml:space="preserve"> </v>
      </c>
    </row>
    <row r="261" spans="3:46">
      <c r="C261" s="22">
        <f t="shared" si="17"/>
        <v>250</v>
      </c>
      <c r="D261" s="23">
        <f>IF(AND(C261&gt;='Amort. Sched.-BASE'!$I$8, C261&lt;= ($I$7+$I$8)), PMT('Amort. Sched.-BASE'!$E$8/12, 'Amort. Sched.-BASE'!$I$7, 'Amort. Sched.-BASE'!$E$7), 0)</f>
        <v>-1736.5864935892569</v>
      </c>
      <c r="E261" s="5">
        <f>IF(AND(C261&gt;='Amort. Sched.-BASE'!$I$8, C261&lt;= ($I$7+$I$8)), (IPMT($E$8/12, (C261-$I$8), $I$7, $E$7)), 0)</f>
        <v>-499.14031500766532</v>
      </c>
      <c r="F261" s="23">
        <f>IF(AND(C261&gt;='Amort. Sched.-BASE'!$I$8, C261&lt;= ($I$7+$I$8)), (PPMT($E$8/12, (C261-$I$8), $I$7, $E$7)), 0)</f>
        <v>-1237.4461785815918</v>
      </c>
      <c r="G261" s="5">
        <f>IF(MortgageAmortBASE[[#This Row],[Month]]=I$8,E$7,0)</f>
        <v>0</v>
      </c>
      <c r="H261" s="13">
        <f>IF(AND(C261&gt;='Amort. Sched.-BASE'!$I$8, C261&lt;= ($I$7+$I$8)), H260+F261, 0)</f>
        <v>73633.601072568286</v>
      </c>
      <c r="I261" s="24">
        <f>IF(AND(C261&gt;='Amort. Sched.-BASE'!$I$8, C261&lt;= ($I$7+$I$8)), E261/D261, " ")</f>
        <v>0.28742611833633414</v>
      </c>
      <c r="J261" s="25">
        <f>IF(AND(C261&gt;='Amort. Sched.-BASE'!$I$8, C261&lt;= ($I$7+$I$8)), F261/D261, " ")</f>
        <v>0.71257388166366598</v>
      </c>
      <c r="L261" s="20">
        <f t="shared" si="50"/>
        <v>250</v>
      </c>
      <c r="M261" s="5">
        <f>IF(AND(L261&gt;='Amort. Sched.-BASE'!$R$8, L261&lt;= ($R$7+$R$8)), PMT('Amort. Sched.-BASE'!$N$8/12, 'Amort. Sched.-BASE'!$R$7, 'Amort. Sched.-BASE'!$N$7), 0)</f>
        <v>0</v>
      </c>
      <c r="N261" s="5">
        <f>IF(AND(L261&gt;='Amort. Sched.-BASE'!$R$8, L261&lt;= ($R$7+$R$8)), (IPMT($N$8/12, (L261-$R$8), $R$7, $N$7)), 0)</f>
        <v>0</v>
      </c>
      <c r="O261" s="5">
        <f>IF(AND(L261&gt;='Amort. Sched.-BASE'!$R$8, L261&lt;= ($R$7+$R$8)), (PPMT($N$8/12, (L261-$R$8), $R$7, $N$7)), 0)</f>
        <v>0</v>
      </c>
      <c r="P261" s="5">
        <f>IF(CreditAmort1BASE[[#This Row],[Month]]=R$8,N$7,0)</f>
        <v>0</v>
      </c>
      <c r="Q261" s="13">
        <f>IF(AND(L261&gt;='Amort. Sched.-BASE'!$R$8, L261&lt;= ($R$7+$R$8)), Q260+O261, 0)</f>
        <v>0</v>
      </c>
      <c r="R261" s="6" t="str">
        <f>IF(AND(L261&gt;='Amort. Sched.-BASE'!$R$8, L261&lt;= ($R$7+$R$8)), N261/M261, " ")</f>
        <v xml:space="preserve"> </v>
      </c>
      <c r="S261" s="21" t="str">
        <f>IF(AND(L261&gt;='Amort. Sched.-BASE'!$R$8, L261&lt;= ($R$7+$R$8)), O261/M261, " ")</f>
        <v xml:space="preserve"> </v>
      </c>
      <c r="U261" s="22">
        <f t="shared" si="51"/>
        <v>250</v>
      </c>
      <c r="V261" s="23">
        <f>IF(AND(U261&gt;='Amort. Sched.-BASE'!$AA$8, U261&lt;= ($AA$7+$AA$8)), PMT('Amort. Sched.-BASE'!$W$8/12, 'Amort. Sched.-BASE'!$AA$7, 'Amort. Sched.-BASE'!$W$7), 0)</f>
        <v>0</v>
      </c>
      <c r="W261" s="5">
        <f>IF(AND(U261&gt;='Amort. Sched.-BASE'!$AA$8, U261&lt;= ($AA$7+$AA$8)), (IPMT($W$8/12, (U261-$AA$8), $AA$7, $W$7)), 0)</f>
        <v>0</v>
      </c>
      <c r="X261" s="23">
        <f>IF(AND(U261&gt;='Amort. Sched.-BASE'!$AA$8, U261&lt;= ($AA$7+$AA$8)), (PPMT($W$8/12, (U261-$AA$8), $AA$7, $W$7)), 0)</f>
        <v>0</v>
      </c>
      <c r="Y261" s="5">
        <f>IF(CreditAmort2BASE[[#This Row],[Month]]=AA$8,W$7,0)</f>
        <v>0</v>
      </c>
      <c r="Z261" s="13">
        <f>IF(AND(U261&gt;='Amort. Sched.-BASE'!$AA$8, U261&lt;= ($AA$7+$AA$8)), Z260+X261, 0)</f>
        <v>0</v>
      </c>
      <c r="AA261" s="24" t="str">
        <f>IF(AND(U261&gt;='Amort. Sched.-BASE'!$AA$8, U261&lt;= ($AA$7+$AA$8)), W261/V261, " ")</f>
        <v xml:space="preserve"> </v>
      </c>
      <c r="AB261" s="25" t="str">
        <f>IF(AND(U261&gt;='Amort. Sched.-BASE'!$AA$8, U261&lt;= ($AA$7+$AA$8)), X261/V261, " ")</f>
        <v xml:space="preserve"> </v>
      </c>
      <c r="AD261" s="20">
        <f t="shared" si="52"/>
        <v>250</v>
      </c>
      <c r="AE261" s="5">
        <f t="shared" si="53"/>
        <v>0</v>
      </c>
      <c r="AF261" s="5">
        <f t="shared" si="54"/>
        <v>0</v>
      </c>
      <c r="AG261" s="5">
        <f t="shared" si="55"/>
        <v>0</v>
      </c>
      <c r="AH261" s="5">
        <f>IF(CreditAmort3BASE[[#This Row],[Month]]=AJ$8,AF$7,0)</f>
        <v>0</v>
      </c>
      <c r="AI261" s="13">
        <f t="shared" si="56"/>
        <v>0</v>
      </c>
      <c r="AJ261" s="6" t="str">
        <f t="shared" si="57"/>
        <v xml:space="preserve"> </v>
      </c>
      <c r="AK261" s="21" t="str">
        <f t="shared" si="58"/>
        <v xml:space="preserve"> </v>
      </c>
      <c r="AM261" s="20">
        <f t="shared" si="59"/>
        <v>250</v>
      </c>
      <c r="AN261" s="5">
        <f t="shared" si="60"/>
        <v>0</v>
      </c>
      <c r="AO261" s="5">
        <f t="shared" si="61"/>
        <v>0</v>
      </c>
      <c r="AP261" s="5">
        <f t="shared" si="62"/>
        <v>0</v>
      </c>
      <c r="AQ261" s="5">
        <f>IF(CreditAmort4BASE[[#This Row],[Month]]=AS$8,AO$7,0)</f>
        <v>0</v>
      </c>
      <c r="AR261" s="13">
        <f t="shared" si="63"/>
        <v>0</v>
      </c>
      <c r="AS261" s="6" t="str">
        <f t="shared" si="64"/>
        <v xml:space="preserve"> </v>
      </c>
      <c r="AT261" s="21" t="str">
        <f t="shared" si="65"/>
        <v xml:space="preserve"> </v>
      </c>
    </row>
    <row r="262" spans="3:46">
      <c r="C262" s="22">
        <f t="shared" si="17"/>
        <v>251</v>
      </c>
      <c r="D262" s="23">
        <f>IF(AND(C262&gt;='Amort. Sched.-BASE'!$I$8, C262&lt;= ($I$7+$I$8)), PMT('Amort. Sched.-BASE'!$E$8/12, 'Amort. Sched.-BASE'!$I$7, 'Amort. Sched.-BASE'!$E$7), 0)</f>
        <v>-1736.5864935892569</v>
      </c>
      <c r="E262" s="5">
        <f>IF(AND(C262&gt;='Amort. Sched.-BASE'!$I$8, C262&lt;= ($I$7+$I$8)), (IPMT($E$8/12, (C262-$I$8), $I$7, $E$7)), 0)</f>
        <v>-490.89067381712135</v>
      </c>
      <c r="F262" s="23">
        <f>IF(AND(C262&gt;='Amort. Sched.-BASE'!$I$8, C262&lt;= ($I$7+$I$8)), (PPMT($E$8/12, (C262-$I$8), $I$7, $E$7)), 0)</f>
        <v>-1245.6958197721356</v>
      </c>
      <c r="G262" s="5">
        <f>IF(MortgageAmortBASE[[#This Row],[Month]]=I$8,E$7,0)</f>
        <v>0</v>
      </c>
      <c r="H262" s="13">
        <f>IF(AND(C262&gt;='Amort. Sched.-BASE'!$I$8, C262&lt;= ($I$7+$I$8)), H261+F262, 0)</f>
        <v>72387.905252796147</v>
      </c>
      <c r="I262" s="24">
        <f>IF(AND(C262&gt;='Amort. Sched.-BASE'!$I$8, C262&lt;= ($I$7+$I$8)), E262/D262, " ")</f>
        <v>0.28267562579190969</v>
      </c>
      <c r="J262" s="25">
        <f>IF(AND(C262&gt;='Amort. Sched.-BASE'!$I$8, C262&lt;= ($I$7+$I$8)), F262/D262, " ")</f>
        <v>0.71732437420809037</v>
      </c>
      <c r="L262" s="20">
        <f t="shared" si="50"/>
        <v>251</v>
      </c>
      <c r="M262" s="5">
        <f>IF(AND(L262&gt;='Amort. Sched.-BASE'!$R$8, L262&lt;= ($R$7+$R$8)), PMT('Amort. Sched.-BASE'!$N$8/12, 'Amort. Sched.-BASE'!$R$7, 'Amort. Sched.-BASE'!$N$7), 0)</f>
        <v>0</v>
      </c>
      <c r="N262" s="5">
        <f>IF(AND(L262&gt;='Amort. Sched.-BASE'!$R$8, L262&lt;= ($R$7+$R$8)), (IPMT($N$8/12, (L262-$R$8), $R$7, $N$7)), 0)</f>
        <v>0</v>
      </c>
      <c r="O262" s="5">
        <f>IF(AND(L262&gt;='Amort. Sched.-BASE'!$R$8, L262&lt;= ($R$7+$R$8)), (PPMT($N$8/12, (L262-$R$8), $R$7, $N$7)), 0)</f>
        <v>0</v>
      </c>
      <c r="P262" s="5">
        <f>IF(CreditAmort1BASE[[#This Row],[Month]]=R$8,N$7,0)</f>
        <v>0</v>
      </c>
      <c r="Q262" s="13">
        <f>IF(AND(L262&gt;='Amort. Sched.-BASE'!$R$8, L262&lt;= ($R$7+$R$8)), Q261+O262, 0)</f>
        <v>0</v>
      </c>
      <c r="R262" s="6" t="str">
        <f>IF(AND(L262&gt;='Amort. Sched.-BASE'!$R$8, L262&lt;= ($R$7+$R$8)), N262/M262, " ")</f>
        <v xml:space="preserve"> </v>
      </c>
      <c r="S262" s="21" t="str">
        <f>IF(AND(L262&gt;='Amort. Sched.-BASE'!$R$8, L262&lt;= ($R$7+$R$8)), O262/M262, " ")</f>
        <v xml:space="preserve"> </v>
      </c>
      <c r="U262" s="22">
        <f t="shared" si="51"/>
        <v>251</v>
      </c>
      <c r="V262" s="23">
        <f>IF(AND(U262&gt;='Amort. Sched.-BASE'!$AA$8, U262&lt;= ($AA$7+$AA$8)), PMT('Amort. Sched.-BASE'!$W$8/12, 'Amort. Sched.-BASE'!$AA$7, 'Amort. Sched.-BASE'!$W$7), 0)</f>
        <v>0</v>
      </c>
      <c r="W262" s="5">
        <f>IF(AND(U262&gt;='Amort. Sched.-BASE'!$AA$8, U262&lt;= ($AA$7+$AA$8)), (IPMT($W$8/12, (U262-$AA$8), $AA$7, $W$7)), 0)</f>
        <v>0</v>
      </c>
      <c r="X262" s="23">
        <f>IF(AND(U262&gt;='Amort. Sched.-BASE'!$AA$8, U262&lt;= ($AA$7+$AA$8)), (PPMT($W$8/12, (U262-$AA$8), $AA$7, $W$7)), 0)</f>
        <v>0</v>
      </c>
      <c r="Y262" s="5">
        <f>IF(CreditAmort2BASE[[#This Row],[Month]]=AA$8,W$7,0)</f>
        <v>0</v>
      </c>
      <c r="Z262" s="13">
        <f>IF(AND(U262&gt;='Amort. Sched.-BASE'!$AA$8, U262&lt;= ($AA$7+$AA$8)), Z261+X262, 0)</f>
        <v>0</v>
      </c>
      <c r="AA262" s="24" t="str">
        <f>IF(AND(U262&gt;='Amort. Sched.-BASE'!$AA$8, U262&lt;= ($AA$7+$AA$8)), W262/V262, " ")</f>
        <v xml:space="preserve"> </v>
      </c>
      <c r="AB262" s="25" t="str">
        <f>IF(AND(U262&gt;='Amort. Sched.-BASE'!$AA$8, U262&lt;= ($AA$7+$AA$8)), X262/V262, " ")</f>
        <v xml:space="preserve"> </v>
      </c>
      <c r="AD262" s="20">
        <f t="shared" si="52"/>
        <v>251</v>
      </c>
      <c r="AE262" s="5">
        <f t="shared" si="53"/>
        <v>0</v>
      </c>
      <c r="AF262" s="5">
        <f t="shared" si="54"/>
        <v>0</v>
      </c>
      <c r="AG262" s="5">
        <f t="shared" si="55"/>
        <v>0</v>
      </c>
      <c r="AH262" s="5">
        <f>IF(CreditAmort3BASE[[#This Row],[Month]]=AJ$8,AF$7,0)</f>
        <v>0</v>
      </c>
      <c r="AI262" s="13">
        <f t="shared" si="56"/>
        <v>0</v>
      </c>
      <c r="AJ262" s="6" t="str">
        <f t="shared" si="57"/>
        <v xml:space="preserve"> </v>
      </c>
      <c r="AK262" s="21" t="str">
        <f t="shared" si="58"/>
        <v xml:space="preserve"> </v>
      </c>
      <c r="AM262" s="20">
        <f t="shared" si="59"/>
        <v>251</v>
      </c>
      <c r="AN262" s="5">
        <f t="shared" si="60"/>
        <v>0</v>
      </c>
      <c r="AO262" s="5">
        <f t="shared" si="61"/>
        <v>0</v>
      </c>
      <c r="AP262" s="5">
        <f t="shared" si="62"/>
        <v>0</v>
      </c>
      <c r="AQ262" s="5">
        <f>IF(CreditAmort4BASE[[#This Row],[Month]]=AS$8,AO$7,0)</f>
        <v>0</v>
      </c>
      <c r="AR262" s="13">
        <f t="shared" si="63"/>
        <v>0</v>
      </c>
      <c r="AS262" s="6" t="str">
        <f t="shared" si="64"/>
        <v xml:space="preserve"> </v>
      </c>
      <c r="AT262" s="21" t="str">
        <f t="shared" si="65"/>
        <v xml:space="preserve"> </v>
      </c>
    </row>
    <row r="263" spans="3:46">
      <c r="C263" s="22">
        <f t="shared" si="17"/>
        <v>252</v>
      </c>
      <c r="D263" s="23">
        <f>IF(AND(C263&gt;='Amort. Sched.-BASE'!$I$8, C263&lt;= ($I$7+$I$8)), PMT('Amort. Sched.-BASE'!$E$8/12, 'Amort. Sched.-BASE'!$I$7, 'Amort. Sched.-BASE'!$E$7), 0)</f>
        <v>-1736.5864935892569</v>
      </c>
      <c r="E263" s="5">
        <f>IF(AND(C263&gt;='Amort. Sched.-BASE'!$I$8, C263&lt;= ($I$7+$I$8)), (IPMT($E$8/12, (C263-$I$8), $I$7, $E$7)), 0)</f>
        <v>-482.58603501864053</v>
      </c>
      <c r="F263" s="23">
        <f>IF(AND(C263&gt;='Amort. Sched.-BASE'!$I$8, C263&lt;= ($I$7+$I$8)), (PPMT($E$8/12, (C263-$I$8), $I$7, $E$7)), 0)</f>
        <v>-1254.0004585706165</v>
      </c>
      <c r="G263" s="5">
        <f>IF(MortgageAmortBASE[[#This Row],[Month]]=I$8,E$7,0)</f>
        <v>0</v>
      </c>
      <c r="H263" s="13">
        <f>IF(AND(C263&gt;='Amort. Sched.-BASE'!$I$8, C263&lt;= ($I$7+$I$8)), H262+F263, 0)</f>
        <v>71133.904794225527</v>
      </c>
      <c r="I263" s="24">
        <f>IF(AND(C263&gt;='Amort. Sched.-BASE'!$I$8, C263&lt;= ($I$7+$I$8)), E263/D263, " ")</f>
        <v>0.27789346329718911</v>
      </c>
      <c r="J263" s="25">
        <f>IF(AND(C263&gt;='Amort. Sched.-BASE'!$I$8, C263&lt;= ($I$7+$I$8)), F263/D263, " ")</f>
        <v>0.722106536702811</v>
      </c>
      <c r="L263" s="20">
        <f t="shared" si="50"/>
        <v>252</v>
      </c>
      <c r="M263" s="5">
        <f>IF(AND(L263&gt;='Amort. Sched.-BASE'!$R$8, L263&lt;= ($R$7+$R$8)), PMT('Amort. Sched.-BASE'!$N$8/12, 'Amort. Sched.-BASE'!$R$7, 'Amort. Sched.-BASE'!$N$7), 0)</f>
        <v>0</v>
      </c>
      <c r="N263" s="5">
        <f>IF(AND(L263&gt;='Amort. Sched.-BASE'!$R$8, L263&lt;= ($R$7+$R$8)), (IPMT($N$8/12, (L263-$R$8), $R$7, $N$7)), 0)</f>
        <v>0</v>
      </c>
      <c r="O263" s="5">
        <f>IF(AND(L263&gt;='Amort. Sched.-BASE'!$R$8, L263&lt;= ($R$7+$R$8)), (PPMT($N$8/12, (L263-$R$8), $R$7, $N$7)), 0)</f>
        <v>0</v>
      </c>
      <c r="P263" s="5">
        <f>IF(CreditAmort1BASE[[#This Row],[Month]]=R$8,N$7,0)</f>
        <v>0</v>
      </c>
      <c r="Q263" s="13">
        <f>IF(AND(L263&gt;='Amort. Sched.-BASE'!$R$8, L263&lt;= ($R$7+$R$8)), Q262+O263, 0)</f>
        <v>0</v>
      </c>
      <c r="R263" s="6" t="str">
        <f>IF(AND(L263&gt;='Amort. Sched.-BASE'!$R$8, L263&lt;= ($R$7+$R$8)), N263/M263, " ")</f>
        <v xml:space="preserve"> </v>
      </c>
      <c r="S263" s="21" t="str">
        <f>IF(AND(L263&gt;='Amort. Sched.-BASE'!$R$8, L263&lt;= ($R$7+$R$8)), O263/M263, " ")</f>
        <v xml:space="preserve"> </v>
      </c>
      <c r="U263" s="22">
        <f t="shared" si="51"/>
        <v>252</v>
      </c>
      <c r="V263" s="23">
        <f>IF(AND(U263&gt;='Amort. Sched.-BASE'!$AA$8, U263&lt;= ($AA$7+$AA$8)), PMT('Amort. Sched.-BASE'!$W$8/12, 'Amort. Sched.-BASE'!$AA$7, 'Amort. Sched.-BASE'!$W$7), 0)</f>
        <v>0</v>
      </c>
      <c r="W263" s="5">
        <f>IF(AND(U263&gt;='Amort. Sched.-BASE'!$AA$8, U263&lt;= ($AA$7+$AA$8)), (IPMT($W$8/12, (U263-$AA$8), $AA$7, $W$7)), 0)</f>
        <v>0</v>
      </c>
      <c r="X263" s="23">
        <f>IF(AND(U263&gt;='Amort. Sched.-BASE'!$AA$8, U263&lt;= ($AA$7+$AA$8)), (PPMT($W$8/12, (U263-$AA$8), $AA$7, $W$7)), 0)</f>
        <v>0</v>
      </c>
      <c r="Y263" s="5">
        <f>IF(CreditAmort2BASE[[#This Row],[Month]]=AA$8,W$7,0)</f>
        <v>0</v>
      </c>
      <c r="Z263" s="13">
        <f>IF(AND(U263&gt;='Amort. Sched.-BASE'!$AA$8, U263&lt;= ($AA$7+$AA$8)), Z262+X263, 0)</f>
        <v>0</v>
      </c>
      <c r="AA263" s="24" t="str">
        <f>IF(AND(U263&gt;='Amort. Sched.-BASE'!$AA$8, U263&lt;= ($AA$7+$AA$8)), W263/V263, " ")</f>
        <v xml:space="preserve"> </v>
      </c>
      <c r="AB263" s="25" t="str">
        <f>IF(AND(U263&gt;='Amort. Sched.-BASE'!$AA$8, U263&lt;= ($AA$7+$AA$8)), X263/V263, " ")</f>
        <v xml:space="preserve"> </v>
      </c>
      <c r="AD263" s="20">
        <f t="shared" si="52"/>
        <v>252</v>
      </c>
      <c r="AE263" s="5">
        <f t="shared" si="53"/>
        <v>0</v>
      </c>
      <c r="AF263" s="5">
        <f t="shared" si="54"/>
        <v>0</v>
      </c>
      <c r="AG263" s="5">
        <f t="shared" si="55"/>
        <v>0</v>
      </c>
      <c r="AH263" s="5">
        <f>IF(CreditAmort3BASE[[#This Row],[Month]]=AJ$8,AF$7,0)</f>
        <v>0</v>
      </c>
      <c r="AI263" s="13">
        <f t="shared" si="56"/>
        <v>0</v>
      </c>
      <c r="AJ263" s="6" t="str">
        <f t="shared" si="57"/>
        <v xml:space="preserve"> </v>
      </c>
      <c r="AK263" s="21" t="str">
        <f t="shared" si="58"/>
        <v xml:space="preserve"> </v>
      </c>
      <c r="AM263" s="20">
        <f t="shared" si="59"/>
        <v>252</v>
      </c>
      <c r="AN263" s="5">
        <f t="shared" si="60"/>
        <v>0</v>
      </c>
      <c r="AO263" s="5">
        <f t="shared" si="61"/>
        <v>0</v>
      </c>
      <c r="AP263" s="5">
        <f t="shared" si="62"/>
        <v>0</v>
      </c>
      <c r="AQ263" s="5">
        <f>IF(CreditAmort4BASE[[#This Row],[Month]]=AS$8,AO$7,0)</f>
        <v>0</v>
      </c>
      <c r="AR263" s="13">
        <f t="shared" si="63"/>
        <v>0</v>
      </c>
      <c r="AS263" s="6" t="str">
        <f t="shared" si="64"/>
        <v xml:space="preserve"> </v>
      </c>
      <c r="AT263" s="21" t="str">
        <f t="shared" si="65"/>
        <v xml:space="preserve"> </v>
      </c>
    </row>
    <row r="264" spans="3:46">
      <c r="C264" s="22">
        <f t="shared" si="17"/>
        <v>253</v>
      </c>
      <c r="D264" s="23">
        <f>IF(AND(C264&gt;='Amort. Sched.-BASE'!$I$8, C264&lt;= ($I$7+$I$8)), PMT('Amort. Sched.-BASE'!$E$8/12, 'Amort. Sched.-BASE'!$I$7, 'Amort. Sched.-BASE'!$E$7), 0)</f>
        <v>-1736.5864935892569</v>
      </c>
      <c r="E264" s="5">
        <f>IF(AND(C264&gt;='Amort. Sched.-BASE'!$I$8, C264&lt;= ($I$7+$I$8)), (IPMT($E$8/12, (C264-$I$8), $I$7, $E$7)), 0)</f>
        <v>-474.22603196150294</v>
      </c>
      <c r="F264" s="23">
        <f>IF(AND(C264&gt;='Amort. Sched.-BASE'!$I$8, C264&lt;= ($I$7+$I$8)), (PPMT($E$8/12, (C264-$I$8), $I$7, $E$7)), 0)</f>
        <v>-1262.3604616277537</v>
      </c>
      <c r="G264" s="5">
        <f>IF(MortgageAmortBASE[[#This Row],[Month]]=I$8,E$7,0)</f>
        <v>0</v>
      </c>
      <c r="H264" s="13">
        <f>IF(AND(C264&gt;='Amort. Sched.-BASE'!$I$8, C264&lt;= ($I$7+$I$8)), H263+F264, 0)</f>
        <v>69871.544332597769</v>
      </c>
      <c r="I264" s="24">
        <f>IF(AND(C264&gt;='Amort. Sched.-BASE'!$I$8, C264&lt;= ($I$7+$I$8)), E264/D264, " ")</f>
        <v>0.27307941971917032</v>
      </c>
      <c r="J264" s="25">
        <f>IF(AND(C264&gt;='Amort. Sched.-BASE'!$I$8, C264&lt;= ($I$7+$I$8)), F264/D264, " ")</f>
        <v>0.72692058028082951</v>
      </c>
      <c r="L264" s="20">
        <f t="shared" si="50"/>
        <v>253</v>
      </c>
      <c r="M264" s="5">
        <f>IF(AND(L264&gt;='Amort. Sched.-BASE'!$R$8, L264&lt;= ($R$7+$R$8)), PMT('Amort. Sched.-BASE'!$N$8/12, 'Amort. Sched.-BASE'!$R$7, 'Amort. Sched.-BASE'!$N$7), 0)</f>
        <v>0</v>
      </c>
      <c r="N264" s="5">
        <f>IF(AND(L264&gt;='Amort. Sched.-BASE'!$R$8, L264&lt;= ($R$7+$R$8)), (IPMT($N$8/12, (L264-$R$8), $R$7, $N$7)), 0)</f>
        <v>0</v>
      </c>
      <c r="O264" s="5">
        <f>IF(AND(L264&gt;='Amort. Sched.-BASE'!$R$8, L264&lt;= ($R$7+$R$8)), (PPMT($N$8/12, (L264-$R$8), $R$7, $N$7)), 0)</f>
        <v>0</v>
      </c>
      <c r="P264" s="5">
        <f>IF(CreditAmort1BASE[[#This Row],[Month]]=R$8,N$7,0)</f>
        <v>0</v>
      </c>
      <c r="Q264" s="13">
        <f>IF(AND(L264&gt;='Amort. Sched.-BASE'!$R$8, L264&lt;= ($R$7+$R$8)), Q263+O264, 0)</f>
        <v>0</v>
      </c>
      <c r="R264" s="6" t="str">
        <f>IF(AND(L264&gt;='Amort. Sched.-BASE'!$R$8, L264&lt;= ($R$7+$R$8)), N264/M264, " ")</f>
        <v xml:space="preserve"> </v>
      </c>
      <c r="S264" s="21" t="str">
        <f>IF(AND(L264&gt;='Amort. Sched.-BASE'!$R$8, L264&lt;= ($R$7+$R$8)), O264/M264, " ")</f>
        <v xml:space="preserve"> </v>
      </c>
      <c r="U264" s="22">
        <f t="shared" si="51"/>
        <v>253</v>
      </c>
      <c r="V264" s="23">
        <f>IF(AND(U264&gt;='Amort. Sched.-BASE'!$AA$8, U264&lt;= ($AA$7+$AA$8)), PMT('Amort. Sched.-BASE'!$W$8/12, 'Amort. Sched.-BASE'!$AA$7, 'Amort. Sched.-BASE'!$W$7), 0)</f>
        <v>0</v>
      </c>
      <c r="W264" s="5">
        <f>IF(AND(U264&gt;='Amort. Sched.-BASE'!$AA$8, U264&lt;= ($AA$7+$AA$8)), (IPMT($W$8/12, (U264-$AA$8), $AA$7, $W$7)), 0)</f>
        <v>0</v>
      </c>
      <c r="X264" s="23">
        <f>IF(AND(U264&gt;='Amort. Sched.-BASE'!$AA$8, U264&lt;= ($AA$7+$AA$8)), (PPMT($W$8/12, (U264-$AA$8), $AA$7, $W$7)), 0)</f>
        <v>0</v>
      </c>
      <c r="Y264" s="5">
        <f>IF(CreditAmort2BASE[[#This Row],[Month]]=AA$8,W$7,0)</f>
        <v>0</v>
      </c>
      <c r="Z264" s="13">
        <f>IF(AND(U264&gt;='Amort. Sched.-BASE'!$AA$8, U264&lt;= ($AA$7+$AA$8)), Z263+X264, 0)</f>
        <v>0</v>
      </c>
      <c r="AA264" s="24" t="str">
        <f>IF(AND(U264&gt;='Amort. Sched.-BASE'!$AA$8, U264&lt;= ($AA$7+$AA$8)), W264/V264, " ")</f>
        <v xml:space="preserve"> </v>
      </c>
      <c r="AB264" s="25" t="str">
        <f>IF(AND(U264&gt;='Amort. Sched.-BASE'!$AA$8, U264&lt;= ($AA$7+$AA$8)), X264/V264, " ")</f>
        <v xml:space="preserve"> </v>
      </c>
      <c r="AD264" s="20">
        <f t="shared" si="52"/>
        <v>253</v>
      </c>
      <c r="AE264" s="5">
        <f t="shared" si="53"/>
        <v>0</v>
      </c>
      <c r="AF264" s="5">
        <f t="shared" si="54"/>
        <v>0</v>
      </c>
      <c r="AG264" s="5">
        <f t="shared" si="55"/>
        <v>0</v>
      </c>
      <c r="AH264" s="5">
        <f>IF(CreditAmort3BASE[[#This Row],[Month]]=AJ$8,AF$7,0)</f>
        <v>0</v>
      </c>
      <c r="AI264" s="13">
        <f t="shared" si="56"/>
        <v>0</v>
      </c>
      <c r="AJ264" s="6" t="str">
        <f t="shared" si="57"/>
        <v xml:space="preserve"> </v>
      </c>
      <c r="AK264" s="21" t="str">
        <f t="shared" si="58"/>
        <v xml:space="preserve"> </v>
      </c>
      <c r="AM264" s="20">
        <f t="shared" si="59"/>
        <v>253</v>
      </c>
      <c r="AN264" s="5">
        <f t="shared" si="60"/>
        <v>0</v>
      </c>
      <c r="AO264" s="5">
        <f t="shared" si="61"/>
        <v>0</v>
      </c>
      <c r="AP264" s="5">
        <f t="shared" si="62"/>
        <v>0</v>
      </c>
      <c r="AQ264" s="5">
        <f>IF(CreditAmort4BASE[[#This Row],[Month]]=AS$8,AO$7,0)</f>
        <v>0</v>
      </c>
      <c r="AR264" s="13">
        <f t="shared" si="63"/>
        <v>0</v>
      </c>
      <c r="AS264" s="6" t="str">
        <f t="shared" si="64"/>
        <v xml:space="preserve"> </v>
      </c>
      <c r="AT264" s="21" t="str">
        <f t="shared" si="65"/>
        <v xml:space="preserve"> </v>
      </c>
    </row>
    <row r="265" spans="3:46">
      <c r="C265" s="22">
        <f t="shared" si="17"/>
        <v>254</v>
      </c>
      <c r="D265" s="23">
        <f>IF(AND(C265&gt;='Amort. Sched.-BASE'!$I$8, C265&lt;= ($I$7+$I$8)), PMT('Amort. Sched.-BASE'!$E$8/12, 'Amort. Sched.-BASE'!$I$7, 'Amort. Sched.-BASE'!$E$7), 0)</f>
        <v>-1736.5864935892569</v>
      </c>
      <c r="E265" s="5">
        <f>IF(AND(C265&gt;='Amort. Sched.-BASE'!$I$8, C265&lt;= ($I$7+$I$8)), (IPMT($E$8/12, (C265-$I$8), $I$7, $E$7)), 0)</f>
        <v>-465.81029555065135</v>
      </c>
      <c r="F265" s="23">
        <f>IF(AND(C265&gt;='Amort. Sched.-BASE'!$I$8, C265&lt;= ($I$7+$I$8)), (PPMT($E$8/12, (C265-$I$8), $I$7, $E$7)), 0)</f>
        <v>-1270.7761980386056</v>
      </c>
      <c r="G265" s="5">
        <f>IF(MortgageAmortBASE[[#This Row],[Month]]=I$8,E$7,0)</f>
        <v>0</v>
      </c>
      <c r="H265" s="13">
        <f>IF(AND(C265&gt;='Amort. Sched.-BASE'!$I$8, C265&lt;= ($I$7+$I$8)), H264+F265, 0)</f>
        <v>68600.76813455917</v>
      </c>
      <c r="I265" s="24">
        <f>IF(AND(C265&gt;='Amort. Sched.-BASE'!$I$8, C265&lt;= ($I$7+$I$8)), E265/D265, " ")</f>
        <v>0.26823328251729817</v>
      </c>
      <c r="J265" s="25">
        <f>IF(AND(C265&gt;='Amort. Sched.-BASE'!$I$8, C265&lt;= ($I$7+$I$8)), F265/D265, " ")</f>
        <v>0.73176671748270183</v>
      </c>
      <c r="L265" s="20">
        <f t="shared" si="50"/>
        <v>254</v>
      </c>
      <c r="M265" s="5">
        <f>IF(AND(L265&gt;='Amort. Sched.-BASE'!$R$8, L265&lt;= ($R$7+$R$8)), PMT('Amort. Sched.-BASE'!$N$8/12, 'Amort. Sched.-BASE'!$R$7, 'Amort. Sched.-BASE'!$N$7), 0)</f>
        <v>0</v>
      </c>
      <c r="N265" s="5">
        <f>IF(AND(L265&gt;='Amort. Sched.-BASE'!$R$8, L265&lt;= ($R$7+$R$8)), (IPMT($N$8/12, (L265-$R$8), $R$7, $N$7)), 0)</f>
        <v>0</v>
      </c>
      <c r="O265" s="5">
        <f>IF(AND(L265&gt;='Amort. Sched.-BASE'!$R$8, L265&lt;= ($R$7+$R$8)), (PPMT($N$8/12, (L265-$R$8), $R$7, $N$7)), 0)</f>
        <v>0</v>
      </c>
      <c r="P265" s="5">
        <f>IF(CreditAmort1BASE[[#This Row],[Month]]=R$8,N$7,0)</f>
        <v>0</v>
      </c>
      <c r="Q265" s="13">
        <f>IF(AND(L265&gt;='Amort. Sched.-BASE'!$R$8, L265&lt;= ($R$7+$R$8)), Q264+O265, 0)</f>
        <v>0</v>
      </c>
      <c r="R265" s="6" t="str">
        <f>IF(AND(L265&gt;='Amort. Sched.-BASE'!$R$8, L265&lt;= ($R$7+$R$8)), N265/M265, " ")</f>
        <v xml:space="preserve"> </v>
      </c>
      <c r="S265" s="21" t="str">
        <f>IF(AND(L265&gt;='Amort. Sched.-BASE'!$R$8, L265&lt;= ($R$7+$R$8)), O265/M265, " ")</f>
        <v xml:space="preserve"> </v>
      </c>
      <c r="U265" s="22">
        <f t="shared" si="51"/>
        <v>254</v>
      </c>
      <c r="V265" s="23">
        <f>IF(AND(U265&gt;='Amort. Sched.-BASE'!$AA$8, U265&lt;= ($AA$7+$AA$8)), PMT('Amort. Sched.-BASE'!$W$8/12, 'Amort. Sched.-BASE'!$AA$7, 'Amort. Sched.-BASE'!$W$7), 0)</f>
        <v>0</v>
      </c>
      <c r="W265" s="5">
        <f>IF(AND(U265&gt;='Amort. Sched.-BASE'!$AA$8, U265&lt;= ($AA$7+$AA$8)), (IPMT($W$8/12, (U265-$AA$8), $AA$7, $W$7)), 0)</f>
        <v>0</v>
      </c>
      <c r="X265" s="23">
        <f>IF(AND(U265&gt;='Amort. Sched.-BASE'!$AA$8, U265&lt;= ($AA$7+$AA$8)), (PPMT($W$8/12, (U265-$AA$8), $AA$7, $W$7)), 0)</f>
        <v>0</v>
      </c>
      <c r="Y265" s="5">
        <f>IF(CreditAmort2BASE[[#This Row],[Month]]=AA$8,W$7,0)</f>
        <v>0</v>
      </c>
      <c r="Z265" s="13">
        <f>IF(AND(U265&gt;='Amort. Sched.-BASE'!$AA$8, U265&lt;= ($AA$7+$AA$8)), Z264+X265, 0)</f>
        <v>0</v>
      </c>
      <c r="AA265" s="24" t="str">
        <f>IF(AND(U265&gt;='Amort. Sched.-BASE'!$AA$8, U265&lt;= ($AA$7+$AA$8)), W265/V265, " ")</f>
        <v xml:space="preserve"> </v>
      </c>
      <c r="AB265" s="25" t="str">
        <f>IF(AND(U265&gt;='Amort. Sched.-BASE'!$AA$8, U265&lt;= ($AA$7+$AA$8)), X265/V265, " ")</f>
        <v xml:space="preserve"> </v>
      </c>
      <c r="AD265" s="20">
        <f t="shared" si="52"/>
        <v>254</v>
      </c>
      <c r="AE265" s="5">
        <f t="shared" si="53"/>
        <v>0</v>
      </c>
      <c r="AF265" s="5">
        <f t="shared" si="54"/>
        <v>0</v>
      </c>
      <c r="AG265" s="5">
        <f t="shared" si="55"/>
        <v>0</v>
      </c>
      <c r="AH265" s="5">
        <f>IF(CreditAmort3BASE[[#This Row],[Month]]=AJ$8,AF$7,0)</f>
        <v>0</v>
      </c>
      <c r="AI265" s="13">
        <f t="shared" si="56"/>
        <v>0</v>
      </c>
      <c r="AJ265" s="6" t="str">
        <f t="shared" si="57"/>
        <v xml:space="preserve"> </v>
      </c>
      <c r="AK265" s="21" t="str">
        <f t="shared" si="58"/>
        <v xml:space="preserve"> </v>
      </c>
      <c r="AM265" s="20">
        <f t="shared" si="59"/>
        <v>254</v>
      </c>
      <c r="AN265" s="5">
        <f t="shared" si="60"/>
        <v>0</v>
      </c>
      <c r="AO265" s="5">
        <f t="shared" si="61"/>
        <v>0</v>
      </c>
      <c r="AP265" s="5">
        <f t="shared" si="62"/>
        <v>0</v>
      </c>
      <c r="AQ265" s="5">
        <f>IF(CreditAmort4BASE[[#This Row],[Month]]=AS$8,AO$7,0)</f>
        <v>0</v>
      </c>
      <c r="AR265" s="13">
        <f t="shared" si="63"/>
        <v>0</v>
      </c>
      <c r="AS265" s="6" t="str">
        <f t="shared" si="64"/>
        <v xml:space="preserve"> </v>
      </c>
      <c r="AT265" s="21" t="str">
        <f t="shared" si="65"/>
        <v xml:space="preserve"> </v>
      </c>
    </row>
    <row r="266" spans="3:46">
      <c r="C266" s="22">
        <f t="shared" si="17"/>
        <v>255</v>
      </c>
      <c r="D266" s="23">
        <f>IF(AND(C266&gt;='Amort. Sched.-BASE'!$I$8, C266&lt;= ($I$7+$I$8)), PMT('Amort. Sched.-BASE'!$E$8/12, 'Amort. Sched.-BASE'!$I$7, 'Amort. Sched.-BASE'!$E$7), 0)</f>
        <v>-1736.5864935892569</v>
      </c>
      <c r="E266" s="5">
        <f>IF(AND(C266&gt;='Amort. Sched.-BASE'!$I$8, C266&lt;= ($I$7+$I$8)), (IPMT($E$8/12, (C266-$I$8), $I$7, $E$7)), 0)</f>
        <v>-457.33845423039401</v>
      </c>
      <c r="F266" s="23">
        <f>IF(AND(C266&gt;='Amort. Sched.-BASE'!$I$8, C266&lt;= ($I$7+$I$8)), (PPMT($E$8/12, (C266-$I$8), $I$7, $E$7)), 0)</f>
        <v>-1279.248039358863</v>
      </c>
      <c r="G266" s="5">
        <f>IF(MortgageAmortBASE[[#This Row],[Month]]=I$8,E$7,0)</f>
        <v>0</v>
      </c>
      <c r="H266" s="13">
        <f>IF(AND(C266&gt;='Amort. Sched.-BASE'!$I$8, C266&lt;= ($I$7+$I$8)), H265+F266, 0)</f>
        <v>67321.520095200307</v>
      </c>
      <c r="I266" s="24">
        <f>IF(AND(C266&gt;='Amort. Sched.-BASE'!$I$8, C266&lt;= ($I$7+$I$8)), E266/D266, " ")</f>
        <v>0.26335483773408019</v>
      </c>
      <c r="J266" s="25">
        <f>IF(AND(C266&gt;='Amort. Sched.-BASE'!$I$8, C266&lt;= ($I$7+$I$8)), F266/D266, " ")</f>
        <v>0.73664516226591992</v>
      </c>
      <c r="L266" s="20">
        <f t="shared" si="50"/>
        <v>255</v>
      </c>
      <c r="M266" s="5">
        <f>IF(AND(L266&gt;='Amort. Sched.-BASE'!$R$8, L266&lt;= ($R$7+$R$8)), PMT('Amort. Sched.-BASE'!$N$8/12, 'Amort. Sched.-BASE'!$R$7, 'Amort. Sched.-BASE'!$N$7), 0)</f>
        <v>0</v>
      </c>
      <c r="N266" s="5">
        <f>IF(AND(L266&gt;='Amort. Sched.-BASE'!$R$8, L266&lt;= ($R$7+$R$8)), (IPMT($N$8/12, (L266-$R$8), $R$7, $N$7)), 0)</f>
        <v>0</v>
      </c>
      <c r="O266" s="5">
        <f>IF(AND(L266&gt;='Amort. Sched.-BASE'!$R$8, L266&lt;= ($R$7+$R$8)), (PPMT($N$8/12, (L266-$R$8), $R$7, $N$7)), 0)</f>
        <v>0</v>
      </c>
      <c r="P266" s="5">
        <f>IF(CreditAmort1BASE[[#This Row],[Month]]=R$8,N$7,0)</f>
        <v>0</v>
      </c>
      <c r="Q266" s="13">
        <f>IF(AND(L266&gt;='Amort. Sched.-BASE'!$R$8, L266&lt;= ($R$7+$R$8)), Q265+O266, 0)</f>
        <v>0</v>
      </c>
      <c r="R266" s="6" t="str">
        <f>IF(AND(L266&gt;='Amort. Sched.-BASE'!$R$8, L266&lt;= ($R$7+$R$8)), N266/M266, " ")</f>
        <v xml:space="preserve"> </v>
      </c>
      <c r="S266" s="21" t="str">
        <f>IF(AND(L266&gt;='Amort. Sched.-BASE'!$R$8, L266&lt;= ($R$7+$R$8)), O266/M266, " ")</f>
        <v xml:space="preserve"> </v>
      </c>
      <c r="U266" s="22">
        <f t="shared" si="51"/>
        <v>255</v>
      </c>
      <c r="V266" s="23">
        <f>IF(AND(U266&gt;='Amort. Sched.-BASE'!$AA$8, U266&lt;= ($AA$7+$AA$8)), PMT('Amort. Sched.-BASE'!$W$8/12, 'Amort. Sched.-BASE'!$AA$7, 'Amort. Sched.-BASE'!$W$7), 0)</f>
        <v>0</v>
      </c>
      <c r="W266" s="5">
        <f>IF(AND(U266&gt;='Amort. Sched.-BASE'!$AA$8, U266&lt;= ($AA$7+$AA$8)), (IPMT($W$8/12, (U266-$AA$8), $AA$7, $W$7)), 0)</f>
        <v>0</v>
      </c>
      <c r="X266" s="23">
        <f>IF(AND(U266&gt;='Amort. Sched.-BASE'!$AA$8, U266&lt;= ($AA$7+$AA$8)), (PPMT($W$8/12, (U266-$AA$8), $AA$7, $W$7)), 0)</f>
        <v>0</v>
      </c>
      <c r="Y266" s="5">
        <f>IF(CreditAmort2BASE[[#This Row],[Month]]=AA$8,W$7,0)</f>
        <v>0</v>
      </c>
      <c r="Z266" s="13">
        <f>IF(AND(U266&gt;='Amort. Sched.-BASE'!$AA$8, U266&lt;= ($AA$7+$AA$8)), Z265+X266, 0)</f>
        <v>0</v>
      </c>
      <c r="AA266" s="24" t="str">
        <f>IF(AND(U266&gt;='Amort. Sched.-BASE'!$AA$8, U266&lt;= ($AA$7+$AA$8)), W266/V266, " ")</f>
        <v xml:space="preserve"> </v>
      </c>
      <c r="AB266" s="25" t="str">
        <f>IF(AND(U266&gt;='Amort. Sched.-BASE'!$AA$8, U266&lt;= ($AA$7+$AA$8)), X266/V266, " ")</f>
        <v xml:space="preserve"> </v>
      </c>
      <c r="AD266" s="20">
        <f t="shared" si="52"/>
        <v>255</v>
      </c>
      <c r="AE266" s="5">
        <f t="shared" si="53"/>
        <v>0</v>
      </c>
      <c r="AF266" s="5">
        <f t="shared" si="54"/>
        <v>0</v>
      </c>
      <c r="AG266" s="5">
        <f t="shared" si="55"/>
        <v>0</v>
      </c>
      <c r="AH266" s="5">
        <f>IF(CreditAmort3BASE[[#This Row],[Month]]=AJ$8,AF$7,0)</f>
        <v>0</v>
      </c>
      <c r="AI266" s="13">
        <f t="shared" si="56"/>
        <v>0</v>
      </c>
      <c r="AJ266" s="6" t="str">
        <f t="shared" si="57"/>
        <v xml:space="preserve"> </v>
      </c>
      <c r="AK266" s="21" t="str">
        <f t="shared" si="58"/>
        <v xml:space="preserve"> </v>
      </c>
      <c r="AM266" s="20">
        <f t="shared" si="59"/>
        <v>255</v>
      </c>
      <c r="AN266" s="5">
        <f t="shared" si="60"/>
        <v>0</v>
      </c>
      <c r="AO266" s="5">
        <f t="shared" si="61"/>
        <v>0</v>
      </c>
      <c r="AP266" s="5">
        <f t="shared" si="62"/>
        <v>0</v>
      </c>
      <c r="AQ266" s="5">
        <f>IF(CreditAmort4BASE[[#This Row],[Month]]=AS$8,AO$7,0)</f>
        <v>0</v>
      </c>
      <c r="AR266" s="13">
        <f t="shared" si="63"/>
        <v>0</v>
      </c>
      <c r="AS266" s="6" t="str">
        <f t="shared" si="64"/>
        <v xml:space="preserve"> </v>
      </c>
      <c r="AT266" s="21" t="str">
        <f t="shared" si="65"/>
        <v xml:space="preserve"> </v>
      </c>
    </row>
    <row r="267" spans="3:46">
      <c r="C267" s="22">
        <f t="shared" si="17"/>
        <v>256</v>
      </c>
      <c r="D267" s="23">
        <f>IF(AND(C267&gt;='Amort. Sched.-BASE'!$I$8, C267&lt;= ($I$7+$I$8)), PMT('Amort. Sched.-BASE'!$E$8/12, 'Amort. Sched.-BASE'!$I$7, 'Amort. Sched.-BASE'!$E$7), 0)</f>
        <v>-1736.5864935892569</v>
      </c>
      <c r="E267" s="5">
        <f>IF(AND(C267&gt;='Amort. Sched.-BASE'!$I$8, C267&lt;= ($I$7+$I$8)), (IPMT($E$8/12, (C267-$I$8), $I$7, $E$7)), 0)</f>
        <v>-448.81013396800148</v>
      </c>
      <c r="F267" s="23">
        <f>IF(AND(C267&gt;='Amort. Sched.-BASE'!$I$8, C267&lt;= ($I$7+$I$8)), (PPMT($E$8/12, (C267-$I$8), $I$7, $E$7)), 0)</f>
        <v>-1287.7763596212553</v>
      </c>
      <c r="G267" s="5">
        <f>IF(MortgageAmortBASE[[#This Row],[Month]]=I$8,E$7,0)</f>
        <v>0</v>
      </c>
      <c r="H267" s="13">
        <f>IF(AND(C267&gt;='Amort. Sched.-BASE'!$I$8, C267&lt;= ($I$7+$I$8)), H266+F267, 0)</f>
        <v>66033.743735579046</v>
      </c>
      <c r="I267" s="24">
        <f>IF(AND(C267&gt;='Amort. Sched.-BASE'!$I$8, C267&lt;= ($I$7+$I$8)), E267/D267, " ")</f>
        <v>0.25844386998564067</v>
      </c>
      <c r="J267" s="25">
        <f>IF(AND(C267&gt;='Amort. Sched.-BASE'!$I$8, C267&lt;= ($I$7+$I$8)), F267/D267, " ")</f>
        <v>0.74155613001435927</v>
      </c>
      <c r="L267" s="20">
        <f t="shared" si="50"/>
        <v>256</v>
      </c>
      <c r="M267" s="5">
        <f>IF(AND(L267&gt;='Amort. Sched.-BASE'!$R$8, L267&lt;= ($R$7+$R$8)), PMT('Amort. Sched.-BASE'!$N$8/12, 'Amort. Sched.-BASE'!$R$7, 'Amort. Sched.-BASE'!$N$7), 0)</f>
        <v>0</v>
      </c>
      <c r="N267" s="5">
        <f>IF(AND(L267&gt;='Amort. Sched.-BASE'!$R$8, L267&lt;= ($R$7+$R$8)), (IPMT($N$8/12, (L267-$R$8), $R$7, $N$7)), 0)</f>
        <v>0</v>
      </c>
      <c r="O267" s="5">
        <f>IF(AND(L267&gt;='Amort. Sched.-BASE'!$R$8, L267&lt;= ($R$7+$R$8)), (PPMT($N$8/12, (L267-$R$8), $R$7, $N$7)), 0)</f>
        <v>0</v>
      </c>
      <c r="P267" s="5">
        <f>IF(CreditAmort1BASE[[#This Row],[Month]]=R$8,N$7,0)</f>
        <v>0</v>
      </c>
      <c r="Q267" s="13">
        <f>IF(AND(L267&gt;='Amort. Sched.-BASE'!$R$8, L267&lt;= ($R$7+$R$8)), Q266+O267, 0)</f>
        <v>0</v>
      </c>
      <c r="R267" s="6" t="str">
        <f>IF(AND(L267&gt;='Amort. Sched.-BASE'!$R$8, L267&lt;= ($R$7+$R$8)), N267/M267, " ")</f>
        <v xml:space="preserve"> </v>
      </c>
      <c r="S267" s="21" t="str">
        <f>IF(AND(L267&gt;='Amort. Sched.-BASE'!$R$8, L267&lt;= ($R$7+$R$8)), O267/M267, " ")</f>
        <v xml:space="preserve"> </v>
      </c>
      <c r="U267" s="22">
        <f t="shared" si="51"/>
        <v>256</v>
      </c>
      <c r="V267" s="23">
        <f>IF(AND(U267&gt;='Amort. Sched.-BASE'!$AA$8, U267&lt;= ($AA$7+$AA$8)), PMT('Amort. Sched.-BASE'!$W$8/12, 'Amort. Sched.-BASE'!$AA$7, 'Amort. Sched.-BASE'!$W$7), 0)</f>
        <v>0</v>
      </c>
      <c r="W267" s="5">
        <f>IF(AND(U267&gt;='Amort. Sched.-BASE'!$AA$8, U267&lt;= ($AA$7+$AA$8)), (IPMT($W$8/12, (U267-$AA$8), $AA$7, $W$7)), 0)</f>
        <v>0</v>
      </c>
      <c r="X267" s="23">
        <f>IF(AND(U267&gt;='Amort. Sched.-BASE'!$AA$8, U267&lt;= ($AA$7+$AA$8)), (PPMT($W$8/12, (U267-$AA$8), $AA$7, $W$7)), 0)</f>
        <v>0</v>
      </c>
      <c r="Y267" s="5">
        <f>IF(CreditAmort2BASE[[#This Row],[Month]]=AA$8,W$7,0)</f>
        <v>0</v>
      </c>
      <c r="Z267" s="13">
        <f>IF(AND(U267&gt;='Amort. Sched.-BASE'!$AA$8, U267&lt;= ($AA$7+$AA$8)), Z266+X267, 0)</f>
        <v>0</v>
      </c>
      <c r="AA267" s="24" t="str">
        <f>IF(AND(U267&gt;='Amort. Sched.-BASE'!$AA$8, U267&lt;= ($AA$7+$AA$8)), W267/V267, " ")</f>
        <v xml:space="preserve"> </v>
      </c>
      <c r="AB267" s="25" t="str">
        <f>IF(AND(U267&gt;='Amort. Sched.-BASE'!$AA$8, U267&lt;= ($AA$7+$AA$8)), X267/V267, " ")</f>
        <v xml:space="preserve"> </v>
      </c>
      <c r="AD267" s="20">
        <f t="shared" si="52"/>
        <v>256</v>
      </c>
      <c r="AE267" s="5">
        <f t="shared" si="53"/>
        <v>0</v>
      </c>
      <c r="AF267" s="5">
        <f t="shared" si="54"/>
        <v>0</v>
      </c>
      <c r="AG267" s="5">
        <f t="shared" si="55"/>
        <v>0</v>
      </c>
      <c r="AH267" s="5">
        <f>IF(CreditAmort3BASE[[#This Row],[Month]]=AJ$8,AF$7,0)</f>
        <v>0</v>
      </c>
      <c r="AI267" s="13">
        <f t="shared" si="56"/>
        <v>0</v>
      </c>
      <c r="AJ267" s="6" t="str">
        <f t="shared" si="57"/>
        <v xml:space="preserve"> </v>
      </c>
      <c r="AK267" s="21" t="str">
        <f t="shared" si="58"/>
        <v xml:space="preserve"> </v>
      </c>
      <c r="AM267" s="20">
        <f t="shared" si="59"/>
        <v>256</v>
      </c>
      <c r="AN267" s="5">
        <f t="shared" si="60"/>
        <v>0</v>
      </c>
      <c r="AO267" s="5">
        <f t="shared" si="61"/>
        <v>0</v>
      </c>
      <c r="AP267" s="5">
        <f t="shared" si="62"/>
        <v>0</v>
      </c>
      <c r="AQ267" s="5">
        <f>IF(CreditAmort4BASE[[#This Row],[Month]]=AS$8,AO$7,0)</f>
        <v>0</v>
      </c>
      <c r="AR267" s="13">
        <f t="shared" si="63"/>
        <v>0</v>
      </c>
      <c r="AS267" s="6" t="str">
        <f t="shared" si="64"/>
        <v xml:space="preserve"> </v>
      </c>
      <c r="AT267" s="21" t="str">
        <f t="shared" si="65"/>
        <v xml:space="preserve"> </v>
      </c>
    </row>
    <row r="268" spans="3:46">
      <c r="C268" s="22">
        <f t="shared" si="17"/>
        <v>257</v>
      </c>
      <c r="D268" s="23">
        <f>IF(AND(C268&gt;='Amort. Sched.-BASE'!$I$8, C268&lt;= ($I$7+$I$8)), PMT('Amort. Sched.-BASE'!$E$8/12, 'Amort. Sched.-BASE'!$I$7, 'Amort. Sched.-BASE'!$E$7), 0)</f>
        <v>-1736.5864935892569</v>
      </c>
      <c r="E268" s="5">
        <f>IF(AND(C268&gt;='Amort. Sched.-BASE'!$I$8, C268&lt;= ($I$7+$I$8)), (IPMT($E$8/12, (C268-$I$8), $I$7, $E$7)), 0)</f>
        <v>-440.22495823719316</v>
      </c>
      <c r="F268" s="23">
        <f>IF(AND(C268&gt;='Amort. Sched.-BASE'!$I$8, C268&lt;= ($I$7+$I$8)), (PPMT($E$8/12, (C268-$I$8), $I$7, $E$7)), 0)</f>
        <v>-1296.3615353520636</v>
      </c>
      <c r="G268" s="5">
        <f>IF(MortgageAmortBASE[[#This Row],[Month]]=I$8,E$7,0)</f>
        <v>0</v>
      </c>
      <c r="H268" s="13">
        <f>IF(AND(C268&gt;='Amort. Sched.-BASE'!$I$8, C268&lt;= ($I$7+$I$8)), H267+F268, 0)</f>
        <v>64737.382200226981</v>
      </c>
      <c r="I268" s="24">
        <f>IF(AND(C268&gt;='Amort. Sched.-BASE'!$I$8, C268&lt;= ($I$7+$I$8)), E268/D268, " ")</f>
        <v>0.25350016245221163</v>
      </c>
      <c r="J268" s="25">
        <f>IF(AND(C268&gt;='Amort. Sched.-BASE'!$I$8, C268&lt;= ($I$7+$I$8)), F268/D268, " ")</f>
        <v>0.74649983754778837</v>
      </c>
      <c r="L268" s="20">
        <f t="shared" si="50"/>
        <v>257</v>
      </c>
      <c r="M268" s="5">
        <f>IF(AND(L268&gt;='Amort. Sched.-BASE'!$R$8, L268&lt;= ($R$7+$R$8)), PMT('Amort. Sched.-BASE'!$N$8/12, 'Amort. Sched.-BASE'!$R$7, 'Amort. Sched.-BASE'!$N$7), 0)</f>
        <v>0</v>
      </c>
      <c r="N268" s="5">
        <f>IF(AND(L268&gt;='Amort. Sched.-BASE'!$R$8, L268&lt;= ($R$7+$R$8)), (IPMT($N$8/12, (L268-$R$8), $R$7, $N$7)), 0)</f>
        <v>0</v>
      </c>
      <c r="O268" s="5">
        <f>IF(AND(L268&gt;='Amort. Sched.-BASE'!$R$8, L268&lt;= ($R$7+$R$8)), (PPMT($N$8/12, (L268-$R$8), $R$7, $N$7)), 0)</f>
        <v>0</v>
      </c>
      <c r="P268" s="5">
        <f>IF(CreditAmort1BASE[[#This Row],[Month]]=R$8,N$7,0)</f>
        <v>0</v>
      </c>
      <c r="Q268" s="13">
        <f>IF(AND(L268&gt;='Amort. Sched.-BASE'!$R$8, L268&lt;= ($R$7+$R$8)), Q267+O268, 0)</f>
        <v>0</v>
      </c>
      <c r="R268" s="6" t="str">
        <f>IF(AND(L268&gt;='Amort. Sched.-BASE'!$R$8, L268&lt;= ($R$7+$R$8)), N268/M268, " ")</f>
        <v xml:space="preserve"> </v>
      </c>
      <c r="S268" s="21" t="str">
        <f>IF(AND(L268&gt;='Amort. Sched.-BASE'!$R$8, L268&lt;= ($R$7+$R$8)), O268/M268, " ")</f>
        <v xml:space="preserve"> </v>
      </c>
      <c r="U268" s="22">
        <f t="shared" si="51"/>
        <v>257</v>
      </c>
      <c r="V268" s="23">
        <f>IF(AND(U268&gt;='Amort. Sched.-BASE'!$AA$8, U268&lt;= ($AA$7+$AA$8)), PMT('Amort. Sched.-BASE'!$W$8/12, 'Amort. Sched.-BASE'!$AA$7, 'Amort. Sched.-BASE'!$W$7), 0)</f>
        <v>0</v>
      </c>
      <c r="W268" s="5">
        <f>IF(AND(U268&gt;='Amort. Sched.-BASE'!$AA$8, U268&lt;= ($AA$7+$AA$8)), (IPMT($W$8/12, (U268-$AA$8), $AA$7, $W$7)), 0)</f>
        <v>0</v>
      </c>
      <c r="X268" s="23">
        <f>IF(AND(U268&gt;='Amort. Sched.-BASE'!$AA$8, U268&lt;= ($AA$7+$AA$8)), (PPMT($W$8/12, (U268-$AA$8), $AA$7, $W$7)), 0)</f>
        <v>0</v>
      </c>
      <c r="Y268" s="5">
        <f>IF(CreditAmort2BASE[[#This Row],[Month]]=AA$8,W$7,0)</f>
        <v>0</v>
      </c>
      <c r="Z268" s="13">
        <f>IF(AND(U268&gt;='Amort. Sched.-BASE'!$AA$8, U268&lt;= ($AA$7+$AA$8)), Z267+X268, 0)</f>
        <v>0</v>
      </c>
      <c r="AA268" s="24" t="str">
        <f>IF(AND(U268&gt;='Amort. Sched.-BASE'!$AA$8, U268&lt;= ($AA$7+$AA$8)), W268/V268, " ")</f>
        <v xml:space="preserve"> </v>
      </c>
      <c r="AB268" s="25" t="str">
        <f>IF(AND(U268&gt;='Amort. Sched.-BASE'!$AA$8, U268&lt;= ($AA$7+$AA$8)), X268/V268, " ")</f>
        <v xml:space="preserve"> </v>
      </c>
      <c r="AD268" s="20">
        <f t="shared" si="52"/>
        <v>257</v>
      </c>
      <c r="AE268" s="5">
        <f t="shared" si="53"/>
        <v>0</v>
      </c>
      <c r="AF268" s="5">
        <f t="shared" si="54"/>
        <v>0</v>
      </c>
      <c r="AG268" s="5">
        <f t="shared" si="55"/>
        <v>0</v>
      </c>
      <c r="AH268" s="5">
        <f>IF(CreditAmort3BASE[[#This Row],[Month]]=AJ$8,AF$7,0)</f>
        <v>0</v>
      </c>
      <c r="AI268" s="13">
        <f t="shared" si="56"/>
        <v>0</v>
      </c>
      <c r="AJ268" s="6" t="str">
        <f t="shared" si="57"/>
        <v xml:space="preserve"> </v>
      </c>
      <c r="AK268" s="21" t="str">
        <f t="shared" si="58"/>
        <v xml:space="preserve"> </v>
      </c>
      <c r="AM268" s="20">
        <f t="shared" si="59"/>
        <v>257</v>
      </c>
      <c r="AN268" s="5">
        <f t="shared" si="60"/>
        <v>0</v>
      </c>
      <c r="AO268" s="5">
        <f t="shared" si="61"/>
        <v>0</v>
      </c>
      <c r="AP268" s="5">
        <f t="shared" si="62"/>
        <v>0</v>
      </c>
      <c r="AQ268" s="5">
        <f>IF(CreditAmort4BASE[[#This Row],[Month]]=AS$8,AO$7,0)</f>
        <v>0</v>
      </c>
      <c r="AR268" s="13">
        <f t="shared" si="63"/>
        <v>0</v>
      </c>
      <c r="AS268" s="6" t="str">
        <f t="shared" si="64"/>
        <v xml:space="preserve"> </v>
      </c>
      <c r="AT268" s="21" t="str">
        <f t="shared" si="65"/>
        <v xml:space="preserve"> </v>
      </c>
    </row>
    <row r="269" spans="3:46">
      <c r="C269" s="22">
        <f t="shared" si="17"/>
        <v>258</v>
      </c>
      <c r="D269" s="23">
        <f>IF(AND(C269&gt;='Amort. Sched.-BASE'!$I$8, C269&lt;= ($I$7+$I$8)), PMT('Amort. Sched.-BASE'!$E$8/12, 'Amort. Sched.-BASE'!$I$7, 'Amort. Sched.-BASE'!$E$7), 0)</f>
        <v>-1736.5864935892569</v>
      </c>
      <c r="E269" s="5">
        <f>IF(AND(C269&gt;='Amort. Sched.-BASE'!$I$8, C269&lt;= ($I$7+$I$8)), (IPMT($E$8/12, (C269-$I$8), $I$7, $E$7)), 0)</f>
        <v>-431.58254800151286</v>
      </c>
      <c r="F269" s="23">
        <f>IF(AND(C269&gt;='Amort. Sched.-BASE'!$I$8, C269&lt;= ($I$7+$I$8)), (PPMT($E$8/12, (C269-$I$8), $I$7, $E$7)), 0)</f>
        <v>-1305.0039455877441</v>
      </c>
      <c r="G269" s="5">
        <f>IF(MortgageAmortBASE[[#This Row],[Month]]=I$8,E$7,0)</f>
        <v>0</v>
      </c>
      <c r="H269" s="13">
        <f>IF(AND(C269&gt;='Amort. Sched.-BASE'!$I$8, C269&lt;= ($I$7+$I$8)), H268+F269, 0)</f>
        <v>63432.378254639239</v>
      </c>
      <c r="I269" s="24">
        <f>IF(AND(C269&gt;='Amort. Sched.-BASE'!$I$8, C269&lt;= ($I$7+$I$8)), E269/D269, " ")</f>
        <v>0.24852349686855976</v>
      </c>
      <c r="J269" s="25">
        <f>IF(AND(C269&gt;='Amort. Sched.-BASE'!$I$8, C269&lt;= ($I$7+$I$8)), F269/D269, " ")</f>
        <v>0.75147650313144032</v>
      </c>
      <c r="L269" s="20">
        <f t="shared" ref="L269:L332" si="66">L268+1</f>
        <v>258</v>
      </c>
      <c r="M269" s="5">
        <f>IF(AND(L269&gt;='Amort. Sched.-BASE'!$R$8, L269&lt;= ($R$7+$R$8)), PMT('Amort. Sched.-BASE'!$N$8/12, 'Amort. Sched.-BASE'!$R$7, 'Amort. Sched.-BASE'!$N$7), 0)</f>
        <v>0</v>
      </c>
      <c r="N269" s="5">
        <f>IF(AND(L269&gt;='Amort. Sched.-BASE'!$R$8, L269&lt;= ($R$7+$R$8)), (IPMT($N$8/12, (L269-$R$8), $R$7, $N$7)), 0)</f>
        <v>0</v>
      </c>
      <c r="O269" s="5">
        <f>IF(AND(L269&gt;='Amort. Sched.-BASE'!$R$8, L269&lt;= ($R$7+$R$8)), (PPMT($N$8/12, (L269-$R$8), $R$7, $N$7)), 0)</f>
        <v>0</v>
      </c>
      <c r="P269" s="5">
        <f>IF(CreditAmort1BASE[[#This Row],[Month]]=R$8,N$7,0)</f>
        <v>0</v>
      </c>
      <c r="Q269" s="13">
        <f>IF(AND(L269&gt;='Amort. Sched.-BASE'!$R$8, L269&lt;= ($R$7+$R$8)), Q268+O269, 0)</f>
        <v>0</v>
      </c>
      <c r="R269" s="6" t="str">
        <f>IF(AND(L269&gt;='Amort. Sched.-BASE'!$R$8, L269&lt;= ($R$7+$R$8)), N269/M269, " ")</f>
        <v xml:space="preserve"> </v>
      </c>
      <c r="S269" s="21" t="str">
        <f>IF(AND(L269&gt;='Amort. Sched.-BASE'!$R$8, L269&lt;= ($R$7+$R$8)), O269/M269, " ")</f>
        <v xml:space="preserve"> </v>
      </c>
      <c r="U269" s="22">
        <f t="shared" ref="U269:U332" si="67">U268+1</f>
        <v>258</v>
      </c>
      <c r="V269" s="23">
        <f>IF(AND(U269&gt;='Amort. Sched.-BASE'!$AA$8, U269&lt;= ($AA$7+$AA$8)), PMT('Amort. Sched.-BASE'!$W$8/12, 'Amort. Sched.-BASE'!$AA$7, 'Amort. Sched.-BASE'!$W$7), 0)</f>
        <v>0</v>
      </c>
      <c r="W269" s="5">
        <f>IF(AND(U269&gt;='Amort. Sched.-BASE'!$AA$8, U269&lt;= ($AA$7+$AA$8)), (IPMT($W$8/12, (U269-$AA$8), $AA$7, $W$7)), 0)</f>
        <v>0</v>
      </c>
      <c r="X269" s="23">
        <f>IF(AND(U269&gt;='Amort. Sched.-BASE'!$AA$8, U269&lt;= ($AA$7+$AA$8)), (PPMT($W$8/12, (U269-$AA$8), $AA$7, $W$7)), 0)</f>
        <v>0</v>
      </c>
      <c r="Y269" s="5">
        <f>IF(CreditAmort2BASE[[#This Row],[Month]]=AA$8,W$7,0)</f>
        <v>0</v>
      </c>
      <c r="Z269" s="13">
        <f>IF(AND(U269&gt;='Amort. Sched.-BASE'!$AA$8, U269&lt;= ($AA$7+$AA$8)), Z268+X269, 0)</f>
        <v>0</v>
      </c>
      <c r="AA269" s="24" t="str">
        <f>IF(AND(U269&gt;='Amort. Sched.-BASE'!$AA$8, U269&lt;= ($AA$7+$AA$8)), W269/V269, " ")</f>
        <v xml:space="preserve"> </v>
      </c>
      <c r="AB269" s="25" t="str">
        <f>IF(AND(U269&gt;='Amort. Sched.-BASE'!$AA$8, U269&lt;= ($AA$7+$AA$8)), X269/V269, " ")</f>
        <v xml:space="preserve"> </v>
      </c>
      <c r="AD269" s="20">
        <f t="shared" ref="AD269:AD332" si="68">AD268+1</f>
        <v>258</v>
      </c>
      <c r="AE269" s="5">
        <f t="shared" ref="AE269:AE332" si="69">IF(AND(AD269&gt;=$AJ$8, AD269&lt;= ($AJ$7+$AJ$8)), PMT($AF$8/12, $AJ$7, $AF$7), 0)</f>
        <v>0</v>
      </c>
      <c r="AF269" s="5">
        <f t="shared" ref="AF269:AF332" si="70">IF(AND(AD269&gt;=$AJ$8, AD269&lt;= ($AJ$7+$AJ$8)), (IPMT($AF$8/12, (AD269-$AJ$8), $AJ$7, $AF$7)), 0)</f>
        <v>0</v>
      </c>
      <c r="AG269" s="5">
        <f t="shared" ref="AG269:AG332" si="71">IF(AND(AD269&gt;=$AJ$8, AD269&lt;= ($AJ$7+$AJ$8)), (PPMT($AF$8/12, (AD269-$AJ$8), $AJ$7, $AF$7)), 0)</f>
        <v>0</v>
      </c>
      <c r="AH269" s="5">
        <f>IF(CreditAmort3BASE[[#This Row],[Month]]=AJ$8,AF$7,0)</f>
        <v>0</v>
      </c>
      <c r="AI269" s="13">
        <f t="shared" ref="AI269:AI332" si="72">IF(AND(AD269&gt;=$AJ$8, AD269&lt;= ($AJ$7+$AJ$8)), AI268+AG269, 0)</f>
        <v>0</v>
      </c>
      <c r="AJ269" s="6" t="str">
        <f t="shared" ref="AJ269:AJ332" si="73">IF(AND(AD269&gt;=$AJ$8, AD269&lt;= ($AJ$7+$AJ$8)), AF269/AE269, " ")</f>
        <v xml:space="preserve"> </v>
      </c>
      <c r="AK269" s="21" t="str">
        <f t="shared" ref="AK269:AK332" si="74">IF(AND(AD269&gt;=$AJ$8, AD269&lt;= ($AJ$7+$AJ$8)), AG269/AE269, " ")</f>
        <v xml:space="preserve"> </v>
      </c>
      <c r="AM269" s="20">
        <f t="shared" ref="AM269:AM332" si="75">AM268+1</f>
        <v>258</v>
      </c>
      <c r="AN269" s="5">
        <f t="shared" ref="AN269:AN332" si="76">IF(AND(AM269&gt;=$AS$8, AM269&lt;= ($AS$7+$AS$8)), PMT($AO$8/12, $AS$7, $AO$7), 0)</f>
        <v>0</v>
      </c>
      <c r="AO269" s="5">
        <f t="shared" ref="AO269:AO332" si="77">IF(AND(AM269&gt;=$AS$8, AM269&lt;= ($AS$7+$AS$8)), (IPMT($AO$8/12, (AM269-$AS$8), $AS$7, $AO$7)), 0)</f>
        <v>0</v>
      </c>
      <c r="AP269" s="5">
        <f t="shared" ref="AP269:AP332" si="78">IF(AND(AM269&gt;=$AS$8, AM269&lt;= ($AS$7+$AS$8)), (PPMT($AO$8/12, (AM269-$AS$8), $AS$7, $AO$7)), 0)</f>
        <v>0</v>
      </c>
      <c r="AQ269" s="5">
        <f>IF(CreditAmort4BASE[[#This Row],[Month]]=AS$8,AO$7,0)</f>
        <v>0</v>
      </c>
      <c r="AR269" s="13">
        <f t="shared" ref="AR269:AR332" si="79">IF(AND(AM269&gt;=$AS$8, AM269&lt;= ($AS$7+$AS$8)), AR268+AP269, 0)</f>
        <v>0</v>
      </c>
      <c r="AS269" s="6" t="str">
        <f t="shared" ref="AS269:AS332" si="80">IF(AND(AM269&gt;=$AS$8, AM269&lt;= ($AS$7+$AS$8)), AO269/AN269, " ")</f>
        <v xml:space="preserve"> </v>
      </c>
      <c r="AT269" s="21" t="str">
        <f t="shared" ref="AT269:AT332" si="81">IF(AND(AM269&gt;=$AS$8, AM269&lt;= ($AS$7+$AS$8)), AP269/AN269, " ")</f>
        <v xml:space="preserve"> </v>
      </c>
    </row>
    <row r="270" spans="3:46">
      <c r="C270" s="22">
        <f t="shared" si="17"/>
        <v>259</v>
      </c>
      <c r="D270" s="23">
        <f>IF(AND(C270&gt;='Amort. Sched.-BASE'!$I$8, C270&lt;= ($I$7+$I$8)), PMT('Amort. Sched.-BASE'!$E$8/12, 'Amort. Sched.-BASE'!$I$7, 'Amort. Sched.-BASE'!$E$7), 0)</f>
        <v>-1736.5864935892569</v>
      </c>
      <c r="E270" s="5">
        <f>IF(AND(C270&gt;='Amort. Sched.-BASE'!$I$8, C270&lt;= ($I$7+$I$8)), (IPMT($E$8/12, (C270-$I$8), $I$7, $E$7)), 0)</f>
        <v>-422.88252169759454</v>
      </c>
      <c r="F270" s="23">
        <f>IF(AND(C270&gt;='Amort. Sched.-BASE'!$I$8, C270&lt;= ($I$7+$I$8)), (PPMT($E$8/12, (C270-$I$8), $I$7, $E$7)), 0)</f>
        <v>-1313.7039718916626</v>
      </c>
      <c r="G270" s="5">
        <f>IF(MortgageAmortBASE[[#This Row],[Month]]=I$8,E$7,0)</f>
        <v>0</v>
      </c>
      <c r="H270" s="13">
        <f>IF(AND(C270&gt;='Amort. Sched.-BASE'!$I$8, C270&lt;= ($I$7+$I$8)), H269+F270, 0)</f>
        <v>62118.674282747575</v>
      </c>
      <c r="I270" s="24">
        <f>IF(AND(C270&gt;='Amort. Sched.-BASE'!$I$8, C270&lt;= ($I$7+$I$8)), E270/D270, " ")</f>
        <v>0.24351365351435014</v>
      </c>
      <c r="J270" s="25">
        <f>IF(AND(C270&gt;='Amort. Sched.-BASE'!$I$8, C270&lt;= ($I$7+$I$8)), F270/D270, " ")</f>
        <v>0.75648634648565005</v>
      </c>
      <c r="L270" s="20">
        <f t="shared" si="66"/>
        <v>259</v>
      </c>
      <c r="M270" s="5">
        <f>IF(AND(L270&gt;='Amort. Sched.-BASE'!$R$8, L270&lt;= ($R$7+$R$8)), PMT('Amort. Sched.-BASE'!$N$8/12, 'Amort. Sched.-BASE'!$R$7, 'Amort. Sched.-BASE'!$N$7), 0)</f>
        <v>0</v>
      </c>
      <c r="N270" s="5">
        <f>IF(AND(L270&gt;='Amort. Sched.-BASE'!$R$8, L270&lt;= ($R$7+$R$8)), (IPMT($N$8/12, (L270-$R$8), $R$7, $N$7)), 0)</f>
        <v>0</v>
      </c>
      <c r="O270" s="5">
        <f>IF(AND(L270&gt;='Amort. Sched.-BASE'!$R$8, L270&lt;= ($R$7+$R$8)), (PPMT($N$8/12, (L270-$R$8), $R$7, $N$7)), 0)</f>
        <v>0</v>
      </c>
      <c r="P270" s="5">
        <f>IF(CreditAmort1BASE[[#This Row],[Month]]=R$8,N$7,0)</f>
        <v>0</v>
      </c>
      <c r="Q270" s="13">
        <f>IF(AND(L270&gt;='Amort. Sched.-BASE'!$R$8, L270&lt;= ($R$7+$R$8)), Q269+O270, 0)</f>
        <v>0</v>
      </c>
      <c r="R270" s="6" t="str">
        <f>IF(AND(L270&gt;='Amort. Sched.-BASE'!$R$8, L270&lt;= ($R$7+$R$8)), N270/M270, " ")</f>
        <v xml:space="preserve"> </v>
      </c>
      <c r="S270" s="21" t="str">
        <f>IF(AND(L270&gt;='Amort. Sched.-BASE'!$R$8, L270&lt;= ($R$7+$R$8)), O270/M270, " ")</f>
        <v xml:space="preserve"> </v>
      </c>
      <c r="U270" s="22">
        <f t="shared" si="67"/>
        <v>259</v>
      </c>
      <c r="V270" s="23">
        <f>IF(AND(U270&gt;='Amort. Sched.-BASE'!$AA$8, U270&lt;= ($AA$7+$AA$8)), PMT('Amort. Sched.-BASE'!$W$8/12, 'Amort. Sched.-BASE'!$AA$7, 'Amort. Sched.-BASE'!$W$7), 0)</f>
        <v>0</v>
      </c>
      <c r="W270" s="5">
        <f>IF(AND(U270&gt;='Amort. Sched.-BASE'!$AA$8, U270&lt;= ($AA$7+$AA$8)), (IPMT($W$8/12, (U270-$AA$8), $AA$7, $W$7)), 0)</f>
        <v>0</v>
      </c>
      <c r="X270" s="23">
        <f>IF(AND(U270&gt;='Amort. Sched.-BASE'!$AA$8, U270&lt;= ($AA$7+$AA$8)), (PPMT($W$8/12, (U270-$AA$8), $AA$7, $W$7)), 0)</f>
        <v>0</v>
      </c>
      <c r="Y270" s="5">
        <f>IF(CreditAmort2BASE[[#This Row],[Month]]=AA$8,W$7,0)</f>
        <v>0</v>
      </c>
      <c r="Z270" s="13">
        <f>IF(AND(U270&gt;='Amort. Sched.-BASE'!$AA$8, U270&lt;= ($AA$7+$AA$8)), Z269+X270, 0)</f>
        <v>0</v>
      </c>
      <c r="AA270" s="24" t="str">
        <f>IF(AND(U270&gt;='Amort. Sched.-BASE'!$AA$8, U270&lt;= ($AA$7+$AA$8)), W270/V270, " ")</f>
        <v xml:space="preserve"> </v>
      </c>
      <c r="AB270" s="25" t="str">
        <f>IF(AND(U270&gt;='Amort. Sched.-BASE'!$AA$8, U270&lt;= ($AA$7+$AA$8)), X270/V270, " ")</f>
        <v xml:space="preserve"> </v>
      </c>
      <c r="AD270" s="20">
        <f t="shared" si="68"/>
        <v>259</v>
      </c>
      <c r="AE270" s="5">
        <f t="shared" si="69"/>
        <v>0</v>
      </c>
      <c r="AF270" s="5">
        <f t="shared" si="70"/>
        <v>0</v>
      </c>
      <c r="AG270" s="5">
        <f t="shared" si="71"/>
        <v>0</v>
      </c>
      <c r="AH270" s="5">
        <f>IF(CreditAmort3BASE[[#This Row],[Month]]=AJ$8,AF$7,0)</f>
        <v>0</v>
      </c>
      <c r="AI270" s="13">
        <f t="shared" si="72"/>
        <v>0</v>
      </c>
      <c r="AJ270" s="6" t="str">
        <f t="shared" si="73"/>
        <v xml:space="preserve"> </v>
      </c>
      <c r="AK270" s="21" t="str">
        <f t="shared" si="74"/>
        <v xml:space="preserve"> </v>
      </c>
      <c r="AM270" s="20">
        <f t="shared" si="75"/>
        <v>259</v>
      </c>
      <c r="AN270" s="5">
        <f t="shared" si="76"/>
        <v>0</v>
      </c>
      <c r="AO270" s="5">
        <f t="shared" si="77"/>
        <v>0</v>
      </c>
      <c r="AP270" s="5">
        <f t="shared" si="78"/>
        <v>0</v>
      </c>
      <c r="AQ270" s="5">
        <f>IF(CreditAmort4BASE[[#This Row],[Month]]=AS$8,AO$7,0)</f>
        <v>0</v>
      </c>
      <c r="AR270" s="13">
        <f t="shared" si="79"/>
        <v>0</v>
      </c>
      <c r="AS270" s="6" t="str">
        <f t="shared" si="80"/>
        <v xml:space="preserve"> </v>
      </c>
      <c r="AT270" s="21" t="str">
        <f t="shared" si="81"/>
        <v xml:space="preserve"> </v>
      </c>
    </row>
    <row r="271" spans="3:46">
      <c r="C271" s="22">
        <f t="shared" si="17"/>
        <v>260</v>
      </c>
      <c r="D271" s="23">
        <f>IF(AND(C271&gt;='Amort. Sched.-BASE'!$I$8, C271&lt;= ($I$7+$I$8)), PMT('Amort. Sched.-BASE'!$E$8/12, 'Amort. Sched.-BASE'!$I$7, 'Amort. Sched.-BASE'!$E$7), 0)</f>
        <v>-1736.5864935892569</v>
      </c>
      <c r="E271" s="5">
        <f>IF(AND(C271&gt;='Amort. Sched.-BASE'!$I$8, C271&lt;= ($I$7+$I$8)), (IPMT($E$8/12, (C271-$I$8), $I$7, $E$7)), 0)</f>
        <v>-414.12449521831678</v>
      </c>
      <c r="F271" s="23">
        <f>IF(AND(C271&gt;='Amort. Sched.-BASE'!$I$8, C271&lt;= ($I$7+$I$8)), (PPMT($E$8/12, (C271-$I$8), $I$7, $E$7)), 0)</f>
        <v>-1322.4619983709404</v>
      </c>
      <c r="G271" s="5">
        <f>IF(MortgageAmortBASE[[#This Row],[Month]]=I$8,E$7,0)</f>
        <v>0</v>
      </c>
      <c r="H271" s="13">
        <f>IF(AND(C271&gt;='Amort. Sched.-BASE'!$I$8, C271&lt;= ($I$7+$I$8)), H270+F271, 0)</f>
        <v>60796.212284376634</v>
      </c>
      <c r="I271" s="24">
        <f>IF(AND(C271&gt;='Amort. Sched.-BASE'!$I$8, C271&lt;= ($I$7+$I$8)), E271/D271, " ")</f>
        <v>0.23847041120444581</v>
      </c>
      <c r="J271" s="25">
        <f>IF(AND(C271&gt;='Amort. Sched.-BASE'!$I$8, C271&lt;= ($I$7+$I$8)), F271/D271, " ")</f>
        <v>0.76152958879555432</v>
      </c>
      <c r="L271" s="20">
        <f t="shared" si="66"/>
        <v>260</v>
      </c>
      <c r="M271" s="5">
        <f>IF(AND(L271&gt;='Amort. Sched.-BASE'!$R$8, L271&lt;= ($R$7+$R$8)), PMT('Amort. Sched.-BASE'!$N$8/12, 'Amort. Sched.-BASE'!$R$7, 'Amort. Sched.-BASE'!$N$7), 0)</f>
        <v>0</v>
      </c>
      <c r="N271" s="5">
        <f>IF(AND(L271&gt;='Amort. Sched.-BASE'!$R$8, L271&lt;= ($R$7+$R$8)), (IPMT($N$8/12, (L271-$R$8), $R$7, $N$7)), 0)</f>
        <v>0</v>
      </c>
      <c r="O271" s="5">
        <f>IF(AND(L271&gt;='Amort. Sched.-BASE'!$R$8, L271&lt;= ($R$7+$R$8)), (PPMT($N$8/12, (L271-$R$8), $R$7, $N$7)), 0)</f>
        <v>0</v>
      </c>
      <c r="P271" s="5">
        <f>IF(CreditAmort1BASE[[#This Row],[Month]]=R$8,N$7,0)</f>
        <v>0</v>
      </c>
      <c r="Q271" s="13">
        <f>IF(AND(L271&gt;='Amort. Sched.-BASE'!$R$8, L271&lt;= ($R$7+$R$8)), Q270+O271, 0)</f>
        <v>0</v>
      </c>
      <c r="R271" s="6" t="str">
        <f>IF(AND(L271&gt;='Amort. Sched.-BASE'!$R$8, L271&lt;= ($R$7+$R$8)), N271/M271, " ")</f>
        <v xml:space="preserve"> </v>
      </c>
      <c r="S271" s="21" t="str">
        <f>IF(AND(L271&gt;='Amort. Sched.-BASE'!$R$8, L271&lt;= ($R$7+$R$8)), O271/M271, " ")</f>
        <v xml:space="preserve"> </v>
      </c>
      <c r="U271" s="22">
        <f t="shared" si="67"/>
        <v>260</v>
      </c>
      <c r="V271" s="23">
        <f>IF(AND(U271&gt;='Amort. Sched.-BASE'!$AA$8, U271&lt;= ($AA$7+$AA$8)), PMT('Amort. Sched.-BASE'!$W$8/12, 'Amort. Sched.-BASE'!$AA$7, 'Amort. Sched.-BASE'!$W$7), 0)</f>
        <v>0</v>
      </c>
      <c r="W271" s="5">
        <f>IF(AND(U271&gt;='Amort. Sched.-BASE'!$AA$8, U271&lt;= ($AA$7+$AA$8)), (IPMT($W$8/12, (U271-$AA$8), $AA$7, $W$7)), 0)</f>
        <v>0</v>
      </c>
      <c r="X271" s="23">
        <f>IF(AND(U271&gt;='Amort. Sched.-BASE'!$AA$8, U271&lt;= ($AA$7+$AA$8)), (PPMT($W$8/12, (U271-$AA$8), $AA$7, $W$7)), 0)</f>
        <v>0</v>
      </c>
      <c r="Y271" s="5">
        <f>IF(CreditAmort2BASE[[#This Row],[Month]]=AA$8,W$7,0)</f>
        <v>0</v>
      </c>
      <c r="Z271" s="13">
        <f>IF(AND(U271&gt;='Amort. Sched.-BASE'!$AA$8, U271&lt;= ($AA$7+$AA$8)), Z270+X271, 0)</f>
        <v>0</v>
      </c>
      <c r="AA271" s="24" t="str">
        <f>IF(AND(U271&gt;='Amort. Sched.-BASE'!$AA$8, U271&lt;= ($AA$7+$AA$8)), W271/V271, " ")</f>
        <v xml:space="preserve"> </v>
      </c>
      <c r="AB271" s="25" t="str">
        <f>IF(AND(U271&gt;='Amort. Sched.-BASE'!$AA$8, U271&lt;= ($AA$7+$AA$8)), X271/V271, " ")</f>
        <v xml:space="preserve"> </v>
      </c>
      <c r="AD271" s="20">
        <f t="shared" si="68"/>
        <v>260</v>
      </c>
      <c r="AE271" s="5">
        <f t="shared" si="69"/>
        <v>0</v>
      </c>
      <c r="AF271" s="5">
        <f t="shared" si="70"/>
        <v>0</v>
      </c>
      <c r="AG271" s="5">
        <f t="shared" si="71"/>
        <v>0</v>
      </c>
      <c r="AH271" s="5">
        <f>IF(CreditAmort3BASE[[#This Row],[Month]]=AJ$8,AF$7,0)</f>
        <v>0</v>
      </c>
      <c r="AI271" s="13">
        <f t="shared" si="72"/>
        <v>0</v>
      </c>
      <c r="AJ271" s="6" t="str">
        <f t="shared" si="73"/>
        <v xml:space="preserve"> </v>
      </c>
      <c r="AK271" s="21" t="str">
        <f t="shared" si="74"/>
        <v xml:space="preserve"> </v>
      </c>
      <c r="AM271" s="20">
        <f t="shared" si="75"/>
        <v>260</v>
      </c>
      <c r="AN271" s="5">
        <f t="shared" si="76"/>
        <v>0</v>
      </c>
      <c r="AO271" s="5">
        <f t="shared" si="77"/>
        <v>0</v>
      </c>
      <c r="AP271" s="5">
        <f t="shared" si="78"/>
        <v>0</v>
      </c>
      <c r="AQ271" s="5">
        <f>IF(CreditAmort4BASE[[#This Row],[Month]]=AS$8,AO$7,0)</f>
        <v>0</v>
      </c>
      <c r="AR271" s="13">
        <f t="shared" si="79"/>
        <v>0</v>
      </c>
      <c r="AS271" s="6" t="str">
        <f t="shared" si="80"/>
        <v xml:space="preserve"> </v>
      </c>
      <c r="AT271" s="21" t="str">
        <f t="shared" si="81"/>
        <v xml:space="preserve"> </v>
      </c>
    </row>
    <row r="272" spans="3:46">
      <c r="C272" s="22">
        <f t="shared" si="17"/>
        <v>261</v>
      </c>
      <c r="D272" s="23">
        <f>IF(AND(C272&gt;='Amort. Sched.-BASE'!$I$8, C272&lt;= ($I$7+$I$8)), PMT('Amort. Sched.-BASE'!$E$8/12, 'Amort. Sched.-BASE'!$I$7, 'Amort. Sched.-BASE'!$E$7), 0)</f>
        <v>-1736.5864935892569</v>
      </c>
      <c r="E272" s="5">
        <f>IF(AND(C272&gt;='Amort. Sched.-BASE'!$I$8, C272&lt;= ($I$7+$I$8)), (IPMT($E$8/12, (C272-$I$8), $I$7, $E$7)), 0)</f>
        <v>-405.30808189584383</v>
      </c>
      <c r="F272" s="23">
        <f>IF(AND(C272&gt;='Amort. Sched.-BASE'!$I$8, C272&lt;= ($I$7+$I$8)), (PPMT($E$8/12, (C272-$I$8), $I$7, $E$7)), 0)</f>
        <v>-1331.2784116934133</v>
      </c>
      <c r="G272" s="5">
        <f>IF(MortgageAmortBASE[[#This Row],[Month]]=I$8,E$7,0)</f>
        <v>0</v>
      </c>
      <c r="H272" s="13">
        <f>IF(AND(C272&gt;='Amort. Sched.-BASE'!$I$8, C272&lt;= ($I$7+$I$8)), H271+F272, 0)</f>
        <v>59464.933872683221</v>
      </c>
      <c r="I272" s="24">
        <f>IF(AND(C272&gt;='Amort. Sched.-BASE'!$I$8, C272&lt;= ($I$7+$I$8)), E272/D272, " ")</f>
        <v>0.23339354727914211</v>
      </c>
      <c r="J272" s="25">
        <f>IF(AND(C272&gt;='Amort. Sched.-BASE'!$I$8, C272&lt;= ($I$7+$I$8)), F272/D272, " ")</f>
        <v>0.76660645272085803</v>
      </c>
      <c r="L272" s="20">
        <f t="shared" si="66"/>
        <v>261</v>
      </c>
      <c r="M272" s="5">
        <f>IF(AND(L272&gt;='Amort. Sched.-BASE'!$R$8, L272&lt;= ($R$7+$R$8)), PMT('Amort. Sched.-BASE'!$N$8/12, 'Amort. Sched.-BASE'!$R$7, 'Amort. Sched.-BASE'!$N$7), 0)</f>
        <v>0</v>
      </c>
      <c r="N272" s="5">
        <f>IF(AND(L272&gt;='Amort. Sched.-BASE'!$R$8, L272&lt;= ($R$7+$R$8)), (IPMT($N$8/12, (L272-$R$8), $R$7, $N$7)), 0)</f>
        <v>0</v>
      </c>
      <c r="O272" s="5">
        <f>IF(AND(L272&gt;='Amort. Sched.-BASE'!$R$8, L272&lt;= ($R$7+$R$8)), (PPMT($N$8/12, (L272-$R$8), $R$7, $N$7)), 0)</f>
        <v>0</v>
      </c>
      <c r="P272" s="5">
        <f>IF(CreditAmort1BASE[[#This Row],[Month]]=R$8,N$7,0)</f>
        <v>0</v>
      </c>
      <c r="Q272" s="13">
        <f>IF(AND(L272&gt;='Amort. Sched.-BASE'!$R$8, L272&lt;= ($R$7+$R$8)), Q271+O272, 0)</f>
        <v>0</v>
      </c>
      <c r="R272" s="6" t="str">
        <f>IF(AND(L272&gt;='Amort. Sched.-BASE'!$R$8, L272&lt;= ($R$7+$R$8)), N272/M272, " ")</f>
        <v xml:space="preserve"> </v>
      </c>
      <c r="S272" s="21" t="str">
        <f>IF(AND(L272&gt;='Amort. Sched.-BASE'!$R$8, L272&lt;= ($R$7+$R$8)), O272/M272, " ")</f>
        <v xml:space="preserve"> </v>
      </c>
      <c r="U272" s="22">
        <f t="shared" si="67"/>
        <v>261</v>
      </c>
      <c r="V272" s="23">
        <f>IF(AND(U272&gt;='Amort. Sched.-BASE'!$AA$8, U272&lt;= ($AA$7+$AA$8)), PMT('Amort. Sched.-BASE'!$W$8/12, 'Amort. Sched.-BASE'!$AA$7, 'Amort. Sched.-BASE'!$W$7), 0)</f>
        <v>0</v>
      </c>
      <c r="W272" s="5">
        <f>IF(AND(U272&gt;='Amort. Sched.-BASE'!$AA$8, U272&lt;= ($AA$7+$AA$8)), (IPMT($W$8/12, (U272-$AA$8), $AA$7, $W$7)), 0)</f>
        <v>0</v>
      </c>
      <c r="X272" s="23">
        <f>IF(AND(U272&gt;='Amort. Sched.-BASE'!$AA$8, U272&lt;= ($AA$7+$AA$8)), (PPMT($W$8/12, (U272-$AA$8), $AA$7, $W$7)), 0)</f>
        <v>0</v>
      </c>
      <c r="Y272" s="5">
        <f>IF(CreditAmort2BASE[[#This Row],[Month]]=AA$8,W$7,0)</f>
        <v>0</v>
      </c>
      <c r="Z272" s="13">
        <f>IF(AND(U272&gt;='Amort. Sched.-BASE'!$AA$8, U272&lt;= ($AA$7+$AA$8)), Z271+X272, 0)</f>
        <v>0</v>
      </c>
      <c r="AA272" s="24" t="str">
        <f>IF(AND(U272&gt;='Amort. Sched.-BASE'!$AA$8, U272&lt;= ($AA$7+$AA$8)), W272/V272, " ")</f>
        <v xml:space="preserve"> </v>
      </c>
      <c r="AB272" s="25" t="str">
        <f>IF(AND(U272&gt;='Amort. Sched.-BASE'!$AA$8, U272&lt;= ($AA$7+$AA$8)), X272/V272, " ")</f>
        <v xml:space="preserve"> </v>
      </c>
      <c r="AD272" s="20">
        <f t="shared" si="68"/>
        <v>261</v>
      </c>
      <c r="AE272" s="5">
        <f t="shared" si="69"/>
        <v>0</v>
      </c>
      <c r="AF272" s="5">
        <f t="shared" si="70"/>
        <v>0</v>
      </c>
      <c r="AG272" s="5">
        <f t="shared" si="71"/>
        <v>0</v>
      </c>
      <c r="AH272" s="5">
        <f>IF(CreditAmort3BASE[[#This Row],[Month]]=AJ$8,AF$7,0)</f>
        <v>0</v>
      </c>
      <c r="AI272" s="13">
        <f t="shared" si="72"/>
        <v>0</v>
      </c>
      <c r="AJ272" s="6" t="str">
        <f t="shared" si="73"/>
        <v xml:space="preserve"> </v>
      </c>
      <c r="AK272" s="21" t="str">
        <f t="shared" si="74"/>
        <v xml:space="preserve"> </v>
      </c>
      <c r="AM272" s="20">
        <f t="shared" si="75"/>
        <v>261</v>
      </c>
      <c r="AN272" s="5">
        <f t="shared" si="76"/>
        <v>0</v>
      </c>
      <c r="AO272" s="5">
        <f t="shared" si="77"/>
        <v>0</v>
      </c>
      <c r="AP272" s="5">
        <f t="shared" si="78"/>
        <v>0</v>
      </c>
      <c r="AQ272" s="5">
        <f>IF(CreditAmort4BASE[[#This Row],[Month]]=AS$8,AO$7,0)</f>
        <v>0</v>
      </c>
      <c r="AR272" s="13">
        <f t="shared" si="79"/>
        <v>0</v>
      </c>
      <c r="AS272" s="6" t="str">
        <f t="shared" si="80"/>
        <v xml:space="preserve"> </v>
      </c>
      <c r="AT272" s="21" t="str">
        <f t="shared" si="81"/>
        <v xml:space="preserve"> </v>
      </c>
    </row>
    <row r="273" spans="3:46">
      <c r="C273" s="22">
        <f t="shared" si="17"/>
        <v>262</v>
      </c>
      <c r="D273" s="23">
        <f>IF(AND(C273&gt;='Amort. Sched.-BASE'!$I$8, C273&lt;= ($I$7+$I$8)), PMT('Amort. Sched.-BASE'!$E$8/12, 'Amort. Sched.-BASE'!$I$7, 'Amort. Sched.-BASE'!$E$7), 0)</f>
        <v>-1736.5864935892569</v>
      </c>
      <c r="E273" s="5">
        <f>IF(AND(C273&gt;='Amort. Sched.-BASE'!$I$8, C273&lt;= ($I$7+$I$8)), (IPMT($E$8/12, (C273-$I$8), $I$7, $E$7)), 0)</f>
        <v>-396.43289248455432</v>
      </c>
      <c r="F273" s="23">
        <f>IF(AND(C273&gt;='Amort. Sched.-BASE'!$I$8, C273&lt;= ($I$7+$I$8)), (PPMT($E$8/12, (C273-$I$8), $I$7, $E$7)), 0)</f>
        <v>-1340.1536011047026</v>
      </c>
      <c r="G273" s="5">
        <f>IF(MortgageAmortBASE[[#This Row],[Month]]=I$8,E$7,0)</f>
        <v>0</v>
      </c>
      <c r="H273" s="13">
        <f>IF(AND(C273&gt;='Amort. Sched.-BASE'!$I$8, C273&lt;= ($I$7+$I$8)), H272+F273, 0)</f>
        <v>58124.780271578522</v>
      </c>
      <c r="I273" s="24">
        <f>IF(AND(C273&gt;='Amort. Sched.-BASE'!$I$8, C273&lt;= ($I$7+$I$8)), E273/D273, " ")</f>
        <v>0.22828283759433632</v>
      </c>
      <c r="J273" s="25">
        <f>IF(AND(C273&gt;='Amort. Sched.-BASE'!$I$8, C273&lt;= ($I$7+$I$8)), F273/D273, " ")</f>
        <v>0.77171716240566368</v>
      </c>
      <c r="L273" s="20">
        <f t="shared" si="66"/>
        <v>262</v>
      </c>
      <c r="M273" s="5">
        <f>IF(AND(L273&gt;='Amort. Sched.-BASE'!$R$8, L273&lt;= ($R$7+$R$8)), PMT('Amort. Sched.-BASE'!$N$8/12, 'Amort. Sched.-BASE'!$R$7, 'Amort. Sched.-BASE'!$N$7), 0)</f>
        <v>0</v>
      </c>
      <c r="N273" s="5">
        <f>IF(AND(L273&gt;='Amort. Sched.-BASE'!$R$8, L273&lt;= ($R$7+$R$8)), (IPMT($N$8/12, (L273-$R$8), $R$7, $N$7)), 0)</f>
        <v>0</v>
      </c>
      <c r="O273" s="5">
        <f>IF(AND(L273&gt;='Amort. Sched.-BASE'!$R$8, L273&lt;= ($R$7+$R$8)), (PPMT($N$8/12, (L273-$R$8), $R$7, $N$7)), 0)</f>
        <v>0</v>
      </c>
      <c r="P273" s="5">
        <f>IF(CreditAmort1BASE[[#This Row],[Month]]=R$8,N$7,0)</f>
        <v>0</v>
      </c>
      <c r="Q273" s="13">
        <f>IF(AND(L273&gt;='Amort. Sched.-BASE'!$R$8, L273&lt;= ($R$7+$R$8)), Q272+O273, 0)</f>
        <v>0</v>
      </c>
      <c r="R273" s="6" t="str">
        <f>IF(AND(L273&gt;='Amort. Sched.-BASE'!$R$8, L273&lt;= ($R$7+$R$8)), N273/M273, " ")</f>
        <v xml:space="preserve"> </v>
      </c>
      <c r="S273" s="21" t="str">
        <f>IF(AND(L273&gt;='Amort. Sched.-BASE'!$R$8, L273&lt;= ($R$7+$R$8)), O273/M273, " ")</f>
        <v xml:space="preserve"> </v>
      </c>
      <c r="U273" s="22">
        <f t="shared" si="67"/>
        <v>262</v>
      </c>
      <c r="V273" s="23">
        <f>IF(AND(U273&gt;='Amort. Sched.-BASE'!$AA$8, U273&lt;= ($AA$7+$AA$8)), PMT('Amort. Sched.-BASE'!$W$8/12, 'Amort. Sched.-BASE'!$AA$7, 'Amort. Sched.-BASE'!$W$7), 0)</f>
        <v>0</v>
      </c>
      <c r="W273" s="5">
        <f>IF(AND(U273&gt;='Amort. Sched.-BASE'!$AA$8, U273&lt;= ($AA$7+$AA$8)), (IPMT($W$8/12, (U273-$AA$8), $AA$7, $W$7)), 0)</f>
        <v>0</v>
      </c>
      <c r="X273" s="23">
        <f>IF(AND(U273&gt;='Amort. Sched.-BASE'!$AA$8, U273&lt;= ($AA$7+$AA$8)), (PPMT($W$8/12, (U273-$AA$8), $AA$7, $W$7)), 0)</f>
        <v>0</v>
      </c>
      <c r="Y273" s="5">
        <f>IF(CreditAmort2BASE[[#This Row],[Month]]=AA$8,W$7,0)</f>
        <v>0</v>
      </c>
      <c r="Z273" s="13">
        <f>IF(AND(U273&gt;='Amort. Sched.-BASE'!$AA$8, U273&lt;= ($AA$7+$AA$8)), Z272+X273, 0)</f>
        <v>0</v>
      </c>
      <c r="AA273" s="24" t="str">
        <f>IF(AND(U273&gt;='Amort. Sched.-BASE'!$AA$8, U273&lt;= ($AA$7+$AA$8)), W273/V273, " ")</f>
        <v xml:space="preserve"> </v>
      </c>
      <c r="AB273" s="25" t="str">
        <f>IF(AND(U273&gt;='Amort. Sched.-BASE'!$AA$8, U273&lt;= ($AA$7+$AA$8)), X273/V273, " ")</f>
        <v xml:space="preserve"> </v>
      </c>
      <c r="AD273" s="20">
        <f t="shared" si="68"/>
        <v>262</v>
      </c>
      <c r="AE273" s="5">
        <f t="shared" si="69"/>
        <v>0</v>
      </c>
      <c r="AF273" s="5">
        <f t="shared" si="70"/>
        <v>0</v>
      </c>
      <c r="AG273" s="5">
        <f t="shared" si="71"/>
        <v>0</v>
      </c>
      <c r="AH273" s="5">
        <f>IF(CreditAmort3BASE[[#This Row],[Month]]=AJ$8,AF$7,0)</f>
        <v>0</v>
      </c>
      <c r="AI273" s="13">
        <f t="shared" si="72"/>
        <v>0</v>
      </c>
      <c r="AJ273" s="6" t="str">
        <f t="shared" si="73"/>
        <v xml:space="preserve"> </v>
      </c>
      <c r="AK273" s="21" t="str">
        <f t="shared" si="74"/>
        <v xml:space="preserve"> </v>
      </c>
      <c r="AM273" s="20">
        <f t="shared" si="75"/>
        <v>262</v>
      </c>
      <c r="AN273" s="5">
        <f t="shared" si="76"/>
        <v>0</v>
      </c>
      <c r="AO273" s="5">
        <f t="shared" si="77"/>
        <v>0</v>
      </c>
      <c r="AP273" s="5">
        <f t="shared" si="78"/>
        <v>0</v>
      </c>
      <c r="AQ273" s="5">
        <f>IF(CreditAmort4BASE[[#This Row],[Month]]=AS$8,AO$7,0)</f>
        <v>0</v>
      </c>
      <c r="AR273" s="13">
        <f t="shared" si="79"/>
        <v>0</v>
      </c>
      <c r="AS273" s="6" t="str">
        <f t="shared" si="80"/>
        <v xml:space="preserve"> </v>
      </c>
      <c r="AT273" s="21" t="str">
        <f t="shared" si="81"/>
        <v xml:space="preserve"> </v>
      </c>
    </row>
    <row r="274" spans="3:46">
      <c r="C274" s="22">
        <f t="shared" si="17"/>
        <v>263</v>
      </c>
      <c r="D274" s="23">
        <f>IF(AND(C274&gt;='Amort. Sched.-BASE'!$I$8, C274&lt;= ($I$7+$I$8)), PMT('Amort. Sched.-BASE'!$E$8/12, 'Amort. Sched.-BASE'!$I$7, 'Amort. Sched.-BASE'!$E$7), 0)</f>
        <v>-1736.5864935892569</v>
      </c>
      <c r="E274" s="5">
        <f>IF(AND(C274&gt;='Amort. Sched.-BASE'!$I$8, C274&lt;= ($I$7+$I$8)), (IPMT($E$8/12, (C274-$I$8), $I$7, $E$7)), 0)</f>
        <v>-387.49853514385637</v>
      </c>
      <c r="F274" s="23">
        <f>IF(AND(C274&gt;='Amort. Sched.-BASE'!$I$8, C274&lt;= ($I$7+$I$8)), (PPMT($E$8/12, (C274-$I$8), $I$7, $E$7)), 0)</f>
        <v>-1349.0879584454008</v>
      </c>
      <c r="G274" s="5">
        <f>IF(MortgageAmortBASE[[#This Row],[Month]]=I$8,E$7,0)</f>
        <v>0</v>
      </c>
      <c r="H274" s="13">
        <f>IF(AND(C274&gt;='Amort. Sched.-BASE'!$I$8, C274&lt;= ($I$7+$I$8)), H273+F274, 0)</f>
        <v>56775.69231313312</v>
      </c>
      <c r="I274" s="24">
        <f>IF(AND(C274&gt;='Amort. Sched.-BASE'!$I$8, C274&lt;= ($I$7+$I$8)), E274/D274, " ")</f>
        <v>0.22313805651163196</v>
      </c>
      <c r="J274" s="25">
        <f>IF(AND(C274&gt;='Amort. Sched.-BASE'!$I$8, C274&lt;= ($I$7+$I$8)), F274/D274, " ")</f>
        <v>0.77686194348836823</v>
      </c>
      <c r="L274" s="20">
        <f t="shared" si="66"/>
        <v>263</v>
      </c>
      <c r="M274" s="5">
        <f>IF(AND(L274&gt;='Amort. Sched.-BASE'!$R$8, L274&lt;= ($R$7+$R$8)), PMT('Amort. Sched.-BASE'!$N$8/12, 'Amort. Sched.-BASE'!$R$7, 'Amort. Sched.-BASE'!$N$7), 0)</f>
        <v>0</v>
      </c>
      <c r="N274" s="5">
        <f>IF(AND(L274&gt;='Amort. Sched.-BASE'!$R$8, L274&lt;= ($R$7+$R$8)), (IPMT($N$8/12, (L274-$R$8), $R$7, $N$7)), 0)</f>
        <v>0</v>
      </c>
      <c r="O274" s="5">
        <f>IF(AND(L274&gt;='Amort. Sched.-BASE'!$R$8, L274&lt;= ($R$7+$R$8)), (PPMT($N$8/12, (L274-$R$8), $R$7, $N$7)), 0)</f>
        <v>0</v>
      </c>
      <c r="P274" s="5">
        <f>IF(CreditAmort1BASE[[#This Row],[Month]]=R$8,N$7,0)</f>
        <v>0</v>
      </c>
      <c r="Q274" s="13">
        <f>IF(AND(L274&gt;='Amort. Sched.-BASE'!$R$8, L274&lt;= ($R$7+$R$8)), Q273+O274, 0)</f>
        <v>0</v>
      </c>
      <c r="R274" s="6" t="str">
        <f>IF(AND(L274&gt;='Amort. Sched.-BASE'!$R$8, L274&lt;= ($R$7+$R$8)), N274/M274, " ")</f>
        <v xml:space="preserve"> </v>
      </c>
      <c r="S274" s="21" t="str">
        <f>IF(AND(L274&gt;='Amort. Sched.-BASE'!$R$8, L274&lt;= ($R$7+$R$8)), O274/M274, " ")</f>
        <v xml:space="preserve"> </v>
      </c>
      <c r="U274" s="22">
        <f t="shared" si="67"/>
        <v>263</v>
      </c>
      <c r="V274" s="23">
        <f>IF(AND(U274&gt;='Amort. Sched.-BASE'!$AA$8, U274&lt;= ($AA$7+$AA$8)), PMT('Amort. Sched.-BASE'!$W$8/12, 'Amort. Sched.-BASE'!$AA$7, 'Amort. Sched.-BASE'!$W$7), 0)</f>
        <v>0</v>
      </c>
      <c r="W274" s="5">
        <f>IF(AND(U274&gt;='Amort. Sched.-BASE'!$AA$8, U274&lt;= ($AA$7+$AA$8)), (IPMT($W$8/12, (U274-$AA$8), $AA$7, $W$7)), 0)</f>
        <v>0</v>
      </c>
      <c r="X274" s="23">
        <f>IF(AND(U274&gt;='Amort. Sched.-BASE'!$AA$8, U274&lt;= ($AA$7+$AA$8)), (PPMT($W$8/12, (U274-$AA$8), $AA$7, $W$7)), 0)</f>
        <v>0</v>
      </c>
      <c r="Y274" s="5">
        <f>IF(CreditAmort2BASE[[#This Row],[Month]]=AA$8,W$7,0)</f>
        <v>0</v>
      </c>
      <c r="Z274" s="13">
        <f>IF(AND(U274&gt;='Amort. Sched.-BASE'!$AA$8, U274&lt;= ($AA$7+$AA$8)), Z273+X274, 0)</f>
        <v>0</v>
      </c>
      <c r="AA274" s="24" t="str">
        <f>IF(AND(U274&gt;='Amort. Sched.-BASE'!$AA$8, U274&lt;= ($AA$7+$AA$8)), W274/V274, " ")</f>
        <v xml:space="preserve"> </v>
      </c>
      <c r="AB274" s="25" t="str">
        <f>IF(AND(U274&gt;='Amort. Sched.-BASE'!$AA$8, U274&lt;= ($AA$7+$AA$8)), X274/V274, " ")</f>
        <v xml:space="preserve"> </v>
      </c>
      <c r="AD274" s="20">
        <f t="shared" si="68"/>
        <v>263</v>
      </c>
      <c r="AE274" s="5">
        <f t="shared" si="69"/>
        <v>0</v>
      </c>
      <c r="AF274" s="5">
        <f t="shared" si="70"/>
        <v>0</v>
      </c>
      <c r="AG274" s="5">
        <f t="shared" si="71"/>
        <v>0</v>
      </c>
      <c r="AH274" s="5">
        <f>IF(CreditAmort3BASE[[#This Row],[Month]]=AJ$8,AF$7,0)</f>
        <v>0</v>
      </c>
      <c r="AI274" s="13">
        <f t="shared" si="72"/>
        <v>0</v>
      </c>
      <c r="AJ274" s="6" t="str">
        <f t="shared" si="73"/>
        <v xml:space="preserve"> </v>
      </c>
      <c r="AK274" s="21" t="str">
        <f t="shared" si="74"/>
        <v xml:space="preserve"> </v>
      </c>
      <c r="AM274" s="20">
        <f t="shared" si="75"/>
        <v>263</v>
      </c>
      <c r="AN274" s="5">
        <f t="shared" si="76"/>
        <v>0</v>
      </c>
      <c r="AO274" s="5">
        <f t="shared" si="77"/>
        <v>0</v>
      </c>
      <c r="AP274" s="5">
        <f t="shared" si="78"/>
        <v>0</v>
      </c>
      <c r="AQ274" s="5">
        <f>IF(CreditAmort4BASE[[#This Row],[Month]]=AS$8,AO$7,0)</f>
        <v>0</v>
      </c>
      <c r="AR274" s="13">
        <f t="shared" si="79"/>
        <v>0</v>
      </c>
      <c r="AS274" s="6" t="str">
        <f t="shared" si="80"/>
        <v xml:space="preserve"> </v>
      </c>
      <c r="AT274" s="21" t="str">
        <f t="shared" si="81"/>
        <v xml:space="preserve"> </v>
      </c>
    </row>
    <row r="275" spans="3:46">
      <c r="C275" s="22">
        <f t="shared" si="17"/>
        <v>264</v>
      </c>
      <c r="D275" s="23">
        <f>IF(AND(C275&gt;='Amort. Sched.-BASE'!$I$8, C275&lt;= ($I$7+$I$8)), PMT('Amort. Sched.-BASE'!$E$8/12, 'Amort. Sched.-BASE'!$I$7, 'Amort. Sched.-BASE'!$E$7), 0)</f>
        <v>-1736.5864935892569</v>
      </c>
      <c r="E275" s="5">
        <f>IF(AND(C275&gt;='Amort. Sched.-BASE'!$I$8, C275&lt;= ($I$7+$I$8)), (IPMT($E$8/12, (C275-$I$8), $I$7, $E$7)), 0)</f>
        <v>-378.50461542088698</v>
      </c>
      <c r="F275" s="23">
        <f>IF(AND(C275&gt;='Amort. Sched.-BASE'!$I$8, C275&lt;= ($I$7+$I$8)), (PPMT($E$8/12, (C275-$I$8), $I$7, $E$7)), 0)</f>
        <v>-1358.0818781683697</v>
      </c>
      <c r="G275" s="5">
        <f>IF(MortgageAmortBASE[[#This Row],[Month]]=I$8,E$7,0)</f>
        <v>0</v>
      </c>
      <c r="H275" s="13">
        <f>IF(AND(C275&gt;='Amort. Sched.-BASE'!$I$8, C275&lt;= ($I$7+$I$8)), H274+F275, 0)</f>
        <v>55417.61043496475</v>
      </c>
      <c r="I275" s="24">
        <f>IF(AND(C275&gt;='Amort. Sched.-BASE'!$I$8, C275&lt;= ($I$7+$I$8)), E275/D275, " ")</f>
        <v>0.21795897688837612</v>
      </c>
      <c r="J275" s="25">
        <f>IF(AND(C275&gt;='Amort. Sched.-BASE'!$I$8, C275&lt;= ($I$7+$I$8)), F275/D275, " ")</f>
        <v>0.78204102311162382</v>
      </c>
      <c r="L275" s="20">
        <f t="shared" si="66"/>
        <v>264</v>
      </c>
      <c r="M275" s="5">
        <f>IF(AND(L275&gt;='Amort. Sched.-BASE'!$R$8, L275&lt;= ($R$7+$R$8)), PMT('Amort. Sched.-BASE'!$N$8/12, 'Amort. Sched.-BASE'!$R$7, 'Amort. Sched.-BASE'!$N$7), 0)</f>
        <v>0</v>
      </c>
      <c r="N275" s="5">
        <f>IF(AND(L275&gt;='Amort. Sched.-BASE'!$R$8, L275&lt;= ($R$7+$R$8)), (IPMT($N$8/12, (L275-$R$8), $R$7, $N$7)), 0)</f>
        <v>0</v>
      </c>
      <c r="O275" s="5">
        <f>IF(AND(L275&gt;='Amort. Sched.-BASE'!$R$8, L275&lt;= ($R$7+$R$8)), (PPMT($N$8/12, (L275-$R$8), $R$7, $N$7)), 0)</f>
        <v>0</v>
      </c>
      <c r="P275" s="5">
        <f>IF(CreditAmort1BASE[[#This Row],[Month]]=R$8,N$7,0)</f>
        <v>0</v>
      </c>
      <c r="Q275" s="13">
        <f>IF(AND(L275&gt;='Amort. Sched.-BASE'!$R$8, L275&lt;= ($R$7+$R$8)), Q274+O275, 0)</f>
        <v>0</v>
      </c>
      <c r="R275" s="6" t="str">
        <f>IF(AND(L275&gt;='Amort. Sched.-BASE'!$R$8, L275&lt;= ($R$7+$R$8)), N275/M275, " ")</f>
        <v xml:space="preserve"> </v>
      </c>
      <c r="S275" s="21" t="str">
        <f>IF(AND(L275&gt;='Amort. Sched.-BASE'!$R$8, L275&lt;= ($R$7+$R$8)), O275/M275, " ")</f>
        <v xml:space="preserve"> </v>
      </c>
      <c r="U275" s="22">
        <f t="shared" si="67"/>
        <v>264</v>
      </c>
      <c r="V275" s="23">
        <f>IF(AND(U275&gt;='Amort. Sched.-BASE'!$AA$8, U275&lt;= ($AA$7+$AA$8)), PMT('Amort. Sched.-BASE'!$W$8/12, 'Amort. Sched.-BASE'!$AA$7, 'Amort. Sched.-BASE'!$W$7), 0)</f>
        <v>0</v>
      </c>
      <c r="W275" s="5">
        <f>IF(AND(U275&gt;='Amort. Sched.-BASE'!$AA$8, U275&lt;= ($AA$7+$AA$8)), (IPMT($W$8/12, (U275-$AA$8), $AA$7, $W$7)), 0)</f>
        <v>0</v>
      </c>
      <c r="X275" s="23">
        <f>IF(AND(U275&gt;='Amort. Sched.-BASE'!$AA$8, U275&lt;= ($AA$7+$AA$8)), (PPMT($W$8/12, (U275-$AA$8), $AA$7, $W$7)), 0)</f>
        <v>0</v>
      </c>
      <c r="Y275" s="5">
        <f>IF(CreditAmort2BASE[[#This Row],[Month]]=AA$8,W$7,0)</f>
        <v>0</v>
      </c>
      <c r="Z275" s="13">
        <f>IF(AND(U275&gt;='Amort. Sched.-BASE'!$AA$8, U275&lt;= ($AA$7+$AA$8)), Z274+X275, 0)</f>
        <v>0</v>
      </c>
      <c r="AA275" s="24" t="str">
        <f>IF(AND(U275&gt;='Amort. Sched.-BASE'!$AA$8, U275&lt;= ($AA$7+$AA$8)), W275/V275, " ")</f>
        <v xml:space="preserve"> </v>
      </c>
      <c r="AB275" s="25" t="str">
        <f>IF(AND(U275&gt;='Amort. Sched.-BASE'!$AA$8, U275&lt;= ($AA$7+$AA$8)), X275/V275, " ")</f>
        <v xml:space="preserve"> </v>
      </c>
      <c r="AD275" s="20">
        <f t="shared" si="68"/>
        <v>264</v>
      </c>
      <c r="AE275" s="5">
        <f t="shared" si="69"/>
        <v>0</v>
      </c>
      <c r="AF275" s="5">
        <f t="shared" si="70"/>
        <v>0</v>
      </c>
      <c r="AG275" s="5">
        <f t="shared" si="71"/>
        <v>0</v>
      </c>
      <c r="AH275" s="5">
        <f>IF(CreditAmort3BASE[[#This Row],[Month]]=AJ$8,AF$7,0)</f>
        <v>0</v>
      </c>
      <c r="AI275" s="13">
        <f t="shared" si="72"/>
        <v>0</v>
      </c>
      <c r="AJ275" s="6" t="str">
        <f t="shared" si="73"/>
        <v xml:space="preserve"> </v>
      </c>
      <c r="AK275" s="21" t="str">
        <f t="shared" si="74"/>
        <v xml:space="preserve"> </v>
      </c>
      <c r="AM275" s="20">
        <f t="shared" si="75"/>
        <v>264</v>
      </c>
      <c r="AN275" s="5">
        <f t="shared" si="76"/>
        <v>0</v>
      </c>
      <c r="AO275" s="5">
        <f t="shared" si="77"/>
        <v>0</v>
      </c>
      <c r="AP275" s="5">
        <f t="shared" si="78"/>
        <v>0</v>
      </c>
      <c r="AQ275" s="5">
        <f>IF(CreditAmort4BASE[[#This Row],[Month]]=AS$8,AO$7,0)</f>
        <v>0</v>
      </c>
      <c r="AR275" s="13">
        <f t="shared" si="79"/>
        <v>0</v>
      </c>
      <c r="AS275" s="6" t="str">
        <f t="shared" si="80"/>
        <v xml:space="preserve"> </v>
      </c>
      <c r="AT275" s="21" t="str">
        <f t="shared" si="81"/>
        <v xml:space="preserve"> </v>
      </c>
    </row>
    <row r="276" spans="3:46">
      <c r="C276" s="22">
        <f t="shared" si="17"/>
        <v>265</v>
      </c>
      <c r="D276" s="23">
        <f>IF(AND(C276&gt;='Amort. Sched.-BASE'!$I$8, C276&lt;= ($I$7+$I$8)), PMT('Amort. Sched.-BASE'!$E$8/12, 'Amort. Sched.-BASE'!$I$7, 'Amort. Sched.-BASE'!$E$7), 0)</f>
        <v>-1736.5864935892569</v>
      </c>
      <c r="E276" s="5">
        <f>IF(AND(C276&gt;='Amort. Sched.-BASE'!$I$8, C276&lt;= ($I$7+$I$8)), (IPMT($E$8/12, (C276-$I$8), $I$7, $E$7)), 0)</f>
        <v>-369.45073623309787</v>
      </c>
      <c r="F276" s="23">
        <f>IF(AND(C276&gt;='Amort. Sched.-BASE'!$I$8, C276&lt;= ($I$7+$I$8)), (PPMT($E$8/12, (C276-$I$8), $I$7, $E$7)), 0)</f>
        <v>-1367.135757356159</v>
      </c>
      <c r="G276" s="5">
        <f>IF(MortgageAmortBASE[[#This Row],[Month]]=I$8,E$7,0)</f>
        <v>0</v>
      </c>
      <c r="H276" s="13">
        <f>IF(AND(C276&gt;='Amort. Sched.-BASE'!$I$8, C276&lt;= ($I$7+$I$8)), H275+F276, 0)</f>
        <v>54050.474677608589</v>
      </c>
      <c r="I276" s="24">
        <f>IF(AND(C276&gt;='Amort. Sched.-BASE'!$I$8, C276&lt;= ($I$7+$I$8)), E276/D276, " ")</f>
        <v>0.21274537006763197</v>
      </c>
      <c r="J276" s="25">
        <f>IF(AND(C276&gt;='Amort. Sched.-BASE'!$I$8, C276&lt;= ($I$7+$I$8)), F276/D276, " ")</f>
        <v>0.78725462993236806</v>
      </c>
      <c r="L276" s="20">
        <f t="shared" si="66"/>
        <v>265</v>
      </c>
      <c r="M276" s="5">
        <f>IF(AND(L276&gt;='Amort. Sched.-BASE'!$R$8, L276&lt;= ($R$7+$R$8)), PMT('Amort. Sched.-BASE'!$N$8/12, 'Amort. Sched.-BASE'!$R$7, 'Amort. Sched.-BASE'!$N$7), 0)</f>
        <v>0</v>
      </c>
      <c r="N276" s="5">
        <f>IF(AND(L276&gt;='Amort. Sched.-BASE'!$R$8, L276&lt;= ($R$7+$R$8)), (IPMT($N$8/12, (L276-$R$8), $R$7, $N$7)), 0)</f>
        <v>0</v>
      </c>
      <c r="O276" s="5">
        <f>IF(AND(L276&gt;='Amort. Sched.-BASE'!$R$8, L276&lt;= ($R$7+$R$8)), (PPMT($N$8/12, (L276-$R$8), $R$7, $N$7)), 0)</f>
        <v>0</v>
      </c>
      <c r="P276" s="5">
        <f>IF(CreditAmort1BASE[[#This Row],[Month]]=R$8,N$7,0)</f>
        <v>0</v>
      </c>
      <c r="Q276" s="13">
        <f>IF(AND(L276&gt;='Amort. Sched.-BASE'!$R$8, L276&lt;= ($R$7+$R$8)), Q275+O276, 0)</f>
        <v>0</v>
      </c>
      <c r="R276" s="6" t="str">
        <f>IF(AND(L276&gt;='Amort. Sched.-BASE'!$R$8, L276&lt;= ($R$7+$R$8)), N276/M276, " ")</f>
        <v xml:space="preserve"> </v>
      </c>
      <c r="S276" s="21" t="str">
        <f>IF(AND(L276&gt;='Amort. Sched.-BASE'!$R$8, L276&lt;= ($R$7+$R$8)), O276/M276, " ")</f>
        <v xml:space="preserve"> </v>
      </c>
      <c r="U276" s="22">
        <f t="shared" si="67"/>
        <v>265</v>
      </c>
      <c r="V276" s="23">
        <f>IF(AND(U276&gt;='Amort. Sched.-BASE'!$AA$8, U276&lt;= ($AA$7+$AA$8)), PMT('Amort. Sched.-BASE'!$W$8/12, 'Amort. Sched.-BASE'!$AA$7, 'Amort. Sched.-BASE'!$W$7), 0)</f>
        <v>0</v>
      </c>
      <c r="W276" s="5">
        <f>IF(AND(U276&gt;='Amort. Sched.-BASE'!$AA$8, U276&lt;= ($AA$7+$AA$8)), (IPMT($W$8/12, (U276-$AA$8), $AA$7, $W$7)), 0)</f>
        <v>0</v>
      </c>
      <c r="X276" s="23">
        <f>IF(AND(U276&gt;='Amort. Sched.-BASE'!$AA$8, U276&lt;= ($AA$7+$AA$8)), (PPMT($W$8/12, (U276-$AA$8), $AA$7, $W$7)), 0)</f>
        <v>0</v>
      </c>
      <c r="Y276" s="5">
        <f>IF(CreditAmort2BASE[[#This Row],[Month]]=AA$8,W$7,0)</f>
        <v>0</v>
      </c>
      <c r="Z276" s="13">
        <f>IF(AND(U276&gt;='Amort. Sched.-BASE'!$AA$8, U276&lt;= ($AA$7+$AA$8)), Z275+X276, 0)</f>
        <v>0</v>
      </c>
      <c r="AA276" s="24" t="str">
        <f>IF(AND(U276&gt;='Amort. Sched.-BASE'!$AA$8, U276&lt;= ($AA$7+$AA$8)), W276/V276, " ")</f>
        <v xml:space="preserve"> </v>
      </c>
      <c r="AB276" s="25" t="str">
        <f>IF(AND(U276&gt;='Amort. Sched.-BASE'!$AA$8, U276&lt;= ($AA$7+$AA$8)), X276/V276, " ")</f>
        <v xml:space="preserve"> </v>
      </c>
      <c r="AD276" s="20">
        <f t="shared" si="68"/>
        <v>265</v>
      </c>
      <c r="AE276" s="5">
        <f t="shared" si="69"/>
        <v>0</v>
      </c>
      <c r="AF276" s="5">
        <f t="shared" si="70"/>
        <v>0</v>
      </c>
      <c r="AG276" s="5">
        <f t="shared" si="71"/>
        <v>0</v>
      </c>
      <c r="AH276" s="5">
        <f>IF(CreditAmort3BASE[[#This Row],[Month]]=AJ$8,AF$7,0)</f>
        <v>0</v>
      </c>
      <c r="AI276" s="13">
        <f t="shared" si="72"/>
        <v>0</v>
      </c>
      <c r="AJ276" s="6" t="str">
        <f t="shared" si="73"/>
        <v xml:space="preserve"> </v>
      </c>
      <c r="AK276" s="21" t="str">
        <f t="shared" si="74"/>
        <v xml:space="preserve"> </v>
      </c>
      <c r="AM276" s="20">
        <f t="shared" si="75"/>
        <v>265</v>
      </c>
      <c r="AN276" s="5">
        <f t="shared" si="76"/>
        <v>0</v>
      </c>
      <c r="AO276" s="5">
        <f t="shared" si="77"/>
        <v>0</v>
      </c>
      <c r="AP276" s="5">
        <f t="shared" si="78"/>
        <v>0</v>
      </c>
      <c r="AQ276" s="5">
        <f>IF(CreditAmort4BASE[[#This Row],[Month]]=AS$8,AO$7,0)</f>
        <v>0</v>
      </c>
      <c r="AR276" s="13">
        <f t="shared" si="79"/>
        <v>0</v>
      </c>
      <c r="AS276" s="6" t="str">
        <f t="shared" si="80"/>
        <v xml:space="preserve"> </v>
      </c>
      <c r="AT276" s="21" t="str">
        <f t="shared" si="81"/>
        <v xml:space="preserve"> </v>
      </c>
    </row>
    <row r="277" spans="3:46">
      <c r="C277" s="22">
        <f t="shared" si="17"/>
        <v>266</v>
      </c>
      <c r="D277" s="23">
        <f>IF(AND(C277&gt;='Amort. Sched.-BASE'!$I$8, C277&lt;= ($I$7+$I$8)), PMT('Amort. Sched.-BASE'!$E$8/12, 'Amort. Sched.-BASE'!$I$7, 'Amort. Sched.-BASE'!$E$7), 0)</f>
        <v>-1736.5864935892569</v>
      </c>
      <c r="E277" s="5">
        <f>IF(AND(C277&gt;='Amort. Sched.-BASE'!$I$8, C277&lt;= ($I$7+$I$8)), (IPMT($E$8/12, (C277-$I$8), $I$7, $E$7)), 0)</f>
        <v>-360.3364978507235</v>
      </c>
      <c r="F277" s="23">
        <f>IF(AND(C277&gt;='Amort. Sched.-BASE'!$I$8, C277&lt;= ($I$7+$I$8)), (PPMT($E$8/12, (C277-$I$8), $I$7, $E$7)), 0)</f>
        <v>-1376.2499957385335</v>
      </c>
      <c r="G277" s="5">
        <f>IF(MortgageAmortBASE[[#This Row],[Month]]=I$8,E$7,0)</f>
        <v>0</v>
      </c>
      <c r="H277" s="13">
        <f>IF(AND(C277&gt;='Amort. Sched.-BASE'!$I$8, C277&lt;= ($I$7+$I$8)), H276+F277, 0)</f>
        <v>52674.224681870051</v>
      </c>
      <c r="I277" s="24">
        <f>IF(AND(C277&gt;='Amort. Sched.-BASE'!$I$8, C277&lt;= ($I$7+$I$8)), E277/D277, " ")</f>
        <v>0.20749700586808287</v>
      </c>
      <c r="J277" s="25">
        <f>IF(AND(C277&gt;='Amort. Sched.-BASE'!$I$8, C277&lt;= ($I$7+$I$8)), F277/D277, " ")</f>
        <v>0.79250299413191716</v>
      </c>
      <c r="L277" s="20">
        <f t="shared" si="66"/>
        <v>266</v>
      </c>
      <c r="M277" s="5">
        <f>IF(AND(L277&gt;='Amort. Sched.-BASE'!$R$8, L277&lt;= ($R$7+$R$8)), PMT('Amort. Sched.-BASE'!$N$8/12, 'Amort. Sched.-BASE'!$R$7, 'Amort. Sched.-BASE'!$N$7), 0)</f>
        <v>0</v>
      </c>
      <c r="N277" s="5">
        <f>IF(AND(L277&gt;='Amort. Sched.-BASE'!$R$8, L277&lt;= ($R$7+$R$8)), (IPMT($N$8/12, (L277-$R$8), $R$7, $N$7)), 0)</f>
        <v>0</v>
      </c>
      <c r="O277" s="5">
        <f>IF(AND(L277&gt;='Amort. Sched.-BASE'!$R$8, L277&lt;= ($R$7+$R$8)), (PPMT($N$8/12, (L277-$R$8), $R$7, $N$7)), 0)</f>
        <v>0</v>
      </c>
      <c r="P277" s="5">
        <f>IF(CreditAmort1BASE[[#This Row],[Month]]=R$8,N$7,0)</f>
        <v>0</v>
      </c>
      <c r="Q277" s="13">
        <f>IF(AND(L277&gt;='Amort. Sched.-BASE'!$R$8, L277&lt;= ($R$7+$R$8)), Q276+O277, 0)</f>
        <v>0</v>
      </c>
      <c r="R277" s="6" t="str">
        <f>IF(AND(L277&gt;='Amort. Sched.-BASE'!$R$8, L277&lt;= ($R$7+$R$8)), N277/M277, " ")</f>
        <v xml:space="preserve"> </v>
      </c>
      <c r="S277" s="21" t="str">
        <f>IF(AND(L277&gt;='Amort. Sched.-BASE'!$R$8, L277&lt;= ($R$7+$R$8)), O277/M277, " ")</f>
        <v xml:space="preserve"> </v>
      </c>
      <c r="U277" s="22">
        <f t="shared" si="67"/>
        <v>266</v>
      </c>
      <c r="V277" s="23">
        <f>IF(AND(U277&gt;='Amort. Sched.-BASE'!$AA$8, U277&lt;= ($AA$7+$AA$8)), PMT('Amort. Sched.-BASE'!$W$8/12, 'Amort. Sched.-BASE'!$AA$7, 'Amort. Sched.-BASE'!$W$7), 0)</f>
        <v>0</v>
      </c>
      <c r="W277" s="5">
        <f>IF(AND(U277&gt;='Amort. Sched.-BASE'!$AA$8, U277&lt;= ($AA$7+$AA$8)), (IPMT($W$8/12, (U277-$AA$8), $AA$7, $W$7)), 0)</f>
        <v>0</v>
      </c>
      <c r="X277" s="23">
        <f>IF(AND(U277&gt;='Amort. Sched.-BASE'!$AA$8, U277&lt;= ($AA$7+$AA$8)), (PPMT($W$8/12, (U277-$AA$8), $AA$7, $W$7)), 0)</f>
        <v>0</v>
      </c>
      <c r="Y277" s="5">
        <f>IF(CreditAmort2BASE[[#This Row],[Month]]=AA$8,W$7,0)</f>
        <v>0</v>
      </c>
      <c r="Z277" s="13">
        <f>IF(AND(U277&gt;='Amort. Sched.-BASE'!$AA$8, U277&lt;= ($AA$7+$AA$8)), Z276+X277, 0)</f>
        <v>0</v>
      </c>
      <c r="AA277" s="24" t="str">
        <f>IF(AND(U277&gt;='Amort. Sched.-BASE'!$AA$8, U277&lt;= ($AA$7+$AA$8)), W277/V277, " ")</f>
        <v xml:space="preserve"> </v>
      </c>
      <c r="AB277" s="25" t="str">
        <f>IF(AND(U277&gt;='Amort. Sched.-BASE'!$AA$8, U277&lt;= ($AA$7+$AA$8)), X277/V277, " ")</f>
        <v xml:space="preserve"> </v>
      </c>
      <c r="AD277" s="20">
        <f t="shared" si="68"/>
        <v>266</v>
      </c>
      <c r="AE277" s="5">
        <f t="shared" si="69"/>
        <v>0</v>
      </c>
      <c r="AF277" s="5">
        <f t="shared" si="70"/>
        <v>0</v>
      </c>
      <c r="AG277" s="5">
        <f t="shared" si="71"/>
        <v>0</v>
      </c>
      <c r="AH277" s="5">
        <f>IF(CreditAmort3BASE[[#This Row],[Month]]=AJ$8,AF$7,0)</f>
        <v>0</v>
      </c>
      <c r="AI277" s="13">
        <f t="shared" si="72"/>
        <v>0</v>
      </c>
      <c r="AJ277" s="6" t="str">
        <f t="shared" si="73"/>
        <v xml:space="preserve"> </v>
      </c>
      <c r="AK277" s="21" t="str">
        <f t="shared" si="74"/>
        <v xml:space="preserve"> </v>
      </c>
      <c r="AM277" s="20">
        <f t="shared" si="75"/>
        <v>266</v>
      </c>
      <c r="AN277" s="5">
        <f t="shared" si="76"/>
        <v>0</v>
      </c>
      <c r="AO277" s="5">
        <f t="shared" si="77"/>
        <v>0</v>
      </c>
      <c r="AP277" s="5">
        <f t="shared" si="78"/>
        <v>0</v>
      </c>
      <c r="AQ277" s="5">
        <f>IF(CreditAmort4BASE[[#This Row],[Month]]=AS$8,AO$7,0)</f>
        <v>0</v>
      </c>
      <c r="AR277" s="13">
        <f t="shared" si="79"/>
        <v>0</v>
      </c>
      <c r="AS277" s="6" t="str">
        <f t="shared" si="80"/>
        <v xml:space="preserve"> </v>
      </c>
      <c r="AT277" s="21" t="str">
        <f t="shared" si="81"/>
        <v xml:space="preserve"> </v>
      </c>
    </row>
    <row r="278" spans="3:46">
      <c r="C278" s="22">
        <f t="shared" si="17"/>
        <v>267</v>
      </c>
      <c r="D278" s="23">
        <f>IF(AND(C278&gt;='Amort. Sched.-BASE'!$I$8, C278&lt;= ($I$7+$I$8)), PMT('Amort. Sched.-BASE'!$E$8/12, 'Amort. Sched.-BASE'!$I$7, 'Amort. Sched.-BASE'!$E$7), 0)</f>
        <v>-1736.5864935892569</v>
      </c>
      <c r="E278" s="5">
        <f>IF(AND(C278&gt;='Amort. Sched.-BASE'!$I$8, C278&lt;= ($I$7+$I$8)), (IPMT($E$8/12, (C278-$I$8), $I$7, $E$7)), 0)</f>
        <v>-351.16149787913321</v>
      </c>
      <c r="F278" s="23">
        <f>IF(AND(C278&gt;='Amort. Sched.-BASE'!$I$8, C278&lt;= ($I$7+$I$8)), (PPMT($E$8/12, (C278-$I$8), $I$7, $E$7)), 0)</f>
        <v>-1385.4249957101238</v>
      </c>
      <c r="G278" s="5">
        <f>IF(MortgageAmortBASE[[#This Row],[Month]]=I$8,E$7,0)</f>
        <v>0</v>
      </c>
      <c r="H278" s="13">
        <f>IF(AND(C278&gt;='Amort. Sched.-BASE'!$I$8, C278&lt;= ($I$7+$I$8)), H277+F278, 0)</f>
        <v>51288.799686159924</v>
      </c>
      <c r="I278" s="24">
        <f>IF(AND(C278&gt;='Amort. Sched.-BASE'!$I$8, C278&lt;= ($I$7+$I$8)), E278/D278, " ")</f>
        <v>0.20221365257387006</v>
      </c>
      <c r="J278" s="25">
        <f>IF(AND(C278&gt;='Amort. Sched.-BASE'!$I$8, C278&lt;= ($I$7+$I$8)), F278/D278, " ")</f>
        <v>0.79778634742612997</v>
      </c>
      <c r="L278" s="20">
        <f t="shared" si="66"/>
        <v>267</v>
      </c>
      <c r="M278" s="5">
        <f>IF(AND(L278&gt;='Amort. Sched.-BASE'!$R$8, L278&lt;= ($R$7+$R$8)), PMT('Amort. Sched.-BASE'!$N$8/12, 'Amort. Sched.-BASE'!$R$7, 'Amort. Sched.-BASE'!$N$7), 0)</f>
        <v>0</v>
      </c>
      <c r="N278" s="5">
        <f>IF(AND(L278&gt;='Amort. Sched.-BASE'!$R$8, L278&lt;= ($R$7+$R$8)), (IPMT($N$8/12, (L278-$R$8), $R$7, $N$7)), 0)</f>
        <v>0</v>
      </c>
      <c r="O278" s="5">
        <f>IF(AND(L278&gt;='Amort. Sched.-BASE'!$R$8, L278&lt;= ($R$7+$R$8)), (PPMT($N$8/12, (L278-$R$8), $R$7, $N$7)), 0)</f>
        <v>0</v>
      </c>
      <c r="P278" s="5">
        <f>IF(CreditAmort1BASE[[#This Row],[Month]]=R$8,N$7,0)</f>
        <v>0</v>
      </c>
      <c r="Q278" s="13">
        <f>IF(AND(L278&gt;='Amort. Sched.-BASE'!$R$8, L278&lt;= ($R$7+$R$8)), Q277+O278, 0)</f>
        <v>0</v>
      </c>
      <c r="R278" s="6" t="str">
        <f>IF(AND(L278&gt;='Amort. Sched.-BASE'!$R$8, L278&lt;= ($R$7+$R$8)), N278/M278, " ")</f>
        <v xml:space="preserve"> </v>
      </c>
      <c r="S278" s="21" t="str">
        <f>IF(AND(L278&gt;='Amort. Sched.-BASE'!$R$8, L278&lt;= ($R$7+$R$8)), O278/M278, " ")</f>
        <v xml:space="preserve"> </v>
      </c>
      <c r="U278" s="22">
        <f t="shared" si="67"/>
        <v>267</v>
      </c>
      <c r="V278" s="23">
        <f>IF(AND(U278&gt;='Amort. Sched.-BASE'!$AA$8, U278&lt;= ($AA$7+$AA$8)), PMT('Amort. Sched.-BASE'!$W$8/12, 'Amort. Sched.-BASE'!$AA$7, 'Amort. Sched.-BASE'!$W$7), 0)</f>
        <v>0</v>
      </c>
      <c r="W278" s="5">
        <f>IF(AND(U278&gt;='Amort. Sched.-BASE'!$AA$8, U278&lt;= ($AA$7+$AA$8)), (IPMT($W$8/12, (U278-$AA$8), $AA$7, $W$7)), 0)</f>
        <v>0</v>
      </c>
      <c r="X278" s="23">
        <f>IF(AND(U278&gt;='Amort. Sched.-BASE'!$AA$8, U278&lt;= ($AA$7+$AA$8)), (PPMT($W$8/12, (U278-$AA$8), $AA$7, $W$7)), 0)</f>
        <v>0</v>
      </c>
      <c r="Y278" s="5">
        <f>IF(CreditAmort2BASE[[#This Row],[Month]]=AA$8,W$7,0)</f>
        <v>0</v>
      </c>
      <c r="Z278" s="13">
        <f>IF(AND(U278&gt;='Amort. Sched.-BASE'!$AA$8, U278&lt;= ($AA$7+$AA$8)), Z277+X278, 0)</f>
        <v>0</v>
      </c>
      <c r="AA278" s="24" t="str">
        <f>IF(AND(U278&gt;='Amort. Sched.-BASE'!$AA$8, U278&lt;= ($AA$7+$AA$8)), W278/V278, " ")</f>
        <v xml:space="preserve"> </v>
      </c>
      <c r="AB278" s="25" t="str">
        <f>IF(AND(U278&gt;='Amort. Sched.-BASE'!$AA$8, U278&lt;= ($AA$7+$AA$8)), X278/V278, " ")</f>
        <v xml:space="preserve"> </v>
      </c>
      <c r="AD278" s="20">
        <f t="shared" si="68"/>
        <v>267</v>
      </c>
      <c r="AE278" s="5">
        <f t="shared" si="69"/>
        <v>0</v>
      </c>
      <c r="AF278" s="5">
        <f t="shared" si="70"/>
        <v>0</v>
      </c>
      <c r="AG278" s="5">
        <f t="shared" si="71"/>
        <v>0</v>
      </c>
      <c r="AH278" s="5">
        <f>IF(CreditAmort3BASE[[#This Row],[Month]]=AJ$8,AF$7,0)</f>
        <v>0</v>
      </c>
      <c r="AI278" s="13">
        <f t="shared" si="72"/>
        <v>0</v>
      </c>
      <c r="AJ278" s="6" t="str">
        <f t="shared" si="73"/>
        <v xml:space="preserve"> </v>
      </c>
      <c r="AK278" s="21" t="str">
        <f t="shared" si="74"/>
        <v xml:space="preserve"> </v>
      </c>
      <c r="AM278" s="20">
        <f t="shared" si="75"/>
        <v>267</v>
      </c>
      <c r="AN278" s="5">
        <f t="shared" si="76"/>
        <v>0</v>
      </c>
      <c r="AO278" s="5">
        <f t="shared" si="77"/>
        <v>0</v>
      </c>
      <c r="AP278" s="5">
        <f t="shared" si="78"/>
        <v>0</v>
      </c>
      <c r="AQ278" s="5">
        <f>IF(CreditAmort4BASE[[#This Row],[Month]]=AS$8,AO$7,0)</f>
        <v>0</v>
      </c>
      <c r="AR278" s="13">
        <f t="shared" si="79"/>
        <v>0</v>
      </c>
      <c r="AS278" s="6" t="str">
        <f t="shared" si="80"/>
        <v xml:space="preserve"> </v>
      </c>
      <c r="AT278" s="21" t="str">
        <f t="shared" si="81"/>
        <v xml:space="preserve"> </v>
      </c>
    </row>
    <row r="279" spans="3:46">
      <c r="C279" s="22">
        <f t="shared" si="17"/>
        <v>268</v>
      </c>
      <c r="D279" s="23">
        <f>IF(AND(C279&gt;='Amort. Sched.-BASE'!$I$8, C279&lt;= ($I$7+$I$8)), PMT('Amort. Sched.-BASE'!$E$8/12, 'Amort. Sched.-BASE'!$I$7, 'Amort. Sched.-BASE'!$E$7), 0)</f>
        <v>-1736.5864935892569</v>
      </c>
      <c r="E279" s="5">
        <f>IF(AND(C279&gt;='Amort. Sched.-BASE'!$I$8, C279&lt;= ($I$7+$I$8)), (IPMT($E$8/12, (C279-$I$8), $I$7, $E$7)), 0)</f>
        <v>-341.92533124106575</v>
      </c>
      <c r="F279" s="23">
        <f>IF(AND(C279&gt;='Amort. Sched.-BASE'!$I$8, C279&lt;= ($I$7+$I$8)), (PPMT($E$8/12, (C279-$I$8), $I$7, $E$7)), 0)</f>
        <v>-1394.6611623481911</v>
      </c>
      <c r="G279" s="5">
        <f>IF(MortgageAmortBASE[[#This Row],[Month]]=I$8,E$7,0)</f>
        <v>0</v>
      </c>
      <c r="H279" s="13">
        <f>IF(AND(C279&gt;='Amort. Sched.-BASE'!$I$8, C279&lt;= ($I$7+$I$8)), H278+F279, 0)</f>
        <v>49894.138523811736</v>
      </c>
      <c r="I279" s="24">
        <f>IF(AND(C279&gt;='Amort. Sched.-BASE'!$I$8, C279&lt;= ($I$7+$I$8)), E279/D279, " ")</f>
        <v>0.19689507692436253</v>
      </c>
      <c r="J279" s="25">
        <f>IF(AND(C279&gt;='Amort. Sched.-BASE'!$I$8, C279&lt;= ($I$7+$I$8)), F279/D279, " ")</f>
        <v>0.80310492307563741</v>
      </c>
      <c r="L279" s="20">
        <f t="shared" si="66"/>
        <v>268</v>
      </c>
      <c r="M279" s="5">
        <f>IF(AND(L279&gt;='Amort. Sched.-BASE'!$R$8, L279&lt;= ($R$7+$R$8)), PMT('Amort. Sched.-BASE'!$N$8/12, 'Amort. Sched.-BASE'!$R$7, 'Amort. Sched.-BASE'!$N$7), 0)</f>
        <v>0</v>
      </c>
      <c r="N279" s="5">
        <f>IF(AND(L279&gt;='Amort. Sched.-BASE'!$R$8, L279&lt;= ($R$7+$R$8)), (IPMT($N$8/12, (L279-$R$8), $R$7, $N$7)), 0)</f>
        <v>0</v>
      </c>
      <c r="O279" s="5">
        <f>IF(AND(L279&gt;='Amort. Sched.-BASE'!$R$8, L279&lt;= ($R$7+$R$8)), (PPMT($N$8/12, (L279-$R$8), $R$7, $N$7)), 0)</f>
        <v>0</v>
      </c>
      <c r="P279" s="5">
        <f>IF(CreditAmort1BASE[[#This Row],[Month]]=R$8,N$7,0)</f>
        <v>0</v>
      </c>
      <c r="Q279" s="13">
        <f>IF(AND(L279&gt;='Amort. Sched.-BASE'!$R$8, L279&lt;= ($R$7+$R$8)), Q278+O279, 0)</f>
        <v>0</v>
      </c>
      <c r="R279" s="6" t="str">
        <f>IF(AND(L279&gt;='Amort. Sched.-BASE'!$R$8, L279&lt;= ($R$7+$R$8)), N279/M279, " ")</f>
        <v xml:space="preserve"> </v>
      </c>
      <c r="S279" s="21" t="str">
        <f>IF(AND(L279&gt;='Amort. Sched.-BASE'!$R$8, L279&lt;= ($R$7+$R$8)), O279/M279, " ")</f>
        <v xml:space="preserve"> </v>
      </c>
      <c r="U279" s="22">
        <f t="shared" si="67"/>
        <v>268</v>
      </c>
      <c r="V279" s="23">
        <f>IF(AND(U279&gt;='Amort. Sched.-BASE'!$AA$8, U279&lt;= ($AA$7+$AA$8)), PMT('Amort. Sched.-BASE'!$W$8/12, 'Amort. Sched.-BASE'!$AA$7, 'Amort. Sched.-BASE'!$W$7), 0)</f>
        <v>0</v>
      </c>
      <c r="W279" s="5">
        <f>IF(AND(U279&gt;='Amort. Sched.-BASE'!$AA$8, U279&lt;= ($AA$7+$AA$8)), (IPMT($W$8/12, (U279-$AA$8), $AA$7, $W$7)), 0)</f>
        <v>0</v>
      </c>
      <c r="X279" s="23">
        <f>IF(AND(U279&gt;='Amort. Sched.-BASE'!$AA$8, U279&lt;= ($AA$7+$AA$8)), (PPMT($W$8/12, (U279-$AA$8), $AA$7, $W$7)), 0)</f>
        <v>0</v>
      </c>
      <c r="Y279" s="5">
        <f>IF(CreditAmort2BASE[[#This Row],[Month]]=AA$8,W$7,0)</f>
        <v>0</v>
      </c>
      <c r="Z279" s="13">
        <f>IF(AND(U279&gt;='Amort. Sched.-BASE'!$AA$8, U279&lt;= ($AA$7+$AA$8)), Z278+X279, 0)</f>
        <v>0</v>
      </c>
      <c r="AA279" s="24" t="str">
        <f>IF(AND(U279&gt;='Amort. Sched.-BASE'!$AA$8, U279&lt;= ($AA$7+$AA$8)), W279/V279, " ")</f>
        <v xml:space="preserve"> </v>
      </c>
      <c r="AB279" s="25" t="str">
        <f>IF(AND(U279&gt;='Amort. Sched.-BASE'!$AA$8, U279&lt;= ($AA$7+$AA$8)), X279/V279, " ")</f>
        <v xml:space="preserve"> </v>
      </c>
      <c r="AD279" s="20">
        <f t="shared" si="68"/>
        <v>268</v>
      </c>
      <c r="AE279" s="5">
        <f t="shared" si="69"/>
        <v>0</v>
      </c>
      <c r="AF279" s="5">
        <f t="shared" si="70"/>
        <v>0</v>
      </c>
      <c r="AG279" s="5">
        <f t="shared" si="71"/>
        <v>0</v>
      </c>
      <c r="AH279" s="5">
        <f>IF(CreditAmort3BASE[[#This Row],[Month]]=AJ$8,AF$7,0)</f>
        <v>0</v>
      </c>
      <c r="AI279" s="13">
        <f t="shared" si="72"/>
        <v>0</v>
      </c>
      <c r="AJ279" s="6" t="str">
        <f t="shared" si="73"/>
        <v xml:space="preserve"> </v>
      </c>
      <c r="AK279" s="21" t="str">
        <f t="shared" si="74"/>
        <v xml:space="preserve"> </v>
      </c>
      <c r="AM279" s="20">
        <f t="shared" si="75"/>
        <v>268</v>
      </c>
      <c r="AN279" s="5">
        <f t="shared" si="76"/>
        <v>0</v>
      </c>
      <c r="AO279" s="5">
        <f t="shared" si="77"/>
        <v>0</v>
      </c>
      <c r="AP279" s="5">
        <f t="shared" si="78"/>
        <v>0</v>
      </c>
      <c r="AQ279" s="5">
        <f>IF(CreditAmort4BASE[[#This Row],[Month]]=AS$8,AO$7,0)</f>
        <v>0</v>
      </c>
      <c r="AR279" s="13">
        <f t="shared" si="79"/>
        <v>0</v>
      </c>
      <c r="AS279" s="6" t="str">
        <f t="shared" si="80"/>
        <v xml:space="preserve"> </v>
      </c>
      <c r="AT279" s="21" t="str">
        <f t="shared" si="81"/>
        <v xml:space="preserve"> </v>
      </c>
    </row>
    <row r="280" spans="3:46">
      <c r="C280" s="22">
        <f t="shared" si="17"/>
        <v>269</v>
      </c>
      <c r="D280" s="23">
        <f>IF(AND(C280&gt;='Amort. Sched.-BASE'!$I$8, C280&lt;= ($I$7+$I$8)), PMT('Amort. Sched.-BASE'!$E$8/12, 'Amort. Sched.-BASE'!$I$7, 'Amort. Sched.-BASE'!$E$7), 0)</f>
        <v>-1736.5864935892569</v>
      </c>
      <c r="E280" s="5">
        <f>IF(AND(C280&gt;='Amort. Sched.-BASE'!$I$8, C280&lt;= ($I$7+$I$8)), (IPMT($E$8/12, (C280-$I$8), $I$7, $E$7)), 0)</f>
        <v>-332.62759015874445</v>
      </c>
      <c r="F280" s="23">
        <f>IF(AND(C280&gt;='Amort. Sched.-BASE'!$I$8, C280&lt;= ($I$7+$I$8)), (PPMT($E$8/12, (C280-$I$8), $I$7, $E$7)), 0)</f>
        <v>-1403.9589034305125</v>
      </c>
      <c r="G280" s="5">
        <f>IF(MortgageAmortBASE[[#This Row],[Month]]=I$8,E$7,0)</f>
        <v>0</v>
      </c>
      <c r="H280" s="13">
        <f>IF(AND(C280&gt;='Amort. Sched.-BASE'!$I$8, C280&lt;= ($I$7+$I$8)), H279+F280, 0)</f>
        <v>48490.179620381226</v>
      </c>
      <c r="I280" s="24">
        <f>IF(AND(C280&gt;='Amort. Sched.-BASE'!$I$8, C280&lt;= ($I$7+$I$8)), E280/D280, " ")</f>
        <v>0.19154104410385828</v>
      </c>
      <c r="J280" s="25">
        <f>IF(AND(C280&gt;='Amort. Sched.-BASE'!$I$8, C280&lt;= ($I$7+$I$8)), F280/D280, " ")</f>
        <v>0.80845895589614181</v>
      </c>
      <c r="L280" s="20">
        <f t="shared" si="66"/>
        <v>269</v>
      </c>
      <c r="M280" s="5">
        <f>IF(AND(L280&gt;='Amort. Sched.-BASE'!$R$8, L280&lt;= ($R$7+$R$8)), PMT('Amort. Sched.-BASE'!$N$8/12, 'Amort. Sched.-BASE'!$R$7, 'Amort. Sched.-BASE'!$N$7), 0)</f>
        <v>0</v>
      </c>
      <c r="N280" s="5">
        <f>IF(AND(L280&gt;='Amort. Sched.-BASE'!$R$8, L280&lt;= ($R$7+$R$8)), (IPMT($N$8/12, (L280-$R$8), $R$7, $N$7)), 0)</f>
        <v>0</v>
      </c>
      <c r="O280" s="5">
        <f>IF(AND(L280&gt;='Amort. Sched.-BASE'!$R$8, L280&lt;= ($R$7+$R$8)), (PPMT($N$8/12, (L280-$R$8), $R$7, $N$7)), 0)</f>
        <v>0</v>
      </c>
      <c r="P280" s="5">
        <f>IF(CreditAmort1BASE[[#This Row],[Month]]=R$8,N$7,0)</f>
        <v>0</v>
      </c>
      <c r="Q280" s="13">
        <f>IF(AND(L280&gt;='Amort. Sched.-BASE'!$R$8, L280&lt;= ($R$7+$R$8)), Q279+O280, 0)</f>
        <v>0</v>
      </c>
      <c r="R280" s="6" t="str">
        <f>IF(AND(L280&gt;='Amort. Sched.-BASE'!$R$8, L280&lt;= ($R$7+$R$8)), N280/M280, " ")</f>
        <v xml:space="preserve"> </v>
      </c>
      <c r="S280" s="21" t="str">
        <f>IF(AND(L280&gt;='Amort. Sched.-BASE'!$R$8, L280&lt;= ($R$7+$R$8)), O280/M280, " ")</f>
        <v xml:space="preserve"> </v>
      </c>
      <c r="U280" s="22">
        <f t="shared" si="67"/>
        <v>269</v>
      </c>
      <c r="V280" s="23">
        <f>IF(AND(U280&gt;='Amort. Sched.-BASE'!$AA$8, U280&lt;= ($AA$7+$AA$8)), PMT('Amort. Sched.-BASE'!$W$8/12, 'Amort. Sched.-BASE'!$AA$7, 'Amort. Sched.-BASE'!$W$7), 0)</f>
        <v>0</v>
      </c>
      <c r="W280" s="5">
        <f>IF(AND(U280&gt;='Amort. Sched.-BASE'!$AA$8, U280&lt;= ($AA$7+$AA$8)), (IPMT($W$8/12, (U280-$AA$8), $AA$7, $W$7)), 0)</f>
        <v>0</v>
      </c>
      <c r="X280" s="23">
        <f>IF(AND(U280&gt;='Amort. Sched.-BASE'!$AA$8, U280&lt;= ($AA$7+$AA$8)), (PPMT($W$8/12, (U280-$AA$8), $AA$7, $W$7)), 0)</f>
        <v>0</v>
      </c>
      <c r="Y280" s="5">
        <f>IF(CreditAmort2BASE[[#This Row],[Month]]=AA$8,W$7,0)</f>
        <v>0</v>
      </c>
      <c r="Z280" s="13">
        <f>IF(AND(U280&gt;='Amort. Sched.-BASE'!$AA$8, U280&lt;= ($AA$7+$AA$8)), Z279+X280, 0)</f>
        <v>0</v>
      </c>
      <c r="AA280" s="24" t="str">
        <f>IF(AND(U280&gt;='Amort. Sched.-BASE'!$AA$8, U280&lt;= ($AA$7+$AA$8)), W280/V280, " ")</f>
        <v xml:space="preserve"> </v>
      </c>
      <c r="AB280" s="25" t="str">
        <f>IF(AND(U280&gt;='Amort. Sched.-BASE'!$AA$8, U280&lt;= ($AA$7+$AA$8)), X280/V280, " ")</f>
        <v xml:space="preserve"> </v>
      </c>
      <c r="AD280" s="20">
        <f t="shared" si="68"/>
        <v>269</v>
      </c>
      <c r="AE280" s="5">
        <f t="shared" si="69"/>
        <v>0</v>
      </c>
      <c r="AF280" s="5">
        <f t="shared" si="70"/>
        <v>0</v>
      </c>
      <c r="AG280" s="5">
        <f t="shared" si="71"/>
        <v>0</v>
      </c>
      <c r="AH280" s="5">
        <f>IF(CreditAmort3BASE[[#This Row],[Month]]=AJ$8,AF$7,0)</f>
        <v>0</v>
      </c>
      <c r="AI280" s="13">
        <f t="shared" si="72"/>
        <v>0</v>
      </c>
      <c r="AJ280" s="6" t="str">
        <f t="shared" si="73"/>
        <v xml:space="preserve"> </v>
      </c>
      <c r="AK280" s="21" t="str">
        <f t="shared" si="74"/>
        <v xml:space="preserve"> </v>
      </c>
      <c r="AM280" s="20">
        <f t="shared" si="75"/>
        <v>269</v>
      </c>
      <c r="AN280" s="5">
        <f t="shared" si="76"/>
        <v>0</v>
      </c>
      <c r="AO280" s="5">
        <f t="shared" si="77"/>
        <v>0</v>
      </c>
      <c r="AP280" s="5">
        <f t="shared" si="78"/>
        <v>0</v>
      </c>
      <c r="AQ280" s="5">
        <f>IF(CreditAmort4BASE[[#This Row],[Month]]=AS$8,AO$7,0)</f>
        <v>0</v>
      </c>
      <c r="AR280" s="13">
        <f t="shared" si="79"/>
        <v>0</v>
      </c>
      <c r="AS280" s="6" t="str">
        <f t="shared" si="80"/>
        <v xml:space="preserve"> </v>
      </c>
      <c r="AT280" s="21" t="str">
        <f t="shared" si="81"/>
        <v xml:space="preserve"> </v>
      </c>
    </row>
    <row r="281" spans="3:46">
      <c r="C281" s="22">
        <f t="shared" si="17"/>
        <v>270</v>
      </c>
      <c r="D281" s="23">
        <f>IF(AND(C281&gt;='Amort. Sched.-BASE'!$I$8, C281&lt;= ($I$7+$I$8)), PMT('Amort. Sched.-BASE'!$E$8/12, 'Amort. Sched.-BASE'!$I$7, 'Amort. Sched.-BASE'!$E$7), 0)</f>
        <v>-1736.5864935892569</v>
      </c>
      <c r="E281" s="5">
        <f>IF(AND(C281&gt;='Amort. Sched.-BASE'!$I$8, C281&lt;= ($I$7+$I$8)), (IPMT($E$8/12, (C281-$I$8), $I$7, $E$7)), 0)</f>
        <v>-323.26786413587439</v>
      </c>
      <c r="F281" s="23">
        <f>IF(AND(C281&gt;='Amort. Sched.-BASE'!$I$8, C281&lt;= ($I$7+$I$8)), (PPMT($E$8/12, (C281-$I$8), $I$7, $E$7)), 0)</f>
        <v>-1413.3186294533823</v>
      </c>
      <c r="G281" s="5">
        <f>IF(MortgageAmortBASE[[#This Row],[Month]]=I$8,E$7,0)</f>
        <v>0</v>
      </c>
      <c r="H281" s="13">
        <f>IF(AND(C281&gt;='Amort. Sched.-BASE'!$I$8, C281&lt;= ($I$7+$I$8)), H280+F281, 0)</f>
        <v>47076.860990927846</v>
      </c>
      <c r="I281" s="24">
        <f>IF(AND(C281&gt;='Amort. Sched.-BASE'!$I$8, C281&lt;= ($I$7+$I$8)), E281/D281, " ")</f>
        <v>0.18615131773121735</v>
      </c>
      <c r="J281" s="25">
        <f>IF(AND(C281&gt;='Amort. Sched.-BASE'!$I$8, C281&lt;= ($I$7+$I$8)), F281/D281, " ")</f>
        <v>0.8138486822687826</v>
      </c>
      <c r="L281" s="20">
        <f t="shared" si="66"/>
        <v>270</v>
      </c>
      <c r="M281" s="5">
        <f>IF(AND(L281&gt;='Amort. Sched.-BASE'!$R$8, L281&lt;= ($R$7+$R$8)), PMT('Amort. Sched.-BASE'!$N$8/12, 'Amort. Sched.-BASE'!$R$7, 'Amort. Sched.-BASE'!$N$7), 0)</f>
        <v>0</v>
      </c>
      <c r="N281" s="5">
        <f>IF(AND(L281&gt;='Amort. Sched.-BASE'!$R$8, L281&lt;= ($R$7+$R$8)), (IPMT($N$8/12, (L281-$R$8), $R$7, $N$7)), 0)</f>
        <v>0</v>
      </c>
      <c r="O281" s="5">
        <f>IF(AND(L281&gt;='Amort. Sched.-BASE'!$R$8, L281&lt;= ($R$7+$R$8)), (PPMT($N$8/12, (L281-$R$8), $R$7, $N$7)), 0)</f>
        <v>0</v>
      </c>
      <c r="P281" s="5">
        <f>IF(CreditAmort1BASE[[#This Row],[Month]]=R$8,N$7,0)</f>
        <v>0</v>
      </c>
      <c r="Q281" s="13">
        <f>IF(AND(L281&gt;='Amort. Sched.-BASE'!$R$8, L281&lt;= ($R$7+$R$8)), Q280+O281, 0)</f>
        <v>0</v>
      </c>
      <c r="R281" s="6" t="str">
        <f>IF(AND(L281&gt;='Amort. Sched.-BASE'!$R$8, L281&lt;= ($R$7+$R$8)), N281/M281, " ")</f>
        <v xml:space="preserve"> </v>
      </c>
      <c r="S281" s="21" t="str">
        <f>IF(AND(L281&gt;='Amort. Sched.-BASE'!$R$8, L281&lt;= ($R$7+$R$8)), O281/M281, " ")</f>
        <v xml:space="preserve"> </v>
      </c>
      <c r="U281" s="22">
        <f t="shared" si="67"/>
        <v>270</v>
      </c>
      <c r="V281" s="23">
        <f>IF(AND(U281&gt;='Amort. Sched.-BASE'!$AA$8, U281&lt;= ($AA$7+$AA$8)), PMT('Amort. Sched.-BASE'!$W$8/12, 'Amort. Sched.-BASE'!$AA$7, 'Amort. Sched.-BASE'!$W$7), 0)</f>
        <v>0</v>
      </c>
      <c r="W281" s="5">
        <f>IF(AND(U281&gt;='Amort. Sched.-BASE'!$AA$8, U281&lt;= ($AA$7+$AA$8)), (IPMT($W$8/12, (U281-$AA$8), $AA$7, $W$7)), 0)</f>
        <v>0</v>
      </c>
      <c r="X281" s="23">
        <f>IF(AND(U281&gt;='Amort. Sched.-BASE'!$AA$8, U281&lt;= ($AA$7+$AA$8)), (PPMT($W$8/12, (U281-$AA$8), $AA$7, $W$7)), 0)</f>
        <v>0</v>
      </c>
      <c r="Y281" s="5">
        <f>IF(CreditAmort2BASE[[#This Row],[Month]]=AA$8,W$7,0)</f>
        <v>0</v>
      </c>
      <c r="Z281" s="13">
        <f>IF(AND(U281&gt;='Amort. Sched.-BASE'!$AA$8, U281&lt;= ($AA$7+$AA$8)), Z280+X281, 0)</f>
        <v>0</v>
      </c>
      <c r="AA281" s="24" t="str">
        <f>IF(AND(U281&gt;='Amort. Sched.-BASE'!$AA$8, U281&lt;= ($AA$7+$AA$8)), W281/V281, " ")</f>
        <v xml:space="preserve"> </v>
      </c>
      <c r="AB281" s="25" t="str">
        <f>IF(AND(U281&gt;='Amort. Sched.-BASE'!$AA$8, U281&lt;= ($AA$7+$AA$8)), X281/V281, " ")</f>
        <v xml:space="preserve"> </v>
      </c>
      <c r="AD281" s="20">
        <f t="shared" si="68"/>
        <v>270</v>
      </c>
      <c r="AE281" s="5">
        <f t="shared" si="69"/>
        <v>0</v>
      </c>
      <c r="AF281" s="5">
        <f t="shared" si="70"/>
        <v>0</v>
      </c>
      <c r="AG281" s="5">
        <f t="shared" si="71"/>
        <v>0</v>
      </c>
      <c r="AH281" s="5">
        <f>IF(CreditAmort3BASE[[#This Row],[Month]]=AJ$8,AF$7,0)</f>
        <v>0</v>
      </c>
      <c r="AI281" s="13">
        <f t="shared" si="72"/>
        <v>0</v>
      </c>
      <c r="AJ281" s="6" t="str">
        <f t="shared" si="73"/>
        <v xml:space="preserve"> </v>
      </c>
      <c r="AK281" s="21" t="str">
        <f t="shared" si="74"/>
        <v xml:space="preserve"> </v>
      </c>
      <c r="AM281" s="20">
        <f t="shared" si="75"/>
        <v>270</v>
      </c>
      <c r="AN281" s="5">
        <f t="shared" si="76"/>
        <v>0</v>
      </c>
      <c r="AO281" s="5">
        <f t="shared" si="77"/>
        <v>0</v>
      </c>
      <c r="AP281" s="5">
        <f t="shared" si="78"/>
        <v>0</v>
      </c>
      <c r="AQ281" s="5">
        <f>IF(CreditAmort4BASE[[#This Row],[Month]]=AS$8,AO$7,0)</f>
        <v>0</v>
      </c>
      <c r="AR281" s="13">
        <f t="shared" si="79"/>
        <v>0</v>
      </c>
      <c r="AS281" s="6" t="str">
        <f t="shared" si="80"/>
        <v xml:space="preserve"> </v>
      </c>
      <c r="AT281" s="21" t="str">
        <f t="shared" si="81"/>
        <v xml:space="preserve"> </v>
      </c>
    </row>
    <row r="282" spans="3:46">
      <c r="C282" s="22">
        <f t="shared" si="17"/>
        <v>271</v>
      </c>
      <c r="D282" s="23">
        <f>IF(AND(C282&gt;='Amort. Sched.-BASE'!$I$8, C282&lt;= ($I$7+$I$8)), PMT('Amort. Sched.-BASE'!$E$8/12, 'Amort. Sched.-BASE'!$I$7, 'Amort. Sched.-BASE'!$E$7), 0)</f>
        <v>-1736.5864935892569</v>
      </c>
      <c r="E282" s="5">
        <f>IF(AND(C282&gt;='Amort. Sched.-BASE'!$I$8, C282&lt;= ($I$7+$I$8)), (IPMT($E$8/12, (C282-$I$8), $I$7, $E$7)), 0)</f>
        <v>-313.84573993951852</v>
      </c>
      <c r="F282" s="23">
        <f>IF(AND(C282&gt;='Amort. Sched.-BASE'!$I$8, C282&lt;= ($I$7+$I$8)), (PPMT($E$8/12, (C282-$I$8), $I$7, $E$7)), 0)</f>
        <v>-1422.7407536497383</v>
      </c>
      <c r="G282" s="5">
        <f>IF(MortgageAmortBASE[[#This Row],[Month]]=I$8,E$7,0)</f>
        <v>0</v>
      </c>
      <c r="H282" s="13">
        <f>IF(AND(C282&gt;='Amort. Sched.-BASE'!$I$8, C282&lt;= ($I$7+$I$8)), H281+F282, 0)</f>
        <v>45654.120237278104</v>
      </c>
      <c r="I282" s="24">
        <f>IF(AND(C282&gt;='Amort. Sched.-BASE'!$I$8, C282&lt;= ($I$7+$I$8)), E282/D282, " ")</f>
        <v>0.18072565984942549</v>
      </c>
      <c r="J282" s="25">
        <f>IF(AND(C282&gt;='Amort. Sched.-BASE'!$I$8, C282&lt;= ($I$7+$I$8)), F282/D282, " ")</f>
        <v>0.81927434015057454</v>
      </c>
      <c r="L282" s="20">
        <f t="shared" si="66"/>
        <v>271</v>
      </c>
      <c r="M282" s="5">
        <f>IF(AND(L282&gt;='Amort. Sched.-BASE'!$R$8, L282&lt;= ($R$7+$R$8)), PMT('Amort. Sched.-BASE'!$N$8/12, 'Amort. Sched.-BASE'!$R$7, 'Amort. Sched.-BASE'!$N$7), 0)</f>
        <v>0</v>
      </c>
      <c r="N282" s="5">
        <f>IF(AND(L282&gt;='Amort. Sched.-BASE'!$R$8, L282&lt;= ($R$7+$R$8)), (IPMT($N$8/12, (L282-$R$8), $R$7, $N$7)), 0)</f>
        <v>0</v>
      </c>
      <c r="O282" s="5">
        <f>IF(AND(L282&gt;='Amort. Sched.-BASE'!$R$8, L282&lt;= ($R$7+$R$8)), (PPMT($N$8/12, (L282-$R$8), $R$7, $N$7)), 0)</f>
        <v>0</v>
      </c>
      <c r="P282" s="5">
        <f>IF(CreditAmort1BASE[[#This Row],[Month]]=R$8,N$7,0)</f>
        <v>0</v>
      </c>
      <c r="Q282" s="13">
        <f>IF(AND(L282&gt;='Amort. Sched.-BASE'!$R$8, L282&lt;= ($R$7+$R$8)), Q281+O282, 0)</f>
        <v>0</v>
      </c>
      <c r="R282" s="6" t="str">
        <f>IF(AND(L282&gt;='Amort. Sched.-BASE'!$R$8, L282&lt;= ($R$7+$R$8)), N282/M282, " ")</f>
        <v xml:space="preserve"> </v>
      </c>
      <c r="S282" s="21" t="str">
        <f>IF(AND(L282&gt;='Amort. Sched.-BASE'!$R$8, L282&lt;= ($R$7+$R$8)), O282/M282, " ")</f>
        <v xml:space="preserve"> </v>
      </c>
      <c r="U282" s="22">
        <f t="shared" si="67"/>
        <v>271</v>
      </c>
      <c r="V282" s="23">
        <f>IF(AND(U282&gt;='Amort. Sched.-BASE'!$AA$8, U282&lt;= ($AA$7+$AA$8)), PMT('Amort. Sched.-BASE'!$W$8/12, 'Amort. Sched.-BASE'!$AA$7, 'Amort. Sched.-BASE'!$W$7), 0)</f>
        <v>0</v>
      </c>
      <c r="W282" s="5">
        <f>IF(AND(U282&gt;='Amort. Sched.-BASE'!$AA$8, U282&lt;= ($AA$7+$AA$8)), (IPMT($W$8/12, (U282-$AA$8), $AA$7, $W$7)), 0)</f>
        <v>0</v>
      </c>
      <c r="X282" s="23">
        <f>IF(AND(U282&gt;='Amort. Sched.-BASE'!$AA$8, U282&lt;= ($AA$7+$AA$8)), (PPMT($W$8/12, (U282-$AA$8), $AA$7, $W$7)), 0)</f>
        <v>0</v>
      </c>
      <c r="Y282" s="5">
        <f>IF(CreditAmort2BASE[[#This Row],[Month]]=AA$8,W$7,0)</f>
        <v>0</v>
      </c>
      <c r="Z282" s="13">
        <f>IF(AND(U282&gt;='Amort. Sched.-BASE'!$AA$8, U282&lt;= ($AA$7+$AA$8)), Z281+X282, 0)</f>
        <v>0</v>
      </c>
      <c r="AA282" s="24" t="str">
        <f>IF(AND(U282&gt;='Amort. Sched.-BASE'!$AA$8, U282&lt;= ($AA$7+$AA$8)), W282/V282, " ")</f>
        <v xml:space="preserve"> </v>
      </c>
      <c r="AB282" s="25" t="str">
        <f>IF(AND(U282&gt;='Amort. Sched.-BASE'!$AA$8, U282&lt;= ($AA$7+$AA$8)), X282/V282, " ")</f>
        <v xml:space="preserve"> </v>
      </c>
      <c r="AD282" s="20">
        <f t="shared" si="68"/>
        <v>271</v>
      </c>
      <c r="AE282" s="5">
        <f t="shared" si="69"/>
        <v>0</v>
      </c>
      <c r="AF282" s="5">
        <f t="shared" si="70"/>
        <v>0</v>
      </c>
      <c r="AG282" s="5">
        <f t="shared" si="71"/>
        <v>0</v>
      </c>
      <c r="AH282" s="5">
        <f>IF(CreditAmort3BASE[[#This Row],[Month]]=AJ$8,AF$7,0)</f>
        <v>0</v>
      </c>
      <c r="AI282" s="13">
        <f t="shared" si="72"/>
        <v>0</v>
      </c>
      <c r="AJ282" s="6" t="str">
        <f t="shared" si="73"/>
        <v xml:space="preserve"> </v>
      </c>
      <c r="AK282" s="21" t="str">
        <f t="shared" si="74"/>
        <v xml:space="preserve"> </v>
      </c>
      <c r="AM282" s="20">
        <f t="shared" si="75"/>
        <v>271</v>
      </c>
      <c r="AN282" s="5">
        <f t="shared" si="76"/>
        <v>0</v>
      </c>
      <c r="AO282" s="5">
        <f t="shared" si="77"/>
        <v>0</v>
      </c>
      <c r="AP282" s="5">
        <f t="shared" si="78"/>
        <v>0</v>
      </c>
      <c r="AQ282" s="5">
        <f>IF(CreditAmort4BASE[[#This Row],[Month]]=AS$8,AO$7,0)</f>
        <v>0</v>
      </c>
      <c r="AR282" s="13">
        <f t="shared" si="79"/>
        <v>0</v>
      </c>
      <c r="AS282" s="6" t="str">
        <f t="shared" si="80"/>
        <v xml:space="preserve"> </v>
      </c>
      <c r="AT282" s="21" t="str">
        <f t="shared" si="81"/>
        <v xml:space="preserve"> </v>
      </c>
    </row>
    <row r="283" spans="3:46">
      <c r="C283" s="22">
        <f t="shared" si="17"/>
        <v>272</v>
      </c>
      <c r="D283" s="23">
        <f>IF(AND(C283&gt;='Amort. Sched.-BASE'!$I$8, C283&lt;= ($I$7+$I$8)), PMT('Amort. Sched.-BASE'!$E$8/12, 'Amort. Sched.-BASE'!$I$7, 'Amort. Sched.-BASE'!$E$7), 0)</f>
        <v>-1736.5864935892569</v>
      </c>
      <c r="E283" s="5">
        <f>IF(AND(C283&gt;='Amort. Sched.-BASE'!$I$8, C283&lt;= ($I$7+$I$8)), (IPMT($E$8/12, (C283-$I$8), $I$7, $E$7)), 0)</f>
        <v>-304.36080158185354</v>
      </c>
      <c r="F283" s="23">
        <f>IF(AND(C283&gt;='Amort. Sched.-BASE'!$I$8, C283&lt;= ($I$7+$I$8)), (PPMT($E$8/12, (C283-$I$8), $I$7, $E$7)), 0)</f>
        <v>-1432.2256920074035</v>
      </c>
      <c r="G283" s="5">
        <f>IF(MortgageAmortBASE[[#This Row],[Month]]=I$8,E$7,0)</f>
        <v>0</v>
      </c>
      <c r="H283" s="13">
        <f>IF(AND(C283&gt;='Amort. Sched.-BASE'!$I$8, C283&lt;= ($I$7+$I$8)), H282+F283, 0)</f>
        <v>44221.894545270698</v>
      </c>
      <c r="I283" s="24">
        <f>IF(AND(C283&gt;='Amort. Sched.-BASE'!$I$8, C283&lt;= ($I$7+$I$8)), E283/D283, " ")</f>
        <v>0.17526383091508826</v>
      </c>
      <c r="J283" s="25">
        <f>IF(AND(C283&gt;='Amort. Sched.-BASE'!$I$8, C283&lt;= ($I$7+$I$8)), F283/D283, " ")</f>
        <v>0.82473616908491187</v>
      </c>
      <c r="L283" s="20">
        <f t="shared" si="66"/>
        <v>272</v>
      </c>
      <c r="M283" s="5">
        <f>IF(AND(L283&gt;='Amort. Sched.-BASE'!$R$8, L283&lt;= ($R$7+$R$8)), PMT('Amort. Sched.-BASE'!$N$8/12, 'Amort. Sched.-BASE'!$R$7, 'Amort. Sched.-BASE'!$N$7), 0)</f>
        <v>0</v>
      </c>
      <c r="N283" s="5">
        <f>IF(AND(L283&gt;='Amort. Sched.-BASE'!$R$8, L283&lt;= ($R$7+$R$8)), (IPMT($N$8/12, (L283-$R$8), $R$7, $N$7)), 0)</f>
        <v>0</v>
      </c>
      <c r="O283" s="5">
        <f>IF(AND(L283&gt;='Amort. Sched.-BASE'!$R$8, L283&lt;= ($R$7+$R$8)), (PPMT($N$8/12, (L283-$R$8), $R$7, $N$7)), 0)</f>
        <v>0</v>
      </c>
      <c r="P283" s="5">
        <f>IF(CreditAmort1BASE[[#This Row],[Month]]=R$8,N$7,0)</f>
        <v>0</v>
      </c>
      <c r="Q283" s="13">
        <f>IF(AND(L283&gt;='Amort. Sched.-BASE'!$R$8, L283&lt;= ($R$7+$R$8)), Q282+O283, 0)</f>
        <v>0</v>
      </c>
      <c r="R283" s="6" t="str">
        <f>IF(AND(L283&gt;='Amort. Sched.-BASE'!$R$8, L283&lt;= ($R$7+$R$8)), N283/M283, " ")</f>
        <v xml:space="preserve"> </v>
      </c>
      <c r="S283" s="21" t="str">
        <f>IF(AND(L283&gt;='Amort. Sched.-BASE'!$R$8, L283&lt;= ($R$7+$R$8)), O283/M283, " ")</f>
        <v xml:space="preserve"> </v>
      </c>
      <c r="U283" s="22">
        <f t="shared" si="67"/>
        <v>272</v>
      </c>
      <c r="V283" s="23">
        <f>IF(AND(U283&gt;='Amort. Sched.-BASE'!$AA$8, U283&lt;= ($AA$7+$AA$8)), PMT('Amort. Sched.-BASE'!$W$8/12, 'Amort. Sched.-BASE'!$AA$7, 'Amort. Sched.-BASE'!$W$7), 0)</f>
        <v>0</v>
      </c>
      <c r="W283" s="5">
        <f>IF(AND(U283&gt;='Amort. Sched.-BASE'!$AA$8, U283&lt;= ($AA$7+$AA$8)), (IPMT($W$8/12, (U283-$AA$8), $AA$7, $W$7)), 0)</f>
        <v>0</v>
      </c>
      <c r="X283" s="23">
        <f>IF(AND(U283&gt;='Amort. Sched.-BASE'!$AA$8, U283&lt;= ($AA$7+$AA$8)), (PPMT($W$8/12, (U283-$AA$8), $AA$7, $W$7)), 0)</f>
        <v>0</v>
      </c>
      <c r="Y283" s="5">
        <f>IF(CreditAmort2BASE[[#This Row],[Month]]=AA$8,W$7,0)</f>
        <v>0</v>
      </c>
      <c r="Z283" s="13">
        <f>IF(AND(U283&gt;='Amort. Sched.-BASE'!$AA$8, U283&lt;= ($AA$7+$AA$8)), Z282+X283, 0)</f>
        <v>0</v>
      </c>
      <c r="AA283" s="24" t="str">
        <f>IF(AND(U283&gt;='Amort. Sched.-BASE'!$AA$8, U283&lt;= ($AA$7+$AA$8)), W283/V283, " ")</f>
        <v xml:space="preserve"> </v>
      </c>
      <c r="AB283" s="25" t="str">
        <f>IF(AND(U283&gt;='Amort. Sched.-BASE'!$AA$8, U283&lt;= ($AA$7+$AA$8)), X283/V283, " ")</f>
        <v xml:space="preserve"> </v>
      </c>
      <c r="AD283" s="20">
        <f t="shared" si="68"/>
        <v>272</v>
      </c>
      <c r="AE283" s="5">
        <f t="shared" si="69"/>
        <v>0</v>
      </c>
      <c r="AF283" s="5">
        <f t="shared" si="70"/>
        <v>0</v>
      </c>
      <c r="AG283" s="5">
        <f t="shared" si="71"/>
        <v>0</v>
      </c>
      <c r="AH283" s="5">
        <f>IF(CreditAmort3BASE[[#This Row],[Month]]=AJ$8,AF$7,0)</f>
        <v>0</v>
      </c>
      <c r="AI283" s="13">
        <f t="shared" si="72"/>
        <v>0</v>
      </c>
      <c r="AJ283" s="6" t="str">
        <f t="shared" si="73"/>
        <v xml:space="preserve"> </v>
      </c>
      <c r="AK283" s="21" t="str">
        <f t="shared" si="74"/>
        <v xml:space="preserve"> </v>
      </c>
      <c r="AM283" s="20">
        <f t="shared" si="75"/>
        <v>272</v>
      </c>
      <c r="AN283" s="5">
        <f t="shared" si="76"/>
        <v>0</v>
      </c>
      <c r="AO283" s="5">
        <f t="shared" si="77"/>
        <v>0</v>
      </c>
      <c r="AP283" s="5">
        <f t="shared" si="78"/>
        <v>0</v>
      </c>
      <c r="AQ283" s="5">
        <f>IF(CreditAmort4BASE[[#This Row],[Month]]=AS$8,AO$7,0)</f>
        <v>0</v>
      </c>
      <c r="AR283" s="13">
        <f t="shared" si="79"/>
        <v>0</v>
      </c>
      <c r="AS283" s="6" t="str">
        <f t="shared" si="80"/>
        <v xml:space="preserve"> </v>
      </c>
      <c r="AT283" s="21" t="str">
        <f t="shared" si="81"/>
        <v xml:space="preserve"> </v>
      </c>
    </row>
    <row r="284" spans="3:46">
      <c r="C284" s="22">
        <f t="shared" si="17"/>
        <v>273</v>
      </c>
      <c r="D284" s="23">
        <f>IF(AND(C284&gt;='Amort. Sched.-BASE'!$I$8, C284&lt;= ($I$7+$I$8)), PMT('Amort. Sched.-BASE'!$E$8/12, 'Amort. Sched.-BASE'!$I$7, 'Amort. Sched.-BASE'!$E$7), 0)</f>
        <v>-1736.5864935892569</v>
      </c>
      <c r="E284" s="5">
        <f>IF(AND(C284&gt;='Amort. Sched.-BASE'!$I$8, C284&lt;= ($I$7+$I$8)), (IPMT($E$8/12, (C284-$I$8), $I$7, $E$7)), 0)</f>
        <v>-294.81263030180423</v>
      </c>
      <c r="F284" s="23">
        <f>IF(AND(C284&gt;='Amort. Sched.-BASE'!$I$8, C284&lt;= ($I$7+$I$8)), (PPMT($E$8/12, (C284-$I$8), $I$7, $E$7)), 0)</f>
        <v>-1441.7738632874527</v>
      </c>
      <c r="G284" s="5">
        <f>IF(MortgageAmortBASE[[#This Row],[Month]]=I$8,E$7,0)</f>
        <v>0</v>
      </c>
      <c r="H284" s="13">
        <f>IF(AND(C284&gt;='Amort. Sched.-BASE'!$I$8, C284&lt;= ($I$7+$I$8)), H283+F284, 0)</f>
        <v>42780.120681983244</v>
      </c>
      <c r="I284" s="24">
        <f>IF(AND(C284&gt;='Amort. Sched.-BASE'!$I$8, C284&lt;= ($I$7+$I$8)), E284/D284, " ")</f>
        <v>0.16976558978785555</v>
      </c>
      <c r="J284" s="25">
        <f>IF(AND(C284&gt;='Amort. Sched.-BASE'!$I$8, C284&lt;= ($I$7+$I$8)), F284/D284, " ")</f>
        <v>0.8302344102121445</v>
      </c>
      <c r="L284" s="20">
        <f t="shared" si="66"/>
        <v>273</v>
      </c>
      <c r="M284" s="5">
        <f>IF(AND(L284&gt;='Amort. Sched.-BASE'!$R$8, L284&lt;= ($R$7+$R$8)), PMT('Amort. Sched.-BASE'!$N$8/12, 'Amort. Sched.-BASE'!$R$7, 'Amort. Sched.-BASE'!$N$7), 0)</f>
        <v>0</v>
      </c>
      <c r="N284" s="5">
        <f>IF(AND(L284&gt;='Amort. Sched.-BASE'!$R$8, L284&lt;= ($R$7+$R$8)), (IPMT($N$8/12, (L284-$R$8), $R$7, $N$7)), 0)</f>
        <v>0</v>
      </c>
      <c r="O284" s="5">
        <f>IF(AND(L284&gt;='Amort. Sched.-BASE'!$R$8, L284&lt;= ($R$7+$R$8)), (PPMT($N$8/12, (L284-$R$8), $R$7, $N$7)), 0)</f>
        <v>0</v>
      </c>
      <c r="P284" s="5">
        <f>IF(CreditAmort1BASE[[#This Row],[Month]]=R$8,N$7,0)</f>
        <v>0</v>
      </c>
      <c r="Q284" s="13">
        <f>IF(AND(L284&gt;='Amort. Sched.-BASE'!$R$8, L284&lt;= ($R$7+$R$8)), Q283+O284, 0)</f>
        <v>0</v>
      </c>
      <c r="R284" s="6" t="str">
        <f>IF(AND(L284&gt;='Amort. Sched.-BASE'!$R$8, L284&lt;= ($R$7+$R$8)), N284/M284, " ")</f>
        <v xml:space="preserve"> </v>
      </c>
      <c r="S284" s="21" t="str">
        <f>IF(AND(L284&gt;='Amort. Sched.-BASE'!$R$8, L284&lt;= ($R$7+$R$8)), O284/M284, " ")</f>
        <v xml:space="preserve"> </v>
      </c>
      <c r="U284" s="22">
        <f t="shared" si="67"/>
        <v>273</v>
      </c>
      <c r="V284" s="23">
        <f>IF(AND(U284&gt;='Amort. Sched.-BASE'!$AA$8, U284&lt;= ($AA$7+$AA$8)), PMT('Amort. Sched.-BASE'!$W$8/12, 'Amort. Sched.-BASE'!$AA$7, 'Amort. Sched.-BASE'!$W$7), 0)</f>
        <v>0</v>
      </c>
      <c r="W284" s="5">
        <f>IF(AND(U284&gt;='Amort. Sched.-BASE'!$AA$8, U284&lt;= ($AA$7+$AA$8)), (IPMT($W$8/12, (U284-$AA$8), $AA$7, $W$7)), 0)</f>
        <v>0</v>
      </c>
      <c r="X284" s="23">
        <f>IF(AND(U284&gt;='Amort. Sched.-BASE'!$AA$8, U284&lt;= ($AA$7+$AA$8)), (PPMT($W$8/12, (U284-$AA$8), $AA$7, $W$7)), 0)</f>
        <v>0</v>
      </c>
      <c r="Y284" s="5">
        <f>IF(CreditAmort2BASE[[#This Row],[Month]]=AA$8,W$7,0)</f>
        <v>0</v>
      </c>
      <c r="Z284" s="13">
        <f>IF(AND(U284&gt;='Amort. Sched.-BASE'!$AA$8, U284&lt;= ($AA$7+$AA$8)), Z283+X284, 0)</f>
        <v>0</v>
      </c>
      <c r="AA284" s="24" t="str">
        <f>IF(AND(U284&gt;='Amort. Sched.-BASE'!$AA$8, U284&lt;= ($AA$7+$AA$8)), W284/V284, " ")</f>
        <v xml:space="preserve"> </v>
      </c>
      <c r="AB284" s="25" t="str">
        <f>IF(AND(U284&gt;='Amort. Sched.-BASE'!$AA$8, U284&lt;= ($AA$7+$AA$8)), X284/V284, " ")</f>
        <v xml:space="preserve"> </v>
      </c>
      <c r="AD284" s="20">
        <f t="shared" si="68"/>
        <v>273</v>
      </c>
      <c r="AE284" s="5">
        <f t="shared" si="69"/>
        <v>0</v>
      </c>
      <c r="AF284" s="5">
        <f t="shared" si="70"/>
        <v>0</v>
      </c>
      <c r="AG284" s="5">
        <f t="shared" si="71"/>
        <v>0</v>
      </c>
      <c r="AH284" s="5">
        <f>IF(CreditAmort3BASE[[#This Row],[Month]]=AJ$8,AF$7,0)</f>
        <v>0</v>
      </c>
      <c r="AI284" s="13">
        <f t="shared" si="72"/>
        <v>0</v>
      </c>
      <c r="AJ284" s="6" t="str">
        <f t="shared" si="73"/>
        <v xml:space="preserve"> </v>
      </c>
      <c r="AK284" s="21" t="str">
        <f t="shared" si="74"/>
        <v xml:space="preserve"> </v>
      </c>
      <c r="AM284" s="20">
        <f t="shared" si="75"/>
        <v>273</v>
      </c>
      <c r="AN284" s="5">
        <f t="shared" si="76"/>
        <v>0</v>
      </c>
      <c r="AO284" s="5">
        <f t="shared" si="77"/>
        <v>0</v>
      </c>
      <c r="AP284" s="5">
        <f t="shared" si="78"/>
        <v>0</v>
      </c>
      <c r="AQ284" s="5">
        <f>IF(CreditAmort4BASE[[#This Row],[Month]]=AS$8,AO$7,0)</f>
        <v>0</v>
      </c>
      <c r="AR284" s="13">
        <f t="shared" si="79"/>
        <v>0</v>
      </c>
      <c r="AS284" s="6" t="str">
        <f t="shared" si="80"/>
        <v xml:space="preserve"> </v>
      </c>
      <c r="AT284" s="21" t="str">
        <f t="shared" si="81"/>
        <v xml:space="preserve"> </v>
      </c>
    </row>
    <row r="285" spans="3:46">
      <c r="C285" s="22">
        <f t="shared" si="17"/>
        <v>274</v>
      </c>
      <c r="D285" s="23">
        <f>IF(AND(C285&gt;='Amort. Sched.-BASE'!$I$8, C285&lt;= ($I$7+$I$8)), PMT('Amort. Sched.-BASE'!$E$8/12, 'Amort. Sched.-BASE'!$I$7, 'Amort. Sched.-BASE'!$E$7), 0)</f>
        <v>-1736.5864935892569</v>
      </c>
      <c r="E285" s="5">
        <f>IF(AND(C285&gt;='Amort. Sched.-BASE'!$I$8, C285&lt;= ($I$7+$I$8)), (IPMT($E$8/12, (C285-$I$8), $I$7, $E$7)), 0)</f>
        <v>-285.20080454655454</v>
      </c>
      <c r="F285" s="23">
        <f>IF(AND(C285&gt;='Amort. Sched.-BASE'!$I$8, C285&lt;= ($I$7+$I$8)), (PPMT($E$8/12, (C285-$I$8), $I$7, $E$7)), 0)</f>
        <v>-1451.3856890427023</v>
      </c>
      <c r="G285" s="5">
        <f>IF(MortgageAmortBASE[[#This Row],[Month]]=I$8,E$7,0)</f>
        <v>0</v>
      </c>
      <c r="H285" s="13">
        <f>IF(AND(C285&gt;='Amort. Sched.-BASE'!$I$8, C285&lt;= ($I$7+$I$8)), H284+F285, 0)</f>
        <v>41328.734992940539</v>
      </c>
      <c r="I285" s="24">
        <f>IF(AND(C285&gt;='Amort. Sched.-BASE'!$I$8, C285&lt;= ($I$7+$I$8)), E285/D285, " ")</f>
        <v>0.16423069371977458</v>
      </c>
      <c r="J285" s="25">
        <f>IF(AND(C285&gt;='Amort. Sched.-BASE'!$I$8, C285&lt;= ($I$7+$I$8)), F285/D285, " ")</f>
        <v>0.83576930628022539</v>
      </c>
      <c r="L285" s="20">
        <f t="shared" si="66"/>
        <v>274</v>
      </c>
      <c r="M285" s="5">
        <f>IF(AND(L285&gt;='Amort. Sched.-BASE'!$R$8, L285&lt;= ($R$7+$R$8)), PMT('Amort. Sched.-BASE'!$N$8/12, 'Amort. Sched.-BASE'!$R$7, 'Amort. Sched.-BASE'!$N$7), 0)</f>
        <v>0</v>
      </c>
      <c r="N285" s="5">
        <f>IF(AND(L285&gt;='Amort. Sched.-BASE'!$R$8, L285&lt;= ($R$7+$R$8)), (IPMT($N$8/12, (L285-$R$8), $R$7, $N$7)), 0)</f>
        <v>0</v>
      </c>
      <c r="O285" s="5">
        <f>IF(AND(L285&gt;='Amort. Sched.-BASE'!$R$8, L285&lt;= ($R$7+$R$8)), (PPMT($N$8/12, (L285-$R$8), $R$7, $N$7)), 0)</f>
        <v>0</v>
      </c>
      <c r="P285" s="5">
        <f>IF(CreditAmort1BASE[[#This Row],[Month]]=R$8,N$7,0)</f>
        <v>0</v>
      </c>
      <c r="Q285" s="13">
        <f>IF(AND(L285&gt;='Amort. Sched.-BASE'!$R$8, L285&lt;= ($R$7+$R$8)), Q284+O285, 0)</f>
        <v>0</v>
      </c>
      <c r="R285" s="6" t="str">
        <f>IF(AND(L285&gt;='Amort. Sched.-BASE'!$R$8, L285&lt;= ($R$7+$R$8)), N285/M285, " ")</f>
        <v xml:space="preserve"> </v>
      </c>
      <c r="S285" s="21" t="str">
        <f>IF(AND(L285&gt;='Amort. Sched.-BASE'!$R$8, L285&lt;= ($R$7+$R$8)), O285/M285, " ")</f>
        <v xml:space="preserve"> </v>
      </c>
      <c r="U285" s="22">
        <f t="shared" si="67"/>
        <v>274</v>
      </c>
      <c r="V285" s="23">
        <f>IF(AND(U285&gt;='Amort. Sched.-BASE'!$AA$8, U285&lt;= ($AA$7+$AA$8)), PMT('Amort. Sched.-BASE'!$W$8/12, 'Amort. Sched.-BASE'!$AA$7, 'Amort. Sched.-BASE'!$W$7), 0)</f>
        <v>0</v>
      </c>
      <c r="W285" s="5">
        <f>IF(AND(U285&gt;='Amort. Sched.-BASE'!$AA$8, U285&lt;= ($AA$7+$AA$8)), (IPMT($W$8/12, (U285-$AA$8), $AA$7, $W$7)), 0)</f>
        <v>0</v>
      </c>
      <c r="X285" s="23">
        <f>IF(AND(U285&gt;='Amort. Sched.-BASE'!$AA$8, U285&lt;= ($AA$7+$AA$8)), (PPMT($W$8/12, (U285-$AA$8), $AA$7, $W$7)), 0)</f>
        <v>0</v>
      </c>
      <c r="Y285" s="5">
        <f>IF(CreditAmort2BASE[[#This Row],[Month]]=AA$8,W$7,0)</f>
        <v>0</v>
      </c>
      <c r="Z285" s="13">
        <f>IF(AND(U285&gt;='Amort. Sched.-BASE'!$AA$8, U285&lt;= ($AA$7+$AA$8)), Z284+X285, 0)</f>
        <v>0</v>
      </c>
      <c r="AA285" s="24" t="str">
        <f>IF(AND(U285&gt;='Amort. Sched.-BASE'!$AA$8, U285&lt;= ($AA$7+$AA$8)), W285/V285, " ")</f>
        <v xml:space="preserve"> </v>
      </c>
      <c r="AB285" s="25" t="str">
        <f>IF(AND(U285&gt;='Amort. Sched.-BASE'!$AA$8, U285&lt;= ($AA$7+$AA$8)), X285/V285, " ")</f>
        <v xml:space="preserve"> </v>
      </c>
      <c r="AD285" s="20">
        <f t="shared" si="68"/>
        <v>274</v>
      </c>
      <c r="AE285" s="5">
        <f t="shared" si="69"/>
        <v>0</v>
      </c>
      <c r="AF285" s="5">
        <f t="shared" si="70"/>
        <v>0</v>
      </c>
      <c r="AG285" s="5">
        <f t="shared" si="71"/>
        <v>0</v>
      </c>
      <c r="AH285" s="5">
        <f>IF(CreditAmort3BASE[[#This Row],[Month]]=AJ$8,AF$7,0)</f>
        <v>0</v>
      </c>
      <c r="AI285" s="13">
        <f t="shared" si="72"/>
        <v>0</v>
      </c>
      <c r="AJ285" s="6" t="str">
        <f t="shared" si="73"/>
        <v xml:space="preserve"> </v>
      </c>
      <c r="AK285" s="21" t="str">
        <f t="shared" si="74"/>
        <v xml:space="preserve"> </v>
      </c>
      <c r="AM285" s="20">
        <f t="shared" si="75"/>
        <v>274</v>
      </c>
      <c r="AN285" s="5">
        <f t="shared" si="76"/>
        <v>0</v>
      </c>
      <c r="AO285" s="5">
        <f t="shared" si="77"/>
        <v>0</v>
      </c>
      <c r="AP285" s="5">
        <f t="shared" si="78"/>
        <v>0</v>
      </c>
      <c r="AQ285" s="5">
        <f>IF(CreditAmort4BASE[[#This Row],[Month]]=AS$8,AO$7,0)</f>
        <v>0</v>
      </c>
      <c r="AR285" s="13">
        <f t="shared" si="79"/>
        <v>0</v>
      </c>
      <c r="AS285" s="6" t="str">
        <f t="shared" si="80"/>
        <v xml:space="preserve"> </v>
      </c>
      <c r="AT285" s="21" t="str">
        <f t="shared" si="81"/>
        <v xml:space="preserve"> </v>
      </c>
    </row>
    <row r="286" spans="3:46">
      <c r="C286" s="22">
        <f t="shared" si="17"/>
        <v>275</v>
      </c>
      <c r="D286" s="23">
        <f>IF(AND(C286&gt;='Amort. Sched.-BASE'!$I$8, C286&lt;= ($I$7+$I$8)), PMT('Amort. Sched.-BASE'!$E$8/12, 'Amort. Sched.-BASE'!$I$7, 'Amort. Sched.-BASE'!$E$7), 0)</f>
        <v>-1736.5864935892569</v>
      </c>
      <c r="E286" s="5">
        <f>IF(AND(C286&gt;='Amort. Sched.-BASE'!$I$8, C286&lt;= ($I$7+$I$8)), (IPMT($E$8/12, (C286-$I$8), $I$7, $E$7)), 0)</f>
        <v>-275.52489995293655</v>
      </c>
      <c r="F286" s="23">
        <f>IF(AND(C286&gt;='Amort. Sched.-BASE'!$I$8, C286&lt;= ($I$7+$I$8)), (PPMT($E$8/12, (C286-$I$8), $I$7, $E$7)), 0)</f>
        <v>-1461.0615936363204</v>
      </c>
      <c r="G286" s="5">
        <f>IF(MortgageAmortBASE[[#This Row],[Month]]=I$8,E$7,0)</f>
        <v>0</v>
      </c>
      <c r="H286" s="13">
        <f>IF(AND(C286&gt;='Amort. Sched.-BASE'!$I$8, C286&lt;= ($I$7+$I$8)), H285+F286, 0)</f>
        <v>39867.673399304222</v>
      </c>
      <c r="I286" s="24">
        <f>IF(AND(C286&gt;='Amort. Sched.-BASE'!$I$8, C286&lt;= ($I$7+$I$8)), E286/D286, " ")</f>
        <v>0.15865889834457311</v>
      </c>
      <c r="J286" s="25">
        <f>IF(AND(C286&gt;='Amort. Sched.-BASE'!$I$8, C286&lt;= ($I$7+$I$8)), F286/D286, " ")</f>
        <v>0.84134110165542697</v>
      </c>
      <c r="L286" s="20">
        <f t="shared" si="66"/>
        <v>275</v>
      </c>
      <c r="M286" s="5">
        <f>IF(AND(L286&gt;='Amort. Sched.-BASE'!$R$8, L286&lt;= ($R$7+$R$8)), PMT('Amort. Sched.-BASE'!$N$8/12, 'Amort. Sched.-BASE'!$R$7, 'Amort. Sched.-BASE'!$N$7), 0)</f>
        <v>0</v>
      </c>
      <c r="N286" s="5">
        <f>IF(AND(L286&gt;='Amort. Sched.-BASE'!$R$8, L286&lt;= ($R$7+$R$8)), (IPMT($N$8/12, (L286-$R$8), $R$7, $N$7)), 0)</f>
        <v>0</v>
      </c>
      <c r="O286" s="5">
        <f>IF(AND(L286&gt;='Amort. Sched.-BASE'!$R$8, L286&lt;= ($R$7+$R$8)), (PPMT($N$8/12, (L286-$R$8), $R$7, $N$7)), 0)</f>
        <v>0</v>
      </c>
      <c r="P286" s="5">
        <f>IF(CreditAmort1BASE[[#This Row],[Month]]=R$8,N$7,0)</f>
        <v>0</v>
      </c>
      <c r="Q286" s="13">
        <f>IF(AND(L286&gt;='Amort. Sched.-BASE'!$R$8, L286&lt;= ($R$7+$R$8)), Q285+O286, 0)</f>
        <v>0</v>
      </c>
      <c r="R286" s="6" t="str">
        <f>IF(AND(L286&gt;='Amort. Sched.-BASE'!$R$8, L286&lt;= ($R$7+$R$8)), N286/M286, " ")</f>
        <v xml:space="preserve"> </v>
      </c>
      <c r="S286" s="21" t="str">
        <f>IF(AND(L286&gt;='Amort. Sched.-BASE'!$R$8, L286&lt;= ($R$7+$R$8)), O286/M286, " ")</f>
        <v xml:space="preserve"> </v>
      </c>
      <c r="U286" s="22">
        <f t="shared" si="67"/>
        <v>275</v>
      </c>
      <c r="V286" s="23">
        <f>IF(AND(U286&gt;='Amort. Sched.-BASE'!$AA$8, U286&lt;= ($AA$7+$AA$8)), PMT('Amort. Sched.-BASE'!$W$8/12, 'Amort. Sched.-BASE'!$AA$7, 'Amort. Sched.-BASE'!$W$7), 0)</f>
        <v>0</v>
      </c>
      <c r="W286" s="5">
        <f>IF(AND(U286&gt;='Amort. Sched.-BASE'!$AA$8, U286&lt;= ($AA$7+$AA$8)), (IPMT($W$8/12, (U286-$AA$8), $AA$7, $W$7)), 0)</f>
        <v>0</v>
      </c>
      <c r="X286" s="23">
        <f>IF(AND(U286&gt;='Amort. Sched.-BASE'!$AA$8, U286&lt;= ($AA$7+$AA$8)), (PPMT($W$8/12, (U286-$AA$8), $AA$7, $W$7)), 0)</f>
        <v>0</v>
      </c>
      <c r="Y286" s="5">
        <f>IF(CreditAmort2BASE[[#This Row],[Month]]=AA$8,W$7,0)</f>
        <v>0</v>
      </c>
      <c r="Z286" s="13">
        <f>IF(AND(U286&gt;='Amort. Sched.-BASE'!$AA$8, U286&lt;= ($AA$7+$AA$8)), Z285+X286, 0)</f>
        <v>0</v>
      </c>
      <c r="AA286" s="24" t="str">
        <f>IF(AND(U286&gt;='Amort. Sched.-BASE'!$AA$8, U286&lt;= ($AA$7+$AA$8)), W286/V286, " ")</f>
        <v xml:space="preserve"> </v>
      </c>
      <c r="AB286" s="25" t="str">
        <f>IF(AND(U286&gt;='Amort. Sched.-BASE'!$AA$8, U286&lt;= ($AA$7+$AA$8)), X286/V286, " ")</f>
        <v xml:space="preserve"> </v>
      </c>
      <c r="AD286" s="20">
        <f t="shared" si="68"/>
        <v>275</v>
      </c>
      <c r="AE286" s="5">
        <f t="shared" si="69"/>
        <v>0</v>
      </c>
      <c r="AF286" s="5">
        <f t="shared" si="70"/>
        <v>0</v>
      </c>
      <c r="AG286" s="5">
        <f t="shared" si="71"/>
        <v>0</v>
      </c>
      <c r="AH286" s="5">
        <f>IF(CreditAmort3BASE[[#This Row],[Month]]=AJ$8,AF$7,0)</f>
        <v>0</v>
      </c>
      <c r="AI286" s="13">
        <f t="shared" si="72"/>
        <v>0</v>
      </c>
      <c r="AJ286" s="6" t="str">
        <f t="shared" si="73"/>
        <v xml:space="preserve"> </v>
      </c>
      <c r="AK286" s="21" t="str">
        <f t="shared" si="74"/>
        <v xml:space="preserve"> </v>
      </c>
      <c r="AM286" s="20">
        <f t="shared" si="75"/>
        <v>275</v>
      </c>
      <c r="AN286" s="5">
        <f t="shared" si="76"/>
        <v>0</v>
      </c>
      <c r="AO286" s="5">
        <f t="shared" si="77"/>
        <v>0</v>
      </c>
      <c r="AP286" s="5">
        <f t="shared" si="78"/>
        <v>0</v>
      </c>
      <c r="AQ286" s="5">
        <f>IF(CreditAmort4BASE[[#This Row],[Month]]=AS$8,AO$7,0)</f>
        <v>0</v>
      </c>
      <c r="AR286" s="13">
        <f t="shared" si="79"/>
        <v>0</v>
      </c>
      <c r="AS286" s="6" t="str">
        <f t="shared" si="80"/>
        <v xml:space="preserve"> </v>
      </c>
      <c r="AT286" s="21" t="str">
        <f t="shared" si="81"/>
        <v xml:space="preserve"> </v>
      </c>
    </row>
    <row r="287" spans="3:46">
      <c r="C287" s="22">
        <f t="shared" si="17"/>
        <v>276</v>
      </c>
      <c r="D287" s="23">
        <f>IF(AND(C287&gt;='Amort. Sched.-BASE'!$I$8, C287&lt;= ($I$7+$I$8)), PMT('Amort. Sched.-BASE'!$E$8/12, 'Amort. Sched.-BASE'!$I$7, 'Amort. Sched.-BASE'!$E$7), 0)</f>
        <v>-1736.5864935892569</v>
      </c>
      <c r="E287" s="5">
        <f>IF(AND(C287&gt;='Amort. Sched.-BASE'!$I$8, C287&lt;= ($I$7+$I$8)), (IPMT($E$8/12, (C287-$I$8), $I$7, $E$7)), 0)</f>
        <v>-265.78448932869441</v>
      </c>
      <c r="F287" s="23">
        <f>IF(AND(C287&gt;='Amort. Sched.-BASE'!$I$8, C287&lt;= ($I$7+$I$8)), (PPMT($E$8/12, (C287-$I$8), $I$7, $E$7)), 0)</f>
        <v>-1470.8020042605626</v>
      </c>
      <c r="G287" s="5">
        <f>IF(MortgageAmortBASE[[#This Row],[Month]]=I$8,E$7,0)</f>
        <v>0</v>
      </c>
      <c r="H287" s="13">
        <f>IF(AND(C287&gt;='Amort. Sched.-BASE'!$I$8, C287&lt;= ($I$7+$I$8)), H286+F287, 0)</f>
        <v>38396.871395043658</v>
      </c>
      <c r="I287" s="24">
        <f>IF(AND(C287&gt;='Amort. Sched.-BASE'!$I$8, C287&lt;= ($I$7+$I$8)), E287/D287, " ")</f>
        <v>0.15304995766687024</v>
      </c>
      <c r="J287" s="25">
        <f>IF(AND(C287&gt;='Amort. Sched.-BASE'!$I$8, C287&lt;= ($I$7+$I$8)), F287/D287, " ")</f>
        <v>0.84695004233312987</v>
      </c>
      <c r="L287" s="20">
        <f t="shared" si="66"/>
        <v>276</v>
      </c>
      <c r="M287" s="5">
        <f>IF(AND(L287&gt;='Amort. Sched.-BASE'!$R$8, L287&lt;= ($R$7+$R$8)), PMT('Amort. Sched.-BASE'!$N$8/12, 'Amort. Sched.-BASE'!$R$7, 'Amort. Sched.-BASE'!$N$7), 0)</f>
        <v>0</v>
      </c>
      <c r="N287" s="5">
        <f>IF(AND(L287&gt;='Amort. Sched.-BASE'!$R$8, L287&lt;= ($R$7+$R$8)), (IPMT($N$8/12, (L287-$R$8), $R$7, $N$7)), 0)</f>
        <v>0</v>
      </c>
      <c r="O287" s="5">
        <f>IF(AND(L287&gt;='Amort. Sched.-BASE'!$R$8, L287&lt;= ($R$7+$R$8)), (PPMT($N$8/12, (L287-$R$8), $R$7, $N$7)), 0)</f>
        <v>0</v>
      </c>
      <c r="P287" s="5">
        <f>IF(CreditAmort1BASE[[#This Row],[Month]]=R$8,N$7,0)</f>
        <v>0</v>
      </c>
      <c r="Q287" s="13">
        <f>IF(AND(L287&gt;='Amort. Sched.-BASE'!$R$8, L287&lt;= ($R$7+$R$8)), Q286+O287, 0)</f>
        <v>0</v>
      </c>
      <c r="R287" s="6" t="str">
        <f>IF(AND(L287&gt;='Amort. Sched.-BASE'!$R$8, L287&lt;= ($R$7+$R$8)), N287/M287, " ")</f>
        <v xml:space="preserve"> </v>
      </c>
      <c r="S287" s="21" t="str">
        <f>IF(AND(L287&gt;='Amort. Sched.-BASE'!$R$8, L287&lt;= ($R$7+$R$8)), O287/M287, " ")</f>
        <v xml:space="preserve"> </v>
      </c>
      <c r="U287" s="22">
        <f t="shared" si="67"/>
        <v>276</v>
      </c>
      <c r="V287" s="23">
        <f>IF(AND(U287&gt;='Amort. Sched.-BASE'!$AA$8, U287&lt;= ($AA$7+$AA$8)), PMT('Amort. Sched.-BASE'!$W$8/12, 'Amort. Sched.-BASE'!$AA$7, 'Amort. Sched.-BASE'!$W$7), 0)</f>
        <v>0</v>
      </c>
      <c r="W287" s="5">
        <f>IF(AND(U287&gt;='Amort. Sched.-BASE'!$AA$8, U287&lt;= ($AA$7+$AA$8)), (IPMT($W$8/12, (U287-$AA$8), $AA$7, $W$7)), 0)</f>
        <v>0</v>
      </c>
      <c r="X287" s="23">
        <f>IF(AND(U287&gt;='Amort. Sched.-BASE'!$AA$8, U287&lt;= ($AA$7+$AA$8)), (PPMT($W$8/12, (U287-$AA$8), $AA$7, $W$7)), 0)</f>
        <v>0</v>
      </c>
      <c r="Y287" s="5">
        <f>IF(CreditAmort2BASE[[#This Row],[Month]]=AA$8,W$7,0)</f>
        <v>0</v>
      </c>
      <c r="Z287" s="13">
        <f>IF(AND(U287&gt;='Amort. Sched.-BASE'!$AA$8, U287&lt;= ($AA$7+$AA$8)), Z286+X287, 0)</f>
        <v>0</v>
      </c>
      <c r="AA287" s="24" t="str">
        <f>IF(AND(U287&gt;='Amort. Sched.-BASE'!$AA$8, U287&lt;= ($AA$7+$AA$8)), W287/V287, " ")</f>
        <v xml:space="preserve"> </v>
      </c>
      <c r="AB287" s="25" t="str">
        <f>IF(AND(U287&gt;='Amort. Sched.-BASE'!$AA$8, U287&lt;= ($AA$7+$AA$8)), X287/V287, " ")</f>
        <v xml:space="preserve"> </v>
      </c>
      <c r="AD287" s="20">
        <f t="shared" si="68"/>
        <v>276</v>
      </c>
      <c r="AE287" s="5">
        <f t="shared" si="69"/>
        <v>0</v>
      </c>
      <c r="AF287" s="5">
        <f t="shared" si="70"/>
        <v>0</v>
      </c>
      <c r="AG287" s="5">
        <f t="shared" si="71"/>
        <v>0</v>
      </c>
      <c r="AH287" s="5">
        <f>IF(CreditAmort3BASE[[#This Row],[Month]]=AJ$8,AF$7,0)</f>
        <v>0</v>
      </c>
      <c r="AI287" s="13">
        <f t="shared" si="72"/>
        <v>0</v>
      </c>
      <c r="AJ287" s="6" t="str">
        <f t="shared" si="73"/>
        <v xml:space="preserve"> </v>
      </c>
      <c r="AK287" s="21" t="str">
        <f t="shared" si="74"/>
        <v xml:space="preserve"> </v>
      </c>
      <c r="AM287" s="20">
        <f t="shared" si="75"/>
        <v>276</v>
      </c>
      <c r="AN287" s="5">
        <f t="shared" si="76"/>
        <v>0</v>
      </c>
      <c r="AO287" s="5">
        <f t="shared" si="77"/>
        <v>0</v>
      </c>
      <c r="AP287" s="5">
        <f t="shared" si="78"/>
        <v>0</v>
      </c>
      <c r="AQ287" s="5">
        <f>IF(CreditAmort4BASE[[#This Row],[Month]]=AS$8,AO$7,0)</f>
        <v>0</v>
      </c>
      <c r="AR287" s="13">
        <f t="shared" si="79"/>
        <v>0</v>
      </c>
      <c r="AS287" s="6" t="str">
        <f t="shared" si="80"/>
        <v xml:space="preserve"> </v>
      </c>
      <c r="AT287" s="21" t="str">
        <f t="shared" si="81"/>
        <v xml:space="preserve"> </v>
      </c>
    </row>
    <row r="288" spans="3:46">
      <c r="C288" s="22">
        <f t="shared" si="17"/>
        <v>277</v>
      </c>
      <c r="D288" s="23">
        <f>IF(AND(C288&gt;='Amort. Sched.-BASE'!$I$8, C288&lt;= ($I$7+$I$8)), PMT('Amort. Sched.-BASE'!$E$8/12, 'Amort. Sched.-BASE'!$I$7, 'Amort. Sched.-BASE'!$E$7), 0)</f>
        <v>-1736.5864935892569</v>
      </c>
      <c r="E288" s="5">
        <f>IF(AND(C288&gt;='Amort. Sched.-BASE'!$I$8, C288&lt;= ($I$7+$I$8)), (IPMT($E$8/12, (C288-$I$8), $I$7, $E$7)), 0)</f>
        <v>-255.97914263362401</v>
      </c>
      <c r="F288" s="23">
        <f>IF(AND(C288&gt;='Amort. Sched.-BASE'!$I$8, C288&lt;= ($I$7+$I$8)), (PPMT($E$8/12, (C288-$I$8), $I$7, $E$7)), 0)</f>
        <v>-1480.6073509556329</v>
      </c>
      <c r="G288" s="5">
        <f>IF(MortgageAmortBASE[[#This Row],[Month]]=I$8,E$7,0)</f>
        <v>0</v>
      </c>
      <c r="H288" s="13">
        <f>IF(AND(C288&gt;='Amort. Sched.-BASE'!$I$8, C288&lt;= ($I$7+$I$8)), H287+F288, 0)</f>
        <v>36916.264044088028</v>
      </c>
      <c r="I288" s="24">
        <f>IF(AND(C288&gt;='Amort. Sched.-BASE'!$I$8, C288&lt;= ($I$7+$I$8)), E288/D288, " ")</f>
        <v>0.14740362405131607</v>
      </c>
      <c r="J288" s="25">
        <f>IF(AND(C288&gt;='Amort. Sched.-BASE'!$I$8, C288&lt;= ($I$7+$I$8)), F288/D288, " ")</f>
        <v>0.85259637594868398</v>
      </c>
      <c r="L288" s="20">
        <f t="shared" si="66"/>
        <v>277</v>
      </c>
      <c r="M288" s="5">
        <f>IF(AND(L288&gt;='Amort. Sched.-BASE'!$R$8, L288&lt;= ($R$7+$R$8)), PMT('Amort. Sched.-BASE'!$N$8/12, 'Amort. Sched.-BASE'!$R$7, 'Amort. Sched.-BASE'!$N$7), 0)</f>
        <v>0</v>
      </c>
      <c r="N288" s="5">
        <f>IF(AND(L288&gt;='Amort. Sched.-BASE'!$R$8, L288&lt;= ($R$7+$R$8)), (IPMT($N$8/12, (L288-$R$8), $R$7, $N$7)), 0)</f>
        <v>0</v>
      </c>
      <c r="O288" s="5">
        <f>IF(AND(L288&gt;='Amort. Sched.-BASE'!$R$8, L288&lt;= ($R$7+$R$8)), (PPMT($N$8/12, (L288-$R$8), $R$7, $N$7)), 0)</f>
        <v>0</v>
      </c>
      <c r="P288" s="5">
        <f>IF(CreditAmort1BASE[[#This Row],[Month]]=R$8,N$7,0)</f>
        <v>0</v>
      </c>
      <c r="Q288" s="13">
        <f>IF(AND(L288&gt;='Amort. Sched.-BASE'!$R$8, L288&lt;= ($R$7+$R$8)), Q287+O288, 0)</f>
        <v>0</v>
      </c>
      <c r="R288" s="6" t="str">
        <f>IF(AND(L288&gt;='Amort. Sched.-BASE'!$R$8, L288&lt;= ($R$7+$R$8)), N288/M288, " ")</f>
        <v xml:space="preserve"> </v>
      </c>
      <c r="S288" s="21" t="str">
        <f>IF(AND(L288&gt;='Amort. Sched.-BASE'!$R$8, L288&lt;= ($R$7+$R$8)), O288/M288, " ")</f>
        <v xml:space="preserve"> </v>
      </c>
      <c r="U288" s="22">
        <f t="shared" si="67"/>
        <v>277</v>
      </c>
      <c r="V288" s="23">
        <f>IF(AND(U288&gt;='Amort. Sched.-BASE'!$AA$8, U288&lt;= ($AA$7+$AA$8)), PMT('Amort. Sched.-BASE'!$W$8/12, 'Amort. Sched.-BASE'!$AA$7, 'Amort. Sched.-BASE'!$W$7), 0)</f>
        <v>0</v>
      </c>
      <c r="W288" s="5">
        <f>IF(AND(U288&gt;='Amort. Sched.-BASE'!$AA$8, U288&lt;= ($AA$7+$AA$8)), (IPMT($W$8/12, (U288-$AA$8), $AA$7, $W$7)), 0)</f>
        <v>0</v>
      </c>
      <c r="X288" s="23">
        <f>IF(AND(U288&gt;='Amort. Sched.-BASE'!$AA$8, U288&lt;= ($AA$7+$AA$8)), (PPMT($W$8/12, (U288-$AA$8), $AA$7, $W$7)), 0)</f>
        <v>0</v>
      </c>
      <c r="Y288" s="5">
        <f>IF(CreditAmort2BASE[[#This Row],[Month]]=AA$8,W$7,0)</f>
        <v>0</v>
      </c>
      <c r="Z288" s="13">
        <f>IF(AND(U288&gt;='Amort. Sched.-BASE'!$AA$8, U288&lt;= ($AA$7+$AA$8)), Z287+X288, 0)</f>
        <v>0</v>
      </c>
      <c r="AA288" s="24" t="str">
        <f>IF(AND(U288&gt;='Amort. Sched.-BASE'!$AA$8, U288&lt;= ($AA$7+$AA$8)), W288/V288, " ")</f>
        <v xml:space="preserve"> </v>
      </c>
      <c r="AB288" s="25" t="str">
        <f>IF(AND(U288&gt;='Amort. Sched.-BASE'!$AA$8, U288&lt;= ($AA$7+$AA$8)), X288/V288, " ")</f>
        <v xml:space="preserve"> </v>
      </c>
      <c r="AD288" s="20">
        <f t="shared" si="68"/>
        <v>277</v>
      </c>
      <c r="AE288" s="5">
        <f t="shared" si="69"/>
        <v>0</v>
      </c>
      <c r="AF288" s="5">
        <f t="shared" si="70"/>
        <v>0</v>
      </c>
      <c r="AG288" s="5">
        <f t="shared" si="71"/>
        <v>0</v>
      </c>
      <c r="AH288" s="5">
        <f>IF(CreditAmort3BASE[[#This Row],[Month]]=AJ$8,AF$7,0)</f>
        <v>0</v>
      </c>
      <c r="AI288" s="13">
        <f t="shared" si="72"/>
        <v>0</v>
      </c>
      <c r="AJ288" s="6" t="str">
        <f t="shared" si="73"/>
        <v xml:space="preserve"> </v>
      </c>
      <c r="AK288" s="21" t="str">
        <f t="shared" si="74"/>
        <v xml:space="preserve"> </v>
      </c>
      <c r="AM288" s="20">
        <f t="shared" si="75"/>
        <v>277</v>
      </c>
      <c r="AN288" s="5">
        <f t="shared" si="76"/>
        <v>0</v>
      </c>
      <c r="AO288" s="5">
        <f t="shared" si="77"/>
        <v>0</v>
      </c>
      <c r="AP288" s="5">
        <f t="shared" si="78"/>
        <v>0</v>
      </c>
      <c r="AQ288" s="5">
        <f>IF(CreditAmort4BASE[[#This Row],[Month]]=AS$8,AO$7,0)</f>
        <v>0</v>
      </c>
      <c r="AR288" s="13">
        <f t="shared" si="79"/>
        <v>0</v>
      </c>
      <c r="AS288" s="6" t="str">
        <f t="shared" si="80"/>
        <v xml:space="preserve"> </v>
      </c>
      <c r="AT288" s="21" t="str">
        <f t="shared" si="81"/>
        <v xml:space="preserve"> </v>
      </c>
    </row>
    <row r="289" spans="3:46">
      <c r="C289" s="22">
        <f t="shared" ref="C289:C352" si="82">C288+1</f>
        <v>278</v>
      </c>
      <c r="D289" s="23">
        <f>IF(AND(C289&gt;='Amort. Sched.-BASE'!$I$8, C289&lt;= ($I$7+$I$8)), PMT('Amort. Sched.-BASE'!$E$8/12, 'Amort. Sched.-BASE'!$I$7, 'Amort. Sched.-BASE'!$E$7), 0)</f>
        <v>-1736.5864935892569</v>
      </c>
      <c r="E289" s="5">
        <f>IF(AND(C289&gt;='Amort. Sched.-BASE'!$I$8, C289&lt;= ($I$7+$I$8)), (IPMT($E$8/12, (C289-$I$8), $I$7, $E$7)), 0)</f>
        <v>-246.10842696058643</v>
      </c>
      <c r="F289" s="23">
        <f>IF(AND(C289&gt;='Amort. Sched.-BASE'!$I$8, C289&lt;= ($I$7+$I$8)), (PPMT($E$8/12, (C289-$I$8), $I$7, $E$7)), 0)</f>
        <v>-1490.4780666286706</v>
      </c>
      <c r="G289" s="5">
        <f>IF(MortgageAmortBASE[[#This Row],[Month]]=I$8,E$7,0)</f>
        <v>0</v>
      </c>
      <c r="H289" s="13">
        <f>IF(AND(C289&gt;='Amort. Sched.-BASE'!$I$8, C289&lt;= ($I$7+$I$8)), H288+F289, 0)</f>
        <v>35425.78597745936</v>
      </c>
      <c r="I289" s="24">
        <f>IF(AND(C289&gt;='Amort. Sched.-BASE'!$I$8, C289&lt;= ($I$7+$I$8)), E289/D289, " ")</f>
        <v>0.14171964821165814</v>
      </c>
      <c r="J289" s="25">
        <f>IF(AND(C289&gt;='Amort. Sched.-BASE'!$I$8, C289&lt;= ($I$7+$I$8)), F289/D289, " ")</f>
        <v>0.85828035178834194</v>
      </c>
      <c r="L289" s="20">
        <f t="shared" si="66"/>
        <v>278</v>
      </c>
      <c r="M289" s="5">
        <f>IF(AND(L289&gt;='Amort. Sched.-BASE'!$R$8, L289&lt;= ($R$7+$R$8)), PMT('Amort. Sched.-BASE'!$N$8/12, 'Amort. Sched.-BASE'!$R$7, 'Amort. Sched.-BASE'!$N$7), 0)</f>
        <v>0</v>
      </c>
      <c r="N289" s="5">
        <f>IF(AND(L289&gt;='Amort. Sched.-BASE'!$R$8, L289&lt;= ($R$7+$R$8)), (IPMT($N$8/12, (L289-$R$8), $R$7, $N$7)), 0)</f>
        <v>0</v>
      </c>
      <c r="O289" s="5">
        <f>IF(AND(L289&gt;='Amort. Sched.-BASE'!$R$8, L289&lt;= ($R$7+$R$8)), (PPMT($N$8/12, (L289-$R$8), $R$7, $N$7)), 0)</f>
        <v>0</v>
      </c>
      <c r="P289" s="5">
        <f>IF(CreditAmort1BASE[[#This Row],[Month]]=R$8,N$7,0)</f>
        <v>0</v>
      </c>
      <c r="Q289" s="13">
        <f>IF(AND(L289&gt;='Amort. Sched.-BASE'!$R$8, L289&lt;= ($R$7+$R$8)), Q288+O289, 0)</f>
        <v>0</v>
      </c>
      <c r="R289" s="6" t="str">
        <f>IF(AND(L289&gt;='Amort. Sched.-BASE'!$R$8, L289&lt;= ($R$7+$R$8)), N289/M289, " ")</f>
        <v xml:space="preserve"> </v>
      </c>
      <c r="S289" s="21" t="str">
        <f>IF(AND(L289&gt;='Amort. Sched.-BASE'!$R$8, L289&lt;= ($R$7+$R$8)), O289/M289, " ")</f>
        <v xml:space="preserve"> </v>
      </c>
      <c r="U289" s="22">
        <f t="shared" si="67"/>
        <v>278</v>
      </c>
      <c r="V289" s="23">
        <f>IF(AND(U289&gt;='Amort. Sched.-BASE'!$AA$8, U289&lt;= ($AA$7+$AA$8)), PMT('Amort. Sched.-BASE'!$W$8/12, 'Amort. Sched.-BASE'!$AA$7, 'Amort. Sched.-BASE'!$W$7), 0)</f>
        <v>0</v>
      </c>
      <c r="W289" s="5">
        <f>IF(AND(U289&gt;='Amort. Sched.-BASE'!$AA$8, U289&lt;= ($AA$7+$AA$8)), (IPMT($W$8/12, (U289-$AA$8), $AA$7, $W$7)), 0)</f>
        <v>0</v>
      </c>
      <c r="X289" s="23">
        <f>IF(AND(U289&gt;='Amort. Sched.-BASE'!$AA$8, U289&lt;= ($AA$7+$AA$8)), (PPMT($W$8/12, (U289-$AA$8), $AA$7, $W$7)), 0)</f>
        <v>0</v>
      </c>
      <c r="Y289" s="5">
        <f>IF(CreditAmort2BASE[[#This Row],[Month]]=AA$8,W$7,0)</f>
        <v>0</v>
      </c>
      <c r="Z289" s="13">
        <f>IF(AND(U289&gt;='Amort. Sched.-BASE'!$AA$8, U289&lt;= ($AA$7+$AA$8)), Z288+X289, 0)</f>
        <v>0</v>
      </c>
      <c r="AA289" s="24" t="str">
        <f>IF(AND(U289&gt;='Amort. Sched.-BASE'!$AA$8, U289&lt;= ($AA$7+$AA$8)), W289/V289, " ")</f>
        <v xml:space="preserve"> </v>
      </c>
      <c r="AB289" s="25" t="str">
        <f>IF(AND(U289&gt;='Amort. Sched.-BASE'!$AA$8, U289&lt;= ($AA$7+$AA$8)), X289/V289, " ")</f>
        <v xml:space="preserve"> </v>
      </c>
      <c r="AD289" s="20">
        <f t="shared" si="68"/>
        <v>278</v>
      </c>
      <c r="AE289" s="5">
        <f t="shared" si="69"/>
        <v>0</v>
      </c>
      <c r="AF289" s="5">
        <f t="shared" si="70"/>
        <v>0</v>
      </c>
      <c r="AG289" s="5">
        <f t="shared" si="71"/>
        <v>0</v>
      </c>
      <c r="AH289" s="5">
        <f>IF(CreditAmort3BASE[[#This Row],[Month]]=AJ$8,AF$7,0)</f>
        <v>0</v>
      </c>
      <c r="AI289" s="13">
        <f t="shared" si="72"/>
        <v>0</v>
      </c>
      <c r="AJ289" s="6" t="str">
        <f t="shared" si="73"/>
        <v xml:space="preserve"> </v>
      </c>
      <c r="AK289" s="21" t="str">
        <f t="shared" si="74"/>
        <v xml:space="preserve"> </v>
      </c>
      <c r="AM289" s="20">
        <f t="shared" si="75"/>
        <v>278</v>
      </c>
      <c r="AN289" s="5">
        <f t="shared" si="76"/>
        <v>0</v>
      </c>
      <c r="AO289" s="5">
        <f t="shared" si="77"/>
        <v>0</v>
      </c>
      <c r="AP289" s="5">
        <f t="shared" si="78"/>
        <v>0</v>
      </c>
      <c r="AQ289" s="5">
        <f>IF(CreditAmort4BASE[[#This Row],[Month]]=AS$8,AO$7,0)</f>
        <v>0</v>
      </c>
      <c r="AR289" s="13">
        <f t="shared" si="79"/>
        <v>0</v>
      </c>
      <c r="AS289" s="6" t="str">
        <f t="shared" si="80"/>
        <v xml:space="preserve"> </v>
      </c>
      <c r="AT289" s="21" t="str">
        <f t="shared" si="81"/>
        <v xml:space="preserve"> </v>
      </c>
    </row>
    <row r="290" spans="3:46">
      <c r="C290" s="22">
        <f t="shared" si="82"/>
        <v>279</v>
      </c>
      <c r="D290" s="23">
        <f>IF(AND(C290&gt;='Amort. Sched.-BASE'!$I$8, C290&lt;= ($I$7+$I$8)), PMT('Amort. Sched.-BASE'!$E$8/12, 'Amort. Sched.-BASE'!$I$7, 'Amort. Sched.-BASE'!$E$7), 0)</f>
        <v>-1736.5864935892569</v>
      </c>
      <c r="E290" s="5">
        <f>IF(AND(C290&gt;='Amort. Sched.-BASE'!$I$8, C290&lt;= ($I$7+$I$8)), (IPMT($E$8/12, (C290-$I$8), $I$7, $E$7)), 0)</f>
        <v>-236.17190651639532</v>
      </c>
      <c r="F290" s="23">
        <f>IF(AND(C290&gt;='Amort. Sched.-BASE'!$I$8, C290&lt;= ($I$7+$I$8)), (PPMT($E$8/12, (C290-$I$8), $I$7, $E$7)), 0)</f>
        <v>-1500.4145870728614</v>
      </c>
      <c r="G290" s="5">
        <f>IF(MortgageAmortBASE[[#This Row],[Month]]=I$8,E$7,0)</f>
        <v>0</v>
      </c>
      <c r="H290" s="13">
        <f>IF(AND(C290&gt;='Amort. Sched.-BASE'!$I$8, C290&lt;= ($I$7+$I$8)), H289+F290, 0)</f>
        <v>33925.371390386499</v>
      </c>
      <c r="I290" s="24">
        <f>IF(AND(C290&gt;='Amort. Sched.-BASE'!$I$8, C290&lt;= ($I$7+$I$8)), E290/D290, " ")</f>
        <v>0.13599777919973588</v>
      </c>
      <c r="J290" s="25">
        <f>IF(AND(C290&gt;='Amort. Sched.-BASE'!$I$8, C290&lt;= ($I$7+$I$8)), F290/D290, " ")</f>
        <v>0.86400222080026401</v>
      </c>
      <c r="L290" s="20">
        <f t="shared" si="66"/>
        <v>279</v>
      </c>
      <c r="M290" s="5">
        <f>IF(AND(L290&gt;='Amort. Sched.-BASE'!$R$8, L290&lt;= ($R$7+$R$8)), PMT('Amort. Sched.-BASE'!$N$8/12, 'Amort. Sched.-BASE'!$R$7, 'Amort. Sched.-BASE'!$N$7), 0)</f>
        <v>0</v>
      </c>
      <c r="N290" s="5">
        <f>IF(AND(L290&gt;='Amort. Sched.-BASE'!$R$8, L290&lt;= ($R$7+$R$8)), (IPMT($N$8/12, (L290-$R$8), $R$7, $N$7)), 0)</f>
        <v>0</v>
      </c>
      <c r="O290" s="5">
        <f>IF(AND(L290&gt;='Amort. Sched.-BASE'!$R$8, L290&lt;= ($R$7+$R$8)), (PPMT($N$8/12, (L290-$R$8), $R$7, $N$7)), 0)</f>
        <v>0</v>
      </c>
      <c r="P290" s="5">
        <f>IF(CreditAmort1BASE[[#This Row],[Month]]=R$8,N$7,0)</f>
        <v>0</v>
      </c>
      <c r="Q290" s="13">
        <f>IF(AND(L290&gt;='Amort. Sched.-BASE'!$R$8, L290&lt;= ($R$7+$R$8)), Q289+O290, 0)</f>
        <v>0</v>
      </c>
      <c r="R290" s="6" t="str">
        <f>IF(AND(L290&gt;='Amort. Sched.-BASE'!$R$8, L290&lt;= ($R$7+$R$8)), N290/M290, " ")</f>
        <v xml:space="preserve"> </v>
      </c>
      <c r="S290" s="21" t="str">
        <f>IF(AND(L290&gt;='Amort. Sched.-BASE'!$R$8, L290&lt;= ($R$7+$R$8)), O290/M290, " ")</f>
        <v xml:space="preserve"> </v>
      </c>
      <c r="U290" s="22">
        <f t="shared" si="67"/>
        <v>279</v>
      </c>
      <c r="V290" s="23">
        <f>IF(AND(U290&gt;='Amort. Sched.-BASE'!$AA$8, U290&lt;= ($AA$7+$AA$8)), PMT('Amort. Sched.-BASE'!$W$8/12, 'Amort. Sched.-BASE'!$AA$7, 'Amort. Sched.-BASE'!$W$7), 0)</f>
        <v>0</v>
      </c>
      <c r="W290" s="5">
        <f>IF(AND(U290&gt;='Amort. Sched.-BASE'!$AA$8, U290&lt;= ($AA$7+$AA$8)), (IPMT($W$8/12, (U290-$AA$8), $AA$7, $W$7)), 0)</f>
        <v>0</v>
      </c>
      <c r="X290" s="23">
        <f>IF(AND(U290&gt;='Amort. Sched.-BASE'!$AA$8, U290&lt;= ($AA$7+$AA$8)), (PPMT($W$8/12, (U290-$AA$8), $AA$7, $W$7)), 0)</f>
        <v>0</v>
      </c>
      <c r="Y290" s="5">
        <f>IF(CreditAmort2BASE[[#This Row],[Month]]=AA$8,W$7,0)</f>
        <v>0</v>
      </c>
      <c r="Z290" s="13">
        <f>IF(AND(U290&gt;='Amort. Sched.-BASE'!$AA$8, U290&lt;= ($AA$7+$AA$8)), Z289+X290, 0)</f>
        <v>0</v>
      </c>
      <c r="AA290" s="24" t="str">
        <f>IF(AND(U290&gt;='Amort. Sched.-BASE'!$AA$8, U290&lt;= ($AA$7+$AA$8)), W290/V290, " ")</f>
        <v xml:space="preserve"> </v>
      </c>
      <c r="AB290" s="25" t="str">
        <f>IF(AND(U290&gt;='Amort. Sched.-BASE'!$AA$8, U290&lt;= ($AA$7+$AA$8)), X290/V290, " ")</f>
        <v xml:space="preserve"> </v>
      </c>
      <c r="AD290" s="20">
        <f t="shared" si="68"/>
        <v>279</v>
      </c>
      <c r="AE290" s="5">
        <f t="shared" si="69"/>
        <v>0</v>
      </c>
      <c r="AF290" s="5">
        <f t="shared" si="70"/>
        <v>0</v>
      </c>
      <c r="AG290" s="5">
        <f t="shared" si="71"/>
        <v>0</v>
      </c>
      <c r="AH290" s="5">
        <f>IF(CreditAmort3BASE[[#This Row],[Month]]=AJ$8,AF$7,0)</f>
        <v>0</v>
      </c>
      <c r="AI290" s="13">
        <f t="shared" si="72"/>
        <v>0</v>
      </c>
      <c r="AJ290" s="6" t="str">
        <f t="shared" si="73"/>
        <v xml:space="preserve"> </v>
      </c>
      <c r="AK290" s="21" t="str">
        <f t="shared" si="74"/>
        <v xml:space="preserve"> </v>
      </c>
      <c r="AM290" s="20">
        <f t="shared" si="75"/>
        <v>279</v>
      </c>
      <c r="AN290" s="5">
        <f t="shared" si="76"/>
        <v>0</v>
      </c>
      <c r="AO290" s="5">
        <f t="shared" si="77"/>
        <v>0</v>
      </c>
      <c r="AP290" s="5">
        <f t="shared" si="78"/>
        <v>0</v>
      </c>
      <c r="AQ290" s="5">
        <f>IF(CreditAmort4BASE[[#This Row],[Month]]=AS$8,AO$7,0)</f>
        <v>0</v>
      </c>
      <c r="AR290" s="13">
        <f t="shared" si="79"/>
        <v>0</v>
      </c>
      <c r="AS290" s="6" t="str">
        <f t="shared" si="80"/>
        <v xml:space="preserve"> </v>
      </c>
      <c r="AT290" s="21" t="str">
        <f t="shared" si="81"/>
        <v xml:space="preserve"> </v>
      </c>
    </row>
    <row r="291" spans="3:46">
      <c r="C291" s="22">
        <f t="shared" si="82"/>
        <v>280</v>
      </c>
      <c r="D291" s="23">
        <f>IF(AND(C291&gt;='Amort. Sched.-BASE'!$I$8, C291&lt;= ($I$7+$I$8)), PMT('Amort. Sched.-BASE'!$E$8/12, 'Amort. Sched.-BASE'!$I$7, 'Amort. Sched.-BASE'!$E$7), 0)</f>
        <v>-1736.5864935892569</v>
      </c>
      <c r="E291" s="5">
        <f>IF(AND(C291&gt;='Amort. Sched.-BASE'!$I$8, C291&lt;= ($I$7+$I$8)), (IPMT($E$8/12, (C291-$I$8), $I$7, $E$7)), 0)</f>
        <v>-226.16914260257619</v>
      </c>
      <c r="F291" s="23">
        <f>IF(AND(C291&gt;='Amort. Sched.-BASE'!$I$8, C291&lt;= ($I$7+$I$8)), (PPMT($E$8/12, (C291-$I$8), $I$7, $E$7)), 0)</f>
        <v>-1510.4173509866807</v>
      </c>
      <c r="G291" s="5">
        <f>IF(MortgageAmortBASE[[#This Row],[Month]]=I$8,E$7,0)</f>
        <v>0</v>
      </c>
      <c r="H291" s="13">
        <f>IF(AND(C291&gt;='Amort. Sched.-BASE'!$I$8, C291&lt;= ($I$7+$I$8)), H290+F291, 0)</f>
        <v>32414.954039399818</v>
      </c>
      <c r="I291" s="24">
        <f>IF(AND(C291&gt;='Amort. Sched.-BASE'!$I$8, C291&lt;= ($I$7+$I$8)), E291/D291, " ")</f>
        <v>0.13023776439440077</v>
      </c>
      <c r="J291" s="25">
        <f>IF(AND(C291&gt;='Amort. Sched.-BASE'!$I$8, C291&lt;= ($I$7+$I$8)), F291/D291, " ")</f>
        <v>0.86976223560559929</v>
      </c>
      <c r="L291" s="20">
        <f t="shared" si="66"/>
        <v>280</v>
      </c>
      <c r="M291" s="5">
        <f>IF(AND(L291&gt;='Amort. Sched.-BASE'!$R$8, L291&lt;= ($R$7+$R$8)), PMT('Amort. Sched.-BASE'!$N$8/12, 'Amort. Sched.-BASE'!$R$7, 'Amort. Sched.-BASE'!$N$7), 0)</f>
        <v>0</v>
      </c>
      <c r="N291" s="5">
        <f>IF(AND(L291&gt;='Amort. Sched.-BASE'!$R$8, L291&lt;= ($R$7+$R$8)), (IPMT($N$8/12, (L291-$R$8), $R$7, $N$7)), 0)</f>
        <v>0</v>
      </c>
      <c r="O291" s="5">
        <f>IF(AND(L291&gt;='Amort. Sched.-BASE'!$R$8, L291&lt;= ($R$7+$R$8)), (PPMT($N$8/12, (L291-$R$8), $R$7, $N$7)), 0)</f>
        <v>0</v>
      </c>
      <c r="P291" s="5">
        <f>IF(CreditAmort1BASE[[#This Row],[Month]]=R$8,N$7,0)</f>
        <v>0</v>
      </c>
      <c r="Q291" s="13">
        <f>IF(AND(L291&gt;='Amort. Sched.-BASE'!$R$8, L291&lt;= ($R$7+$R$8)), Q290+O291, 0)</f>
        <v>0</v>
      </c>
      <c r="R291" s="6" t="str">
        <f>IF(AND(L291&gt;='Amort. Sched.-BASE'!$R$8, L291&lt;= ($R$7+$R$8)), N291/M291, " ")</f>
        <v xml:space="preserve"> </v>
      </c>
      <c r="S291" s="21" t="str">
        <f>IF(AND(L291&gt;='Amort. Sched.-BASE'!$R$8, L291&lt;= ($R$7+$R$8)), O291/M291, " ")</f>
        <v xml:space="preserve"> </v>
      </c>
      <c r="U291" s="22">
        <f t="shared" si="67"/>
        <v>280</v>
      </c>
      <c r="V291" s="23">
        <f>IF(AND(U291&gt;='Amort. Sched.-BASE'!$AA$8, U291&lt;= ($AA$7+$AA$8)), PMT('Amort. Sched.-BASE'!$W$8/12, 'Amort. Sched.-BASE'!$AA$7, 'Amort. Sched.-BASE'!$W$7), 0)</f>
        <v>0</v>
      </c>
      <c r="W291" s="5">
        <f>IF(AND(U291&gt;='Amort. Sched.-BASE'!$AA$8, U291&lt;= ($AA$7+$AA$8)), (IPMT($W$8/12, (U291-$AA$8), $AA$7, $W$7)), 0)</f>
        <v>0</v>
      </c>
      <c r="X291" s="23">
        <f>IF(AND(U291&gt;='Amort. Sched.-BASE'!$AA$8, U291&lt;= ($AA$7+$AA$8)), (PPMT($W$8/12, (U291-$AA$8), $AA$7, $W$7)), 0)</f>
        <v>0</v>
      </c>
      <c r="Y291" s="5">
        <f>IF(CreditAmort2BASE[[#This Row],[Month]]=AA$8,W$7,0)</f>
        <v>0</v>
      </c>
      <c r="Z291" s="13">
        <f>IF(AND(U291&gt;='Amort. Sched.-BASE'!$AA$8, U291&lt;= ($AA$7+$AA$8)), Z290+X291, 0)</f>
        <v>0</v>
      </c>
      <c r="AA291" s="24" t="str">
        <f>IF(AND(U291&gt;='Amort. Sched.-BASE'!$AA$8, U291&lt;= ($AA$7+$AA$8)), W291/V291, " ")</f>
        <v xml:space="preserve"> </v>
      </c>
      <c r="AB291" s="25" t="str">
        <f>IF(AND(U291&gt;='Amort. Sched.-BASE'!$AA$8, U291&lt;= ($AA$7+$AA$8)), X291/V291, " ")</f>
        <v xml:space="preserve"> </v>
      </c>
      <c r="AD291" s="20">
        <f t="shared" si="68"/>
        <v>280</v>
      </c>
      <c r="AE291" s="5">
        <f t="shared" si="69"/>
        <v>0</v>
      </c>
      <c r="AF291" s="5">
        <f t="shared" si="70"/>
        <v>0</v>
      </c>
      <c r="AG291" s="5">
        <f t="shared" si="71"/>
        <v>0</v>
      </c>
      <c r="AH291" s="5">
        <f>IF(CreditAmort3BASE[[#This Row],[Month]]=AJ$8,AF$7,0)</f>
        <v>0</v>
      </c>
      <c r="AI291" s="13">
        <f t="shared" si="72"/>
        <v>0</v>
      </c>
      <c r="AJ291" s="6" t="str">
        <f t="shared" si="73"/>
        <v xml:space="preserve"> </v>
      </c>
      <c r="AK291" s="21" t="str">
        <f t="shared" si="74"/>
        <v xml:space="preserve"> </v>
      </c>
      <c r="AM291" s="20">
        <f t="shared" si="75"/>
        <v>280</v>
      </c>
      <c r="AN291" s="5">
        <f t="shared" si="76"/>
        <v>0</v>
      </c>
      <c r="AO291" s="5">
        <f t="shared" si="77"/>
        <v>0</v>
      </c>
      <c r="AP291" s="5">
        <f t="shared" si="78"/>
        <v>0</v>
      </c>
      <c r="AQ291" s="5">
        <f>IF(CreditAmort4BASE[[#This Row],[Month]]=AS$8,AO$7,0)</f>
        <v>0</v>
      </c>
      <c r="AR291" s="13">
        <f t="shared" si="79"/>
        <v>0</v>
      </c>
      <c r="AS291" s="6" t="str">
        <f t="shared" si="80"/>
        <v xml:space="preserve"> </v>
      </c>
      <c r="AT291" s="21" t="str">
        <f t="shared" si="81"/>
        <v xml:space="preserve"> </v>
      </c>
    </row>
    <row r="292" spans="3:46">
      <c r="C292" s="22">
        <f t="shared" si="82"/>
        <v>281</v>
      </c>
      <c r="D292" s="23">
        <f>IF(AND(C292&gt;='Amort. Sched.-BASE'!$I$8, C292&lt;= ($I$7+$I$8)), PMT('Amort. Sched.-BASE'!$E$8/12, 'Amort. Sched.-BASE'!$I$7, 'Amort. Sched.-BASE'!$E$7), 0)</f>
        <v>-1736.5864935892569</v>
      </c>
      <c r="E292" s="5">
        <f>IF(AND(C292&gt;='Amort. Sched.-BASE'!$I$8, C292&lt;= ($I$7+$I$8)), (IPMT($E$8/12, (C292-$I$8), $I$7, $E$7)), 0)</f>
        <v>-216.09969359599833</v>
      </c>
      <c r="F292" s="23">
        <f>IF(AND(C292&gt;='Amort. Sched.-BASE'!$I$8, C292&lt;= ($I$7+$I$8)), (PPMT($E$8/12, (C292-$I$8), $I$7, $E$7)), 0)</f>
        <v>-1520.4867999932585</v>
      </c>
      <c r="G292" s="5">
        <f>IF(MortgageAmortBASE[[#This Row],[Month]]=I$8,E$7,0)</f>
        <v>0</v>
      </c>
      <c r="H292" s="13">
        <f>IF(AND(C292&gt;='Amort. Sched.-BASE'!$I$8, C292&lt;= ($I$7+$I$8)), H291+F292, 0)</f>
        <v>30894.46723940656</v>
      </c>
      <c r="I292" s="24">
        <f>IF(AND(C292&gt;='Amort. Sched.-BASE'!$I$8, C292&lt;= ($I$7+$I$8)), E292/D292, " ")</f>
        <v>0.12443934949036345</v>
      </c>
      <c r="J292" s="25">
        <f>IF(AND(C292&gt;='Amort. Sched.-BASE'!$I$8, C292&lt;= ($I$7+$I$8)), F292/D292, " ")</f>
        <v>0.8755606505096365</v>
      </c>
      <c r="L292" s="20">
        <f t="shared" si="66"/>
        <v>281</v>
      </c>
      <c r="M292" s="5">
        <f>IF(AND(L292&gt;='Amort. Sched.-BASE'!$R$8, L292&lt;= ($R$7+$R$8)), PMT('Amort. Sched.-BASE'!$N$8/12, 'Amort. Sched.-BASE'!$R$7, 'Amort. Sched.-BASE'!$N$7), 0)</f>
        <v>0</v>
      </c>
      <c r="N292" s="5">
        <f>IF(AND(L292&gt;='Amort. Sched.-BASE'!$R$8, L292&lt;= ($R$7+$R$8)), (IPMT($N$8/12, (L292-$R$8), $R$7, $N$7)), 0)</f>
        <v>0</v>
      </c>
      <c r="O292" s="5">
        <f>IF(AND(L292&gt;='Amort. Sched.-BASE'!$R$8, L292&lt;= ($R$7+$R$8)), (PPMT($N$8/12, (L292-$R$8), $R$7, $N$7)), 0)</f>
        <v>0</v>
      </c>
      <c r="P292" s="5">
        <f>IF(CreditAmort1BASE[[#This Row],[Month]]=R$8,N$7,0)</f>
        <v>0</v>
      </c>
      <c r="Q292" s="13">
        <f>IF(AND(L292&gt;='Amort. Sched.-BASE'!$R$8, L292&lt;= ($R$7+$R$8)), Q291+O292, 0)</f>
        <v>0</v>
      </c>
      <c r="R292" s="6" t="str">
        <f>IF(AND(L292&gt;='Amort. Sched.-BASE'!$R$8, L292&lt;= ($R$7+$R$8)), N292/M292, " ")</f>
        <v xml:space="preserve"> </v>
      </c>
      <c r="S292" s="21" t="str">
        <f>IF(AND(L292&gt;='Amort. Sched.-BASE'!$R$8, L292&lt;= ($R$7+$R$8)), O292/M292, " ")</f>
        <v xml:space="preserve"> </v>
      </c>
      <c r="U292" s="22">
        <f t="shared" si="67"/>
        <v>281</v>
      </c>
      <c r="V292" s="23">
        <f>IF(AND(U292&gt;='Amort. Sched.-BASE'!$AA$8, U292&lt;= ($AA$7+$AA$8)), PMT('Amort. Sched.-BASE'!$W$8/12, 'Amort. Sched.-BASE'!$AA$7, 'Amort. Sched.-BASE'!$W$7), 0)</f>
        <v>0</v>
      </c>
      <c r="W292" s="5">
        <f>IF(AND(U292&gt;='Amort. Sched.-BASE'!$AA$8, U292&lt;= ($AA$7+$AA$8)), (IPMT($W$8/12, (U292-$AA$8), $AA$7, $W$7)), 0)</f>
        <v>0</v>
      </c>
      <c r="X292" s="23">
        <f>IF(AND(U292&gt;='Amort. Sched.-BASE'!$AA$8, U292&lt;= ($AA$7+$AA$8)), (PPMT($W$8/12, (U292-$AA$8), $AA$7, $W$7)), 0)</f>
        <v>0</v>
      </c>
      <c r="Y292" s="5">
        <f>IF(CreditAmort2BASE[[#This Row],[Month]]=AA$8,W$7,0)</f>
        <v>0</v>
      </c>
      <c r="Z292" s="13">
        <f>IF(AND(U292&gt;='Amort. Sched.-BASE'!$AA$8, U292&lt;= ($AA$7+$AA$8)), Z291+X292, 0)</f>
        <v>0</v>
      </c>
      <c r="AA292" s="24" t="str">
        <f>IF(AND(U292&gt;='Amort. Sched.-BASE'!$AA$8, U292&lt;= ($AA$7+$AA$8)), W292/V292, " ")</f>
        <v xml:space="preserve"> </v>
      </c>
      <c r="AB292" s="25" t="str">
        <f>IF(AND(U292&gt;='Amort. Sched.-BASE'!$AA$8, U292&lt;= ($AA$7+$AA$8)), X292/V292, " ")</f>
        <v xml:space="preserve"> </v>
      </c>
      <c r="AD292" s="20">
        <f t="shared" si="68"/>
        <v>281</v>
      </c>
      <c r="AE292" s="5">
        <f t="shared" si="69"/>
        <v>0</v>
      </c>
      <c r="AF292" s="5">
        <f t="shared" si="70"/>
        <v>0</v>
      </c>
      <c r="AG292" s="5">
        <f t="shared" si="71"/>
        <v>0</v>
      </c>
      <c r="AH292" s="5">
        <f>IF(CreditAmort3BASE[[#This Row],[Month]]=AJ$8,AF$7,0)</f>
        <v>0</v>
      </c>
      <c r="AI292" s="13">
        <f t="shared" si="72"/>
        <v>0</v>
      </c>
      <c r="AJ292" s="6" t="str">
        <f t="shared" si="73"/>
        <v xml:space="preserve"> </v>
      </c>
      <c r="AK292" s="21" t="str">
        <f t="shared" si="74"/>
        <v xml:space="preserve"> </v>
      </c>
      <c r="AM292" s="20">
        <f t="shared" si="75"/>
        <v>281</v>
      </c>
      <c r="AN292" s="5">
        <f t="shared" si="76"/>
        <v>0</v>
      </c>
      <c r="AO292" s="5">
        <f t="shared" si="77"/>
        <v>0</v>
      </c>
      <c r="AP292" s="5">
        <f t="shared" si="78"/>
        <v>0</v>
      </c>
      <c r="AQ292" s="5">
        <f>IF(CreditAmort4BASE[[#This Row],[Month]]=AS$8,AO$7,0)</f>
        <v>0</v>
      </c>
      <c r="AR292" s="13">
        <f t="shared" si="79"/>
        <v>0</v>
      </c>
      <c r="AS292" s="6" t="str">
        <f t="shared" si="80"/>
        <v xml:space="preserve"> </v>
      </c>
      <c r="AT292" s="21" t="str">
        <f t="shared" si="81"/>
        <v xml:space="preserve"> </v>
      </c>
    </row>
    <row r="293" spans="3:46">
      <c r="C293" s="22">
        <f t="shared" si="82"/>
        <v>282</v>
      </c>
      <c r="D293" s="23">
        <f>IF(AND(C293&gt;='Amort. Sched.-BASE'!$I$8, C293&lt;= ($I$7+$I$8)), PMT('Amort. Sched.-BASE'!$E$8/12, 'Amort. Sched.-BASE'!$I$7, 'Amort. Sched.-BASE'!$E$7), 0)</f>
        <v>-1736.5864935892569</v>
      </c>
      <c r="E293" s="5">
        <f>IF(AND(C293&gt;='Amort. Sched.-BASE'!$I$8, C293&lt;= ($I$7+$I$8)), (IPMT($E$8/12, (C293-$I$8), $I$7, $E$7)), 0)</f>
        <v>-205.96311492937662</v>
      </c>
      <c r="F293" s="23">
        <f>IF(AND(C293&gt;='Amort. Sched.-BASE'!$I$8, C293&lt;= ($I$7+$I$8)), (PPMT($E$8/12, (C293-$I$8), $I$7, $E$7)), 0)</f>
        <v>-1530.6233786598802</v>
      </c>
      <c r="G293" s="5">
        <f>IF(MortgageAmortBASE[[#This Row],[Month]]=I$8,E$7,0)</f>
        <v>0</v>
      </c>
      <c r="H293" s="13">
        <f>IF(AND(C293&gt;='Amort. Sched.-BASE'!$I$8, C293&lt;= ($I$7+$I$8)), H292+F293, 0)</f>
        <v>29363.843860746681</v>
      </c>
      <c r="I293" s="24">
        <f>IF(AND(C293&gt;='Amort. Sched.-BASE'!$I$8, C293&lt;= ($I$7+$I$8)), E293/D293, " ")</f>
        <v>0.11860227848696588</v>
      </c>
      <c r="J293" s="25">
        <f>IF(AND(C293&gt;='Amort. Sched.-BASE'!$I$8, C293&lt;= ($I$7+$I$8)), F293/D293, " ")</f>
        <v>0.88139772151303408</v>
      </c>
      <c r="L293" s="20">
        <f t="shared" si="66"/>
        <v>282</v>
      </c>
      <c r="M293" s="5">
        <f>IF(AND(L293&gt;='Amort. Sched.-BASE'!$R$8, L293&lt;= ($R$7+$R$8)), PMT('Amort. Sched.-BASE'!$N$8/12, 'Amort. Sched.-BASE'!$R$7, 'Amort. Sched.-BASE'!$N$7), 0)</f>
        <v>0</v>
      </c>
      <c r="N293" s="5">
        <f>IF(AND(L293&gt;='Amort. Sched.-BASE'!$R$8, L293&lt;= ($R$7+$R$8)), (IPMT($N$8/12, (L293-$R$8), $R$7, $N$7)), 0)</f>
        <v>0</v>
      </c>
      <c r="O293" s="5">
        <f>IF(AND(L293&gt;='Amort. Sched.-BASE'!$R$8, L293&lt;= ($R$7+$R$8)), (PPMT($N$8/12, (L293-$R$8), $R$7, $N$7)), 0)</f>
        <v>0</v>
      </c>
      <c r="P293" s="5">
        <f>IF(CreditAmort1BASE[[#This Row],[Month]]=R$8,N$7,0)</f>
        <v>0</v>
      </c>
      <c r="Q293" s="13">
        <f>IF(AND(L293&gt;='Amort. Sched.-BASE'!$R$8, L293&lt;= ($R$7+$R$8)), Q292+O293, 0)</f>
        <v>0</v>
      </c>
      <c r="R293" s="6" t="str">
        <f>IF(AND(L293&gt;='Amort. Sched.-BASE'!$R$8, L293&lt;= ($R$7+$R$8)), N293/M293, " ")</f>
        <v xml:space="preserve"> </v>
      </c>
      <c r="S293" s="21" t="str">
        <f>IF(AND(L293&gt;='Amort. Sched.-BASE'!$R$8, L293&lt;= ($R$7+$R$8)), O293/M293, " ")</f>
        <v xml:space="preserve"> </v>
      </c>
      <c r="U293" s="22">
        <f t="shared" si="67"/>
        <v>282</v>
      </c>
      <c r="V293" s="23">
        <f>IF(AND(U293&gt;='Amort. Sched.-BASE'!$AA$8, U293&lt;= ($AA$7+$AA$8)), PMT('Amort. Sched.-BASE'!$W$8/12, 'Amort. Sched.-BASE'!$AA$7, 'Amort. Sched.-BASE'!$W$7), 0)</f>
        <v>0</v>
      </c>
      <c r="W293" s="5">
        <f>IF(AND(U293&gt;='Amort. Sched.-BASE'!$AA$8, U293&lt;= ($AA$7+$AA$8)), (IPMT($W$8/12, (U293-$AA$8), $AA$7, $W$7)), 0)</f>
        <v>0</v>
      </c>
      <c r="X293" s="23">
        <f>IF(AND(U293&gt;='Amort. Sched.-BASE'!$AA$8, U293&lt;= ($AA$7+$AA$8)), (PPMT($W$8/12, (U293-$AA$8), $AA$7, $W$7)), 0)</f>
        <v>0</v>
      </c>
      <c r="Y293" s="5">
        <f>IF(CreditAmort2BASE[[#This Row],[Month]]=AA$8,W$7,0)</f>
        <v>0</v>
      </c>
      <c r="Z293" s="13">
        <f>IF(AND(U293&gt;='Amort. Sched.-BASE'!$AA$8, U293&lt;= ($AA$7+$AA$8)), Z292+X293, 0)</f>
        <v>0</v>
      </c>
      <c r="AA293" s="24" t="str">
        <f>IF(AND(U293&gt;='Amort. Sched.-BASE'!$AA$8, U293&lt;= ($AA$7+$AA$8)), W293/V293, " ")</f>
        <v xml:space="preserve"> </v>
      </c>
      <c r="AB293" s="25" t="str">
        <f>IF(AND(U293&gt;='Amort. Sched.-BASE'!$AA$8, U293&lt;= ($AA$7+$AA$8)), X293/V293, " ")</f>
        <v xml:space="preserve"> </v>
      </c>
      <c r="AD293" s="20">
        <f t="shared" si="68"/>
        <v>282</v>
      </c>
      <c r="AE293" s="5">
        <f t="shared" si="69"/>
        <v>0</v>
      </c>
      <c r="AF293" s="5">
        <f t="shared" si="70"/>
        <v>0</v>
      </c>
      <c r="AG293" s="5">
        <f t="shared" si="71"/>
        <v>0</v>
      </c>
      <c r="AH293" s="5">
        <f>IF(CreditAmort3BASE[[#This Row],[Month]]=AJ$8,AF$7,0)</f>
        <v>0</v>
      </c>
      <c r="AI293" s="13">
        <f t="shared" si="72"/>
        <v>0</v>
      </c>
      <c r="AJ293" s="6" t="str">
        <f t="shared" si="73"/>
        <v xml:space="preserve"> </v>
      </c>
      <c r="AK293" s="21" t="str">
        <f t="shared" si="74"/>
        <v xml:space="preserve"> </v>
      </c>
      <c r="AM293" s="20">
        <f t="shared" si="75"/>
        <v>282</v>
      </c>
      <c r="AN293" s="5">
        <f t="shared" si="76"/>
        <v>0</v>
      </c>
      <c r="AO293" s="5">
        <f t="shared" si="77"/>
        <v>0</v>
      </c>
      <c r="AP293" s="5">
        <f t="shared" si="78"/>
        <v>0</v>
      </c>
      <c r="AQ293" s="5">
        <f>IF(CreditAmort4BASE[[#This Row],[Month]]=AS$8,AO$7,0)</f>
        <v>0</v>
      </c>
      <c r="AR293" s="13">
        <f t="shared" si="79"/>
        <v>0</v>
      </c>
      <c r="AS293" s="6" t="str">
        <f t="shared" si="80"/>
        <v xml:space="preserve"> </v>
      </c>
      <c r="AT293" s="21" t="str">
        <f t="shared" si="81"/>
        <v xml:space="preserve"> </v>
      </c>
    </row>
    <row r="294" spans="3:46">
      <c r="C294" s="22">
        <f t="shared" si="82"/>
        <v>283</v>
      </c>
      <c r="D294" s="23">
        <f>IF(AND(C294&gt;='Amort. Sched.-BASE'!$I$8, C294&lt;= ($I$7+$I$8)), PMT('Amort. Sched.-BASE'!$E$8/12, 'Amort. Sched.-BASE'!$I$7, 'Amort. Sched.-BASE'!$E$7), 0)</f>
        <v>-1736.5864935892569</v>
      </c>
      <c r="E294" s="5">
        <f>IF(AND(C294&gt;='Amort. Sched.-BASE'!$I$8, C294&lt;= ($I$7+$I$8)), (IPMT($E$8/12, (C294-$I$8), $I$7, $E$7)), 0)</f>
        <v>-195.75895907164409</v>
      </c>
      <c r="F294" s="23">
        <f>IF(AND(C294&gt;='Amort. Sched.-BASE'!$I$8, C294&lt;= ($I$7+$I$8)), (PPMT($E$8/12, (C294-$I$8), $I$7, $E$7)), 0)</f>
        <v>-1540.827534517613</v>
      </c>
      <c r="G294" s="5">
        <f>IF(MortgageAmortBASE[[#This Row],[Month]]=I$8,E$7,0)</f>
        <v>0</v>
      </c>
      <c r="H294" s="13">
        <f>IF(AND(C294&gt;='Amort. Sched.-BASE'!$I$8, C294&lt;= ($I$7+$I$8)), H293+F294, 0)</f>
        <v>27823.01632622907</v>
      </c>
      <c r="I294" s="24">
        <f>IF(AND(C294&gt;='Amort. Sched.-BASE'!$I$8, C294&lt;= ($I$7+$I$8)), E294/D294, " ")</f>
        <v>0.11272629367687897</v>
      </c>
      <c r="J294" s="25">
        <f>IF(AND(C294&gt;='Amort. Sched.-BASE'!$I$8, C294&lt;= ($I$7+$I$8)), F294/D294, " ")</f>
        <v>0.88727370632312119</v>
      </c>
      <c r="L294" s="20">
        <f t="shared" si="66"/>
        <v>283</v>
      </c>
      <c r="M294" s="5">
        <f>IF(AND(L294&gt;='Amort. Sched.-BASE'!$R$8, L294&lt;= ($R$7+$R$8)), PMT('Amort. Sched.-BASE'!$N$8/12, 'Amort. Sched.-BASE'!$R$7, 'Amort. Sched.-BASE'!$N$7), 0)</f>
        <v>0</v>
      </c>
      <c r="N294" s="5">
        <f>IF(AND(L294&gt;='Amort. Sched.-BASE'!$R$8, L294&lt;= ($R$7+$R$8)), (IPMT($N$8/12, (L294-$R$8), $R$7, $N$7)), 0)</f>
        <v>0</v>
      </c>
      <c r="O294" s="5">
        <f>IF(AND(L294&gt;='Amort. Sched.-BASE'!$R$8, L294&lt;= ($R$7+$R$8)), (PPMT($N$8/12, (L294-$R$8), $R$7, $N$7)), 0)</f>
        <v>0</v>
      </c>
      <c r="P294" s="5">
        <f>IF(CreditAmort1BASE[[#This Row],[Month]]=R$8,N$7,0)</f>
        <v>0</v>
      </c>
      <c r="Q294" s="13">
        <f>IF(AND(L294&gt;='Amort. Sched.-BASE'!$R$8, L294&lt;= ($R$7+$R$8)), Q293+O294, 0)</f>
        <v>0</v>
      </c>
      <c r="R294" s="6" t="str">
        <f>IF(AND(L294&gt;='Amort. Sched.-BASE'!$R$8, L294&lt;= ($R$7+$R$8)), N294/M294, " ")</f>
        <v xml:space="preserve"> </v>
      </c>
      <c r="S294" s="21" t="str">
        <f>IF(AND(L294&gt;='Amort. Sched.-BASE'!$R$8, L294&lt;= ($R$7+$R$8)), O294/M294, " ")</f>
        <v xml:space="preserve"> </v>
      </c>
      <c r="U294" s="22">
        <f t="shared" si="67"/>
        <v>283</v>
      </c>
      <c r="V294" s="23">
        <f>IF(AND(U294&gt;='Amort. Sched.-BASE'!$AA$8, U294&lt;= ($AA$7+$AA$8)), PMT('Amort. Sched.-BASE'!$W$8/12, 'Amort. Sched.-BASE'!$AA$7, 'Amort. Sched.-BASE'!$W$7), 0)</f>
        <v>0</v>
      </c>
      <c r="W294" s="5">
        <f>IF(AND(U294&gt;='Amort. Sched.-BASE'!$AA$8, U294&lt;= ($AA$7+$AA$8)), (IPMT($W$8/12, (U294-$AA$8), $AA$7, $W$7)), 0)</f>
        <v>0</v>
      </c>
      <c r="X294" s="23">
        <f>IF(AND(U294&gt;='Amort. Sched.-BASE'!$AA$8, U294&lt;= ($AA$7+$AA$8)), (PPMT($W$8/12, (U294-$AA$8), $AA$7, $W$7)), 0)</f>
        <v>0</v>
      </c>
      <c r="Y294" s="5">
        <f>IF(CreditAmort2BASE[[#This Row],[Month]]=AA$8,W$7,0)</f>
        <v>0</v>
      </c>
      <c r="Z294" s="13">
        <f>IF(AND(U294&gt;='Amort. Sched.-BASE'!$AA$8, U294&lt;= ($AA$7+$AA$8)), Z293+X294, 0)</f>
        <v>0</v>
      </c>
      <c r="AA294" s="24" t="str">
        <f>IF(AND(U294&gt;='Amort. Sched.-BASE'!$AA$8, U294&lt;= ($AA$7+$AA$8)), W294/V294, " ")</f>
        <v xml:space="preserve"> </v>
      </c>
      <c r="AB294" s="25" t="str">
        <f>IF(AND(U294&gt;='Amort. Sched.-BASE'!$AA$8, U294&lt;= ($AA$7+$AA$8)), X294/V294, " ")</f>
        <v xml:space="preserve"> </v>
      </c>
      <c r="AD294" s="20">
        <f t="shared" si="68"/>
        <v>283</v>
      </c>
      <c r="AE294" s="5">
        <f t="shared" si="69"/>
        <v>0</v>
      </c>
      <c r="AF294" s="5">
        <f t="shared" si="70"/>
        <v>0</v>
      </c>
      <c r="AG294" s="5">
        <f t="shared" si="71"/>
        <v>0</v>
      </c>
      <c r="AH294" s="5">
        <f>IF(CreditAmort3BASE[[#This Row],[Month]]=AJ$8,AF$7,0)</f>
        <v>0</v>
      </c>
      <c r="AI294" s="13">
        <f t="shared" si="72"/>
        <v>0</v>
      </c>
      <c r="AJ294" s="6" t="str">
        <f t="shared" si="73"/>
        <v xml:space="preserve"> </v>
      </c>
      <c r="AK294" s="21" t="str">
        <f t="shared" si="74"/>
        <v xml:space="preserve"> </v>
      </c>
      <c r="AM294" s="20">
        <f t="shared" si="75"/>
        <v>283</v>
      </c>
      <c r="AN294" s="5">
        <f t="shared" si="76"/>
        <v>0</v>
      </c>
      <c r="AO294" s="5">
        <f t="shared" si="77"/>
        <v>0</v>
      </c>
      <c r="AP294" s="5">
        <f t="shared" si="78"/>
        <v>0</v>
      </c>
      <c r="AQ294" s="5">
        <f>IF(CreditAmort4BASE[[#This Row],[Month]]=AS$8,AO$7,0)</f>
        <v>0</v>
      </c>
      <c r="AR294" s="13">
        <f t="shared" si="79"/>
        <v>0</v>
      </c>
      <c r="AS294" s="6" t="str">
        <f t="shared" si="80"/>
        <v xml:space="preserve"> </v>
      </c>
      <c r="AT294" s="21" t="str">
        <f t="shared" si="81"/>
        <v xml:space="preserve"> </v>
      </c>
    </row>
    <row r="295" spans="3:46">
      <c r="C295" s="22">
        <f t="shared" si="82"/>
        <v>284</v>
      </c>
      <c r="D295" s="23">
        <f>IF(AND(C295&gt;='Amort. Sched.-BASE'!$I$8, C295&lt;= ($I$7+$I$8)), PMT('Amort. Sched.-BASE'!$E$8/12, 'Amort. Sched.-BASE'!$I$7, 'Amort. Sched.-BASE'!$E$7), 0)</f>
        <v>-1736.5864935892569</v>
      </c>
      <c r="E295" s="5">
        <f>IF(AND(C295&gt;='Amort. Sched.-BASE'!$I$8, C295&lt;= ($I$7+$I$8)), (IPMT($E$8/12, (C295-$I$8), $I$7, $E$7)), 0)</f>
        <v>-185.48677550819332</v>
      </c>
      <c r="F295" s="23">
        <f>IF(AND(C295&gt;='Amort. Sched.-BASE'!$I$8, C295&lt;= ($I$7+$I$8)), (PPMT($E$8/12, (C295-$I$8), $I$7, $E$7)), 0)</f>
        <v>-1551.0997180810637</v>
      </c>
      <c r="G295" s="5">
        <f>IF(MortgageAmortBASE[[#This Row],[Month]]=I$8,E$7,0)</f>
        <v>0</v>
      </c>
      <c r="H295" s="13">
        <f>IF(AND(C295&gt;='Amort. Sched.-BASE'!$I$8, C295&lt;= ($I$7+$I$8)), H294+F295, 0)</f>
        <v>26271.916608148007</v>
      </c>
      <c r="I295" s="24">
        <f>IF(AND(C295&gt;='Amort. Sched.-BASE'!$I$8, C295&lt;= ($I$7+$I$8)), E295/D295, " ")</f>
        <v>0.10681113563472483</v>
      </c>
      <c r="J295" s="25">
        <f>IF(AND(C295&gt;='Amort. Sched.-BASE'!$I$8, C295&lt;= ($I$7+$I$8)), F295/D295, " ")</f>
        <v>0.89318886436527523</v>
      </c>
      <c r="L295" s="20">
        <f t="shared" si="66"/>
        <v>284</v>
      </c>
      <c r="M295" s="5">
        <f>IF(AND(L295&gt;='Amort. Sched.-BASE'!$R$8, L295&lt;= ($R$7+$R$8)), PMT('Amort. Sched.-BASE'!$N$8/12, 'Amort. Sched.-BASE'!$R$7, 'Amort. Sched.-BASE'!$N$7), 0)</f>
        <v>0</v>
      </c>
      <c r="N295" s="5">
        <f>IF(AND(L295&gt;='Amort. Sched.-BASE'!$R$8, L295&lt;= ($R$7+$R$8)), (IPMT($N$8/12, (L295-$R$8), $R$7, $N$7)), 0)</f>
        <v>0</v>
      </c>
      <c r="O295" s="5">
        <f>IF(AND(L295&gt;='Amort. Sched.-BASE'!$R$8, L295&lt;= ($R$7+$R$8)), (PPMT($N$8/12, (L295-$R$8), $R$7, $N$7)), 0)</f>
        <v>0</v>
      </c>
      <c r="P295" s="5">
        <f>IF(CreditAmort1BASE[[#This Row],[Month]]=R$8,N$7,0)</f>
        <v>0</v>
      </c>
      <c r="Q295" s="13">
        <f>IF(AND(L295&gt;='Amort. Sched.-BASE'!$R$8, L295&lt;= ($R$7+$R$8)), Q294+O295, 0)</f>
        <v>0</v>
      </c>
      <c r="R295" s="6" t="str">
        <f>IF(AND(L295&gt;='Amort. Sched.-BASE'!$R$8, L295&lt;= ($R$7+$R$8)), N295/M295, " ")</f>
        <v xml:space="preserve"> </v>
      </c>
      <c r="S295" s="21" t="str">
        <f>IF(AND(L295&gt;='Amort. Sched.-BASE'!$R$8, L295&lt;= ($R$7+$R$8)), O295/M295, " ")</f>
        <v xml:space="preserve"> </v>
      </c>
      <c r="U295" s="22">
        <f t="shared" si="67"/>
        <v>284</v>
      </c>
      <c r="V295" s="23">
        <f>IF(AND(U295&gt;='Amort. Sched.-BASE'!$AA$8, U295&lt;= ($AA$7+$AA$8)), PMT('Amort. Sched.-BASE'!$W$8/12, 'Amort. Sched.-BASE'!$AA$7, 'Amort. Sched.-BASE'!$W$7), 0)</f>
        <v>0</v>
      </c>
      <c r="W295" s="5">
        <f>IF(AND(U295&gt;='Amort. Sched.-BASE'!$AA$8, U295&lt;= ($AA$7+$AA$8)), (IPMT($W$8/12, (U295-$AA$8), $AA$7, $W$7)), 0)</f>
        <v>0</v>
      </c>
      <c r="X295" s="23">
        <f>IF(AND(U295&gt;='Amort. Sched.-BASE'!$AA$8, U295&lt;= ($AA$7+$AA$8)), (PPMT($W$8/12, (U295-$AA$8), $AA$7, $W$7)), 0)</f>
        <v>0</v>
      </c>
      <c r="Y295" s="5">
        <f>IF(CreditAmort2BASE[[#This Row],[Month]]=AA$8,W$7,0)</f>
        <v>0</v>
      </c>
      <c r="Z295" s="13">
        <f>IF(AND(U295&gt;='Amort. Sched.-BASE'!$AA$8, U295&lt;= ($AA$7+$AA$8)), Z294+X295, 0)</f>
        <v>0</v>
      </c>
      <c r="AA295" s="24" t="str">
        <f>IF(AND(U295&gt;='Amort. Sched.-BASE'!$AA$8, U295&lt;= ($AA$7+$AA$8)), W295/V295, " ")</f>
        <v xml:space="preserve"> </v>
      </c>
      <c r="AB295" s="25" t="str">
        <f>IF(AND(U295&gt;='Amort. Sched.-BASE'!$AA$8, U295&lt;= ($AA$7+$AA$8)), X295/V295, " ")</f>
        <v xml:space="preserve"> </v>
      </c>
      <c r="AD295" s="20">
        <f t="shared" si="68"/>
        <v>284</v>
      </c>
      <c r="AE295" s="5">
        <f t="shared" si="69"/>
        <v>0</v>
      </c>
      <c r="AF295" s="5">
        <f t="shared" si="70"/>
        <v>0</v>
      </c>
      <c r="AG295" s="5">
        <f t="shared" si="71"/>
        <v>0</v>
      </c>
      <c r="AH295" s="5">
        <f>IF(CreditAmort3BASE[[#This Row],[Month]]=AJ$8,AF$7,0)</f>
        <v>0</v>
      </c>
      <c r="AI295" s="13">
        <f t="shared" si="72"/>
        <v>0</v>
      </c>
      <c r="AJ295" s="6" t="str">
        <f t="shared" si="73"/>
        <v xml:space="preserve"> </v>
      </c>
      <c r="AK295" s="21" t="str">
        <f t="shared" si="74"/>
        <v xml:space="preserve"> </v>
      </c>
      <c r="AM295" s="20">
        <f t="shared" si="75"/>
        <v>284</v>
      </c>
      <c r="AN295" s="5">
        <f t="shared" si="76"/>
        <v>0</v>
      </c>
      <c r="AO295" s="5">
        <f t="shared" si="77"/>
        <v>0</v>
      </c>
      <c r="AP295" s="5">
        <f t="shared" si="78"/>
        <v>0</v>
      </c>
      <c r="AQ295" s="5">
        <f>IF(CreditAmort4BASE[[#This Row],[Month]]=AS$8,AO$7,0)</f>
        <v>0</v>
      </c>
      <c r="AR295" s="13">
        <f t="shared" si="79"/>
        <v>0</v>
      </c>
      <c r="AS295" s="6" t="str">
        <f t="shared" si="80"/>
        <v xml:space="preserve"> </v>
      </c>
      <c r="AT295" s="21" t="str">
        <f t="shared" si="81"/>
        <v xml:space="preserve"> </v>
      </c>
    </row>
    <row r="296" spans="3:46">
      <c r="C296" s="22">
        <f t="shared" si="82"/>
        <v>285</v>
      </c>
      <c r="D296" s="23">
        <f>IF(AND(C296&gt;='Amort. Sched.-BASE'!$I$8, C296&lt;= ($I$7+$I$8)), PMT('Amort. Sched.-BASE'!$E$8/12, 'Amort. Sched.-BASE'!$I$7, 'Amort. Sched.-BASE'!$E$7), 0)</f>
        <v>-1736.5864935892569</v>
      </c>
      <c r="E296" s="5">
        <f>IF(AND(C296&gt;='Amort. Sched.-BASE'!$I$8, C296&lt;= ($I$7+$I$8)), (IPMT($E$8/12, (C296-$I$8), $I$7, $E$7)), 0)</f>
        <v>-175.14611072098623</v>
      </c>
      <c r="F296" s="23">
        <f>IF(AND(C296&gt;='Amort. Sched.-BASE'!$I$8, C296&lt;= ($I$7+$I$8)), (PPMT($E$8/12, (C296-$I$8), $I$7, $E$7)), 0)</f>
        <v>-1561.4403828682707</v>
      </c>
      <c r="G296" s="5">
        <f>IF(MortgageAmortBASE[[#This Row],[Month]]=I$8,E$7,0)</f>
        <v>0</v>
      </c>
      <c r="H296" s="13">
        <f>IF(AND(C296&gt;='Amort. Sched.-BASE'!$I$8, C296&lt;= ($I$7+$I$8)), H295+F296, 0)</f>
        <v>24710.476225279737</v>
      </c>
      <c r="I296" s="24">
        <f>IF(AND(C296&gt;='Amort. Sched.-BASE'!$I$8, C296&lt;= ($I$7+$I$8)), E296/D296, " ")</f>
        <v>0.100856543205623</v>
      </c>
      <c r="J296" s="25">
        <f>IF(AND(C296&gt;='Amort. Sched.-BASE'!$I$8, C296&lt;= ($I$7+$I$8)), F296/D296, " ")</f>
        <v>0.89914345679437702</v>
      </c>
      <c r="L296" s="20">
        <f t="shared" si="66"/>
        <v>285</v>
      </c>
      <c r="M296" s="5">
        <f>IF(AND(L296&gt;='Amort. Sched.-BASE'!$R$8, L296&lt;= ($R$7+$R$8)), PMT('Amort. Sched.-BASE'!$N$8/12, 'Amort. Sched.-BASE'!$R$7, 'Amort. Sched.-BASE'!$N$7), 0)</f>
        <v>0</v>
      </c>
      <c r="N296" s="5">
        <f>IF(AND(L296&gt;='Amort. Sched.-BASE'!$R$8, L296&lt;= ($R$7+$R$8)), (IPMT($N$8/12, (L296-$R$8), $R$7, $N$7)), 0)</f>
        <v>0</v>
      </c>
      <c r="O296" s="5">
        <f>IF(AND(L296&gt;='Amort. Sched.-BASE'!$R$8, L296&lt;= ($R$7+$R$8)), (PPMT($N$8/12, (L296-$R$8), $R$7, $N$7)), 0)</f>
        <v>0</v>
      </c>
      <c r="P296" s="5">
        <f>IF(CreditAmort1BASE[[#This Row],[Month]]=R$8,N$7,0)</f>
        <v>0</v>
      </c>
      <c r="Q296" s="13">
        <f>IF(AND(L296&gt;='Amort. Sched.-BASE'!$R$8, L296&lt;= ($R$7+$R$8)), Q295+O296, 0)</f>
        <v>0</v>
      </c>
      <c r="R296" s="6" t="str">
        <f>IF(AND(L296&gt;='Amort. Sched.-BASE'!$R$8, L296&lt;= ($R$7+$R$8)), N296/M296, " ")</f>
        <v xml:space="preserve"> </v>
      </c>
      <c r="S296" s="21" t="str">
        <f>IF(AND(L296&gt;='Amort. Sched.-BASE'!$R$8, L296&lt;= ($R$7+$R$8)), O296/M296, " ")</f>
        <v xml:space="preserve"> </v>
      </c>
      <c r="U296" s="22">
        <f t="shared" si="67"/>
        <v>285</v>
      </c>
      <c r="V296" s="23">
        <f>IF(AND(U296&gt;='Amort. Sched.-BASE'!$AA$8, U296&lt;= ($AA$7+$AA$8)), PMT('Amort. Sched.-BASE'!$W$8/12, 'Amort. Sched.-BASE'!$AA$7, 'Amort. Sched.-BASE'!$W$7), 0)</f>
        <v>0</v>
      </c>
      <c r="W296" s="5">
        <f>IF(AND(U296&gt;='Amort. Sched.-BASE'!$AA$8, U296&lt;= ($AA$7+$AA$8)), (IPMT($W$8/12, (U296-$AA$8), $AA$7, $W$7)), 0)</f>
        <v>0</v>
      </c>
      <c r="X296" s="23">
        <f>IF(AND(U296&gt;='Amort. Sched.-BASE'!$AA$8, U296&lt;= ($AA$7+$AA$8)), (PPMT($W$8/12, (U296-$AA$8), $AA$7, $W$7)), 0)</f>
        <v>0</v>
      </c>
      <c r="Y296" s="5">
        <f>IF(CreditAmort2BASE[[#This Row],[Month]]=AA$8,W$7,0)</f>
        <v>0</v>
      </c>
      <c r="Z296" s="13">
        <f>IF(AND(U296&gt;='Amort. Sched.-BASE'!$AA$8, U296&lt;= ($AA$7+$AA$8)), Z295+X296, 0)</f>
        <v>0</v>
      </c>
      <c r="AA296" s="24" t="str">
        <f>IF(AND(U296&gt;='Amort. Sched.-BASE'!$AA$8, U296&lt;= ($AA$7+$AA$8)), W296/V296, " ")</f>
        <v xml:space="preserve"> </v>
      </c>
      <c r="AB296" s="25" t="str">
        <f>IF(AND(U296&gt;='Amort. Sched.-BASE'!$AA$8, U296&lt;= ($AA$7+$AA$8)), X296/V296, " ")</f>
        <v xml:space="preserve"> </v>
      </c>
      <c r="AD296" s="20">
        <f t="shared" si="68"/>
        <v>285</v>
      </c>
      <c r="AE296" s="5">
        <f t="shared" si="69"/>
        <v>0</v>
      </c>
      <c r="AF296" s="5">
        <f t="shared" si="70"/>
        <v>0</v>
      </c>
      <c r="AG296" s="5">
        <f t="shared" si="71"/>
        <v>0</v>
      </c>
      <c r="AH296" s="5">
        <f>IF(CreditAmort3BASE[[#This Row],[Month]]=AJ$8,AF$7,0)</f>
        <v>0</v>
      </c>
      <c r="AI296" s="13">
        <f t="shared" si="72"/>
        <v>0</v>
      </c>
      <c r="AJ296" s="6" t="str">
        <f t="shared" si="73"/>
        <v xml:space="preserve"> </v>
      </c>
      <c r="AK296" s="21" t="str">
        <f t="shared" si="74"/>
        <v xml:space="preserve"> </v>
      </c>
      <c r="AM296" s="20">
        <f t="shared" si="75"/>
        <v>285</v>
      </c>
      <c r="AN296" s="5">
        <f t="shared" si="76"/>
        <v>0</v>
      </c>
      <c r="AO296" s="5">
        <f t="shared" si="77"/>
        <v>0</v>
      </c>
      <c r="AP296" s="5">
        <f t="shared" si="78"/>
        <v>0</v>
      </c>
      <c r="AQ296" s="5">
        <f>IF(CreditAmort4BASE[[#This Row],[Month]]=AS$8,AO$7,0)</f>
        <v>0</v>
      </c>
      <c r="AR296" s="13">
        <f t="shared" si="79"/>
        <v>0</v>
      </c>
      <c r="AS296" s="6" t="str">
        <f t="shared" si="80"/>
        <v xml:space="preserve"> </v>
      </c>
      <c r="AT296" s="21" t="str">
        <f t="shared" si="81"/>
        <v xml:space="preserve"> </v>
      </c>
    </row>
    <row r="297" spans="3:46">
      <c r="C297" s="22">
        <f t="shared" si="82"/>
        <v>286</v>
      </c>
      <c r="D297" s="23">
        <f>IF(AND(C297&gt;='Amort. Sched.-BASE'!$I$8, C297&lt;= ($I$7+$I$8)), PMT('Amort. Sched.-BASE'!$E$8/12, 'Amort. Sched.-BASE'!$I$7, 'Amort. Sched.-BASE'!$E$7), 0)</f>
        <v>-1736.5864935892569</v>
      </c>
      <c r="E297" s="5">
        <f>IF(AND(C297&gt;='Amort. Sched.-BASE'!$I$8, C297&lt;= ($I$7+$I$8)), (IPMT($E$8/12, (C297-$I$8), $I$7, $E$7)), 0)</f>
        <v>-164.73650816853109</v>
      </c>
      <c r="F297" s="23">
        <f>IF(AND(C297&gt;='Amort. Sched.-BASE'!$I$8, C297&lt;= ($I$7+$I$8)), (PPMT($E$8/12, (C297-$I$8), $I$7, $E$7)), 0)</f>
        <v>-1571.8499854207257</v>
      </c>
      <c r="G297" s="5">
        <f>IF(MortgageAmortBASE[[#This Row],[Month]]=I$8,E$7,0)</f>
        <v>0</v>
      </c>
      <c r="H297" s="13">
        <f>IF(AND(C297&gt;='Amort. Sched.-BASE'!$I$8, C297&lt;= ($I$7+$I$8)), H296+F297, 0)</f>
        <v>23138.626239859012</v>
      </c>
      <c r="I297" s="24">
        <f>IF(AND(C297&gt;='Amort. Sched.-BASE'!$I$8, C297&lt;= ($I$7+$I$8)), E297/D297, " ")</f>
        <v>9.4862253493660481E-2</v>
      </c>
      <c r="J297" s="25">
        <f>IF(AND(C297&gt;='Amort. Sched.-BASE'!$I$8, C297&lt;= ($I$7+$I$8)), F297/D297, " ")</f>
        <v>0.90513774650633949</v>
      </c>
      <c r="L297" s="20">
        <f t="shared" si="66"/>
        <v>286</v>
      </c>
      <c r="M297" s="5">
        <f>IF(AND(L297&gt;='Amort. Sched.-BASE'!$R$8, L297&lt;= ($R$7+$R$8)), PMT('Amort. Sched.-BASE'!$N$8/12, 'Amort. Sched.-BASE'!$R$7, 'Amort. Sched.-BASE'!$N$7), 0)</f>
        <v>0</v>
      </c>
      <c r="N297" s="5">
        <f>IF(AND(L297&gt;='Amort. Sched.-BASE'!$R$8, L297&lt;= ($R$7+$R$8)), (IPMT($N$8/12, (L297-$R$8), $R$7, $N$7)), 0)</f>
        <v>0</v>
      </c>
      <c r="O297" s="5">
        <f>IF(AND(L297&gt;='Amort. Sched.-BASE'!$R$8, L297&lt;= ($R$7+$R$8)), (PPMT($N$8/12, (L297-$R$8), $R$7, $N$7)), 0)</f>
        <v>0</v>
      </c>
      <c r="P297" s="5">
        <f>IF(CreditAmort1BASE[[#This Row],[Month]]=R$8,N$7,0)</f>
        <v>0</v>
      </c>
      <c r="Q297" s="13">
        <f>IF(AND(L297&gt;='Amort. Sched.-BASE'!$R$8, L297&lt;= ($R$7+$R$8)), Q296+O297, 0)</f>
        <v>0</v>
      </c>
      <c r="R297" s="6" t="str">
        <f>IF(AND(L297&gt;='Amort. Sched.-BASE'!$R$8, L297&lt;= ($R$7+$R$8)), N297/M297, " ")</f>
        <v xml:space="preserve"> </v>
      </c>
      <c r="S297" s="21" t="str">
        <f>IF(AND(L297&gt;='Amort. Sched.-BASE'!$R$8, L297&lt;= ($R$7+$R$8)), O297/M297, " ")</f>
        <v xml:space="preserve"> </v>
      </c>
      <c r="U297" s="22">
        <f t="shared" si="67"/>
        <v>286</v>
      </c>
      <c r="V297" s="23">
        <f>IF(AND(U297&gt;='Amort. Sched.-BASE'!$AA$8, U297&lt;= ($AA$7+$AA$8)), PMT('Amort. Sched.-BASE'!$W$8/12, 'Amort. Sched.-BASE'!$AA$7, 'Amort. Sched.-BASE'!$W$7), 0)</f>
        <v>0</v>
      </c>
      <c r="W297" s="5">
        <f>IF(AND(U297&gt;='Amort. Sched.-BASE'!$AA$8, U297&lt;= ($AA$7+$AA$8)), (IPMT($W$8/12, (U297-$AA$8), $AA$7, $W$7)), 0)</f>
        <v>0</v>
      </c>
      <c r="X297" s="23">
        <f>IF(AND(U297&gt;='Amort. Sched.-BASE'!$AA$8, U297&lt;= ($AA$7+$AA$8)), (PPMT($W$8/12, (U297-$AA$8), $AA$7, $W$7)), 0)</f>
        <v>0</v>
      </c>
      <c r="Y297" s="5">
        <f>IF(CreditAmort2BASE[[#This Row],[Month]]=AA$8,W$7,0)</f>
        <v>0</v>
      </c>
      <c r="Z297" s="13">
        <f>IF(AND(U297&gt;='Amort. Sched.-BASE'!$AA$8, U297&lt;= ($AA$7+$AA$8)), Z296+X297, 0)</f>
        <v>0</v>
      </c>
      <c r="AA297" s="24" t="str">
        <f>IF(AND(U297&gt;='Amort. Sched.-BASE'!$AA$8, U297&lt;= ($AA$7+$AA$8)), W297/V297, " ")</f>
        <v xml:space="preserve"> </v>
      </c>
      <c r="AB297" s="25" t="str">
        <f>IF(AND(U297&gt;='Amort. Sched.-BASE'!$AA$8, U297&lt;= ($AA$7+$AA$8)), X297/V297, " ")</f>
        <v xml:space="preserve"> </v>
      </c>
      <c r="AD297" s="20">
        <f t="shared" si="68"/>
        <v>286</v>
      </c>
      <c r="AE297" s="5">
        <f t="shared" si="69"/>
        <v>0</v>
      </c>
      <c r="AF297" s="5">
        <f t="shared" si="70"/>
        <v>0</v>
      </c>
      <c r="AG297" s="5">
        <f t="shared" si="71"/>
        <v>0</v>
      </c>
      <c r="AH297" s="5">
        <f>IF(CreditAmort3BASE[[#This Row],[Month]]=AJ$8,AF$7,0)</f>
        <v>0</v>
      </c>
      <c r="AI297" s="13">
        <f t="shared" si="72"/>
        <v>0</v>
      </c>
      <c r="AJ297" s="6" t="str">
        <f t="shared" si="73"/>
        <v xml:space="preserve"> </v>
      </c>
      <c r="AK297" s="21" t="str">
        <f t="shared" si="74"/>
        <v xml:space="preserve"> </v>
      </c>
      <c r="AM297" s="20">
        <f t="shared" si="75"/>
        <v>286</v>
      </c>
      <c r="AN297" s="5">
        <f t="shared" si="76"/>
        <v>0</v>
      </c>
      <c r="AO297" s="5">
        <f t="shared" si="77"/>
        <v>0</v>
      </c>
      <c r="AP297" s="5">
        <f t="shared" si="78"/>
        <v>0</v>
      </c>
      <c r="AQ297" s="5">
        <f>IF(CreditAmort4BASE[[#This Row],[Month]]=AS$8,AO$7,0)</f>
        <v>0</v>
      </c>
      <c r="AR297" s="13">
        <f t="shared" si="79"/>
        <v>0</v>
      </c>
      <c r="AS297" s="6" t="str">
        <f t="shared" si="80"/>
        <v xml:space="preserve"> </v>
      </c>
      <c r="AT297" s="21" t="str">
        <f t="shared" si="81"/>
        <v xml:space="preserve"> </v>
      </c>
    </row>
    <row r="298" spans="3:46">
      <c r="C298" s="22">
        <f t="shared" si="82"/>
        <v>287</v>
      </c>
      <c r="D298" s="23">
        <f>IF(AND(C298&gt;='Amort. Sched.-BASE'!$I$8, C298&lt;= ($I$7+$I$8)), PMT('Amort. Sched.-BASE'!$E$8/12, 'Amort. Sched.-BASE'!$I$7, 'Amort. Sched.-BASE'!$E$7), 0)</f>
        <v>-1736.5864935892569</v>
      </c>
      <c r="E298" s="5">
        <f>IF(AND(C298&gt;='Amort. Sched.-BASE'!$I$8, C298&lt;= ($I$7+$I$8)), (IPMT($E$8/12, (C298-$I$8), $I$7, $E$7)), 0)</f>
        <v>-154.25750826572627</v>
      </c>
      <c r="F298" s="23">
        <f>IF(AND(C298&gt;='Amort. Sched.-BASE'!$I$8, C298&lt;= ($I$7+$I$8)), (PPMT($E$8/12, (C298-$I$8), $I$7, $E$7)), 0)</f>
        <v>-1582.3289853235308</v>
      </c>
      <c r="G298" s="5">
        <f>IF(MortgageAmortBASE[[#This Row],[Month]]=I$8,E$7,0)</f>
        <v>0</v>
      </c>
      <c r="H298" s="13">
        <f>IF(AND(C298&gt;='Amort. Sched.-BASE'!$I$8, C298&lt;= ($I$7+$I$8)), H297+F298, 0)</f>
        <v>21556.297254535482</v>
      </c>
      <c r="I298" s="24">
        <f>IF(AND(C298&gt;='Amort. Sched.-BASE'!$I$8, C298&lt;= ($I$7+$I$8)), E298/D298, " ")</f>
        <v>8.8828001850284902E-2</v>
      </c>
      <c r="J298" s="25">
        <f>IF(AND(C298&gt;='Amort. Sched.-BASE'!$I$8, C298&lt;= ($I$7+$I$8)), F298/D298, " ")</f>
        <v>0.91117199814971517</v>
      </c>
      <c r="L298" s="20">
        <f t="shared" si="66"/>
        <v>287</v>
      </c>
      <c r="M298" s="5">
        <f>IF(AND(L298&gt;='Amort. Sched.-BASE'!$R$8, L298&lt;= ($R$7+$R$8)), PMT('Amort. Sched.-BASE'!$N$8/12, 'Amort. Sched.-BASE'!$R$7, 'Amort. Sched.-BASE'!$N$7), 0)</f>
        <v>0</v>
      </c>
      <c r="N298" s="5">
        <f>IF(AND(L298&gt;='Amort. Sched.-BASE'!$R$8, L298&lt;= ($R$7+$R$8)), (IPMT($N$8/12, (L298-$R$8), $R$7, $N$7)), 0)</f>
        <v>0</v>
      </c>
      <c r="O298" s="5">
        <f>IF(AND(L298&gt;='Amort. Sched.-BASE'!$R$8, L298&lt;= ($R$7+$R$8)), (PPMT($N$8/12, (L298-$R$8), $R$7, $N$7)), 0)</f>
        <v>0</v>
      </c>
      <c r="P298" s="5">
        <f>IF(CreditAmort1BASE[[#This Row],[Month]]=R$8,N$7,0)</f>
        <v>0</v>
      </c>
      <c r="Q298" s="13">
        <f>IF(AND(L298&gt;='Amort. Sched.-BASE'!$R$8, L298&lt;= ($R$7+$R$8)), Q297+O298, 0)</f>
        <v>0</v>
      </c>
      <c r="R298" s="6" t="str">
        <f>IF(AND(L298&gt;='Amort. Sched.-BASE'!$R$8, L298&lt;= ($R$7+$R$8)), N298/M298, " ")</f>
        <v xml:space="preserve"> </v>
      </c>
      <c r="S298" s="21" t="str">
        <f>IF(AND(L298&gt;='Amort. Sched.-BASE'!$R$8, L298&lt;= ($R$7+$R$8)), O298/M298, " ")</f>
        <v xml:space="preserve"> </v>
      </c>
      <c r="U298" s="22">
        <f t="shared" si="67"/>
        <v>287</v>
      </c>
      <c r="V298" s="23">
        <f>IF(AND(U298&gt;='Amort. Sched.-BASE'!$AA$8, U298&lt;= ($AA$7+$AA$8)), PMT('Amort. Sched.-BASE'!$W$8/12, 'Amort. Sched.-BASE'!$AA$7, 'Amort. Sched.-BASE'!$W$7), 0)</f>
        <v>0</v>
      </c>
      <c r="W298" s="5">
        <f>IF(AND(U298&gt;='Amort. Sched.-BASE'!$AA$8, U298&lt;= ($AA$7+$AA$8)), (IPMT($W$8/12, (U298-$AA$8), $AA$7, $W$7)), 0)</f>
        <v>0</v>
      </c>
      <c r="X298" s="23">
        <f>IF(AND(U298&gt;='Amort. Sched.-BASE'!$AA$8, U298&lt;= ($AA$7+$AA$8)), (PPMT($W$8/12, (U298-$AA$8), $AA$7, $W$7)), 0)</f>
        <v>0</v>
      </c>
      <c r="Y298" s="5">
        <f>IF(CreditAmort2BASE[[#This Row],[Month]]=AA$8,W$7,0)</f>
        <v>0</v>
      </c>
      <c r="Z298" s="13">
        <f>IF(AND(U298&gt;='Amort. Sched.-BASE'!$AA$8, U298&lt;= ($AA$7+$AA$8)), Z297+X298, 0)</f>
        <v>0</v>
      </c>
      <c r="AA298" s="24" t="str">
        <f>IF(AND(U298&gt;='Amort. Sched.-BASE'!$AA$8, U298&lt;= ($AA$7+$AA$8)), W298/V298, " ")</f>
        <v xml:space="preserve"> </v>
      </c>
      <c r="AB298" s="25" t="str">
        <f>IF(AND(U298&gt;='Amort. Sched.-BASE'!$AA$8, U298&lt;= ($AA$7+$AA$8)), X298/V298, " ")</f>
        <v xml:space="preserve"> </v>
      </c>
      <c r="AD298" s="20">
        <f t="shared" si="68"/>
        <v>287</v>
      </c>
      <c r="AE298" s="5">
        <f t="shared" si="69"/>
        <v>0</v>
      </c>
      <c r="AF298" s="5">
        <f t="shared" si="70"/>
        <v>0</v>
      </c>
      <c r="AG298" s="5">
        <f t="shared" si="71"/>
        <v>0</v>
      </c>
      <c r="AH298" s="5">
        <f>IF(CreditAmort3BASE[[#This Row],[Month]]=AJ$8,AF$7,0)</f>
        <v>0</v>
      </c>
      <c r="AI298" s="13">
        <f t="shared" si="72"/>
        <v>0</v>
      </c>
      <c r="AJ298" s="6" t="str">
        <f t="shared" si="73"/>
        <v xml:space="preserve"> </v>
      </c>
      <c r="AK298" s="21" t="str">
        <f t="shared" si="74"/>
        <v xml:space="preserve"> </v>
      </c>
      <c r="AM298" s="20">
        <f t="shared" si="75"/>
        <v>287</v>
      </c>
      <c r="AN298" s="5">
        <f t="shared" si="76"/>
        <v>0</v>
      </c>
      <c r="AO298" s="5">
        <f t="shared" si="77"/>
        <v>0</v>
      </c>
      <c r="AP298" s="5">
        <f t="shared" si="78"/>
        <v>0</v>
      </c>
      <c r="AQ298" s="5">
        <f>IF(CreditAmort4BASE[[#This Row],[Month]]=AS$8,AO$7,0)</f>
        <v>0</v>
      </c>
      <c r="AR298" s="13">
        <f t="shared" si="79"/>
        <v>0</v>
      </c>
      <c r="AS298" s="6" t="str">
        <f t="shared" si="80"/>
        <v xml:space="preserve"> </v>
      </c>
      <c r="AT298" s="21" t="str">
        <f t="shared" si="81"/>
        <v xml:space="preserve"> </v>
      </c>
    </row>
    <row r="299" spans="3:46">
      <c r="C299" s="22">
        <f t="shared" si="82"/>
        <v>288</v>
      </c>
      <c r="D299" s="23">
        <f>IF(AND(C299&gt;='Amort. Sched.-BASE'!$I$8, C299&lt;= ($I$7+$I$8)), PMT('Amort. Sched.-BASE'!$E$8/12, 'Amort. Sched.-BASE'!$I$7, 'Amort. Sched.-BASE'!$E$7), 0)</f>
        <v>-1736.5864935892569</v>
      </c>
      <c r="E299" s="5">
        <f>IF(AND(C299&gt;='Amort. Sched.-BASE'!$I$8, C299&lt;= ($I$7+$I$8)), (IPMT($E$8/12, (C299-$I$8), $I$7, $E$7)), 0)</f>
        <v>-143.70864836356938</v>
      </c>
      <c r="F299" s="23">
        <f>IF(AND(C299&gt;='Amort. Sched.-BASE'!$I$8, C299&lt;= ($I$7+$I$8)), (PPMT($E$8/12, (C299-$I$8), $I$7, $E$7)), 0)</f>
        <v>-1592.8778452256877</v>
      </c>
      <c r="G299" s="5">
        <f>IF(MortgageAmortBASE[[#This Row],[Month]]=I$8,E$7,0)</f>
        <v>0</v>
      </c>
      <c r="H299" s="13">
        <f>IF(AND(C299&gt;='Amort. Sched.-BASE'!$I$8, C299&lt;= ($I$7+$I$8)), H298+F299, 0)</f>
        <v>19963.419409309794</v>
      </c>
      <c r="I299" s="24">
        <f>IF(AND(C299&gt;='Amort. Sched.-BASE'!$I$8, C299&lt;= ($I$7+$I$8)), E299/D299, " ")</f>
        <v>8.2753521862620125E-2</v>
      </c>
      <c r="J299" s="25">
        <f>IF(AND(C299&gt;='Amort. Sched.-BASE'!$I$8, C299&lt;= ($I$7+$I$8)), F299/D299, " ")</f>
        <v>0.91724647813738003</v>
      </c>
      <c r="L299" s="20">
        <f t="shared" si="66"/>
        <v>288</v>
      </c>
      <c r="M299" s="5">
        <f>IF(AND(L299&gt;='Amort. Sched.-BASE'!$R$8, L299&lt;= ($R$7+$R$8)), PMT('Amort. Sched.-BASE'!$N$8/12, 'Amort. Sched.-BASE'!$R$7, 'Amort. Sched.-BASE'!$N$7), 0)</f>
        <v>0</v>
      </c>
      <c r="N299" s="5">
        <f>IF(AND(L299&gt;='Amort. Sched.-BASE'!$R$8, L299&lt;= ($R$7+$R$8)), (IPMT($N$8/12, (L299-$R$8), $R$7, $N$7)), 0)</f>
        <v>0</v>
      </c>
      <c r="O299" s="5">
        <f>IF(AND(L299&gt;='Amort. Sched.-BASE'!$R$8, L299&lt;= ($R$7+$R$8)), (PPMT($N$8/12, (L299-$R$8), $R$7, $N$7)), 0)</f>
        <v>0</v>
      </c>
      <c r="P299" s="5">
        <f>IF(CreditAmort1BASE[[#This Row],[Month]]=R$8,N$7,0)</f>
        <v>0</v>
      </c>
      <c r="Q299" s="13">
        <f>IF(AND(L299&gt;='Amort. Sched.-BASE'!$R$8, L299&lt;= ($R$7+$R$8)), Q298+O299, 0)</f>
        <v>0</v>
      </c>
      <c r="R299" s="6" t="str">
        <f>IF(AND(L299&gt;='Amort. Sched.-BASE'!$R$8, L299&lt;= ($R$7+$R$8)), N299/M299, " ")</f>
        <v xml:space="preserve"> </v>
      </c>
      <c r="S299" s="21" t="str">
        <f>IF(AND(L299&gt;='Amort. Sched.-BASE'!$R$8, L299&lt;= ($R$7+$R$8)), O299/M299, " ")</f>
        <v xml:space="preserve"> </v>
      </c>
      <c r="U299" s="22">
        <f t="shared" si="67"/>
        <v>288</v>
      </c>
      <c r="V299" s="23">
        <f>IF(AND(U299&gt;='Amort. Sched.-BASE'!$AA$8, U299&lt;= ($AA$7+$AA$8)), PMT('Amort. Sched.-BASE'!$W$8/12, 'Amort. Sched.-BASE'!$AA$7, 'Amort. Sched.-BASE'!$W$7), 0)</f>
        <v>0</v>
      </c>
      <c r="W299" s="5">
        <f>IF(AND(U299&gt;='Amort. Sched.-BASE'!$AA$8, U299&lt;= ($AA$7+$AA$8)), (IPMT($W$8/12, (U299-$AA$8), $AA$7, $W$7)), 0)</f>
        <v>0</v>
      </c>
      <c r="X299" s="23">
        <f>IF(AND(U299&gt;='Amort. Sched.-BASE'!$AA$8, U299&lt;= ($AA$7+$AA$8)), (PPMT($W$8/12, (U299-$AA$8), $AA$7, $W$7)), 0)</f>
        <v>0</v>
      </c>
      <c r="Y299" s="5">
        <f>IF(CreditAmort2BASE[[#This Row],[Month]]=AA$8,W$7,0)</f>
        <v>0</v>
      </c>
      <c r="Z299" s="13">
        <f>IF(AND(U299&gt;='Amort. Sched.-BASE'!$AA$8, U299&lt;= ($AA$7+$AA$8)), Z298+X299, 0)</f>
        <v>0</v>
      </c>
      <c r="AA299" s="24" t="str">
        <f>IF(AND(U299&gt;='Amort. Sched.-BASE'!$AA$8, U299&lt;= ($AA$7+$AA$8)), W299/V299, " ")</f>
        <v xml:space="preserve"> </v>
      </c>
      <c r="AB299" s="25" t="str">
        <f>IF(AND(U299&gt;='Amort. Sched.-BASE'!$AA$8, U299&lt;= ($AA$7+$AA$8)), X299/V299, " ")</f>
        <v xml:space="preserve"> </v>
      </c>
      <c r="AD299" s="20">
        <f t="shared" si="68"/>
        <v>288</v>
      </c>
      <c r="AE299" s="5">
        <f t="shared" si="69"/>
        <v>0</v>
      </c>
      <c r="AF299" s="5">
        <f t="shared" si="70"/>
        <v>0</v>
      </c>
      <c r="AG299" s="5">
        <f t="shared" si="71"/>
        <v>0</v>
      </c>
      <c r="AH299" s="5">
        <f>IF(CreditAmort3BASE[[#This Row],[Month]]=AJ$8,AF$7,0)</f>
        <v>0</v>
      </c>
      <c r="AI299" s="13">
        <f t="shared" si="72"/>
        <v>0</v>
      </c>
      <c r="AJ299" s="6" t="str">
        <f t="shared" si="73"/>
        <v xml:space="preserve"> </v>
      </c>
      <c r="AK299" s="21" t="str">
        <f t="shared" si="74"/>
        <v xml:space="preserve"> </v>
      </c>
      <c r="AM299" s="20">
        <f t="shared" si="75"/>
        <v>288</v>
      </c>
      <c r="AN299" s="5">
        <f t="shared" si="76"/>
        <v>0</v>
      </c>
      <c r="AO299" s="5">
        <f t="shared" si="77"/>
        <v>0</v>
      </c>
      <c r="AP299" s="5">
        <f t="shared" si="78"/>
        <v>0</v>
      </c>
      <c r="AQ299" s="5">
        <f>IF(CreditAmort4BASE[[#This Row],[Month]]=AS$8,AO$7,0)</f>
        <v>0</v>
      </c>
      <c r="AR299" s="13">
        <f t="shared" si="79"/>
        <v>0</v>
      </c>
      <c r="AS299" s="6" t="str">
        <f t="shared" si="80"/>
        <v xml:space="preserve"> </v>
      </c>
      <c r="AT299" s="21" t="str">
        <f t="shared" si="81"/>
        <v xml:space="preserve"> </v>
      </c>
    </row>
    <row r="300" spans="3:46">
      <c r="C300" s="22">
        <f t="shared" si="82"/>
        <v>289</v>
      </c>
      <c r="D300" s="23">
        <f>IF(AND(C300&gt;='Amort. Sched.-BASE'!$I$8, C300&lt;= ($I$7+$I$8)), PMT('Amort. Sched.-BASE'!$E$8/12, 'Amort. Sched.-BASE'!$I$7, 'Amort. Sched.-BASE'!$E$7), 0)</f>
        <v>-1736.5864935892569</v>
      </c>
      <c r="E300" s="5">
        <f>IF(AND(C300&gt;='Amort. Sched.-BASE'!$I$8, C300&lt;= ($I$7+$I$8)), (IPMT($E$8/12, (C300-$I$8), $I$7, $E$7)), 0)</f>
        <v>-133.08946272873146</v>
      </c>
      <c r="F300" s="23">
        <f>IF(AND(C300&gt;='Amort. Sched.-BASE'!$I$8, C300&lt;= ($I$7+$I$8)), (PPMT($E$8/12, (C300-$I$8), $I$7, $E$7)), 0)</f>
        <v>-1603.4970308605255</v>
      </c>
      <c r="G300" s="5">
        <f>IF(MortgageAmortBASE[[#This Row],[Month]]=I$8,E$7,0)</f>
        <v>0</v>
      </c>
      <c r="H300" s="13">
        <f>IF(AND(C300&gt;='Amort. Sched.-BASE'!$I$8, C300&lt;= ($I$7+$I$8)), H299+F300, 0)</f>
        <v>18359.922378449268</v>
      </c>
      <c r="I300" s="24">
        <f>IF(AND(C300&gt;='Amort. Sched.-BASE'!$I$8, C300&lt;= ($I$7+$I$8)), E300/D300, " ")</f>
        <v>7.6638545341704251E-2</v>
      </c>
      <c r="J300" s="25">
        <f>IF(AND(C300&gt;='Amort. Sched.-BASE'!$I$8, C300&lt;= ($I$7+$I$8)), F300/D300, " ")</f>
        <v>0.92336145465829578</v>
      </c>
      <c r="L300" s="20">
        <f t="shared" si="66"/>
        <v>289</v>
      </c>
      <c r="M300" s="5">
        <f>IF(AND(L300&gt;='Amort. Sched.-BASE'!$R$8, L300&lt;= ($R$7+$R$8)), PMT('Amort. Sched.-BASE'!$N$8/12, 'Amort. Sched.-BASE'!$R$7, 'Amort. Sched.-BASE'!$N$7), 0)</f>
        <v>0</v>
      </c>
      <c r="N300" s="5">
        <f>IF(AND(L300&gt;='Amort. Sched.-BASE'!$R$8, L300&lt;= ($R$7+$R$8)), (IPMT($N$8/12, (L300-$R$8), $R$7, $N$7)), 0)</f>
        <v>0</v>
      </c>
      <c r="O300" s="5">
        <f>IF(AND(L300&gt;='Amort. Sched.-BASE'!$R$8, L300&lt;= ($R$7+$R$8)), (PPMT($N$8/12, (L300-$R$8), $R$7, $N$7)), 0)</f>
        <v>0</v>
      </c>
      <c r="P300" s="5">
        <f>IF(CreditAmort1BASE[[#This Row],[Month]]=R$8,N$7,0)</f>
        <v>0</v>
      </c>
      <c r="Q300" s="13">
        <f>IF(AND(L300&gt;='Amort. Sched.-BASE'!$R$8, L300&lt;= ($R$7+$R$8)), Q299+O300, 0)</f>
        <v>0</v>
      </c>
      <c r="R300" s="6" t="str">
        <f>IF(AND(L300&gt;='Amort. Sched.-BASE'!$R$8, L300&lt;= ($R$7+$R$8)), N300/M300, " ")</f>
        <v xml:space="preserve"> </v>
      </c>
      <c r="S300" s="21" t="str">
        <f>IF(AND(L300&gt;='Amort. Sched.-BASE'!$R$8, L300&lt;= ($R$7+$R$8)), O300/M300, " ")</f>
        <v xml:space="preserve"> </v>
      </c>
      <c r="U300" s="22">
        <f t="shared" si="67"/>
        <v>289</v>
      </c>
      <c r="V300" s="23">
        <f>IF(AND(U300&gt;='Amort. Sched.-BASE'!$AA$8, U300&lt;= ($AA$7+$AA$8)), PMT('Amort. Sched.-BASE'!$W$8/12, 'Amort. Sched.-BASE'!$AA$7, 'Amort. Sched.-BASE'!$W$7), 0)</f>
        <v>0</v>
      </c>
      <c r="W300" s="5">
        <f>IF(AND(U300&gt;='Amort. Sched.-BASE'!$AA$8, U300&lt;= ($AA$7+$AA$8)), (IPMT($W$8/12, (U300-$AA$8), $AA$7, $W$7)), 0)</f>
        <v>0</v>
      </c>
      <c r="X300" s="23">
        <f>IF(AND(U300&gt;='Amort. Sched.-BASE'!$AA$8, U300&lt;= ($AA$7+$AA$8)), (PPMT($W$8/12, (U300-$AA$8), $AA$7, $W$7)), 0)</f>
        <v>0</v>
      </c>
      <c r="Y300" s="5">
        <f>IF(CreditAmort2BASE[[#This Row],[Month]]=AA$8,W$7,0)</f>
        <v>0</v>
      </c>
      <c r="Z300" s="13">
        <f>IF(AND(U300&gt;='Amort. Sched.-BASE'!$AA$8, U300&lt;= ($AA$7+$AA$8)), Z299+X300, 0)</f>
        <v>0</v>
      </c>
      <c r="AA300" s="24" t="str">
        <f>IF(AND(U300&gt;='Amort. Sched.-BASE'!$AA$8, U300&lt;= ($AA$7+$AA$8)), W300/V300, " ")</f>
        <v xml:space="preserve"> </v>
      </c>
      <c r="AB300" s="25" t="str">
        <f>IF(AND(U300&gt;='Amort. Sched.-BASE'!$AA$8, U300&lt;= ($AA$7+$AA$8)), X300/V300, " ")</f>
        <v xml:space="preserve"> </v>
      </c>
      <c r="AD300" s="20">
        <f t="shared" si="68"/>
        <v>289</v>
      </c>
      <c r="AE300" s="5">
        <f t="shared" si="69"/>
        <v>0</v>
      </c>
      <c r="AF300" s="5">
        <f t="shared" si="70"/>
        <v>0</v>
      </c>
      <c r="AG300" s="5">
        <f t="shared" si="71"/>
        <v>0</v>
      </c>
      <c r="AH300" s="5">
        <f>IF(CreditAmort3BASE[[#This Row],[Month]]=AJ$8,AF$7,0)</f>
        <v>0</v>
      </c>
      <c r="AI300" s="13">
        <f t="shared" si="72"/>
        <v>0</v>
      </c>
      <c r="AJ300" s="6" t="str">
        <f t="shared" si="73"/>
        <v xml:space="preserve"> </v>
      </c>
      <c r="AK300" s="21" t="str">
        <f t="shared" si="74"/>
        <v xml:space="preserve"> </v>
      </c>
      <c r="AM300" s="20">
        <f t="shared" si="75"/>
        <v>289</v>
      </c>
      <c r="AN300" s="5">
        <f t="shared" si="76"/>
        <v>0</v>
      </c>
      <c r="AO300" s="5">
        <f t="shared" si="77"/>
        <v>0</v>
      </c>
      <c r="AP300" s="5">
        <f t="shared" si="78"/>
        <v>0</v>
      </c>
      <c r="AQ300" s="5">
        <f>IF(CreditAmort4BASE[[#This Row],[Month]]=AS$8,AO$7,0)</f>
        <v>0</v>
      </c>
      <c r="AR300" s="13">
        <f t="shared" si="79"/>
        <v>0</v>
      </c>
      <c r="AS300" s="6" t="str">
        <f t="shared" si="80"/>
        <v xml:space="preserve"> </v>
      </c>
      <c r="AT300" s="21" t="str">
        <f t="shared" si="81"/>
        <v xml:space="preserve"> </v>
      </c>
    </row>
    <row r="301" spans="3:46">
      <c r="C301" s="22">
        <f t="shared" si="82"/>
        <v>290</v>
      </c>
      <c r="D301" s="23">
        <f>IF(AND(C301&gt;='Amort. Sched.-BASE'!$I$8, C301&lt;= ($I$7+$I$8)), PMT('Amort. Sched.-BASE'!$E$8/12, 'Amort. Sched.-BASE'!$I$7, 'Amort. Sched.-BASE'!$E$7), 0)</f>
        <v>-1736.5864935892569</v>
      </c>
      <c r="E301" s="5">
        <f>IF(AND(C301&gt;='Amort. Sched.-BASE'!$I$8, C301&lt;= ($I$7+$I$8)), (IPMT($E$8/12, (C301-$I$8), $I$7, $E$7)), 0)</f>
        <v>-122.39948252299465</v>
      </c>
      <c r="F301" s="23">
        <f>IF(AND(C301&gt;='Amort. Sched.-BASE'!$I$8, C301&lt;= ($I$7+$I$8)), (PPMT($E$8/12, (C301-$I$8), $I$7, $E$7)), 0)</f>
        <v>-1614.1870110662621</v>
      </c>
      <c r="G301" s="5">
        <f>IF(MortgageAmortBASE[[#This Row],[Month]]=I$8,E$7,0)</f>
        <v>0</v>
      </c>
      <c r="H301" s="13">
        <f>IF(AND(C301&gt;='Amort. Sched.-BASE'!$I$8, C301&lt;= ($I$7+$I$8)), H300+F301, 0)</f>
        <v>16745.735367383008</v>
      </c>
      <c r="I301" s="24">
        <f>IF(AND(C301&gt;='Amort. Sched.-BASE'!$I$8, C301&lt;= ($I$7+$I$8)), E301/D301, " ")</f>
        <v>7.0482802310648962E-2</v>
      </c>
      <c r="J301" s="25">
        <f>IF(AND(C301&gt;='Amort. Sched.-BASE'!$I$8, C301&lt;= ($I$7+$I$8)), F301/D301, " ")</f>
        <v>0.92951719768935104</v>
      </c>
      <c r="L301" s="20">
        <f t="shared" si="66"/>
        <v>290</v>
      </c>
      <c r="M301" s="5">
        <f>IF(AND(L301&gt;='Amort. Sched.-BASE'!$R$8, L301&lt;= ($R$7+$R$8)), PMT('Amort. Sched.-BASE'!$N$8/12, 'Amort. Sched.-BASE'!$R$7, 'Amort. Sched.-BASE'!$N$7), 0)</f>
        <v>0</v>
      </c>
      <c r="N301" s="5">
        <f>IF(AND(L301&gt;='Amort. Sched.-BASE'!$R$8, L301&lt;= ($R$7+$R$8)), (IPMT($N$8/12, (L301-$R$8), $R$7, $N$7)), 0)</f>
        <v>0</v>
      </c>
      <c r="O301" s="5">
        <f>IF(AND(L301&gt;='Amort. Sched.-BASE'!$R$8, L301&lt;= ($R$7+$R$8)), (PPMT($N$8/12, (L301-$R$8), $R$7, $N$7)), 0)</f>
        <v>0</v>
      </c>
      <c r="P301" s="5">
        <f>IF(CreditAmort1BASE[[#This Row],[Month]]=R$8,N$7,0)</f>
        <v>0</v>
      </c>
      <c r="Q301" s="13">
        <f>IF(AND(L301&gt;='Amort. Sched.-BASE'!$R$8, L301&lt;= ($R$7+$R$8)), Q300+O301, 0)</f>
        <v>0</v>
      </c>
      <c r="R301" s="6" t="str">
        <f>IF(AND(L301&gt;='Amort. Sched.-BASE'!$R$8, L301&lt;= ($R$7+$R$8)), N301/M301, " ")</f>
        <v xml:space="preserve"> </v>
      </c>
      <c r="S301" s="21" t="str">
        <f>IF(AND(L301&gt;='Amort. Sched.-BASE'!$R$8, L301&lt;= ($R$7+$R$8)), O301/M301, " ")</f>
        <v xml:space="preserve"> </v>
      </c>
      <c r="U301" s="22">
        <f t="shared" si="67"/>
        <v>290</v>
      </c>
      <c r="V301" s="23">
        <f>IF(AND(U301&gt;='Amort. Sched.-BASE'!$AA$8, U301&lt;= ($AA$7+$AA$8)), PMT('Amort. Sched.-BASE'!$W$8/12, 'Amort. Sched.-BASE'!$AA$7, 'Amort. Sched.-BASE'!$W$7), 0)</f>
        <v>0</v>
      </c>
      <c r="W301" s="5">
        <f>IF(AND(U301&gt;='Amort. Sched.-BASE'!$AA$8, U301&lt;= ($AA$7+$AA$8)), (IPMT($W$8/12, (U301-$AA$8), $AA$7, $W$7)), 0)</f>
        <v>0</v>
      </c>
      <c r="X301" s="23">
        <f>IF(AND(U301&gt;='Amort. Sched.-BASE'!$AA$8, U301&lt;= ($AA$7+$AA$8)), (PPMT($W$8/12, (U301-$AA$8), $AA$7, $W$7)), 0)</f>
        <v>0</v>
      </c>
      <c r="Y301" s="5">
        <f>IF(CreditAmort2BASE[[#This Row],[Month]]=AA$8,W$7,0)</f>
        <v>0</v>
      </c>
      <c r="Z301" s="13">
        <f>IF(AND(U301&gt;='Amort. Sched.-BASE'!$AA$8, U301&lt;= ($AA$7+$AA$8)), Z300+X301, 0)</f>
        <v>0</v>
      </c>
      <c r="AA301" s="24" t="str">
        <f>IF(AND(U301&gt;='Amort. Sched.-BASE'!$AA$8, U301&lt;= ($AA$7+$AA$8)), W301/V301, " ")</f>
        <v xml:space="preserve"> </v>
      </c>
      <c r="AB301" s="25" t="str">
        <f>IF(AND(U301&gt;='Amort. Sched.-BASE'!$AA$8, U301&lt;= ($AA$7+$AA$8)), X301/V301, " ")</f>
        <v xml:space="preserve"> </v>
      </c>
      <c r="AD301" s="20">
        <f t="shared" si="68"/>
        <v>290</v>
      </c>
      <c r="AE301" s="5">
        <f t="shared" si="69"/>
        <v>0</v>
      </c>
      <c r="AF301" s="5">
        <f t="shared" si="70"/>
        <v>0</v>
      </c>
      <c r="AG301" s="5">
        <f t="shared" si="71"/>
        <v>0</v>
      </c>
      <c r="AH301" s="5">
        <f>IF(CreditAmort3BASE[[#This Row],[Month]]=AJ$8,AF$7,0)</f>
        <v>0</v>
      </c>
      <c r="AI301" s="13">
        <f t="shared" si="72"/>
        <v>0</v>
      </c>
      <c r="AJ301" s="6" t="str">
        <f t="shared" si="73"/>
        <v xml:space="preserve"> </v>
      </c>
      <c r="AK301" s="21" t="str">
        <f t="shared" si="74"/>
        <v xml:space="preserve"> </v>
      </c>
      <c r="AM301" s="20">
        <f t="shared" si="75"/>
        <v>290</v>
      </c>
      <c r="AN301" s="5">
        <f t="shared" si="76"/>
        <v>0</v>
      </c>
      <c r="AO301" s="5">
        <f t="shared" si="77"/>
        <v>0</v>
      </c>
      <c r="AP301" s="5">
        <f t="shared" si="78"/>
        <v>0</v>
      </c>
      <c r="AQ301" s="5">
        <f>IF(CreditAmort4BASE[[#This Row],[Month]]=AS$8,AO$7,0)</f>
        <v>0</v>
      </c>
      <c r="AR301" s="13">
        <f t="shared" si="79"/>
        <v>0</v>
      </c>
      <c r="AS301" s="6" t="str">
        <f t="shared" si="80"/>
        <v xml:space="preserve"> </v>
      </c>
      <c r="AT301" s="21" t="str">
        <f t="shared" si="81"/>
        <v xml:space="preserve"> </v>
      </c>
    </row>
    <row r="302" spans="3:46">
      <c r="C302" s="22">
        <f t="shared" si="82"/>
        <v>291</v>
      </c>
      <c r="D302" s="23">
        <f>IF(AND(C302&gt;='Amort. Sched.-BASE'!$I$8, C302&lt;= ($I$7+$I$8)), PMT('Amort. Sched.-BASE'!$E$8/12, 'Amort. Sched.-BASE'!$I$7, 'Amort. Sched.-BASE'!$E$7), 0)</f>
        <v>-1736.5864935892569</v>
      </c>
      <c r="E302" s="5">
        <f>IF(AND(C302&gt;='Amort. Sched.-BASE'!$I$8, C302&lt;= ($I$7+$I$8)), (IPMT($E$8/12, (C302-$I$8), $I$7, $E$7)), 0)</f>
        <v>-111.63823578255288</v>
      </c>
      <c r="F302" s="23">
        <f>IF(AND(C302&gt;='Amort. Sched.-BASE'!$I$8, C302&lt;= ($I$7+$I$8)), (PPMT($E$8/12, (C302-$I$8), $I$7, $E$7)), 0)</f>
        <v>-1624.9482578067041</v>
      </c>
      <c r="G302" s="5">
        <f>IF(MortgageAmortBASE[[#This Row],[Month]]=I$8,E$7,0)</f>
        <v>0</v>
      </c>
      <c r="H302" s="13">
        <f>IF(AND(C302&gt;='Amort. Sched.-BASE'!$I$8, C302&lt;= ($I$7+$I$8)), H301+F302, 0)</f>
        <v>15120.787109576304</v>
      </c>
      <c r="I302" s="24">
        <f>IF(AND(C302&gt;='Amort. Sched.-BASE'!$I$8, C302&lt;= ($I$7+$I$8)), E302/D302, " ")</f>
        <v>6.4286020992719947E-2</v>
      </c>
      <c r="J302" s="25">
        <f>IF(AND(C302&gt;='Amort. Sched.-BASE'!$I$8, C302&lt;= ($I$7+$I$8)), F302/D302, " ")</f>
        <v>0.93571397900728015</v>
      </c>
      <c r="L302" s="20">
        <f t="shared" si="66"/>
        <v>291</v>
      </c>
      <c r="M302" s="5">
        <f>IF(AND(L302&gt;='Amort. Sched.-BASE'!$R$8, L302&lt;= ($R$7+$R$8)), PMT('Amort. Sched.-BASE'!$N$8/12, 'Amort. Sched.-BASE'!$R$7, 'Amort. Sched.-BASE'!$N$7), 0)</f>
        <v>0</v>
      </c>
      <c r="N302" s="5">
        <f>IF(AND(L302&gt;='Amort. Sched.-BASE'!$R$8, L302&lt;= ($R$7+$R$8)), (IPMT($N$8/12, (L302-$R$8), $R$7, $N$7)), 0)</f>
        <v>0</v>
      </c>
      <c r="O302" s="5">
        <f>IF(AND(L302&gt;='Amort. Sched.-BASE'!$R$8, L302&lt;= ($R$7+$R$8)), (PPMT($N$8/12, (L302-$R$8), $R$7, $N$7)), 0)</f>
        <v>0</v>
      </c>
      <c r="P302" s="5">
        <f>IF(CreditAmort1BASE[[#This Row],[Month]]=R$8,N$7,0)</f>
        <v>0</v>
      </c>
      <c r="Q302" s="13">
        <f>IF(AND(L302&gt;='Amort. Sched.-BASE'!$R$8, L302&lt;= ($R$7+$R$8)), Q301+O302, 0)</f>
        <v>0</v>
      </c>
      <c r="R302" s="6" t="str">
        <f>IF(AND(L302&gt;='Amort. Sched.-BASE'!$R$8, L302&lt;= ($R$7+$R$8)), N302/M302, " ")</f>
        <v xml:space="preserve"> </v>
      </c>
      <c r="S302" s="21" t="str">
        <f>IF(AND(L302&gt;='Amort. Sched.-BASE'!$R$8, L302&lt;= ($R$7+$R$8)), O302/M302, " ")</f>
        <v xml:space="preserve"> </v>
      </c>
      <c r="U302" s="22">
        <f t="shared" si="67"/>
        <v>291</v>
      </c>
      <c r="V302" s="23">
        <f>IF(AND(U302&gt;='Amort. Sched.-BASE'!$AA$8, U302&lt;= ($AA$7+$AA$8)), PMT('Amort. Sched.-BASE'!$W$8/12, 'Amort. Sched.-BASE'!$AA$7, 'Amort. Sched.-BASE'!$W$7), 0)</f>
        <v>0</v>
      </c>
      <c r="W302" s="5">
        <f>IF(AND(U302&gt;='Amort. Sched.-BASE'!$AA$8, U302&lt;= ($AA$7+$AA$8)), (IPMT($W$8/12, (U302-$AA$8), $AA$7, $W$7)), 0)</f>
        <v>0</v>
      </c>
      <c r="X302" s="23">
        <f>IF(AND(U302&gt;='Amort. Sched.-BASE'!$AA$8, U302&lt;= ($AA$7+$AA$8)), (PPMT($W$8/12, (U302-$AA$8), $AA$7, $W$7)), 0)</f>
        <v>0</v>
      </c>
      <c r="Y302" s="5">
        <f>IF(CreditAmort2BASE[[#This Row],[Month]]=AA$8,W$7,0)</f>
        <v>0</v>
      </c>
      <c r="Z302" s="13">
        <f>IF(AND(U302&gt;='Amort. Sched.-BASE'!$AA$8, U302&lt;= ($AA$7+$AA$8)), Z301+X302, 0)</f>
        <v>0</v>
      </c>
      <c r="AA302" s="24" t="str">
        <f>IF(AND(U302&gt;='Amort. Sched.-BASE'!$AA$8, U302&lt;= ($AA$7+$AA$8)), W302/V302, " ")</f>
        <v xml:space="preserve"> </v>
      </c>
      <c r="AB302" s="25" t="str">
        <f>IF(AND(U302&gt;='Amort. Sched.-BASE'!$AA$8, U302&lt;= ($AA$7+$AA$8)), X302/V302, " ")</f>
        <v xml:space="preserve"> </v>
      </c>
      <c r="AD302" s="20">
        <f t="shared" si="68"/>
        <v>291</v>
      </c>
      <c r="AE302" s="5">
        <f t="shared" si="69"/>
        <v>0</v>
      </c>
      <c r="AF302" s="5">
        <f t="shared" si="70"/>
        <v>0</v>
      </c>
      <c r="AG302" s="5">
        <f t="shared" si="71"/>
        <v>0</v>
      </c>
      <c r="AH302" s="5">
        <f>IF(CreditAmort3BASE[[#This Row],[Month]]=AJ$8,AF$7,0)</f>
        <v>0</v>
      </c>
      <c r="AI302" s="13">
        <f t="shared" si="72"/>
        <v>0</v>
      </c>
      <c r="AJ302" s="6" t="str">
        <f t="shared" si="73"/>
        <v xml:space="preserve"> </v>
      </c>
      <c r="AK302" s="21" t="str">
        <f t="shared" si="74"/>
        <v xml:space="preserve"> </v>
      </c>
      <c r="AM302" s="20">
        <f t="shared" si="75"/>
        <v>291</v>
      </c>
      <c r="AN302" s="5">
        <f t="shared" si="76"/>
        <v>0</v>
      </c>
      <c r="AO302" s="5">
        <f t="shared" si="77"/>
        <v>0</v>
      </c>
      <c r="AP302" s="5">
        <f t="shared" si="78"/>
        <v>0</v>
      </c>
      <c r="AQ302" s="5">
        <f>IF(CreditAmort4BASE[[#This Row],[Month]]=AS$8,AO$7,0)</f>
        <v>0</v>
      </c>
      <c r="AR302" s="13">
        <f t="shared" si="79"/>
        <v>0</v>
      </c>
      <c r="AS302" s="6" t="str">
        <f t="shared" si="80"/>
        <v xml:space="preserve"> </v>
      </c>
      <c r="AT302" s="21" t="str">
        <f t="shared" si="81"/>
        <v xml:space="preserve"> </v>
      </c>
    </row>
    <row r="303" spans="3:46">
      <c r="C303" s="22">
        <f t="shared" si="82"/>
        <v>292</v>
      </c>
      <c r="D303" s="23">
        <f>IF(AND(C303&gt;='Amort. Sched.-BASE'!$I$8, C303&lt;= ($I$7+$I$8)), PMT('Amort. Sched.-BASE'!$E$8/12, 'Amort. Sched.-BASE'!$I$7, 'Amort. Sched.-BASE'!$E$7), 0)</f>
        <v>-1736.5864935892569</v>
      </c>
      <c r="E303" s="5">
        <f>IF(AND(C303&gt;='Amort. Sched.-BASE'!$I$8, C303&lt;= ($I$7+$I$8)), (IPMT($E$8/12, (C303-$I$8), $I$7, $E$7)), 0)</f>
        <v>-100.80524739717484</v>
      </c>
      <c r="F303" s="23">
        <f>IF(AND(C303&gt;='Amort. Sched.-BASE'!$I$8, C303&lt;= ($I$7+$I$8)), (PPMT($E$8/12, (C303-$I$8), $I$7, $E$7)), 0)</f>
        <v>-1635.7812461920821</v>
      </c>
      <c r="G303" s="5">
        <f>IF(MortgageAmortBASE[[#This Row],[Month]]=I$8,E$7,0)</f>
        <v>0</v>
      </c>
      <c r="H303" s="13">
        <f>IF(AND(C303&gt;='Amort. Sched.-BASE'!$I$8, C303&lt;= ($I$7+$I$8)), H302+F303, 0)</f>
        <v>13485.005863384222</v>
      </c>
      <c r="I303" s="24">
        <f>IF(AND(C303&gt;='Amort. Sched.-BASE'!$I$8, C303&lt;= ($I$7+$I$8)), E303/D303, " ")</f>
        <v>5.8047927799338067E-2</v>
      </c>
      <c r="J303" s="25">
        <f>IF(AND(C303&gt;='Amort. Sched.-BASE'!$I$8, C303&lt;= ($I$7+$I$8)), F303/D303, " ")</f>
        <v>0.94195207220066202</v>
      </c>
      <c r="L303" s="20">
        <f t="shared" si="66"/>
        <v>292</v>
      </c>
      <c r="M303" s="5">
        <f>IF(AND(L303&gt;='Amort. Sched.-BASE'!$R$8, L303&lt;= ($R$7+$R$8)), PMT('Amort. Sched.-BASE'!$N$8/12, 'Amort. Sched.-BASE'!$R$7, 'Amort. Sched.-BASE'!$N$7), 0)</f>
        <v>0</v>
      </c>
      <c r="N303" s="5">
        <f>IF(AND(L303&gt;='Amort. Sched.-BASE'!$R$8, L303&lt;= ($R$7+$R$8)), (IPMT($N$8/12, (L303-$R$8), $R$7, $N$7)), 0)</f>
        <v>0</v>
      </c>
      <c r="O303" s="5">
        <f>IF(AND(L303&gt;='Amort. Sched.-BASE'!$R$8, L303&lt;= ($R$7+$R$8)), (PPMT($N$8/12, (L303-$R$8), $R$7, $N$7)), 0)</f>
        <v>0</v>
      </c>
      <c r="P303" s="5">
        <f>IF(CreditAmort1BASE[[#This Row],[Month]]=R$8,N$7,0)</f>
        <v>0</v>
      </c>
      <c r="Q303" s="13">
        <f>IF(AND(L303&gt;='Amort. Sched.-BASE'!$R$8, L303&lt;= ($R$7+$R$8)), Q302+O303, 0)</f>
        <v>0</v>
      </c>
      <c r="R303" s="6" t="str">
        <f>IF(AND(L303&gt;='Amort. Sched.-BASE'!$R$8, L303&lt;= ($R$7+$R$8)), N303/M303, " ")</f>
        <v xml:space="preserve"> </v>
      </c>
      <c r="S303" s="21" t="str">
        <f>IF(AND(L303&gt;='Amort. Sched.-BASE'!$R$8, L303&lt;= ($R$7+$R$8)), O303/M303, " ")</f>
        <v xml:space="preserve"> </v>
      </c>
      <c r="U303" s="22">
        <f t="shared" si="67"/>
        <v>292</v>
      </c>
      <c r="V303" s="23">
        <f>IF(AND(U303&gt;='Amort. Sched.-BASE'!$AA$8, U303&lt;= ($AA$7+$AA$8)), PMT('Amort. Sched.-BASE'!$W$8/12, 'Amort. Sched.-BASE'!$AA$7, 'Amort. Sched.-BASE'!$W$7), 0)</f>
        <v>0</v>
      </c>
      <c r="W303" s="5">
        <f>IF(AND(U303&gt;='Amort. Sched.-BASE'!$AA$8, U303&lt;= ($AA$7+$AA$8)), (IPMT($W$8/12, (U303-$AA$8), $AA$7, $W$7)), 0)</f>
        <v>0</v>
      </c>
      <c r="X303" s="23">
        <f>IF(AND(U303&gt;='Amort. Sched.-BASE'!$AA$8, U303&lt;= ($AA$7+$AA$8)), (PPMT($W$8/12, (U303-$AA$8), $AA$7, $W$7)), 0)</f>
        <v>0</v>
      </c>
      <c r="Y303" s="5">
        <f>IF(CreditAmort2BASE[[#This Row],[Month]]=AA$8,W$7,0)</f>
        <v>0</v>
      </c>
      <c r="Z303" s="13">
        <f>IF(AND(U303&gt;='Amort. Sched.-BASE'!$AA$8, U303&lt;= ($AA$7+$AA$8)), Z302+X303, 0)</f>
        <v>0</v>
      </c>
      <c r="AA303" s="24" t="str">
        <f>IF(AND(U303&gt;='Amort. Sched.-BASE'!$AA$8, U303&lt;= ($AA$7+$AA$8)), W303/V303, " ")</f>
        <v xml:space="preserve"> </v>
      </c>
      <c r="AB303" s="25" t="str">
        <f>IF(AND(U303&gt;='Amort. Sched.-BASE'!$AA$8, U303&lt;= ($AA$7+$AA$8)), X303/V303, " ")</f>
        <v xml:space="preserve"> </v>
      </c>
      <c r="AD303" s="20">
        <f t="shared" si="68"/>
        <v>292</v>
      </c>
      <c r="AE303" s="5">
        <f t="shared" si="69"/>
        <v>0</v>
      </c>
      <c r="AF303" s="5">
        <f t="shared" si="70"/>
        <v>0</v>
      </c>
      <c r="AG303" s="5">
        <f t="shared" si="71"/>
        <v>0</v>
      </c>
      <c r="AH303" s="5">
        <f>IF(CreditAmort3BASE[[#This Row],[Month]]=AJ$8,AF$7,0)</f>
        <v>0</v>
      </c>
      <c r="AI303" s="13">
        <f t="shared" si="72"/>
        <v>0</v>
      </c>
      <c r="AJ303" s="6" t="str">
        <f t="shared" si="73"/>
        <v xml:space="preserve"> </v>
      </c>
      <c r="AK303" s="21" t="str">
        <f t="shared" si="74"/>
        <v xml:space="preserve"> </v>
      </c>
      <c r="AM303" s="20">
        <f t="shared" si="75"/>
        <v>292</v>
      </c>
      <c r="AN303" s="5">
        <f t="shared" si="76"/>
        <v>0</v>
      </c>
      <c r="AO303" s="5">
        <f t="shared" si="77"/>
        <v>0</v>
      </c>
      <c r="AP303" s="5">
        <f t="shared" si="78"/>
        <v>0</v>
      </c>
      <c r="AQ303" s="5">
        <f>IF(CreditAmort4BASE[[#This Row],[Month]]=AS$8,AO$7,0)</f>
        <v>0</v>
      </c>
      <c r="AR303" s="13">
        <f t="shared" si="79"/>
        <v>0</v>
      </c>
      <c r="AS303" s="6" t="str">
        <f t="shared" si="80"/>
        <v xml:space="preserve"> </v>
      </c>
      <c r="AT303" s="21" t="str">
        <f t="shared" si="81"/>
        <v xml:space="preserve"> </v>
      </c>
    </row>
    <row r="304" spans="3:46">
      <c r="C304" s="22">
        <f t="shared" si="82"/>
        <v>293</v>
      </c>
      <c r="D304" s="23">
        <f>IF(AND(C304&gt;='Amort. Sched.-BASE'!$I$8, C304&lt;= ($I$7+$I$8)), PMT('Amort. Sched.-BASE'!$E$8/12, 'Amort. Sched.-BASE'!$I$7, 'Amort. Sched.-BASE'!$E$7), 0)</f>
        <v>-1736.5864935892569</v>
      </c>
      <c r="E304" s="5">
        <f>IF(AND(C304&gt;='Amort. Sched.-BASE'!$I$8, C304&lt;= ($I$7+$I$8)), (IPMT($E$8/12, (C304-$I$8), $I$7, $E$7)), 0)</f>
        <v>-89.900039089227633</v>
      </c>
      <c r="F304" s="23">
        <f>IF(AND(C304&gt;='Amort. Sched.-BASE'!$I$8, C304&lt;= ($I$7+$I$8)), (PPMT($E$8/12, (C304-$I$8), $I$7, $E$7)), 0)</f>
        <v>-1646.6864545000294</v>
      </c>
      <c r="G304" s="5">
        <f>IF(MortgageAmortBASE[[#This Row],[Month]]=I$8,E$7,0)</f>
        <v>0</v>
      </c>
      <c r="H304" s="13">
        <f>IF(AND(C304&gt;='Amort. Sched.-BASE'!$I$8, C304&lt;= ($I$7+$I$8)), H303+F304, 0)</f>
        <v>11838.319408884192</v>
      </c>
      <c r="I304" s="24">
        <f>IF(AND(C304&gt;='Amort. Sched.-BASE'!$I$8, C304&lt;= ($I$7+$I$8)), E304/D304, " ")</f>
        <v>5.1768247318000324E-2</v>
      </c>
      <c r="J304" s="25">
        <f>IF(AND(C304&gt;='Amort. Sched.-BASE'!$I$8, C304&lt;= ($I$7+$I$8)), F304/D304, " ")</f>
        <v>0.94823175268199977</v>
      </c>
      <c r="L304" s="20">
        <f t="shared" si="66"/>
        <v>293</v>
      </c>
      <c r="M304" s="5">
        <f>IF(AND(L304&gt;='Amort. Sched.-BASE'!$R$8, L304&lt;= ($R$7+$R$8)), PMT('Amort. Sched.-BASE'!$N$8/12, 'Amort. Sched.-BASE'!$R$7, 'Amort. Sched.-BASE'!$N$7), 0)</f>
        <v>0</v>
      </c>
      <c r="N304" s="5">
        <f>IF(AND(L304&gt;='Amort. Sched.-BASE'!$R$8, L304&lt;= ($R$7+$R$8)), (IPMT($N$8/12, (L304-$R$8), $R$7, $N$7)), 0)</f>
        <v>0</v>
      </c>
      <c r="O304" s="5">
        <f>IF(AND(L304&gt;='Amort. Sched.-BASE'!$R$8, L304&lt;= ($R$7+$R$8)), (PPMT($N$8/12, (L304-$R$8), $R$7, $N$7)), 0)</f>
        <v>0</v>
      </c>
      <c r="P304" s="5">
        <f>IF(CreditAmort1BASE[[#This Row],[Month]]=R$8,N$7,0)</f>
        <v>0</v>
      </c>
      <c r="Q304" s="13">
        <f>IF(AND(L304&gt;='Amort. Sched.-BASE'!$R$8, L304&lt;= ($R$7+$R$8)), Q303+O304, 0)</f>
        <v>0</v>
      </c>
      <c r="R304" s="6" t="str">
        <f>IF(AND(L304&gt;='Amort. Sched.-BASE'!$R$8, L304&lt;= ($R$7+$R$8)), N304/M304, " ")</f>
        <v xml:space="preserve"> </v>
      </c>
      <c r="S304" s="21" t="str">
        <f>IF(AND(L304&gt;='Amort. Sched.-BASE'!$R$8, L304&lt;= ($R$7+$R$8)), O304/M304, " ")</f>
        <v xml:space="preserve"> </v>
      </c>
      <c r="U304" s="22">
        <f t="shared" si="67"/>
        <v>293</v>
      </c>
      <c r="V304" s="23">
        <f>IF(AND(U304&gt;='Amort. Sched.-BASE'!$AA$8, U304&lt;= ($AA$7+$AA$8)), PMT('Amort. Sched.-BASE'!$W$8/12, 'Amort. Sched.-BASE'!$AA$7, 'Amort. Sched.-BASE'!$W$7), 0)</f>
        <v>0</v>
      </c>
      <c r="W304" s="5">
        <f>IF(AND(U304&gt;='Amort. Sched.-BASE'!$AA$8, U304&lt;= ($AA$7+$AA$8)), (IPMT($W$8/12, (U304-$AA$8), $AA$7, $W$7)), 0)</f>
        <v>0</v>
      </c>
      <c r="X304" s="23">
        <f>IF(AND(U304&gt;='Amort. Sched.-BASE'!$AA$8, U304&lt;= ($AA$7+$AA$8)), (PPMT($W$8/12, (U304-$AA$8), $AA$7, $W$7)), 0)</f>
        <v>0</v>
      </c>
      <c r="Y304" s="5">
        <f>IF(CreditAmort2BASE[[#This Row],[Month]]=AA$8,W$7,0)</f>
        <v>0</v>
      </c>
      <c r="Z304" s="13">
        <f>IF(AND(U304&gt;='Amort. Sched.-BASE'!$AA$8, U304&lt;= ($AA$7+$AA$8)), Z303+X304, 0)</f>
        <v>0</v>
      </c>
      <c r="AA304" s="24" t="str">
        <f>IF(AND(U304&gt;='Amort. Sched.-BASE'!$AA$8, U304&lt;= ($AA$7+$AA$8)), W304/V304, " ")</f>
        <v xml:space="preserve"> </v>
      </c>
      <c r="AB304" s="25" t="str">
        <f>IF(AND(U304&gt;='Amort. Sched.-BASE'!$AA$8, U304&lt;= ($AA$7+$AA$8)), X304/V304, " ")</f>
        <v xml:space="preserve"> </v>
      </c>
      <c r="AD304" s="20">
        <f t="shared" si="68"/>
        <v>293</v>
      </c>
      <c r="AE304" s="5">
        <f t="shared" si="69"/>
        <v>0</v>
      </c>
      <c r="AF304" s="5">
        <f t="shared" si="70"/>
        <v>0</v>
      </c>
      <c r="AG304" s="5">
        <f t="shared" si="71"/>
        <v>0</v>
      </c>
      <c r="AH304" s="5">
        <f>IF(CreditAmort3BASE[[#This Row],[Month]]=AJ$8,AF$7,0)</f>
        <v>0</v>
      </c>
      <c r="AI304" s="13">
        <f t="shared" si="72"/>
        <v>0</v>
      </c>
      <c r="AJ304" s="6" t="str">
        <f t="shared" si="73"/>
        <v xml:space="preserve"> </v>
      </c>
      <c r="AK304" s="21" t="str">
        <f t="shared" si="74"/>
        <v xml:space="preserve"> </v>
      </c>
      <c r="AM304" s="20">
        <f t="shared" si="75"/>
        <v>293</v>
      </c>
      <c r="AN304" s="5">
        <f t="shared" si="76"/>
        <v>0</v>
      </c>
      <c r="AO304" s="5">
        <f t="shared" si="77"/>
        <v>0</v>
      </c>
      <c r="AP304" s="5">
        <f t="shared" si="78"/>
        <v>0</v>
      </c>
      <c r="AQ304" s="5">
        <f>IF(CreditAmort4BASE[[#This Row],[Month]]=AS$8,AO$7,0)</f>
        <v>0</v>
      </c>
      <c r="AR304" s="13">
        <f t="shared" si="79"/>
        <v>0</v>
      </c>
      <c r="AS304" s="6" t="str">
        <f t="shared" si="80"/>
        <v xml:space="preserve"> </v>
      </c>
      <c r="AT304" s="21" t="str">
        <f t="shared" si="81"/>
        <v xml:space="preserve"> </v>
      </c>
    </row>
    <row r="305" spans="3:46">
      <c r="C305" s="22">
        <f t="shared" si="82"/>
        <v>294</v>
      </c>
      <c r="D305" s="23">
        <f>IF(AND(C305&gt;='Amort. Sched.-BASE'!$I$8, C305&lt;= ($I$7+$I$8)), PMT('Amort. Sched.-BASE'!$E$8/12, 'Amort. Sched.-BASE'!$I$7, 'Amort. Sched.-BASE'!$E$7), 0)</f>
        <v>-1736.5864935892569</v>
      </c>
      <c r="E305" s="5">
        <f>IF(AND(C305&gt;='Amort. Sched.-BASE'!$I$8, C305&lt;= ($I$7+$I$8)), (IPMT($E$8/12, (C305-$I$8), $I$7, $E$7)), 0)</f>
        <v>-78.922129392560763</v>
      </c>
      <c r="F305" s="23">
        <f>IF(AND(C305&gt;='Amort. Sched.-BASE'!$I$8, C305&lt;= ($I$7+$I$8)), (PPMT($E$8/12, (C305-$I$8), $I$7, $E$7)), 0)</f>
        <v>-1657.6643641966962</v>
      </c>
      <c r="G305" s="5">
        <f>IF(MortgageAmortBASE[[#This Row],[Month]]=I$8,E$7,0)</f>
        <v>0</v>
      </c>
      <c r="H305" s="13">
        <f>IF(AND(C305&gt;='Amort. Sched.-BASE'!$I$8, C305&lt;= ($I$7+$I$8)), H304+F305, 0)</f>
        <v>10180.655044687495</v>
      </c>
      <c r="I305" s="24">
        <f>IF(AND(C305&gt;='Amort. Sched.-BASE'!$I$8, C305&lt;= ($I$7+$I$8)), E305/D305, " ")</f>
        <v>4.5446702300120323E-2</v>
      </c>
      <c r="J305" s="25">
        <f>IF(AND(C305&gt;='Amort. Sched.-BASE'!$I$8, C305&lt;= ($I$7+$I$8)), F305/D305, " ")</f>
        <v>0.95455329769987973</v>
      </c>
      <c r="L305" s="20">
        <f t="shared" si="66"/>
        <v>294</v>
      </c>
      <c r="M305" s="5">
        <f>IF(AND(L305&gt;='Amort. Sched.-BASE'!$R$8, L305&lt;= ($R$7+$R$8)), PMT('Amort. Sched.-BASE'!$N$8/12, 'Amort. Sched.-BASE'!$R$7, 'Amort. Sched.-BASE'!$N$7), 0)</f>
        <v>0</v>
      </c>
      <c r="N305" s="5">
        <f>IF(AND(L305&gt;='Amort. Sched.-BASE'!$R$8, L305&lt;= ($R$7+$R$8)), (IPMT($N$8/12, (L305-$R$8), $R$7, $N$7)), 0)</f>
        <v>0</v>
      </c>
      <c r="O305" s="5">
        <f>IF(AND(L305&gt;='Amort. Sched.-BASE'!$R$8, L305&lt;= ($R$7+$R$8)), (PPMT($N$8/12, (L305-$R$8), $R$7, $N$7)), 0)</f>
        <v>0</v>
      </c>
      <c r="P305" s="5">
        <f>IF(CreditAmort1BASE[[#This Row],[Month]]=R$8,N$7,0)</f>
        <v>0</v>
      </c>
      <c r="Q305" s="13">
        <f>IF(AND(L305&gt;='Amort. Sched.-BASE'!$R$8, L305&lt;= ($R$7+$R$8)), Q304+O305, 0)</f>
        <v>0</v>
      </c>
      <c r="R305" s="6" t="str">
        <f>IF(AND(L305&gt;='Amort. Sched.-BASE'!$R$8, L305&lt;= ($R$7+$R$8)), N305/M305, " ")</f>
        <v xml:space="preserve"> </v>
      </c>
      <c r="S305" s="21" t="str">
        <f>IF(AND(L305&gt;='Amort. Sched.-BASE'!$R$8, L305&lt;= ($R$7+$R$8)), O305/M305, " ")</f>
        <v xml:space="preserve"> </v>
      </c>
      <c r="U305" s="22">
        <f t="shared" si="67"/>
        <v>294</v>
      </c>
      <c r="V305" s="23">
        <f>IF(AND(U305&gt;='Amort. Sched.-BASE'!$AA$8, U305&lt;= ($AA$7+$AA$8)), PMT('Amort. Sched.-BASE'!$W$8/12, 'Amort. Sched.-BASE'!$AA$7, 'Amort. Sched.-BASE'!$W$7), 0)</f>
        <v>0</v>
      </c>
      <c r="W305" s="5">
        <f>IF(AND(U305&gt;='Amort. Sched.-BASE'!$AA$8, U305&lt;= ($AA$7+$AA$8)), (IPMT($W$8/12, (U305-$AA$8), $AA$7, $W$7)), 0)</f>
        <v>0</v>
      </c>
      <c r="X305" s="23">
        <f>IF(AND(U305&gt;='Amort. Sched.-BASE'!$AA$8, U305&lt;= ($AA$7+$AA$8)), (PPMT($W$8/12, (U305-$AA$8), $AA$7, $W$7)), 0)</f>
        <v>0</v>
      </c>
      <c r="Y305" s="5">
        <f>IF(CreditAmort2BASE[[#This Row],[Month]]=AA$8,W$7,0)</f>
        <v>0</v>
      </c>
      <c r="Z305" s="13">
        <f>IF(AND(U305&gt;='Amort. Sched.-BASE'!$AA$8, U305&lt;= ($AA$7+$AA$8)), Z304+X305, 0)</f>
        <v>0</v>
      </c>
      <c r="AA305" s="24" t="str">
        <f>IF(AND(U305&gt;='Amort. Sched.-BASE'!$AA$8, U305&lt;= ($AA$7+$AA$8)), W305/V305, " ")</f>
        <v xml:space="preserve"> </v>
      </c>
      <c r="AB305" s="25" t="str">
        <f>IF(AND(U305&gt;='Amort. Sched.-BASE'!$AA$8, U305&lt;= ($AA$7+$AA$8)), X305/V305, " ")</f>
        <v xml:space="preserve"> </v>
      </c>
      <c r="AD305" s="20">
        <f t="shared" si="68"/>
        <v>294</v>
      </c>
      <c r="AE305" s="5">
        <f t="shared" si="69"/>
        <v>0</v>
      </c>
      <c r="AF305" s="5">
        <f t="shared" si="70"/>
        <v>0</v>
      </c>
      <c r="AG305" s="5">
        <f t="shared" si="71"/>
        <v>0</v>
      </c>
      <c r="AH305" s="5">
        <f>IF(CreditAmort3BASE[[#This Row],[Month]]=AJ$8,AF$7,0)</f>
        <v>0</v>
      </c>
      <c r="AI305" s="13">
        <f t="shared" si="72"/>
        <v>0</v>
      </c>
      <c r="AJ305" s="6" t="str">
        <f t="shared" si="73"/>
        <v xml:space="preserve"> </v>
      </c>
      <c r="AK305" s="21" t="str">
        <f t="shared" si="74"/>
        <v xml:space="preserve"> </v>
      </c>
      <c r="AM305" s="20">
        <f t="shared" si="75"/>
        <v>294</v>
      </c>
      <c r="AN305" s="5">
        <f t="shared" si="76"/>
        <v>0</v>
      </c>
      <c r="AO305" s="5">
        <f t="shared" si="77"/>
        <v>0</v>
      </c>
      <c r="AP305" s="5">
        <f t="shared" si="78"/>
        <v>0</v>
      </c>
      <c r="AQ305" s="5">
        <f>IF(CreditAmort4BASE[[#This Row],[Month]]=AS$8,AO$7,0)</f>
        <v>0</v>
      </c>
      <c r="AR305" s="13">
        <f t="shared" si="79"/>
        <v>0</v>
      </c>
      <c r="AS305" s="6" t="str">
        <f t="shared" si="80"/>
        <v xml:space="preserve"> </v>
      </c>
      <c r="AT305" s="21" t="str">
        <f t="shared" si="81"/>
        <v xml:space="preserve"> </v>
      </c>
    </row>
    <row r="306" spans="3:46">
      <c r="C306" s="22">
        <f t="shared" si="82"/>
        <v>295</v>
      </c>
      <c r="D306" s="23">
        <f>IF(AND(C306&gt;='Amort. Sched.-BASE'!$I$8, C306&lt;= ($I$7+$I$8)), PMT('Amort. Sched.-BASE'!$E$8/12, 'Amort. Sched.-BASE'!$I$7, 'Amort. Sched.-BASE'!$E$7), 0)</f>
        <v>-1736.5864935892569</v>
      </c>
      <c r="E306" s="5">
        <f>IF(AND(C306&gt;='Amort. Sched.-BASE'!$I$8, C306&lt;= ($I$7+$I$8)), (IPMT($E$8/12, (C306-$I$8), $I$7, $E$7)), 0)</f>
        <v>-67.87103363124946</v>
      </c>
      <c r="F306" s="23">
        <f>IF(AND(C306&gt;='Amort. Sched.-BASE'!$I$8, C306&lt;= ($I$7+$I$8)), (PPMT($E$8/12, (C306-$I$8), $I$7, $E$7)), 0)</f>
        <v>-1668.7154599580074</v>
      </c>
      <c r="G306" s="5">
        <f>IF(MortgageAmortBASE[[#This Row],[Month]]=I$8,E$7,0)</f>
        <v>0</v>
      </c>
      <c r="H306" s="13">
        <f>IF(AND(C306&gt;='Amort. Sched.-BASE'!$I$8, C306&lt;= ($I$7+$I$8)), H305+F306, 0)</f>
        <v>8511.9395847294873</v>
      </c>
      <c r="I306" s="24">
        <f>IF(AND(C306&gt;='Amort. Sched.-BASE'!$I$8, C306&lt;= ($I$7+$I$8)), E306/D306, " ")</f>
        <v>3.9083013648787794E-2</v>
      </c>
      <c r="J306" s="25">
        <f>IF(AND(C306&gt;='Amort. Sched.-BASE'!$I$8, C306&lt;= ($I$7+$I$8)), F306/D306, " ")</f>
        <v>0.96091698635121225</v>
      </c>
      <c r="L306" s="20">
        <f t="shared" si="66"/>
        <v>295</v>
      </c>
      <c r="M306" s="5">
        <f>IF(AND(L306&gt;='Amort. Sched.-BASE'!$R$8, L306&lt;= ($R$7+$R$8)), PMT('Amort. Sched.-BASE'!$N$8/12, 'Amort. Sched.-BASE'!$R$7, 'Amort. Sched.-BASE'!$N$7), 0)</f>
        <v>0</v>
      </c>
      <c r="N306" s="5">
        <f>IF(AND(L306&gt;='Amort. Sched.-BASE'!$R$8, L306&lt;= ($R$7+$R$8)), (IPMT($N$8/12, (L306-$R$8), $R$7, $N$7)), 0)</f>
        <v>0</v>
      </c>
      <c r="O306" s="5">
        <f>IF(AND(L306&gt;='Amort. Sched.-BASE'!$R$8, L306&lt;= ($R$7+$R$8)), (PPMT($N$8/12, (L306-$R$8), $R$7, $N$7)), 0)</f>
        <v>0</v>
      </c>
      <c r="P306" s="5">
        <f>IF(CreditAmort1BASE[[#This Row],[Month]]=R$8,N$7,0)</f>
        <v>0</v>
      </c>
      <c r="Q306" s="13">
        <f>IF(AND(L306&gt;='Amort. Sched.-BASE'!$R$8, L306&lt;= ($R$7+$R$8)), Q305+O306, 0)</f>
        <v>0</v>
      </c>
      <c r="R306" s="6" t="str">
        <f>IF(AND(L306&gt;='Amort. Sched.-BASE'!$R$8, L306&lt;= ($R$7+$R$8)), N306/M306, " ")</f>
        <v xml:space="preserve"> </v>
      </c>
      <c r="S306" s="21" t="str">
        <f>IF(AND(L306&gt;='Amort. Sched.-BASE'!$R$8, L306&lt;= ($R$7+$R$8)), O306/M306, " ")</f>
        <v xml:space="preserve"> </v>
      </c>
      <c r="U306" s="22">
        <f t="shared" si="67"/>
        <v>295</v>
      </c>
      <c r="V306" s="23">
        <f>IF(AND(U306&gt;='Amort. Sched.-BASE'!$AA$8, U306&lt;= ($AA$7+$AA$8)), PMT('Amort. Sched.-BASE'!$W$8/12, 'Amort. Sched.-BASE'!$AA$7, 'Amort. Sched.-BASE'!$W$7), 0)</f>
        <v>0</v>
      </c>
      <c r="W306" s="5">
        <f>IF(AND(U306&gt;='Amort. Sched.-BASE'!$AA$8, U306&lt;= ($AA$7+$AA$8)), (IPMT($W$8/12, (U306-$AA$8), $AA$7, $W$7)), 0)</f>
        <v>0</v>
      </c>
      <c r="X306" s="23">
        <f>IF(AND(U306&gt;='Amort. Sched.-BASE'!$AA$8, U306&lt;= ($AA$7+$AA$8)), (PPMT($W$8/12, (U306-$AA$8), $AA$7, $W$7)), 0)</f>
        <v>0</v>
      </c>
      <c r="Y306" s="5">
        <f>IF(CreditAmort2BASE[[#This Row],[Month]]=AA$8,W$7,0)</f>
        <v>0</v>
      </c>
      <c r="Z306" s="13">
        <f>IF(AND(U306&gt;='Amort. Sched.-BASE'!$AA$8, U306&lt;= ($AA$7+$AA$8)), Z305+X306, 0)</f>
        <v>0</v>
      </c>
      <c r="AA306" s="24" t="str">
        <f>IF(AND(U306&gt;='Amort. Sched.-BASE'!$AA$8, U306&lt;= ($AA$7+$AA$8)), W306/V306, " ")</f>
        <v xml:space="preserve"> </v>
      </c>
      <c r="AB306" s="25" t="str">
        <f>IF(AND(U306&gt;='Amort. Sched.-BASE'!$AA$8, U306&lt;= ($AA$7+$AA$8)), X306/V306, " ")</f>
        <v xml:space="preserve"> </v>
      </c>
      <c r="AD306" s="20">
        <f t="shared" si="68"/>
        <v>295</v>
      </c>
      <c r="AE306" s="5">
        <f t="shared" si="69"/>
        <v>0</v>
      </c>
      <c r="AF306" s="5">
        <f t="shared" si="70"/>
        <v>0</v>
      </c>
      <c r="AG306" s="5">
        <f t="shared" si="71"/>
        <v>0</v>
      </c>
      <c r="AH306" s="5">
        <f>IF(CreditAmort3BASE[[#This Row],[Month]]=AJ$8,AF$7,0)</f>
        <v>0</v>
      </c>
      <c r="AI306" s="13">
        <f t="shared" si="72"/>
        <v>0</v>
      </c>
      <c r="AJ306" s="6" t="str">
        <f t="shared" si="73"/>
        <v xml:space="preserve"> </v>
      </c>
      <c r="AK306" s="21" t="str">
        <f t="shared" si="74"/>
        <v xml:space="preserve"> </v>
      </c>
      <c r="AM306" s="20">
        <f t="shared" si="75"/>
        <v>295</v>
      </c>
      <c r="AN306" s="5">
        <f t="shared" si="76"/>
        <v>0</v>
      </c>
      <c r="AO306" s="5">
        <f t="shared" si="77"/>
        <v>0</v>
      </c>
      <c r="AP306" s="5">
        <f t="shared" si="78"/>
        <v>0</v>
      </c>
      <c r="AQ306" s="5">
        <f>IF(CreditAmort4BASE[[#This Row],[Month]]=AS$8,AO$7,0)</f>
        <v>0</v>
      </c>
      <c r="AR306" s="13">
        <f t="shared" si="79"/>
        <v>0</v>
      </c>
      <c r="AS306" s="6" t="str">
        <f t="shared" si="80"/>
        <v xml:space="preserve"> </v>
      </c>
      <c r="AT306" s="21" t="str">
        <f t="shared" si="81"/>
        <v xml:space="preserve"> </v>
      </c>
    </row>
    <row r="307" spans="3:46">
      <c r="C307" s="22">
        <f t="shared" si="82"/>
        <v>296</v>
      </c>
      <c r="D307" s="23">
        <f>IF(AND(C307&gt;='Amort. Sched.-BASE'!$I$8, C307&lt;= ($I$7+$I$8)), PMT('Amort. Sched.-BASE'!$E$8/12, 'Amort. Sched.-BASE'!$I$7, 'Amort. Sched.-BASE'!$E$7), 0)</f>
        <v>-1736.5864935892569</v>
      </c>
      <c r="E307" s="5">
        <f>IF(AND(C307&gt;='Amort. Sched.-BASE'!$I$8, C307&lt;= ($I$7+$I$8)), (IPMT($E$8/12, (C307-$I$8), $I$7, $E$7)), 0)</f>
        <v>-56.746263898196077</v>
      </c>
      <c r="F307" s="23">
        <f>IF(AND(C307&gt;='Amort. Sched.-BASE'!$I$8, C307&lt;= ($I$7+$I$8)), (PPMT($E$8/12, (C307-$I$8), $I$7, $E$7)), 0)</f>
        <v>-1679.8402296910608</v>
      </c>
      <c r="G307" s="5">
        <f>IF(MortgageAmortBASE[[#This Row],[Month]]=I$8,E$7,0)</f>
        <v>0</v>
      </c>
      <c r="H307" s="13">
        <f>IF(AND(C307&gt;='Amort. Sched.-BASE'!$I$8, C307&lt;= ($I$7+$I$8)), H306+F307, 0)</f>
        <v>6832.0993550384264</v>
      </c>
      <c r="I307" s="24">
        <f>IF(AND(C307&gt;='Amort. Sched.-BASE'!$I$8, C307&lt;= ($I$7+$I$8)), E307/D307, " ")</f>
        <v>3.2676900406446378E-2</v>
      </c>
      <c r="J307" s="25">
        <f>IF(AND(C307&gt;='Amort. Sched.-BASE'!$I$8, C307&lt;= ($I$7+$I$8)), F307/D307, " ")</f>
        <v>0.96732309959355367</v>
      </c>
      <c r="L307" s="20">
        <f t="shared" si="66"/>
        <v>296</v>
      </c>
      <c r="M307" s="5">
        <f>IF(AND(L307&gt;='Amort. Sched.-BASE'!$R$8, L307&lt;= ($R$7+$R$8)), PMT('Amort. Sched.-BASE'!$N$8/12, 'Amort. Sched.-BASE'!$R$7, 'Amort. Sched.-BASE'!$N$7), 0)</f>
        <v>0</v>
      </c>
      <c r="N307" s="5">
        <f>IF(AND(L307&gt;='Amort. Sched.-BASE'!$R$8, L307&lt;= ($R$7+$R$8)), (IPMT($N$8/12, (L307-$R$8), $R$7, $N$7)), 0)</f>
        <v>0</v>
      </c>
      <c r="O307" s="5">
        <f>IF(AND(L307&gt;='Amort. Sched.-BASE'!$R$8, L307&lt;= ($R$7+$R$8)), (PPMT($N$8/12, (L307-$R$8), $R$7, $N$7)), 0)</f>
        <v>0</v>
      </c>
      <c r="P307" s="5">
        <f>IF(CreditAmort1BASE[[#This Row],[Month]]=R$8,N$7,0)</f>
        <v>0</v>
      </c>
      <c r="Q307" s="13">
        <f>IF(AND(L307&gt;='Amort. Sched.-BASE'!$R$8, L307&lt;= ($R$7+$R$8)), Q306+O307, 0)</f>
        <v>0</v>
      </c>
      <c r="R307" s="6" t="str">
        <f>IF(AND(L307&gt;='Amort. Sched.-BASE'!$R$8, L307&lt;= ($R$7+$R$8)), N307/M307, " ")</f>
        <v xml:space="preserve"> </v>
      </c>
      <c r="S307" s="21" t="str">
        <f>IF(AND(L307&gt;='Amort. Sched.-BASE'!$R$8, L307&lt;= ($R$7+$R$8)), O307/M307, " ")</f>
        <v xml:space="preserve"> </v>
      </c>
      <c r="U307" s="22">
        <f t="shared" si="67"/>
        <v>296</v>
      </c>
      <c r="V307" s="23">
        <f>IF(AND(U307&gt;='Amort. Sched.-BASE'!$AA$8, U307&lt;= ($AA$7+$AA$8)), PMT('Amort. Sched.-BASE'!$W$8/12, 'Amort. Sched.-BASE'!$AA$7, 'Amort. Sched.-BASE'!$W$7), 0)</f>
        <v>0</v>
      </c>
      <c r="W307" s="5">
        <f>IF(AND(U307&gt;='Amort. Sched.-BASE'!$AA$8, U307&lt;= ($AA$7+$AA$8)), (IPMT($W$8/12, (U307-$AA$8), $AA$7, $W$7)), 0)</f>
        <v>0</v>
      </c>
      <c r="X307" s="23">
        <f>IF(AND(U307&gt;='Amort. Sched.-BASE'!$AA$8, U307&lt;= ($AA$7+$AA$8)), (PPMT($W$8/12, (U307-$AA$8), $AA$7, $W$7)), 0)</f>
        <v>0</v>
      </c>
      <c r="Y307" s="5">
        <f>IF(CreditAmort2BASE[[#This Row],[Month]]=AA$8,W$7,0)</f>
        <v>0</v>
      </c>
      <c r="Z307" s="13">
        <f>IF(AND(U307&gt;='Amort. Sched.-BASE'!$AA$8, U307&lt;= ($AA$7+$AA$8)), Z306+X307, 0)</f>
        <v>0</v>
      </c>
      <c r="AA307" s="24" t="str">
        <f>IF(AND(U307&gt;='Amort. Sched.-BASE'!$AA$8, U307&lt;= ($AA$7+$AA$8)), W307/V307, " ")</f>
        <v xml:space="preserve"> </v>
      </c>
      <c r="AB307" s="25" t="str">
        <f>IF(AND(U307&gt;='Amort. Sched.-BASE'!$AA$8, U307&lt;= ($AA$7+$AA$8)), X307/V307, " ")</f>
        <v xml:space="preserve"> </v>
      </c>
      <c r="AD307" s="20">
        <f t="shared" si="68"/>
        <v>296</v>
      </c>
      <c r="AE307" s="5">
        <f t="shared" si="69"/>
        <v>0</v>
      </c>
      <c r="AF307" s="5">
        <f t="shared" si="70"/>
        <v>0</v>
      </c>
      <c r="AG307" s="5">
        <f t="shared" si="71"/>
        <v>0</v>
      </c>
      <c r="AH307" s="5">
        <f>IF(CreditAmort3BASE[[#This Row],[Month]]=AJ$8,AF$7,0)</f>
        <v>0</v>
      </c>
      <c r="AI307" s="13">
        <f t="shared" si="72"/>
        <v>0</v>
      </c>
      <c r="AJ307" s="6" t="str">
        <f t="shared" si="73"/>
        <v xml:space="preserve"> </v>
      </c>
      <c r="AK307" s="21" t="str">
        <f t="shared" si="74"/>
        <v xml:space="preserve"> </v>
      </c>
      <c r="AM307" s="20">
        <f t="shared" si="75"/>
        <v>296</v>
      </c>
      <c r="AN307" s="5">
        <f t="shared" si="76"/>
        <v>0</v>
      </c>
      <c r="AO307" s="5">
        <f t="shared" si="77"/>
        <v>0</v>
      </c>
      <c r="AP307" s="5">
        <f t="shared" si="78"/>
        <v>0</v>
      </c>
      <c r="AQ307" s="5">
        <f>IF(CreditAmort4BASE[[#This Row],[Month]]=AS$8,AO$7,0)</f>
        <v>0</v>
      </c>
      <c r="AR307" s="13">
        <f t="shared" si="79"/>
        <v>0</v>
      </c>
      <c r="AS307" s="6" t="str">
        <f t="shared" si="80"/>
        <v xml:space="preserve"> </v>
      </c>
      <c r="AT307" s="21" t="str">
        <f t="shared" si="81"/>
        <v xml:space="preserve"> </v>
      </c>
    </row>
    <row r="308" spans="3:46">
      <c r="C308" s="22">
        <f t="shared" si="82"/>
        <v>297</v>
      </c>
      <c r="D308" s="23">
        <f>IF(AND(C308&gt;='Amort. Sched.-BASE'!$I$8, C308&lt;= ($I$7+$I$8)), PMT('Amort. Sched.-BASE'!$E$8/12, 'Amort. Sched.-BASE'!$I$7, 'Amort. Sched.-BASE'!$E$7), 0)</f>
        <v>-1736.5864935892569</v>
      </c>
      <c r="E308" s="5">
        <f>IF(AND(C308&gt;='Amort. Sched.-BASE'!$I$8, C308&lt;= ($I$7+$I$8)), (IPMT($E$8/12, (C308-$I$8), $I$7, $E$7)), 0)</f>
        <v>-45.547329033589001</v>
      </c>
      <c r="F308" s="23">
        <f>IF(AND(C308&gt;='Amort. Sched.-BASE'!$I$8, C308&lt;= ($I$7+$I$8)), (PPMT($E$8/12, (C308-$I$8), $I$7, $E$7)), 0)</f>
        <v>-1691.0391645556679</v>
      </c>
      <c r="G308" s="5">
        <f>IF(MortgageAmortBASE[[#This Row],[Month]]=I$8,E$7,0)</f>
        <v>0</v>
      </c>
      <c r="H308" s="13">
        <f>IF(AND(C308&gt;='Amort. Sched.-BASE'!$I$8, C308&lt;= ($I$7+$I$8)), H307+F308, 0)</f>
        <v>5141.0601904827581</v>
      </c>
      <c r="I308" s="24">
        <f>IF(AND(C308&gt;='Amort. Sched.-BASE'!$I$8, C308&lt;= ($I$7+$I$8)), E308/D308, " ")</f>
        <v>2.6228079742489353E-2</v>
      </c>
      <c r="J308" s="25">
        <f>IF(AND(C308&gt;='Amort. Sched.-BASE'!$I$8, C308&lt;= ($I$7+$I$8)), F308/D308, " ")</f>
        <v>0.97377192025751069</v>
      </c>
      <c r="L308" s="20">
        <f t="shared" si="66"/>
        <v>297</v>
      </c>
      <c r="M308" s="5">
        <f>IF(AND(L308&gt;='Amort. Sched.-BASE'!$R$8, L308&lt;= ($R$7+$R$8)), PMT('Amort. Sched.-BASE'!$N$8/12, 'Amort. Sched.-BASE'!$R$7, 'Amort. Sched.-BASE'!$N$7), 0)</f>
        <v>0</v>
      </c>
      <c r="N308" s="5">
        <f>IF(AND(L308&gt;='Amort. Sched.-BASE'!$R$8, L308&lt;= ($R$7+$R$8)), (IPMT($N$8/12, (L308-$R$8), $R$7, $N$7)), 0)</f>
        <v>0</v>
      </c>
      <c r="O308" s="5">
        <f>IF(AND(L308&gt;='Amort. Sched.-BASE'!$R$8, L308&lt;= ($R$7+$R$8)), (PPMT($N$8/12, (L308-$R$8), $R$7, $N$7)), 0)</f>
        <v>0</v>
      </c>
      <c r="P308" s="5">
        <f>IF(CreditAmort1BASE[[#This Row],[Month]]=R$8,N$7,0)</f>
        <v>0</v>
      </c>
      <c r="Q308" s="13">
        <f>IF(AND(L308&gt;='Amort. Sched.-BASE'!$R$8, L308&lt;= ($R$7+$R$8)), Q307+O308, 0)</f>
        <v>0</v>
      </c>
      <c r="R308" s="6" t="str">
        <f>IF(AND(L308&gt;='Amort. Sched.-BASE'!$R$8, L308&lt;= ($R$7+$R$8)), N308/M308, " ")</f>
        <v xml:space="preserve"> </v>
      </c>
      <c r="S308" s="21" t="str">
        <f>IF(AND(L308&gt;='Amort. Sched.-BASE'!$R$8, L308&lt;= ($R$7+$R$8)), O308/M308, " ")</f>
        <v xml:space="preserve"> </v>
      </c>
      <c r="U308" s="22">
        <f t="shared" si="67"/>
        <v>297</v>
      </c>
      <c r="V308" s="23">
        <f>IF(AND(U308&gt;='Amort. Sched.-BASE'!$AA$8, U308&lt;= ($AA$7+$AA$8)), PMT('Amort. Sched.-BASE'!$W$8/12, 'Amort. Sched.-BASE'!$AA$7, 'Amort. Sched.-BASE'!$W$7), 0)</f>
        <v>0</v>
      </c>
      <c r="W308" s="5">
        <f>IF(AND(U308&gt;='Amort. Sched.-BASE'!$AA$8, U308&lt;= ($AA$7+$AA$8)), (IPMT($W$8/12, (U308-$AA$8), $AA$7, $W$7)), 0)</f>
        <v>0</v>
      </c>
      <c r="X308" s="23">
        <f>IF(AND(U308&gt;='Amort. Sched.-BASE'!$AA$8, U308&lt;= ($AA$7+$AA$8)), (PPMT($W$8/12, (U308-$AA$8), $AA$7, $W$7)), 0)</f>
        <v>0</v>
      </c>
      <c r="Y308" s="5">
        <f>IF(CreditAmort2BASE[[#This Row],[Month]]=AA$8,W$7,0)</f>
        <v>0</v>
      </c>
      <c r="Z308" s="13">
        <f>IF(AND(U308&gt;='Amort. Sched.-BASE'!$AA$8, U308&lt;= ($AA$7+$AA$8)), Z307+X308, 0)</f>
        <v>0</v>
      </c>
      <c r="AA308" s="24" t="str">
        <f>IF(AND(U308&gt;='Amort. Sched.-BASE'!$AA$8, U308&lt;= ($AA$7+$AA$8)), W308/V308, " ")</f>
        <v xml:space="preserve"> </v>
      </c>
      <c r="AB308" s="25" t="str">
        <f>IF(AND(U308&gt;='Amort. Sched.-BASE'!$AA$8, U308&lt;= ($AA$7+$AA$8)), X308/V308, " ")</f>
        <v xml:space="preserve"> </v>
      </c>
      <c r="AD308" s="20">
        <f t="shared" si="68"/>
        <v>297</v>
      </c>
      <c r="AE308" s="5">
        <f t="shared" si="69"/>
        <v>0</v>
      </c>
      <c r="AF308" s="5">
        <f t="shared" si="70"/>
        <v>0</v>
      </c>
      <c r="AG308" s="5">
        <f t="shared" si="71"/>
        <v>0</v>
      </c>
      <c r="AH308" s="5">
        <f>IF(CreditAmort3BASE[[#This Row],[Month]]=AJ$8,AF$7,0)</f>
        <v>0</v>
      </c>
      <c r="AI308" s="13">
        <f t="shared" si="72"/>
        <v>0</v>
      </c>
      <c r="AJ308" s="6" t="str">
        <f t="shared" si="73"/>
        <v xml:space="preserve"> </v>
      </c>
      <c r="AK308" s="21" t="str">
        <f t="shared" si="74"/>
        <v xml:space="preserve"> </v>
      </c>
      <c r="AM308" s="20">
        <f t="shared" si="75"/>
        <v>297</v>
      </c>
      <c r="AN308" s="5">
        <f t="shared" si="76"/>
        <v>0</v>
      </c>
      <c r="AO308" s="5">
        <f t="shared" si="77"/>
        <v>0</v>
      </c>
      <c r="AP308" s="5">
        <f t="shared" si="78"/>
        <v>0</v>
      </c>
      <c r="AQ308" s="5">
        <f>IF(CreditAmort4BASE[[#This Row],[Month]]=AS$8,AO$7,0)</f>
        <v>0</v>
      </c>
      <c r="AR308" s="13">
        <f t="shared" si="79"/>
        <v>0</v>
      </c>
      <c r="AS308" s="6" t="str">
        <f t="shared" si="80"/>
        <v xml:space="preserve"> </v>
      </c>
      <c r="AT308" s="21" t="str">
        <f t="shared" si="81"/>
        <v xml:space="preserve"> </v>
      </c>
    </row>
    <row r="309" spans="3:46">
      <c r="C309" s="22">
        <f t="shared" si="82"/>
        <v>298</v>
      </c>
      <c r="D309" s="23">
        <f>IF(AND(C309&gt;='Amort. Sched.-BASE'!$I$8, C309&lt;= ($I$7+$I$8)), PMT('Amort. Sched.-BASE'!$E$8/12, 'Amort. Sched.-BASE'!$I$7, 'Amort. Sched.-BASE'!$E$7), 0)</f>
        <v>-1736.5864935892569</v>
      </c>
      <c r="E309" s="5">
        <f>IF(AND(C309&gt;='Amort. Sched.-BASE'!$I$8, C309&lt;= ($I$7+$I$8)), (IPMT($E$8/12, (C309-$I$8), $I$7, $E$7)), 0)</f>
        <v>-34.273734603217882</v>
      </c>
      <c r="F309" s="23">
        <f>IF(AND(C309&gt;='Amort. Sched.-BASE'!$I$8, C309&lt;= ($I$7+$I$8)), (PPMT($E$8/12, (C309-$I$8), $I$7, $E$7)), 0)</f>
        <v>-1702.3127589860392</v>
      </c>
      <c r="G309" s="5">
        <f>IF(MortgageAmortBASE[[#This Row],[Month]]=I$8,E$7,0)</f>
        <v>0</v>
      </c>
      <c r="H309" s="13">
        <f>IF(AND(C309&gt;='Amort. Sched.-BASE'!$I$8, C309&lt;= ($I$7+$I$8)), H308+F309, 0)</f>
        <v>3438.7474314967189</v>
      </c>
      <c r="I309" s="24">
        <f>IF(AND(C309&gt;='Amort. Sched.-BASE'!$I$8, C309&lt;= ($I$7+$I$8)), E309/D309, " ")</f>
        <v>1.9736266940772615E-2</v>
      </c>
      <c r="J309" s="25">
        <f>IF(AND(C309&gt;='Amort. Sched.-BASE'!$I$8, C309&lt;= ($I$7+$I$8)), F309/D309, " ")</f>
        <v>0.98026373305922754</v>
      </c>
      <c r="L309" s="20">
        <f t="shared" si="66"/>
        <v>298</v>
      </c>
      <c r="M309" s="5">
        <f>IF(AND(L309&gt;='Amort. Sched.-BASE'!$R$8, L309&lt;= ($R$7+$R$8)), PMT('Amort. Sched.-BASE'!$N$8/12, 'Amort. Sched.-BASE'!$R$7, 'Amort. Sched.-BASE'!$N$7), 0)</f>
        <v>0</v>
      </c>
      <c r="N309" s="5">
        <f>IF(AND(L309&gt;='Amort. Sched.-BASE'!$R$8, L309&lt;= ($R$7+$R$8)), (IPMT($N$8/12, (L309-$R$8), $R$7, $N$7)), 0)</f>
        <v>0</v>
      </c>
      <c r="O309" s="5">
        <f>IF(AND(L309&gt;='Amort. Sched.-BASE'!$R$8, L309&lt;= ($R$7+$R$8)), (PPMT($N$8/12, (L309-$R$8), $R$7, $N$7)), 0)</f>
        <v>0</v>
      </c>
      <c r="P309" s="5">
        <f>IF(CreditAmort1BASE[[#This Row],[Month]]=R$8,N$7,0)</f>
        <v>0</v>
      </c>
      <c r="Q309" s="13">
        <f>IF(AND(L309&gt;='Amort. Sched.-BASE'!$R$8, L309&lt;= ($R$7+$R$8)), Q308+O309, 0)</f>
        <v>0</v>
      </c>
      <c r="R309" s="6" t="str">
        <f>IF(AND(L309&gt;='Amort. Sched.-BASE'!$R$8, L309&lt;= ($R$7+$R$8)), N309/M309, " ")</f>
        <v xml:space="preserve"> </v>
      </c>
      <c r="S309" s="21" t="str">
        <f>IF(AND(L309&gt;='Amort. Sched.-BASE'!$R$8, L309&lt;= ($R$7+$R$8)), O309/M309, " ")</f>
        <v xml:space="preserve"> </v>
      </c>
      <c r="U309" s="22">
        <f t="shared" si="67"/>
        <v>298</v>
      </c>
      <c r="V309" s="23">
        <f>IF(AND(U309&gt;='Amort. Sched.-BASE'!$AA$8, U309&lt;= ($AA$7+$AA$8)), PMT('Amort. Sched.-BASE'!$W$8/12, 'Amort. Sched.-BASE'!$AA$7, 'Amort. Sched.-BASE'!$W$7), 0)</f>
        <v>0</v>
      </c>
      <c r="W309" s="5">
        <f>IF(AND(U309&gt;='Amort. Sched.-BASE'!$AA$8, U309&lt;= ($AA$7+$AA$8)), (IPMT($W$8/12, (U309-$AA$8), $AA$7, $W$7)), 0)</f>
        <v>0</v>
      </c>
      <c r="X309" s="23">
        <f>IF(AND(U309&gt;='Amort. Sched.-BASE'!$AA$8, U309&lt;= ($AA$7+$AA$8)), (PPMT($W$8/12, (U309-$AA$8), $AA$7, $W$7)), 0)</f>
        <v>0</v>
      </c>
      <c r="Y309" s="5">
        <f>IF(CreditAmort2BASE[[#This Row],[Month]]=AA$8,W$7,0)</f>
        <v>0</v>
      </c>
      <c r="Z309" s="13">
        <f>IF(AND(U309&gt;='Amort. Sched.-BASE'!$AA$8, U309&lt;= ($AA$7+$AA$8)), Z308+X309, 0)</f>
        <v>0</v>
      </c>
      <c r="AA309" s="24" t="str">
        <f>IF(AND(U309&gt;='Amort. Sched.-BASE'!$AA$8, U309&lt;= ($AA$7+$AA$8)), W309/V309, " ")</f>
        <v xml:space="preserve"> </v>
      </c>
      <c r="AB309" s="25" t="str">
        <f>IF(AND(U309&gt;='Amort. Sched.-BASE'!$AA$8, U309&lt;= ($AA$7+$AA$8)), X309/V309, " ")</f>
        <v xml:space="preserve"> </v>
      </c>
      <c r="AD309" s="20">
        <f t="shared" si="68"/>
        <v>298</v>
      </c>
      <c r="AE309" s="5">
        <f t="shared" si="69"/>
        <v>0</v>
      </c>
      <c r="AF309" s="5">
        <f t="shared" si="70"/>
        <v>0</v>
      </c>
      <c r="AG309" s="5">
        <f t="shared" si="71"/>
        <v>0</v>
      </c>
      <c r="AH309" s="5">
        <f>IF(CreditAmort3BASE[[#This Row],[Month]]=AJ$8,AF$7,0)</f>
        <v>0</v>
      </c>
      <c r="AI309" s="13">
        <f t="shared" si="72"/>
        <v>0</v>
      </c>
      <c r="AJ309" s="6" t="str">
        <f t="shared" si="73"/>
        <v xml:space="preserve"> </v>
      </c>
      <c r="AK309" s="21" t="str">
        <f t="shared" si="74"/>
        <v xml:space="preserve"> </v>
      </c>
      <c r="AM309" s="20">
        <f t="shared" si="75"/>
        <v>298</v>
      </c>
      <c r="AN309" s="5">
        <f t="shared" si="76"/>
        <v>0</v>
      </c>
      <c r="AO309" s="5">
        <f t="shared" si="77"/>
        <v>0</v>
      </c>
      <c r="AP309" s="5">
        <f t="shared" si="78"/>
        <v>0</v>
      </c>
      <c r="AQ309" s="5">
        <f>IF(CreditAmort4BASE[[#This Row],[Month]]=AS$8,AO$7,0)</f>
        <v>0</v>
      </c>
      <c r="AR309" s="13">
        <f t="shared" si="79"/>
        <v>0</v>
      </c>
      <c r="AS309" s="6" t="str">
        <f t="shared" si="80"/>
        <v xml:space="preserve"> </v>
      </c>
      <c r="AT309" s="21" t="str">
        <f t="shared" si="81"/>
        <v xml:space="preserve"> </v>
      </c>
    </row>
    <row r="310" spans="3:46">
      <c r="C310" s="22">
        <f t="shared" si="82"/>
        <v>299</v>
      </c>
      <c r="D310" s="23">
        <f>IF(AND(C310&gt;='Amort. Sched.-BASE'!$I$8, C310&lt;= ($I$7+$I$8)), PMT('Amort. Sched.-BASE'!$E$8/12, 'Amort. Sched.-BASE'!$I$7, 'Amort. Sched.-BASE'!$E$7), 0)</f>
        <v>-1736.5864935892569</v>
      </c>
      <c r="E310" s="5">
        <f>IF(AND(C310&gt;='Amort. Sched.-BASE'!$I$8, C310&lt;= ($I$7+$I$8)), (IPMT($E$8/12, (C310-$I$8), $I$7, $E$7)), 0)</f>
        <v>-22.924982876644286</v>
      </c>
      <c r="F310" s="23">
        <f>IF(AND(C310&gt;='Amort. Sched.-BASE'!$I$8, C310&lt;= ($I$7+$I$8)), (PPMT($E$8/12, (C310-$I$8), $I$7, $E$7)), 0)</f>
        <v>-1713.6615107126127</v>
      </c>
      <c r="G310" s="5">
        <f>IF(MortgageAmortBASE[[#This Row],[Month]]=I$8,E$7,0)</f>
        <v>0</v>
      </c>
      <c r="H310" s="13">
        <f>IF(AND(C310&gt;='Amort. Sched.-BASE'!$I$8, C310&lt;= ($I$7+$I$8)), H309+F310, 0)</f>
        <v>1725.0859207841063</v>
      </c>
      <c r="I310" s="24">
        <f>IF(AND(C310&gt;='Amort. Sched.-BASE'!$I$8, C310&lt;= ($I$7+$I$8)), E310/D310, " ")</f>
        <v>1.3201175387044429E-2</v>
      </c>
      <c r="J310" s="25">
        <f>IF(AND(C310&gt;='Amort. Sched.-BASE'!$I$8, C310&lt;= ($I$7+$I$8)), F310/D310, " ")</f>
        <v>0.98679882461295565</v>
      </c>
      <c r="L310" s="20">
        <f t="shared" si="66"/>
        <v>299</v>
      </c>
      <c r="M310" s="5">
        <f>IF(AND(L310&gt;='Amort. Sched.-BASE'!$R$8, L310&lt;= ($R$7+$R$8)), PMT('Amort. Sched.-BASE'!$N$8/12, 'Amort. Sched.-BASE'!$R$7, 'Amort. Sched.-BASE'!$N$7), 0)</f>
        <v>0</v>
      </c>
      <c r="N310" s="5">
        <f>IF(AND(L310&gt;='Amort. Sched.-BASE'!$R$8, L310&lt;= ($R$7+$R$8)), (IPMT($N$8/12, (L310-$R$8), $R$7, $N$7)), 0)</f>
        <v>0</v>
      </c>
      <c r="O310" s="5">
        <f>IF(AND(L310&gt;='Amort. Sched.-BASE'!$R$8, L310&lt;= ($R$7+$R$8)), (PPMT($N$8/12, (L310-$R$8), $R$7, $N$7)), 0)</f>
        <v>0</v>
      </c>
      <c r="P310" s="5">
        <f>IF(CreditAmort1BASE[[#This Row],[Month]]=R$8,N$7,0)</f>
        <v>0</v>
      </c>
      <c r="Q310" s="13">
        <f>IF(AND(L310&gt;='Amort. Sched.-BASE'!$R$8, L310&lt;= ($R$7+$R$8)), Q309+O310, 0)</f>
        <v>0</v>
      </c>
      <c r="R310" s="6" t="str">
        <f>IF(AND(L310&gt;='Amort. Sched.-BASE'!$R$8, L310&lt;= ($R$7+$R$8)), N310/M310, " ")</f>
        <v xml:space="preserve"> </v>
      </c>
      <c r="S310" s="21" t="str">
        <f>IF(AND(L310&gt;='Amort. Sched.-BASE'!$R$8, L310&lt;= ($R$7+$R$8)), O310/M310, " ")</f>
        <v xml:space="preserve"> </v>
      </c>
      <c r="U310" s="22">
        <f t="shared" si="67"/>
        <v>299</v>
      </c>
      <c r="V310" s="23">
        <f>IF(AND(U310&gt;='Amort. Sched.-BASE'!$AA$8, U310&lt;= ($AA$7+$AA$8)), PMT('Amort. Sched.-BASE'!$W$8/12, 'Amort. Sched.-BASE'!$AA$7, 'Amort. Sched.-BASE'!$W$7), 0)</f>
        <v>0</v>
      </c>
      <c r="W310" s="5">
        <f>IF(AND(U310&gt;='Amort. Sched.-BASE'!$AA$8, U310&lt;= ($AA$7+$AA$8)), (IPMT($W$8/12, (U310-$AA$8), $AA$7, $W$7)), 0)</f>
        <v>0</v>
      </c>
      <c r="X310" s="23">
        <f>IF(AND(U310&gt;='Amort. Sched.-BASE'!$AA$8, U310&lt;= ($AA$7+$AA$8)), (PPMT($W$8/12, (U310-$AA$8), $AA$7, $W$7)), 0)</f>
        <v>0</v>
      </c>
      <c r="Y310" s="5">
        <f>IF(CreditAmort2BASE[[#This Row],[Month]]=AA$8,W$7,0)</f>
        <v>0</v>
      </c>
      <c r="Z310" s="13">
        <f>IF(AND(U310&gt;='Amort. Sched.-BASE'!$AA$8, U310&lt;= ($AA$7+$AA$8)), Z309+X310, 0)</f>
        <v>0</v>
      </c>
      <c r="AA310" s="24" t="str">
        <f>IF(AND(U310&gt;='Amort. Sched.-BASE'!$AA$8, U310&lt;= ($AA$7+$AA$8)), W310/V310, " ")</f>
        <v xml:space="preserve"> </v>
      </c>
      <c r="AB310" s="25" t="str">
        <f>IF(AND(U310&gt;='Amort. Sched.-BASE'!$AA$8, U310&lt;= ($AA$7+$AA$8)), X310/V310, " ")</f>
        <v xml:space="preserve"> </v>
      </c>
      <c r="AD310" s="20">
        <f t="shared" si="68"/>
        <v>299</v>
      </c>
      <c r="AE310" s="5">
        <f t="shared" si="69"/>
        <v>0</v>
      </c>
      <c r="AF310" s="5">
        <f t="shared" si="70"/>
        <v>0</v>
      </c>
      <c r="AG310" s="5">
        <f t="shared" si="71"/>
        <v>0</v>
      </c>
      <c r="AH310" s="5">
        <f>IF(CreditAmort3BASE[[#This Row],[Month]]=AJ$8,AF$7,0)</f>
        <v>0</v>
      </c>
      <c r="AI310" s="13">
        <f t="shared" si="72"/>
        <v>0</v>
      </c>
      <c r="AJ310" s="6" t="str">
        <f t="shared" si="73"/>
        <v xml:space="preserve"> </v>
      </c>
      <c r="AK310" s="21" t="str">
        <f t="shared" si="74"/>
        <v xml:space="preserve"> </v>
      </c>
      <c r="AM310" s="20">
        <f t="shared" si="75"/>
        <v>299</v>
      </c>
      <c r="AN310" s="5">
        <f t="shared" si="76"/>
        <v>0</v>
      </c>
      <c r="AO310" s="5">
        <f t="shared" si="77"/>
        <v>0</v>
      </c>
      <c r="AP310" s="5">
        <f t="shared" si="78"/>
        <v>0</v>
      </c>
      <c r="AQ310" s="5">
        <f>IF(CreditAmort4BASE[[#This Row],[Month]]=AS$8,AO$7,0)</f>
        <v>0</v>
      </c>
      <c r="AR310" s="13">
        <f t="shared" si="79"/>
        <v>0</v>
      </c>
      <c r="AS310" s="6" t="str">
        <f t="shared" si="80"/>
        <v xml:space="preserve"> </v>
      </c>
      <c r="AT310" s="21" t="str">
        <f t="shared" si="81"/>
        <v xml:space="preserve"> </v>
      </c>
    </row>
    <row r="311" spans="3:46">
      <c r="C311" s="22">
        <f t="shared" si="82"/>
        <v>300</v>
      </c>
      <c r="D311" s="23">
        <f>IF(AND(C311&gt;='Amort. Sched.-BASE'!$I$8, C311&lt;= ($I$7+$I$8)), PMT('Amort. Sched.-BASE'!$E$8/12, 'Amort. Sched.-BASE'!$I$7, 'Amort. Sched.-BASE'!$E$7), 0)</f>
        <v>-1736.5864935892569</v>
      </c>
      <c r="E311" s="5">
        <f>IF(AND(C311&gt;='Amort. Sched.-BASE'!$I$8, C311&lt;= ($I$7+$I$8)), (IPMT($E$8/12, (C311-$I$8), $I$7, $E$7)), 0)</f>
        <v>-11.500572805226867</v>
      </c>
      <c r="F311" s="23">
        <f>IF(AND(C311&gt;='Amort. Sched.-BASE'!$I$8, C311&lt;= ($I$7+$I$8)), (PPMT($E$8/12, (C311-$I$8), $I$7, $E$7)), 0)</f>
        <v>-1725.0859207840299</v>
      </c>
      <c r="G311" s="5">
        <f>IF(MortgageAmortBASE[[#This Row],[Month]]=I$8,E$7,0)</f>
        <v>0</v>
      </c>
      <c r="H311" s="13">
        <f>IF(AND(C311&gt;='Amort. Sched.-BASE'!$I$8, C311&lt;= ($I$7+$I$8)), H310+F311, 0)</f>
        <v>7.6397554948925972E-11</v>
      </c>
      <c r="I311" s="24">
        <f>IF(AND(C311&gt;='Amort. Sched.-BASE'!$I$8, C311&lt;= ($I$7+$I$8)), E311/D311, " ")</f>
        <v>6.6225165562913907E-3</v>
      </c>
      <c r="J311" s="25">
        <f>IF(AND(C311&gt;='Amort. Sched.-BASE'!$I$8, C311&lt;= ($I$7+$I$8)), F311/D311, " ")</f>
        <v>0.99337748344370858</v>
      </c>
      <c r="L311" s="20">
        <f t="shared" si="66"/>
        <v>300</v>
      </c>
      <c r="M311" s="5">
        <f>IF(AND(L311&gt;='Amort. Sched.-BASE'!$R$8, L311&lt;= ($R$7+$R$8)), PMT('Amort. Sched.-BASE'!$N$8/12, 'Amort. Sched.-BASE'!$R$7, 'Amort. Sched.-BASE'!$N$7), 0)</f>
        <v>0</v>
      </c>
      <c r="N311" s="5">
        <f>IF(AND(L311&gt;='Amort. Sched.-BASE'!$R$8, L311&lt;= ($R$7+$R$8)), (IPMT($N$8/12, (L311-$R$8), $R$7, $N$7)), 0)</f>
        <v>0</v>
      </c>
      <c r="O311" s="5">
        <f>IF(AND(L311&gt;='Amort. Sched.-BASE'!$R$8, L311&lt;= ($R$7+$R$8)), (PPMT($N$8/12, (L311-$R$8), $R$7, $N$7)), 0)</f>
        <v>0</v>
      </c>
      <c r="P311" s="5">
        <f>IF(CreditAmort1BASE[[#This Row],[Month]]=R$8,N$7,0)</f>
        <v>0</v>
      </c>
      <c r="Q311" s="13">
        <f>IF(AND(L311&gt;='Amort. Sched.-BASE'!$R$8, L311&lt;= ($R$7+$R$8)), Q310+O311, 0)</f>
        <v>0</v>
      </c>
      <c r="R311" s="6" t="str">
        <f>IF(AND(L311&gt;='Amort. Sched.-BASE'!$R$8, L311&lt;= ($R$7+$R$8)), N311/M311, " ")</f>
        <v xml:space="preserve"> </v>
      </c>
      <c r="S311" s="21" t="str">
        <f>IF(AND(L311&gt;='Amort. Sched.-BASE'!$R$8, L311&lt;= ($R$7+$R$8)), O311/M311, " ")</f>
        <v xml:space="preserve"> </v>
      </c>
      <c r="U311" s="22">
        <f t="shared" si="67"/>
        <v>300</v>
      </c>
      <c r="V311" s="23">
        <f>IF(AND(U311&gt;='Amort. Sched.-BASE'!$AA$8, U311&lt;= ($AA$7+$AA$8)), PMT('Amort. Sched.-BASE'!$W$8/12, 'Amort. Sched.-BASE'!$AA$7, 'Amort. Sched.-BASE'!$W$7), 0)</f>
        <v>0</v>
      </c>
      <c r="W311" s="5">
        <f>IF(AND(U311&gt;='Amort. Sched.-BASE'!$AA$8, U311&lt;= ($AA$7+$AA$8)), (IPMT($W$8/12, (U311-$AA$8), $AA$7, $W$7)), 0)</f>
        <v>0</v>
      </c>
      <c r="X311" s="23">
        <f>IF(AND(U311&gt;='Amort. Sched.-BASE'!$AA$8, U311&lt;= ($AA$7+$AA$8)), (PPMT($W$8/12, (U311-$AA$8), $AA$7, $W$7)), 0)</f>
        <v>0</v>
      </c>
      <c r="Y311" s="5">
        <f>IF(CreditAmort2BASE[[#This Row],[Month]]=AA$8,W$7,0)</f>
        <v>0</v>
      </c>
      <c r="Z311" s="13">
        <f>IF(AND(U311&gt;='Amort. Sched.-BASE'!$AA$8, U311&lt;= ($AA$7+$AA$8)), Z310+X311, 0)</f>
        <v>0</v>
      </c>
      <c r="AA311" s="24" t="str">
        <f>IF(AND(U311&gt;='Amort. Sched.-BASE'!$AA$8, U311&lt;= ($AA$7+$AA$8)), W311/V311, " ")</f>
        <v xml:space="preserve"> </v>
      </c>
      <c r="AB311" s="25" t="str">
        <f>IF(AND(U311&gt;='Amort. Sched.-BASE'!$AA$8, U311&lt;= ($AA$7+$AA$8)), X311/V311, " ")</f>
        <v xml:space="preserve"> </v>
      </c>
      <c r="AD311" s="20">
        <f t="shared" si="68"/>
        <v>300</v>
      </c>
      <c r="AE311" s="5">
        <f t="shared" si="69"/>
        <v>0</v>
      </c>
      <c r="AF311" s="5">
        <f t="shared" si="70"/>
        <v>0</v>
      </c>
      <c r="AG311" s="5">
        <f t="shared" si="71"/>
        <v>0</v>
      </c>
      <c r="AH311" s="5">
        <f>IF(CreditAmort3BASE[[#This Row],[Month]]=AJ$8,AF$7,0)</f>
        <v>0</v>
      </c>
      <c r="AI311" s="13">
        <f t="shared" si="72"/>
        <v>0</v>
      </c>
      <c r="AJ311" s="6" t="str">
        <f t="shared" si="73"/>
        <v xml:space="preserve"> </v>
      </c>
      <c r="AK311" s="21" t="str">
        <f t="shared" si="74"/>
        <v xml:space="preserve"> </v>
      </c>
      <c r="AM311" s="20">
        <f t="shared" si="75"/>
        <v>300</v>
      </c>
      <c r="AN311" s="5">
        <f t="shared" si="76"/>
        <v>0</v>
      </c>
      <c r="AO311" s="5">
        <f t="shared" si="77"/>
        <v>0</v>
      </c>
      <c r="AP311" s="5">
        <f t="shared" si="78"/>
        <v>0</v>
      </c>
      <c r="AQ311" s="5">
        <f>IF(CreditAmort4BASE[[#This Row],[Month]]=AS$8,AO$7,0)</f>
        <v>0</v>
      </c>
      <c r="AR311" s="13">
        <f t="shared" si="79"/>
        <v>0</v>
      </c>
      <c r="AS311" s="6" t="str">
        <f t="shared" si="80"/>
        <v xml:space="preserve"> </v>
      </c>
      <c r="AT311" s="21" t="str">
        <f t="shared" si="81"/>
        <v xml:space="preserve"> </v>
      </c>
    </row>
    <row r="312" spans="3:46">
      <c r="C312" s="22">
        <f t="shared" si="82"/>
        <v>301</v>
      </c>
      <c r="D312" s="23">
        <f>IF(AND(C312&gt;='Amort. Sched.-BASE'!$I$8, C312&lt;= ($I$7+$I$8)), PMT('Amort. Sched.-BASE'!$E$8/12, 'Amort. Sched.-BASE'!$I$7, 'Amort. Sched.-BASE'!$E$7), 0)</f>
        <v>0</v>
      </c>
      <c r="E312" s="5">
        <f>IF(AND(C312&gt;='Amort. Sched.-BASE'!$I$8, C312&lt;= ($I$7+$I$8)), (IPMT($E$8/12, (C312-$I$8), $I$7, $E$7)), 0)</f>
        <v>0</v>
      </c>
      <c r="F312" s="23">
        <f>IF(AND(C312&gt;='Amort. Sched.-BASE'!$I$8, C312&lt;= ($I$7+$I$8)), (PPMT($E$8/12, (C312-$I$8), $I$7, $E$7)), 0)</f>
        <v>0</v>
      </c>
      <c r="G312" s="5">
        <f>IF(MortgageAmortBASE[[#This Row],[Month]]=I$8,E$7,0)</f>
        <v>0</v>
      </c>
      <c r="H312" s="13">
        <f>IF(AND(C312&gt;='Amort. Sched.-BASE'!$I$8, C312&lt;= ($I$7+$I$8)), H311+F312, 0)</f>
        <v>0</v>
      </c>
      <c r="I312" s="24" t="str">
        <f>IF(AND(C312&gt;='Amort. Sched.-BASE'!$I$8, C312&lt;= ($I$7+$I$8)), E312/D312, " ")</f>
        <v xml:space="preserve"> </v>
      </c>
      <c r="J312" s="25" t="str">
        <f>IF(AND(C312&gt;='Amort. Sched.-BASE'!$I$8, C312&lt;= ($I$7+$I$8)), F312/D312, " ")</f>
        <v xml:space="preserve"> </v>
      </c>
      <c r="L312" s="20">
        <f t="shared" si="66"/>
        <v>301</v>
      </c>
      <c r="M312" s="5">
        <f>IF(AND(L312&gt;='Amort. Sched.-BASE'!$R$8, L312&lt;= ($R$7+$R$8)), PMT('Amort. Sched.-BASE'!$N$8/12, 'Amort. Sched.-BASE'!$R$7, 'Amort. Sched.-BASE'!$N$7), 0)</f>
        <v>0</v>
      </c>
      <c r="N312" s="5">
        <f>IF(AND(L312&gt;='Amort. Sched.-BASE'!$R$8, L312&lt;= ($R$7+$R$8)), (IPMT($N$8/12, (L312-$R$8), $R$7, $N$7)), 0)</f>
        <v>0</v>
      </c>
      <c r="O312" s="5">
        <f>IF(AND(L312&gt;='Amort. Sched.-BASE'!$R$8, L312&lt;= ($R$7+$R$8)), (PPMT($N$8/12, (L312-$R$8), $R$7, $N$7)), 0)</f>
        <v>0</v>
      </c>
      <c r="P312" s="5">
        <f>IF(CreditAmort1BASE[[#This Row],[Month]]=R$8,N$7,0)</f>
        <v>0</v>
      </c>
      <c r="Q312" s="13">
        <f>IF(AND(L312&gt;='Amort. Sched.-BASE'!$R$8, L312&lt;= ($R$7+$R$8)), Q311+O312, 0)</f>
        <v>0</v>
      </c>
      <c r="R312" s="6" t="str">
        <f>IF(AND(L312&gt;='Amort. Sched.-BASE'!$R$8, L312&lt;= ($R$7+$R$8)), N312/M312, " ")</f>
        <v xml:space="preserve"> </v>
      </c>
      <c r="S312" s="21" t="str">
        <f>IF(AND(L312&gt;='Amort. Sched.-BASE'!$R$8, L312&lt;= ($R$7+$R$8)), O312/M312, " ")</f>
        <v xml:space="preserve"> </v>
      </c>
      <c r="U312" s="22">
        <f t="shared" si="67"/>
        <v>301</v>
      </c>
      <c r="V312" s="23">
        <f>IF(AND(U312&gt;='Amort. Sched.-BASE'!$AA$8, U312&lt;= ($AA$7+$AA$8)), PMT('Amort. Sched.-BASE'!$W$8/12, 'Amort. Sched.-BASE'!$AA$7, 'Amort. Sched.-BASE'!$W$7), 0)</f>
        <v>0</v>
      </c>
      <c r="W312" s="5">
        <f>IF(AND(U312&gt;='Amort. Sched.-BASE'!$AA$8, U312&lt;= ($AA$7+$AA$8)), (IPMT($W$8/12, (U312-$AA$8), $AA$7, $W$7)), 0)</f>
        <v>0</v>
      </c>
      <c r="X312" s="23">
        <f>IF(AND(U312&gt;='Amort. Sched.-BASE'!$AA$8, U312&lt;= ($AA$7+$AA$8)), (PPMT($W$8/12, (U312-$AA$8), $AA$7, $W$7)), 0)</f>
        <v>0</v>
      </c>
      <c r="Y312" s="5">
        <f>IF(CreditAmort2BASE[[#This Row],[Month]]=AA$8,W$7,0)</f>
        <v>0</v>
      </c>
      <c r="Z312" s="13">
        <f>IF(AND(U312&gt;='Amort. Sched.-BASE'!$AA$8, U312&lt;= ($AA$7+$AA$8)), Z311+X312, 0)</f>
        <v>0</v>
      </c>
      <c r="AA312" s="24" t="str">
        <f>IF(AND(U312&gt;='Amort. Sched.-BASE'!$AA$8, U312&lt;= ($AA$7+$AA$8)), W312/V312, " ")</f>
        <v xml:space="preserve"> </v>
      </c>
      <c r="AB312" s="25" t="str">
        <f>IF(AND(U312&gt;='Amort. Sched.-BASE'!$AA$8, U312&lt;= ($AA$7+$AA$8)), X312/V312, " ")</f>
        <v xml:space="preserve"> </v>
      </c>
      <c r="AD312" s="20">
        <f t="shared" si="68"/>
        <v>301</v>
      </c>
      <c r="AE312" s="5">
        <f t="shared" si="69"/>
        <v>0</v>
      </c>
      <c r="AF312" s="5">
        <f t="shared" si="70"/>
        <v>0</v>
      </c>
      <c r="AG312" s="5">
        <f t="shared" si="71"/>
        <v>0</v>
      </c>
      <c r="AH312" s="5">
        <f>IF(CreditAmort3BASE[[#This Row],[Month]]=AJ$8,AF$7,0)</f>
        <v>0</v>
      </c>
      <c r="AI312" s="13">
        <f t="shared" si="72"/>
        <v>0</v>
      </c>
      <c r="AJ312" s="6" t="str">
        <f t="shared" si="73"/>
        <v xml:space="preserve"> </v>
      </c>
      <c r="AK312" s="21" t="str">
        <f t="shared" si="74"/>
        <v xml:space="preserve"> </v>
      </c>
      <c r="AM312" s="20">
        <f t="shared" si="75"/>
        <v>301</v>
      </c>
      <c r="AN312" s="5">
        <f t="shared" si="76"/>
        <v>0</v>
      </c>
      <c r="AO312" s="5">
        <f t="shared" si="77"/>
        <v>0</v>
      </c>
      <c r="AP312" s="5">
        <f t="shared" si="78"/>
        <v>0</v>
      </c>
      <c r="AQ312" s="5">
        <f>IF(CreditAmort4BASE[[#This Row],[Month]]=AS$8,AO$7,0)</f>
        <v>0</v>
      </c>
      <c r="AR312" s="13">
        <f t="shared" si="79"/>
        <v>0</v>
      </c>
      <c r="AS312" s="6" t="str">
        <f t="shared" si="80"/>
        <v xml:space="preserve"> </v>
      </c>
      <c r="AT312" s="21" t="str">
        <f t="shared" si="81"/>
        <v xml:space="preserve"> </v>
      </c>
    </row>
    <row r="313" spans="3:46">
      <c r="C313" s="22">
        <f t="shared" si="82"/>
        <v>302</v>
      </c>
      <c r="D313" s="23">
        <f>IF(AND(C313&gt;='Amort. Sched.-BASE'!$I$8, C313&lt;= ($I$7+$I$8)), PMT('Amort. Sched.-BASE'!$E$8/12, 'Amort. Sched.-BASE'!$I$7, 'Amort. Sched.-BASE'!$E$7), 0)</f>
        <v>0</v>
      </c>
      <c r="E313" s="5">
        <f>IF(AND(C313&gt;='Amort. Sched.-BASE'!$I$8, C313&lt;= ($I$7+$I$8)), (IPMT($E$8/12, (C313-$I$8), $I$7, $E$7)), 0)</f>
        <v>0</v>
      </c>
      <c r="F313" s="23">
        <f>IF(AND(C313&gt;='Amort. Sched.-BASE'!$I$8, C313&lt;= ($I$7+$I$8)), (PPMT($E$8/12, (C313-$I$8), $I$7, $E$7)), 0)</f>
        <v>0</v>
      </c>
      <c r="G313" s="5">
        <f>IF(MortgageAmortBASE[[#This Row],[Month]]=I$8,E$7,0)</f>
        <v>0</v>
      </c>
      <c r="H313" s="13">
        <f>IF(AND(C313&gt;='Amort. Sched.-BASE'!$I$8, C313&lt;= ($I$7+$I$8)), H312+F313, 0)</f>
        <v>0</v>
      </c>
      <c r="I313" s="24" t="str">
        <f>IF(AND(C313&gt;='Amort. Sched.-BASE'!$I$8, C313&lt;= ($I$7+$I$8)), E313/D313, " ")</f>
        <v xml:space="preserve"> </v>
      </c>
      <c r="J313" s="25" t="str">
        <f>IF(AND(C313&gt;='Amort. Sched.-BASE'!$I$8, C313&lt;= ($I$7+$I$8)), F313/D313, " ")</f>
        <v xml:space="preserve"> </v>
      </c>
      <c r="L313" s="20">
        <f t="shared" si="66"/>
        <v>302</v>
      </c>
      <c r="M313" s="5">
        <f>IF(AND(L313&gt;='Amort. Sched.-BASE'!$R$8, L313&lt;= ($R$7+$R$8)), PMT('Amort. Sched.-BASE'!$N$8/12, 'Amort. Sched.-BASE'!$R$7, 'Amort. Sched.-BASE'!$N$7), 0)</f>
        <v>0</v>
      </c>
      <c r="N313" s="5">
        <f>IF(AND(L313&gt;='Amort. Sched.-BASE'!$R$8, L313&lt;= ($R$7+$R$8)), (IPMT($N$8/12, (L313-$R$8), $R$7, $N$7)), 0)</f>
        <v>0</v>
      </c>
      <c r="O313" s="5">
        <f>IF(AND(L313&gt;='Amort. Sched.-BASE'!$R$8, L313&lt;= ($R$7+$R$8)), (PPMT($N$8/12, (L313-$R$8), $R$7, $N$7)), 0)</f>
        <v>0</v>
      </c>
      <c r="P313" s="5">
        <f>IF(CreditAmort1BASE[[#This Row],[Month]]=R$8,N$7,0)</f>
        <v>0</v>
      </c>
      <c r="Q313" s="13">
        <f>IF(AND(L313&gt;='Amort. Sched.-BASE'!$R$8, L313&lt;= ($R$7+$R$8)), Q312+O313, 0)</f>
        <v>0</v>
      </c>
      <c r="R313" s="6" t="str">
        <f>IF(AND(L313&gt;='Amort. Sched.-BASE'!$R$8, L313&lt;= ($R$7+$R$8)), N313/M313, " ")</f>
        <v xml:space="preserve"> </v>
      </c>
      <c r="S313" s="21" t="str">
        <f>IF(AND(L313&gt;='Amort. Sched.-BASE'!$R$8, L313&lt;= ($R$7+$R$8)), O313/M313, " ")</f>
        <v xml:space="preserve"> </v>
      </c>
      <c r="U313" s="22">
        <f t="shared" si="67"/>
        <v>302</v>
      </c>
      <c r="V313" s="23">
        <f>IF(AND(U313&gt;='Amort. Sched.-BASE'!$AA$8, U313&lt;= ($AA$7+$AA$8)), PMT('Amort. Sched.-BASE'!$W$8/12, 'Amort. Sched.-BASE'!$AA$7, 'Amort. Sched.-BASE'!$W$7), 0)</f>
        <v>0</v>
      </c>
      <c r="W313" s="5">
        <f>IF(AND(U313&gt;='Amort. Sched.-BASE'!$AA$8, U313&lt;= ($AA$7+$AA$8)), (IPMT($W$8/12, (U313-$AA$8), $AA$7, $W$7)), 0)</f>
        <v>0</v>
      </c>
      <c r="X313" s="23">
        <f>IF(AND(U313&gt;='Amort. Sched.-BASE'!$AA$8, U313&lt;= ($AA$7+$AA$8)), (PPMT($W$8/12, (U313-$AA$8), $AA$7, $W$7)), 0)</f>
        <v>0</v>
      </c>
      <c r="Y313" s="5">
        <f>IF(CreditAmort2BASE[[#This Row],[Month]]=AA$8,W$7,0)</f>
        <v>0</v>
      </c>
      <c r="Z313" s="13">
        <f>IF(AND(U313&gt;='Amort. Sched.-BASE'!$AA$8, U313&lt;= ($AA$7+$AA$8)), Z312+X313, 0)</f>
        <v>0</v>
      </c>
      <c r="AA313" s="24" t="str">
        <f>IF(AND(U313&gt;='Amort. Sched.-BASE'!$AA$8, U313&lt;= ($AA$7+$AA$8)), W313/V313, " ")</f>
        <v xml:space="preserve"> </v>
      </c>
      <c r="AB313" s="25" t="str">
        <f>IF(AND(U313&gt;='Amort. Sched.-BASE'!$AA$8, U313&lt;= ($AA$7+$AA$8)), X313/V313, " ")</f>
        <v xml:space="preserve"> </v>
      </c>
      <c r="AD313" s="20">
        <f t="shared" si="68"/>
        <v>302</v>
      </c>
      <c r="AE313" s="5">
        <f t="shared" si="69"/>
        <v>0</v>
      </c>
      <c r="AF313" s="5">
        <f t="shared" si="70"/>
        <v>0</v>
      </c>
      <c r="AG313" s="5">
        <f t="shared" si="71"/>
        <v>0</v>
      </c>
      <c r="AH313" s="5">
        <f>IF(CreditAmort3BASE[[#This Row],[Month]]=AJ$8,AF$7,0)</f>
        <v>0</v>
      </c>
      <c r="AI313" s="13">
        <f t="shared" si="72"/>
        <v>0</v>
      </c>
      <c r="AJ313" s="6" t="str">
        <f t="shared" si="73"/>
        <v xml:space="preserve"> </v>
      </c>
      <c r="AK313" s="21" t="str">
        <f t="shared" si="74"/>
        <v xml:space="preserve"> </v>
      </c>
      <c r="AM313" s="20">
        <f t="shared" si="75"/>
        <v>302</v>
      </c>
      <c r="AN313" s="5">
        <f t="shared" si="76"/>
        <v>0</v>
      </c>
      <c r="AO313" s="5">
        <f t="shared" si="77"/>
        <v>0</v>
      </c>
      <c r="AP313" s="5">
        <f t="shared" si="78"/>
        <v>0</v>
      </c>
      <c r="AQ313" s="5">
        <f>IF(CreditAmort4BASE[[#This Row],[Month]]=AS$8,AO$7,0)</f>
        <v>0</v>
      </c>
      <c r="AR313" s="13">
        <f t="shared" si="79"/>
        <v>0</v>
      </c>
      <c r="AS313" s="6" t="str">
        <f t="shared" si="80"/>
        <v xml:space="preserve"> </v>
      </c>
      <c r="AT313" s="21" t="str">
        <f t="shared" si="81"/>
        <v xml:space="preserve"> </v>
      </c>
    </row>
    <row r="314" spans="3:46">
      <c r="C314" s="22">
        <f t="shared" si="82"/>
        <v>303</v>
      </c>
      <c r="D314" s="23">
        <f>IF(AND(C314&gt;='Amort. Sched.-BASE'!$I$8, C314&lt;= ($I$7+$I$8)), PMT('Amort. Sched.-BASE'!$E$8/12, 'Amort. Sched.-BASE'!$I$7, 'Amort. Sched.-BASE'!$E$7), 0)</f>
        <v>0</v>
      </c>
      <c r="E314" s="5">
        <f>IF(AND(C314&gt;='Amort. Sched.-BASE'!$I$8, C314&lt;= ($I$7+$I$8)), (IPMT($E$8/12, (C314-$I$8), $I$7, $E$7)), 0)</f>
        <v>0</v>
      </c>
      <c r="F314" s="23">
        <f>IF(AND(C314&gt;='Amort. Sched.-BASE'!$I$8, C314&lt;= ($I$7+$I$8)), (PPMT($E$8/12, (C314-$I$8), $I$7, $E$7)), 0)</f>
        <v>0</v>
      </c>
      <c r="G314" s="5">
        <f>IF(MortgageAmortBASE[[#This Row],[Month]]=I$8,E$7,0)</f>
        <v>0</v>
      </c>
      <c r="H314" s="13">
        <f>IF(AND(C314&gt;='Amort. Sched.-BASE'!$I$8, C314&lt;= ($I$7+$I$8)), H313+F314, 0)</f>
        <v>0</v>
      </c>
      <c r="I314" s="24" t="str">
        <f>IF(AND(C314&gt;='Amort. Sched.-BASE'!$I$8, C314&lt;= ($I$7+$I$8)), E314/D314, " ")</f>
        <v xml:space="preserve"> </v>
      </c>
      <c r="J314" s="25" t="str">
        <f>IF(AND(C314&gt;='Amort. Sched.-BASE'!$I$8, C314&lt;= ($I$7+$I$8)), F314/D314, " ")</f>
        <v xml:space="preserve"> </v>
      </c>
      <c r="L314" s="20">
        <f t="shared" si="66"/>
        <v>303</v>
      </c>
      <c r="M314" s="5">
        <f>IF(AND(L314&gt;='Amort. Sched.-BASE'!$R$8, L314&lt;= ($R$7+$R$8)), PMT('Amort. Sched.-BASE'!$N$8/12, 'Amort. Sched.-BASE'!$R$7, 'Amort. Sched.-BASE'!$N$7), 0)</f>
        <v>0</v>
      </c>
      <c r="N314" s="5">
        <f>IF(AND(L314&gt;='Amort. Sched.-BASE'!$R$8, L314&lt;= ($R$7+$R$8)), (IPMT($N$8/12, (L314-$R$8), $R$7, $N$7)), 0)</f>
        <v>0</v>
      </c>
      <c r="O314" s="5">
        <f>IF(AND(L314&gt;='Amort. Sched.-BASE'!$R$8, L314&lt;= ($R$7+$R$8)), (PPMT($N$8/12, (L314-$R$8), $R$7, $N$7)), 0)</f>
        <v>0</v>
      </c>
      <c r="P314" s="5">
        <f>IF(CreditAmort1BASE[[#This Row],[Month]]=R$8,N$7,0)</f>
        <v>0</v>
      </c>
      <c r="Q314" s="13">
        <f>IF(AND(L314&gt;='Amort. Sched.-BASE'!$R$8, L314&lt;= ($R$7+$R$8)), Q313+O314, 0)</f>
        <v>0</v>
      </c>
      <c r="R314" s="6" t="str">
        <f>IF(AND(L314&gt;='Amort. Sched.-BASE'!$R$8, L314&lt;= ($R$7+$R$8)), N314/M314, " ")</f>
        <v xml:space="preserve"> </v>
      </c>
      <c r="S314" s="21" t="str">
        <f>IF(AND(L314&gt;='Amort. Sched.-BASE'!$R$8, L314&lt;= ($R$7+$R$8)), O314/M314, " ")</f>
        <v xml:space="preserve"> </v>
      </c>
      <c r="U314" s="22">
        <f t="shared" si="67"/>
        <v>303</v>
      </c>
      <c r="V314" s="23">
        <f>IF(AND(U314&gt;='Amort. Sched.-BASE'!$AA$8, U314&lt;= ($AA$7+$AA$8)), PMT('Amort. Sched.-BASE'!$W$8/12, 'Amort. Sched.-BASE'!$AA$7, 'Amort. Sched.-BASE'!$W$7), 0)</f>
        <v>0</v>
      </c>
      <c r="W314" s="5">
        <f>IF(AND(U314&gt;='Amort. Sched.-BASE'!$AA$8, U314&lt;= ($AA$7+$AA$8)), (IPMT($W$8/12, (U314-$AA$8), $AA$7, $W$7)), 0)</f>
        <v>0</v>
      </c>
      <c r="X314" s="23">
        <f>IF(AND(U314&gt;='Amort. Sched.-BASE'!$AA$8, U314&lt;= ($AA$7+$AA$8)), (PPMT($W$8/12, (U314-$AA$8), $AA$7, $W$7)), 0)</f>
        <v>0</v>
      </c>
      <c r="Y314" s="5">
        <f>IF(CreditAmort2BASE[[#This Row],[Month]]=AA$8,W$7,0)</f>
        <v>0</v>
      </c>
      <c r="Z314" s="13">
        <f>IF(AND(U314&gt;='Amort. Sched.-BASE'!$AA$8, U314&lt;= ($AA$7+$AA$8)), Z313+X314, 0)</f>
        <v>0</v>
      </c>
      <c r="AA314" s="24" t="str">
        <f>IF(AND(U314&gt;='Amort. Sched.-BASE'!$AA$8, U314&lt;= ($AA$7+$AA$8)), W314/V314, " ")</f>
        <v xml:space="preserve"> </v>
      </c>
      <c r="AB314" s="25" t="str">
        <f>IF(AND(U314&gt;='Amort. Sched.-BASE'!$AA$8, U314&lt;= ($AA$7+$AA$8)), X314/V314, " ")</f>
        <v xml:space="preserve"> </v>
      </c>
      <c r="AD314" s="20">
        <f t="shared" si="68"/>
        <v>303</v>
      </c>
      <c r="AE314" s="5">
        <f t="shared" si="69"/>
        <v>0</v>
      </c>
      <c r="AF314" s="5">
        <f t="shared" si="70"/>
        <v>0</v>
      </c>
      <c r="AG314" s="5">
        <f t="shared" si="71"/>
        <v>0</v>
      </c>
      <c r="AH314" s="5">
        <f>IF(CreditAmort3BASE[[#This Row],[Month]]=AJ$8,AF$7,0)</f>
        <v>0</v>
      </c>
      <c r="AI314" s="13">
        <f t="shared" si="72"/>
        <v>0</v>
      </c>
      <c r="AJ314" s="6" t="str">
        <f t="shared" si="73"/>
        <v xml:space="preserve"> </v>
      </c>
      <c r="AK314" s="21" t="str">
        <f t="shared" si="74"/>
        <v xml:space="preserve"> </v>
      </c>
      <c r="AM314" s="20">
        <f t="shared" si="75"/>
        <v>303</v>
      </c>
      <c r="AN314" s="5">
        <f t="shared" si="76"/>
        <v>0</v>
      </c>
      <c r="AO314" s="5">
        <f t="shared" si="77"/>
        <v>0</v>
      </c>
      <c r="AP314" s="5">
        <f t="shared" si="78"/>
        <v>0</v>
      </c>
      <c r="AQ314" s="5">
        <f>IF(CreditAmort4BASE[[#This Row],[Month]]=AS$8,AO$7,0)</f>
        <v>0</v>
      </c>
      <c r="AR314" s="13">
        <f t="shared" si="79"/>
        <v>0</v>
      </c>
      <c r="AS314" s="6" t="str">
        <f t="shared" si="80"/>
        <v xml:space="preserve"> </v>
      </c>
      <c r="AT314" s="21" t="str">
        <f t="shared" si="81"/>
        <v xml:space="preserve"> </v>
      </c>
    </row>
    <row r="315" spans="3:46">
      <c r="C315" s="22">
        <f t="shared" si="82"/>
        <v>304</v>
      </c>
      <c r="D315" s="23">
        <f>IF(AND(C315&gt;='Amort. Sched.-BASE'!$I$8, C315&lt;= ($I$7+$I$8)), PMT('Amort. Sched.-BASE'!$E$8/12, 'Amort. Sched.-BASE'!$I$7, 'Amort. Sched.-BASE'!$E$7), 0)</f>
        <v>0</v>
      </c>
      <c r="E315" s="5">
        <f>IF(AND(C315&gt;='Amort. Sched.-BASE'!$I$8, C315&lt;= ($I$7+$I$8)), (IPMT($E$8/12, (C315-$I$8), $I$7, $E$7)), 0)</f>
        <v>0</v>
      </c>
      <c r="F315" s="23">
        <f>IF(AND(C315&gt;='Amort. Sched.-BASE'!$I$8, C315&lt;= ($I$7+$I$8)), (PPMT($E$8/12, (C315-$I$8), $I$7, $E$7)), 0)</f>
        <v>0</v>
      </c>
      <c r="G315" s="5">
        <f>IF(MortgageAmortBASE[[#This Row],[Month]]=I$8,E$7,0)</f>
        <v>0</v>
      </c>
      <c r="H315" s="13">
        <f>IF(AND(C315&gt;='Amort. Sched.-BASE'!$I$8, C315&lt;= ($I$7+$I$8)), H314+F315, 0)</f>
        <v>0</v>
      </c>
      <c r="I315" s="24" t="str">
        <f>IF(AND(C315&gt;='Amort. Sched.-BASE'!$I$8, C315&lt;= ($I$7+$I$8)), E315/D315, " ")</f>
        <v xml:space="preserve"> </v>
      </c>
      <c r="J315" s="25" t="str">
        <f>IF(AND(C315&gt;='Amort. Sched.-BASE'!$I$8, C315&lt;= ($I$7+$I$8)), F315/D315, " ")</f>
        <v xml:space="preserve"> </v>
      </c>
      <c r="L315" s="20">
        <f t="shared" si="66"/>
        <v>304</v>
      </c>
      <c r="M315" s="5">
        <f>IF(AND(L315&gt;='Amort. Sched.-BASE'!$R$8, L315&lt;= ($R$7+$R$8)), PMT('Amort. Sched.-BASE'!$N$8/12, 'Amort. Sched.-BASE'!$R$7, 'Amort. Sched.-BASE'!$N$7), 0)</f>
        <v>0</v>
      </c>
      <c r="N315" s="5">
        <f>IF(AND(L315&gt;='Amort. Sched.-BASE'!$R$8, L315&lt;= ($R$7+$R$8)), (IPMT($N$8/12, (L315-$R$8), $R$7, $N$7)), 0)</f>
        <v>0</v>
      </c>
      <c r="O315" s="5">
        <f>IF(AND(L315&gt;='Amort. Sched.-BASE'!$R$8, L315&lt;= ($R$7+$R$8)), (PPMT($N$8/12, (L315-$R$8), $R$7, $N$7)), 0)</f>
        <v>0</v>
      </c>
      <c r="P315" s="5">
        <f>IF(CreditAmort1BASE[[#This Row],[Month]]=R$8,N$7,0)</f>
        <v>0</v>
      </c>
      <c r="Q315" s="13">
        <f>IF(AND(L315&gt;='Amort. Sched.-BASE'!$R$8, L315&lt;= ($R$7+$R$8)), Q314+O315, 0)</f>
        <v>0</v>
      </c>
      <c r="R315" s="6" t="str">
        <f>IF(AND(L315&gt;='Amort. Sched.-BASE'!$R$8, L315&lt;= ($R$7+$R$8)), N315/M315, " ")</f>
        <v xml:space="preserve"> </v>
      </c>
      <c r="S315" s="21" t="str">
        <f>IF(AND(L315&gt;='Amort. Sched.-BASE'!$R$8, L315&lt;= ($R$7+$R$8)), O315/M315, " ")</f>
        <v xml:space="preserve"> </v>
      </c>
      <c r="U315" s="22">
        <f t="shared" si="67"/>
        <v>304</v>
      </c>
      <c r="V315" s="23">
        <f>IF(AND(U315&gt;='Amort. Sched.-BASE'!$AA$8, U315&lt;= ($AA$7+$AA$8)), PMT('Amort. Sched.-BASE'!$W$8/12, 'Amort. Sched.-BASE'!$AA$7, 'Amort. Sched.-BASE'!$W$7), 0)</f>
        <v>0</v>
      </c>
      <c r="W315" s="5">
        <f>IF(AND(U315&gt;='Amort. Sched.-BASE'!$AA$8, U315&lt;= ($AA$7+$AA$8)), (IPMT($W$8/12, (U315-$AA$8), $AA$7, $W$7)), 0)</f>
        <v>0</v>
      </c>
      <c r="X315" s="23">
        <f>IF(AND(U315&gt;='Amort. Sched.-BASE'!$AA$8, U315&lt;= ($AA$7+$AA$8)), (PPMT($W$8/12, (U315-$AA$8), $AA$7, $W$7)), 0)</f>
        <v>0</v>
      </c>
      <c r="Y315" s="5">
        <f>IF(CreditAmort2BASE[[#This Row],[Month]]=AA$8,W$7,0)</f>
        <v>0</v>
      </c>
      <c r="Z315" s="13">
        <f>IF(AND(U315&gt;='Amort. Sched.-BASE'!$AA$8, U315&lt;= ($AA$7+$AA$8)), Z314+X315, 0)</f>
        <v>0</v>
      </c>
      <c r="AA315" s="24" t="str">
        <f>IF(AND(U315&gt;='Amort. Sched.-BASE'!$AA$8, U315&lt;= ($AA$7+$AA$8)), W315/V315, " ")</f>
        <v xml:space="preserve"> </v>
      </c>
      <c r="AB315" s="25" t="str">
        <f>IF(AND(U315&gt;='Amort. Sched.-BASE'!$AA$8, U315&lt;= ($AA$7+$AA$8)), X315/V315, " ")</f>
        <v xml:space="preserve"> </v>
      </c>
      <c r="AD315" s="20">
        <f t="shared" si="68"/>
        <v>304</v>
      </c>
      <c r="AE315" s="5">
        <f t="shared" si="69"/>
        <v>0</v>
      </c>
      <c r="AF315" s="5">
        <f t="shared" si="70"/>
        <v>0</v>
      </c>
      <c r="AG315" s="5">
        <f t="shared" si="71"/>
        <v>0</v>
      </c>
      <c r="AH315" s="5">
        <f>IF(CreditAmort3BASE[[#This Row],[Month]]=AJ$8,AF$7,0)</f>
        <v>0</v>
      </c>
      <c r="AI315" s="13">
        <f t="shared" si="72"/>
        <v>0</v>
      </c>
      <c r="AJ315" s="6" t="str">
        <f t="shared" si="73"/>
        <v xml:space="preserve"> </v>
      </c>
      <c r="AK315" s="21" t="str">
        <f t="shared" si="74"/>
        <v xml:space="preserve"> </v>
      </c>
      <c r="AM315" s="20">
        <f t="shared" si="75"/>
        <v>304</v>
      </c>
      <c r="AN315" s="5">
        <f t="shared" si="76"/>
        <v>0</v>
      </c>
      <c r="AO315" s="5">
        <f t="shared" si="77"/>
        <v>0</v>
      </c>
      <c r="AP315" s="5">
        <f t="shared" si="78"/>
        <v>0</v>
      </c>
      <c r="AQ315" s="5">
        <f>IF(CreditAmort4BASE[[#This Row],[Month]]=AS$8,AO$7,0)</f>
        <v>0</v>
      </c>
      <c r="AR315" s="13">
        <f t="shared" si="79"/>
        <v>0</v>
      </c>
      <c r="AS315" s="6" t="str">
        <f t="shared" si="80"/>
        <v xml:space="preserve"> </v>
      </c>
      <c r="AT315" s="21" t="str">
        <f t="shared" si="81"/>
        <v xml:space="preserve"> </v>
      </c>
    </row>
    <row r="316" spans="3:46">
      <c r="C316" s="22">
        <f t="shared" si="82"/>
        <v>305</v>
      </c>
      <c r="D316" s="23">
        <f>IF(AND(C316&gt;='Amort. Sched.-BASE'!$I$8, C316&lt;= ($I$7+$I$8)), PMT('Amort. Sched.-BASE'!$E$8/12, 'Amort. Sched.-BASE'!$I$7, 'Amort. Sched.-BASE'!$E$7), 0)</f>
        <v>0</v>
      </c>
      <c r="E316" s="5">
        <f>IF(AND(C316&gt;='Amort. Sched.-BASE'!$I$8, C316&lt;= ($I$7+$I$8)), (IPMT($E$8/12, (C316-$I$8), $I$7, $E$7)), 0)</f>
        <v>0</v>
      </c>
      <c r="F316" s="23">
        <f>IF(AND(C316&gt;='Amort. Sched.-BASE'!$I$8, C316&lt;= ($I$7+$I$8)), (PPMT($E$8/12, (C316-$I$8), $I$7, $E$7)), 0)</f>
        <v>0</v>
      </c>
      <c r="G316" s="5">
        <f>IF(MortgageAmortBASE[[#This Row],[Month]]=I$8,E$7,0)</f>
        <v>0</v>
      </c>
      <c r="H316" s="13">
        <f>IF(AND(C316&gt;='Amort. Sched.-BASE'!$I$8, C316&lt;= ($I$7+$I$8)), H315+F316, 0)</f>
        <v>0</v>
      </c>
      <c r="I316" s="24" t="str">
        <f>IF(AND(C316&gt;='Amort. Sched.-BASE'!$I$8, C316&lt;= ($I$7+$I$8)), E316/D316, " ")</f>
        <v xml:space="preserve"> </v>
      </c>
      <c r="J316" s="25" t="str">
        <f>IF(AND(C316&gt;='Amort. Sched.-BASE'!$I$8, C316&lt;= ($I$7+$I$8)), F316/D316, " ")</f>
        <v xml:space="preserve"> </v>
      </c>
      <c r="L316" s="20">
        <f t="shared" si="66"/>
        <v>305</v>
      </c>
      <c r="M316" s="5">
        <f>IF(AND(L316&gt;='Amort. Sched.-BASE'!$R$8, L316&lt;= ($R$7+$R$8)), PMT('Amort. Sched.-BASE'!$N$8/12, 'Amort. Sched.-BASE'!$R$7, 'Amort. Sched.-BASE'!$N$7), 0)</f>
        <v>0</v>
      </c>
      <c r="N316" s="5">
        <f>IF(AND(L316&gt;='Amort. Sched.-BASE'!$R$8, L316&lt;= ($R$7+$R$8)), (IPMT($N$8/12, (L316-$R$8), $R$7, $N$7)), 0)</f>
        <v>0</v>
      </c>
      <c r="O316" s="5">
        <f>IF(AND(L316&gt;='Amort. Sched.-BASE'!$R$8, L316&lt;= ($R$7+$R$8)), (PPMT($N$8/12, (L316-$R$8), $R$7, $N$7)), 0)</f>
        <v>0</v>
      </c>
      <c r="P316" s="5">
        <f>IF(CreditAmort1BASE[[#This Row],[Month]]=R$8,N$7,0)</f>
        <v>0</v>
      </c>
      <c r="Q316" s="13">
        <f>IF(AND(L316&gt;='Amort. Sched.-BASE'!$R$8, L316&lt;= ($R$7+$R$8)), Q315+O316, 0)</f>
        <v>0</v>
      </c>
      <c r="R316" s="6" t="str">
        <f>IF(AND(L316&gt;='Amort. Sched.-BASE'!$R$8, L316&lt;= ($R$7+$R$8)), N316/M316, " ")</f>
        <v xml:space="preserve"> </v>
      </c>
      <c r="S316" s="21" t="str">
        <f>IF(AND(L316&gt;='Amort. Sched.-BASE'!$R$8, L316&lt;= ($R$7+$R$8)), O316/M316, " ")</f>
        <v xml:space="preserve"> </v>
      </c>
      <c r="U316" s="22">
        <f t="shared" si="67"/>
        <v>305</v>
      </c>
      <c r="V316" s="23">
        <f>IF(AND(U316&gt;='Amort. Sched.-BASE'!$AA$8, U316&lt;= ($AA$7+$AA$8)), PMT('Amort. Sched.-BASE'!$W$8/12, 'Amort. Sched.-BASE'!$AA$7, 'Amort. Sched.-BASE'!$W$7), 0)</f>
        <v>0</v>
      </c>
      <c r="W316" s="5">
        <f>IF(AND(U316&gt;='Amort. Sched.-BASE'!$AA$8, U316&lt;= ($AA$7+$AA$8)), (IPMT($W$8/12, (U316-$AA$8), $AA$7, $W$7)), 0)</f>
        <v>0</v>
      </c>
      <c r="X316" s="23">
        <f>IF(AND(U316&gt;='Amort. Sched.-BASE'!$AA$8, U316&lt;= ($AA$7+$AA$8)), (PPMT($W$8/12, (U316-$AA$8), $AA$7, $W$7)), 0)</f>
        <v>0</v>
      </c>
      <c r="Y316" s="5">
        <f>IF(CreditAmort2BASE[[#This Row],[Month]]=AA$8,W$7,0)</f>
        <v>0</v>
      </c>
      <c r="Z316" s="13">
        <f>IF(AND(U316&gt;='Amort. Sched.-BASE'!$AA$8, U316&lt;= ($AA$7+$AA$8)), Z315+X316, 0)</f>
        <v>0</v>
      </c>
      <c r="AA316" s="24" t="str">
        <f>IF(AND(U316&gt;='Amort. Sched.-BASE'!$AA$8, U316&lt;= ($AA$7+$AA$8)), W316/V316, " ")</f>
        <v xml:space="preserve"> </v>
      </c>
      <c r="AB316" s="25" t="str">
        <f>IF(AND(U316&gt;='Amort. Sched.-BASE'!$AA$8, U316&lt;= ($AA$7+$AA$8)), X316/V316, " ")</f>
        <v xml:space="preserve"> </v>
      </c>
      <c r="AD316" s="20">
        <f t="shared" si="68"/>
        <v>305</v>
      </c>
      <c r="AE316" s="5">
        <f t="shared" si="69"/>
        <v>0</v>
      </c>
      <c r="AF316" s="5">
        <f t="shared" si="70"/>
        <v>0</v>
      </c>
      <c r="AG316" s="5">
        <f t="shared" si="71"/>
        <v>0</v>
      </c>
      <c r="AH316" s="5">
        <f>IF(CreditAmort3BASE[[#This Row],[Month]]=AJ$8,AF$7,0)</f>
        <v>0</v>
      </c>
      <c r="AI316" s="13">
        <f t="shared" si="72"/>
        <v>0</v>
      </c>
      <c r="AJ316" s="6" t="str">
        <f t="shared" si="73"/>
        <v xml:space="preserve"> </v>
      </c>
      <c r="AK316" s="21" t="str">
        <f t="shared" si="74"/>
        <v xml:space="preserve"> </v>
      </c>
      <c r="AM316" s="20">
        <f t="shared" si="75"/>
        <v>305</v>
      </c>
      <c r="AN316" s="5">
        <f t="shared" si="76"/>
        <v>0</v>
      </c>
      <c r="AO316" s="5">
        <f t="shared" si="77"/>
        <v>0</v>
      </c>
      <c r="AP316" s="5">
        <f t="shared" si="78"/>
        <v>0</v>
      </c>
      <c r="AQ316" s="5">
        <f>IF(CreditAmort4BASE[[#This Row],[Month]]=AS$8,AO$7,0)</f>
        <v>0</v>
      </c>
      <c r="AR316" s="13">
        <f t="shared" si="79"/>
        <v>0</v>
      </c>
      <c r="AS316" s="6" t="str">
        <f t="shared" si="80"/>
        <v xml:space="preserve"> </v>
      </c>
      <c r="AT316" s="21" t="str">
        <f t="shared" si="81"/>
        <v xml:space="preserve"> </v>
      </c>
    </row>
    <row r="317" spans="3:46">
      <c r="C317" s="22">
        <f t="shared" si="82"/>
        <v>306</v>
      </c>
      <c r="D317" s="23">
        <f>IF(AND(C317&gt;='Amort. Sched.-BASE'!$I$8, C317&lt;= ($I$7+$I$8)), PMT('Amort. Sched.-BASE'!$E$8/12, 'Amort. Sched.-BASE'!$I$7, 'Amort. Sched.-BASE'!$E$7), 0)</f>
        <v>0</v>
      </c>
      <c r="E317" s="5">
        <f>IF(AND(C317&gt;='Amort. Sched.-BASE'!$I$8, C317&lt;= ($I$7+$I$8)), (IPMT($E$8/12, (C317-$I$8), $I$7, $E$7)), 0)</f>
        <v>0</v>
      </c>
      <c r="F317" s="23">
        <f>IF(AND(C317&gt;='Amort. Sched.-BASE'!$I$8, C317&lt;= ($I$7+$I$8)), (PPMT($E$8/12, (C317-$I$8), $I$7, $E$7)), 0)</f>
        <v>0</v>
      </c>
      <c r="G317" s="5">
        <f>IF(MortgageAmortBASE[[#This Row],[Month]]=I$8,E$7,0)</f>
        <v>0</v>
      </c>
      <c r="H317" s="13">
        <f>IF(AND(C317&gt;='Amort. Sched.-BASE'!$I$8, C317&lt;= ($I$7+$I$8)), H316+F317, 0)</f>
        <v>0</v>
      </c>
      <c r="I317" s="24" t="str">
        <f>IF(AND(C317&gt;='Amort. Sched.-BASE'!$I$8, C317&lt;= ($I$7+$I$8)), E317/D317, " ")</f>
        <v xml:space="preserve"> </v>
      </c>
      <c r="J317" s="25" t="str">
        <f>IF(AND(C317&gt;='Amort. Sched.-BASE'!$I$8, C317&lt;= ($I$7+$I$8)), F317/D317, " ")</f>
        <v xml:space="preserve"> </v>
      </c>
      <c r="L317" s="20">
        <f t="shared" si="66"/>
        <v>306</v>
      </c>
      <c r="M317" s="5">
        <f>IF(AND(L317&gt;='Amort. Sched.-BASE'!$R$8, L317&lt;= ($R$7+$R$8)), PMT('Amort. Sched.-BASE'!$N$8/12, 'Amort. Sched.-BASE'!$R$7, 'Amort. Sched.-BASE'!$N$7), 0)</f>
        <v>0</v>
      </c>
      <c r="N317" s="5">
        <f>IF(AND(L317&gt;='Amort. Sched.-BASE'!$R$8, L317&lt;= ($R$7+$R$8)), (IPMT($N$8/12, (L317-$R$8), $R$7, $N$7)), 0)</f>
        <v>0</v>
      </c>
      <c r="O317" s="5">
        <f>IF(AND(L317&gt;='Amort. Sched.-BASE'!$R$8, L317&lt;= ($R$7+$R$8)), (PPMT($N$8/12, (L317-$R$8), $R$7, $N$7)), 0)</f>
        <v>0</v>
      </c>
      <c r="P317" s="5">
        <f>IF(CreditAmort1BASE[[#This Row],[Month]]=R$8,N$7,0)</f>
        <v>0</v>
      </c>
      <c r="Q317" s="13">
        <f>IF(AND(L317&gt;='Amort. Sched.-BASE'!$R$8, L317&lt;= ($R$7+$R$8)), Q316+O317, 0)</f>
        <v>0</v>
      </c>
      <c r="R317" s="6" t="str">
        <f>IF(AND(L317&gt;='Amort. Sched.-BASE'!$R$8, L317&lt;= ($R$7+$R$8)), N317/M317, " ")</f>
        <v xml:space="preserve"> </v>
      </c>
      <c r="S317" s="21" t="str">
        <f>IF(AND(L317&gt;='Amort. Sched.-BASE'!$R$8, L317&lt;= ($R$7+$R$8)), O317/M317, " ")</f>
        <v xml:space="preserve"> </v>
      </c>
      <c r="U317" s="22">
        <f t="shared" si="67"/>
        <v>306</v>
      </c>
      <c r="V317" s="23">
        <f>IF(AND(U317&gt;='Amort. Sched.-BASE'!$AA$8, U317&lt;= ($AA$7+$AA$8)), PMT('Amort. Sched.-BASE'!$W$8/12, 'Amort. Sched.-BASE'!$AA$7, 'Amort. Sched.-BASE'!$W$7), 0)</f>
        <v>0</v>
      </c>
      <c r="W317" s="5">
        <f>IF(AND(U317&gt;='Amort. Sched.-BASE'!$AA$8, U317&lt;= ($AA$7+$AA$8)), (IPMT($W$8/12, (U317-$AA$8), $AA$7, $W$7)), 0)</f>
        <v>0</v>
      </c>
      <c r="X317" s="23">
        <f>IF(AND(U317&gt;='Amort. Sched.-BASE'!$AA$8, U317&lt;= ($AA$7+$AA$8)), (PPMT($W$8/12, (U317-$AA$8), $AA$7, $W$7)), 0)</f>
        <v>0</v>
      </c>
      <c r="Y317" s="5">
        <f>IF(CreditAmort2BASE[[#This Row],[Month]]=AA$8,W$7,0)</f>
        <v>0</v>
      </c>
      <c r="Z317" s="13">
        <f>IF(AND(U317&gt;='Amort. Sched.-BASE'!$AA$8, U317&lt;= ($AA$7+$AA$8)), Z316+X317, 0)</f>
        <v>0</v>
      </c>
      <c r="AA317" s="24" t="str">
        <f>IF(AND(U317&gt;='Amort. Sched.-BASE'!$AA$8, U317&lt;= ($AA$7+$AA$8)), W317/V317, " ")</f>
        <v xml:space="preserve"> </v>
      </c>
      <c r="AB317" s="25" t="str">
        <f>IF(AND(U317&gt;='Amort. Sched.-BASE'!$AA$8, U317&lt;= ($AA$7+$AA$8)), X317/V317, " ")</f>
        <v xml:space="preserve"> </v>
      </c>
      <c r="AD317" s="20">
        <f t="shared" si="68"/>
        <v>306</v>
      </c>
      <c r="AE317" s="5">
        <f t="shared" si="69"/>
        <v>0</v>
      </c>
      <c r="AF317" s="5">
        <f t="shared" si="70"/>
        <v>0</v>
      </c>
      <c r="AG317" s="5">
        <f t="shared" si="71"/>
        <v>0</v>
      </c>
      <c r="AH317" s="5">
        <f>IF(CreditAmort3BASE[[#This Row],[Month]]=AJ$8,AF$7,0)</f>
        <v>0</v>
      </c>
      <c r="AI317" s="13">
        <f t="shared" si="72"/>
        <v>0</v>
      </c>
      <c r="AJ317" s="6" t="str">
        <f t="shared" si="73"/>
        <v xml:space="preserve"> </v>
      </c>
      <c r="AK317" s="21" t="str">
        <f t="shared" si="74"/>
        <v xml:space="preserve"> </v>
      </c>
      <c r="AM317" s="20">
        <f t="shared" si="75"/>
        <v>306</v>
      </c>
      <c r="AN317" s="5">
        <f t="shared" si="76"/>
        <v>0</v>
      </c>
      <c r="AO317" s="5">
        <f t="shared" si="77"/>
        <v>0</v>
      </c>
      <c r="AP317" s="5">
        <f t="shared" si="78"/>
        <v>0</v>
      </c>
      <c r="AQ317" s="5">
        <f>IF(CreditAmort4BASE[[#This Row],[Month]]=AS$8,AO$7,0)</f>
        <v>0</v>
      </c>
      <c r="AR317" s="13">
        <f t="shared" si="79"/>
        <v>0</v>
      </c>
      <c r="AS317" s="6" t="str">
        <f t="shared" si="80"/>
        <v xml:space="preserve"> </v>
      </c>
      <c r="AT317" s="21" t="str">
        <f t="shared" si="81"/>
        <v xml:space="preserve"> </v>
      </c>
    </row>
    <row r="318" spans="3:46">
      <c r="C318" s="22">
        <f t="shared" si="82"/>
        <v>307</v>
      </c>
      <c r="D318" s="23">
        <f>IF(AND(C318&gt;='Amort. Sched.-BASE'!$I$8, C318&lt;= ($I$7+$I$8)), PMT('Amort. Sched.-BASE'!$E$8/12, 'Amort. Sched.-BASE'!$I$7, 'Amort. Sched.-BASE'!$E$7), 0)</f>
        <v>0</v>
      </c>
      <c r="E318" s="5">
        <f>IF(AND(C318&gt;='Amort. Sched.-BASE'!$I$8, C318&lt;= ($I$7+$I$8)), (IPMT($E$8/12, (C318-$I$8), $I$7, $E$7)), 0)</f>
        <v>0</v>
      </c>
      <c r="F318" s="23">
        <f>IF(AND(C318&gt;='Amort. Sched.-BASE'!$I$8, C318&lt;= ($I$7+$I$8)), (PPMT($E$8/12, (C318-$I$8), $I$7, $E$7)), 0)</f>
        <v>0</v>
      </c>
      <c r="G318" s="5">
        <f>IF(MortgageAmortBASE[[#This Row],[Month]]=I$8,E$7,0)</f>
        <v>0</v>
      </c>
      <c r="H318" s="13">
        <f>IF(AND(C318&gt;='Amort. Sched.-BASE'!$I$8, C318&lt;= ($I$7+$I$8)), H317+F318, 0)</f>
        <v>0</v>
      </c>
      <c r="I318" s="24" t="str">
        <f>IF(AND(C318&gt;='Amort. Sched.-BASE'!$I$8, C318&lt;= ($I$7+$I$8)), E318/D318, " ")</f>
        <v xml:space="preserve"> </v>
      </c>
      <c r="J318" s="25" t="str">
        <f>IF(AND(C318&gt;='Amort. Sched.-BASE'!$I$8, C318&lt;= ($I$7+$I$8)), F318/D318, " ")</f>
        <v xml:space="preserve"> </v>
      </c>
      <c r="L318" s="20">
        <f t="shared" si="66"/>
        <v>307</v>
      </c>
      <c r="M318" s="5">
        <f>IF(AND(L318&gt;='Amort. Sched.-BASE'!$R$8, L318&lt;= ($R$7+$R$8)), PMT('Amort. Sched.-BASE'!$N$8/12, 'Amort. Sched.-BASE'!$R$7, 'Amort. Sched.-BASE'!$N$7), 0)</f>
        <v>0</v>
      </c>
      <c r="N318" s="5">
        <f>IF(AND(L318&gt;='Amort. Sched.-BASE'!$R$8, L318&lt;= ($R$7+$R$8)), (IPMT($N$8/12, (L318-$R$8), $R$7, $N$7)), 0)</f>
        <v>0</v>
      </c>
      <c r="O318" s="5">
        <f>IF(AND(L318&gt;='Amort. Sched.-BASE'!$R$8, L318&lt;= ($R$7+$R$8)), (PPMT($N$8/12, (L318-$R$8), $R$7, $N$7)), 0)</f>
        <v>0</v>
      </c>
      <c r="P318" s="5">
        <f>IF(CreditAmort1BASE[[#This Row],[Month]]=R$8,N$7,0)</f>
        <v>0</v>
      </c>
      <c r="Q318" s="13">
        <f>IF(AND(L318&gt;='Amort. Sched.-BASE'!$R$8, L318&lt;= ($R$7+$R$8)), Q317+O318, 0)</f>
        <v>0</v>
      </c>
      <c r="R318" s="6" t="str">
        <f>IF(AND(L318&gt;='Amort. Sched.-BASE'!$R$8, L318&lt;= ($R$7+$R$8)), N318/M318, " ")</f>
        <v xml:space="preserve"> </v>
      </c>
      <c r="S318" s="21" t="str">
        <f>IF(AND(L318&gt;='Amort. Sched.-BASE'!$R$8, L318&lt;= ($R$7+$R$8)), O318/M318, " ")</f>
        <v xml:space="preserve"> </v>
      </c>
      <c r="U318" s="22">
        <f t="shared" si="67"/>
        <v>307</v>
      </c>
      <c r="V318" s="23">
        <f>IF(AND(U318&gt;='Amort. Sched.-BASE'!$AA$8, U318&lt;= ($AA$7+$AA$8)), PMT('Amort. Sched.-BASE'!$W$8/12, 'Amort. Sched.-BASE'!$AA$7, 'Amort. Sched.-BASE'!$W$7), 0)</f>
        <v>0</v>
      </c>
      <c r="W318" s="5">
        <f>IF(AND(U318&gt;='Amort. Sched.-BASE'!$AA$8, U318&lt;= ($AA$7+$AA$8)), (IPMT($W$8/12, (U318-$AA$8), $AA$7, $W$7)), 0)</f>
        <v>0</v>
      </c>
      <c r="X318" s="23">
        <f>IF(AND(U318&gt;='Amort. Sched.-BASE'!$AA$8, U318&lt;= ($AA$7+$AA$8)), (PPMT($W$8/12, (U318-$AA$8), $AA$7, $W$7)), 0)</f>
        <v>0</v>
      </c>
      <c r="Y318" s="5">
        <f>IF(CreditAmort2BASE[[#This Row],[Month]]=AA$8,W$7,0)</f>
        <v>0</v>
      </c>
      <c r="Z318" s="13">
        <f>IF(AND(U318&gt;='Amort. Sched.-BASE'!$AA$8, U318&lt;= ($AA$7+$AA$8)), Z317+X318, 0)</f>
        <v>0</v>
      </c>
      <c r="AA318" s="24" t="str">
        <f>IF(AND(U318&gt;='Amort. Sched.-BASE'!$AA$8, U318&lt;= ($AA$7+$AA$8)), W318/V318, " ")</f>
        <v xml:space="preserve"> </v>
      </c>
      <c r="AB318" s="25" t="str">
        <f>IF(AND(U318&gt;='Amort. Sched.-BASE'!$AA$8, U318&lt;= ($AA$7+$AA$8)), X318/V318, " ")</f>
        <v xml:space="preserve"> </v>
      </c>
      <c r="AD318" s="20">
        <f t="shared" si="68"/>
        <v>307</v>
      </c>
      <c r="AE318" s="5">
        <f t="shared" si="69"/>
        <v>0</v>
      </c>
      <c r="AF318" s="5">
        <f t="shared" si="70"/>
        <v>0</v>
      </c>
      <c r="AG318" s="5">
        <f t="shared" si="71"/>
        <v>0</v>
      </c>
      <c r="AH318" s="5">
        <f>IF(CreditAmort3BASE[[#This Row],[Month]]=AJ$8,AF$7,0)</f>
        <v>0</v>
      </c>
      <c r="AI318" s="13">
        <f t="shared" si="72"/>
        <v>0</v>
      </c>
      <c r="AJ318" s="6" t="str">
        <f t="shared" si="73"/>
        <v xml:space="preserve"> </v>
      </c>
      <c r="AK318" s="21" t="str">
        <f t="shared" si="74"/>
        <v xml:space="preserve"> </v>
      </c>
      <c r="AM318" s="20">
        <f t="shared" si="75"/>
        <v>307</v>
      </c>
      <c r="AN318" s="5">
        <f t="shared" si="76"/>
        <v>0</v>
      </c>
      <c r="AO318" s="5">
        <f t="shared" si="77"/>
        <v>0</v>
      </c>
      <c r="AP318" s="5">
        <f t="shared" si="78"/>
        <v>0</v>
      </c>
      <c r="AQ318" s="5">
        <f>IF(CreditAmort4BASE[[#This Row],[Month]]=AS$8,AO$7,0)</f>
        <v>0</v>
      </c>
      <c r="AR318" s="13">
        <f t="shared" si="79"/>
        <v>0</v>
      </c>
      <c r="AS318" s="6" t="str">
        <f t="shared" si="80"/>
        <v xml:space="preserve"> </v>
      </c>
      <c r="AT318" s="21" t="str">
        <f t="shared" si="81"/>
        <v xml:space="preserve"> </v>
      </c>
    </row>
    <row r="319" spans="3:46">
      <c r="C319" s="22">
        <f t="shared" si="82"/>
        <v>308</v>
      </c>
      <c r="D319" s="23">
        <f>IF(AND(C319&gt;='Amort. Sched.-BASE'!$I$8, C319&lt;= ($I$7+$I$8)), PMT('Amort. Sched.-BASE'!$E$8/12, 'Amort. Sched.-BASE'!$I$7, 'Amort. Sched.-BASE'!$E$7), 0)</f>
        <v>0</v>
      </c>
      <c r="E319" s="5">
        <f>IF(AND(C319&gt;='Amort. Sched.-BASE'!$I$8, C319&lt;= ($I$7+$I$8)), (IPMT($E$8/12, (C319-$I$8), $I$7, $E$7)), 0)</f>
        <v>0</v>
      </c>
      <c r="F319" s="23">
        <f>IF(AND(C319&gt;='Amort. Sched.-BASE'!$I$8, C319&lt;= ($I$7+$I$8)), (PPMT($E$8/12, (C319-$I$8), $I$7, $E$7)), 0)</f>
        <v>0</v>
      </c>
      <c r="G319" s="5">
        <f>IF(MortgageAmortBASE[[#This Row],[Month]]=I$8,E$7,0)</f>
        <v>0</v>
      </c>
      <c r="H319" s="13">
        <f>IF(AND(C319&gt;='Amort. Sched.-BASE'!$I$8, C319&lt;= ($I$7+$I$8)), H318+F319, 0)</f>
        <v>0</v>
      </c>
      <c r="I319" s="24" t="str">
        <f>IF(AND(C319&gt;='Amort. Sched.-BASE'!$I$8, C319&lt;= ($I$7+$I$8)), E319/D319, " ")</f>
        <v xml:space="preserve"> </v>
      </c>
      <c r="J319" s="25" t="str">
        <f>IF(AND(C319&gt;='Amort. Sched.-BASE'!$I$8, C319&lt;= ($I$7+$I$8)), F319/D319, " ")</f>
        <v xml:space="preserve"> </v>
      </c>
      <c r="L319" s="20">
        <f t="shared" si="66"/>
        <v>308</v>
      </c>
      <c r="M319" s="5">
        <f>IF(AND(L319&gt;='Amort. Sched.-BASE'!$R$8, L319&lt;= ($R$7+$R$8)), PMT('Amort. Sched.-BASE'!$N$8/12, 'Amort. Sched.-BASE'!$R$7, 'Amort. Sched.-BASE'!$N$7), 0)</f>
        <v>0</v>
      </c>
      <c r="N319" s="5">
        <f>IF(AND(L319&gt;='Amort. Sched.-BASE'!$R$8, L319&lt;= ($R$7+$R$8)), (IPMT($N$8/12, (L319-$R$8), $R$7, $N$7)), 0)</f>
        <v>0</v>
      </c>
      <c r="O319" s="5">
        <f>IF(AND(L319&gt;='Amort. Sched.-BASE'!$R$8, L319&lt;= ($R$7+$R$8)), (PPMT($N$8/12, (L319-$R$8), $R$7, $N$7)), 0)</f>
        <v>0</v>
      </c>
      <c r="P319" s="5">
        <f>IF(CreditAmort1BASE[[#This Row],[Month]]=R$8,N$7,0)</f>
        <v>0</v>
      </c>
      <c r="Q319" s="13">
        <f>IF(AND(L319&gt;='Amort. Sched.-BASE'!$R$8, L319&lt;= ($R$7+$R$8)), Q318+O319, 0)</f>
        <v>0</v>
      </c>
      <c r="R319" s="6" t="str">
        <f>IF(AND(L319&gt;='Amort. Sched.-BASE'!$R$8, L319&lt;= ($R$7+$R$8)), N319/M319, " ")</f>
        <v xml:space="preserve"> </v>
      </c>
      <c r="S319" s="21" t="str">
        <f>IF(AND(L319&gt;='Amort. Sched.-BASE'!$R$8, L319&lt;= ($R$7+$R$8)), O319/M319, " ")</f>
        <v xml:space="preserve"> </v>
      </c>
      <c r="U319" s="22">
        <f t="shared" si="67"/>
        <v>308</v>
      </c>
      <c r="V319" s="23">
        <f>IF(AND(U319&gt;='Amort. Sched.-BASE'!$AA$8, U319&lt;= ($AA$7+$AA$8)), PMT('Amort. Sched.-BASE'!$W$8/12, 'Amort. Sched.-BASE'!$AA$7, 'Amort. Sched.-BASE'!$W$7), 0)</f>
        <v>0</v>
      </c>
      <c r="W319" s="5">
        <f>IF(AND(U319&gt;='Amort. Sched.-BASE'!$AA$8, U319&lt;= ($AA$7+$AA$8)), (IPMT($W$8/12, (U319-$AA$8), $AA$7, $W$7)), 0)</f>
        <v>0</v>
      </c>
      <c r="X319" s="23">
        <f>IF(AND(U319&gt;='Amort. Sched.-BASE'!$AA$8, U319&lt;= ($AA$7+$AA$8)), (PPMT($W$8/12, (U319-$AA$8), $AA$7, $W$7)), 0)</f>
        <v>0</v>
      </c>
      <c r="Y319" s="5">
        <f>IF(CreditAmort2BASE[[#This Row],[Month]]=AA$8,W$7,0)</f>
        <v>0</v>
      </c>
      <c r="Z319" s="13">
        <f>IF(AND(U319&gt;='Amort. Sched.-BASE'!$AA$8, U319&lt;= ($AA$7+$AA$8)), Z318+X319, 0)</f>
        <v>0</v>
      </c>
      <c r="AA319" s="24" t="str">
        <f>IF(AND(U319&gt;='Amort. Sched.-BASE'!$AA$8, U319&lt;= ($AA$7+$AA$8)), W319/V319, " ")</f>
        <v xml:space="preserve"> </v>
      </c>
      <c r="AB319" s="25" t="str">
        <f>IF(AND(U319&gt;='Amort. Sched.-BASE'!$AA$8, U319&lt;= ($AA$7+$AA$8)), X319/V319, " ")</f>
        <v xml:space="preserve"> </v>
      </c>
      <c r="AD319" s="20">
        <f t="shared" si="68"/>
        <v>308</v>
      </c>
      <c r="AE319" s="5">
        <f t="shared" si="69"/>
        <v>0</v>
      </c>
      <c r="AF319" s="5">
        <f t="shared" si="70"/>
        <v>0</v>
      </c>
      <c r="AG319" s="5">
        <f t="shared" si="71"/>
        <v>0</v>
      </c>
      <c r="AH319" s="5">
        <f>IF(CreditAmort3BASE[[#This Row],[Month]]=AJ$8,AF$7,0)</f>
        <v>0</v>
      </c>
      <c r="AI319" s="13">
        <f t="shared" si="72"/>
        <v>0</v>
      </c>
      <c r="AJ319" s="6" t="str">
        <f t="shared" si="73"/>
        <v xml:space="preserve"> </v>
      </c>
      <c r="AK319" s="21" t="str">
        <f t="shared" si="74"/>
        <v xml:space="preserve"> </v>
      </c>
      <c r="AM319" s="20">
        <f t="shared" si="75"/>
        <v>308</v>
      </c>
      <c r="AN319" s="5">
        <f t="shared" si="76"/>
        <v>0</v>
      </c>
      <c r="AO319" s="5">
        <f t="shared" si="77"/>
        <v>0</v>
      </c>
      <c r="AP319" s="5">
        <f t="shared" si="78"/>
        <v>0</v>
      </c>
      <c r="AQ319" s="5">
        <f>IF(CreditAmort4BASE[[#This Row],[Month]]=AS$8,AO$7,0)</f>
        <v>0</v>
      </c>
      <c r="AR319" s="13">
        <f t="shared" si="79"/>
        <v>0</v>
      </c>
      <c r="AS319" s="6" t="str">
        <f t="shared" si="80"/>
        <v xml:space="preserve"> </v>
      </c>
      <c r="AT319" s="21" t="str">
        <f t="shared" si="81"/>
        <v xml:space="preserve"> </v>
      </c>
    </row>
    <row r="320" spans="3:46">
      <c r="C320" s="22">
        <f t="shared" si="82"/>
        <v>309</v>
      </c>
      <c r="D320" s="23">
        <f>IF(AND(C320&gt;='Amort. Sched.-BASE'!$I$8, C320&lt;= ($I$7+$I$8)), PMT('Amort. Sched.-BASE'!$E$8/12, 'Amort. Sched.-BASE'!$I$7, 'Amort. Sched.-BASE'!$E$7), 0)</f>
        <v>0</v>
      </c>
      <c r="E320" s="5">
        <f>IF(AND(C320&gt;='Amort. Sched.-BASE'!$I$8, C320&lt;= ($I$7+$I$8)), (IPMT($E$8/12, (C320-$I$8), $I$7, $E$7)), 0)</f>
        <v>0</v>
      </c>
      <c r="F320" s="23">
        <f>IF(AND(C320&gt;='Amort. Sched.-BASE'!$I$8, C320&lt;= ($I$7+$I$8)), (PPMT($E$8/12, (C320-$I$8), $I$7, $E$7)), 0)</f>
        <v>0</v>
      </c>
      <c r="G320" s="5">
        <f>IF(MortgageAmortBASE[[#This Row],[Month]]=I$8,E$7,0)</f>
        <v>0</v>
      </c>
      <c r="H320" s="13">
        <f>IF(AND(C320&gt;='Amort. Sched.-BASE'!$I$8, C320&lt;= ($I$7+$I$8)), H319+F320, 0)</f>
        <v>0</v>
      </c>
      <c r="I320" s="24" t="str">
        <f>IF(AND(C320&gt;='Amort. Sched.-BASE'!$I$8, C320&lt;= ($I$7+$I$8)), E320/D320, " ")</f>
        <v xml:space="preserve"> </v>
      </c>
      <c r="J320" s="25" t="str">
        <f>IF(AND(C320&gt;='Amort. Sched.-BASE'!$I$8, C320&lt;= ($I$7+$I$8)), F320/D320, " ")</f>
        <v xml:space="preserve"> </v>
      </c>
      <c r="L320" s="20">
        <f t="shared" si="66"/>
        <v>309</v>
      </c>
      <c r="M320" s="5">
        <f>IF(AND(L320&gt;='Amort. Sched.-BASE'!$R$8, L320&lt;= ($R$7+$R$8)), PMT('Amort. Sched.-BASE'!$N$8/12, 'Amort. Sched.-BASE'!$R$7, 'Amort. Sched.-BASE'!$N$7), 0)</f>
        <v>0</v>
      </c>
      <c r="N320" s="5">
        <f>IF(AND(L320&gt;='Amort. Sched.-BASE'!$R$8, L320&lt;= ($R$7+$R$8)), (IPMT($N$8/12, (L320-$R$8), $R$7, $N$7)), 0)</f>
        <v>0</v>
      </c>
      <c r="O320" s="5">
        <f>IF(AND(L320&gt;='Amort. Sched.-BASE'!$R$8, L320&lt;= ($R$7+$R$8)), (PPMT($N$8/12, (L320-$R$8), $R$7, $N$7)), 0)</f>
        <v>0</v>
      </c>
      <c r="P320" s="5">
        <f>IF(CreditAmort1BASE[[#This Row],[Month]]=R$8,N$7,0)</f>
        <v>0</v>
      </c>
      <c r="Q320" s="13">
        <f>IF(AND(L320&gt;='Amort. Sched.-BASE'!$R$8, L320&lt;= ($R$7+$R$8)), Q319+O320, 0)</f>
        <v>0</v>
      </c>
      <c r="R320" s="6" t="str">
        <f>IF(AND(L320&gt;='Amort. Sched.-BASE'!$R$8, L320&lt;= ($R$7+$R$8)), N320/M320, " ")</f>
        <v xml:space="preserve"> </v>
      </c>
      <c r="S320" s="21" t="str">
        <f>IF(AND(L320&gt;='Amort. Sched.-BASE'!$R$8, L320&lt;= ($R$7+$R$8)), O320/M320, " ")</f>
        <v xml:space="preserve"> </v>
      </c>
      <c r="U320" s="22">
        <f t="shared" si="67"/>
        <v>309</v>
      </c>
      <c r="V320" s="23">
        <f>IF(AND(U320&gt;='Amort. Sched.-BASE'!$AA$8, U320&lt;= ($AA$7+$AA$8)), PMT('Amort. Sched.-BASE'!$W$8/12, 'Amort. Sched.-BASE'!$AA$7, 'Amort. Sched.-BASE'!$W$7), 0)</f>
        <v>0</v>
      </c>
      <c r="W320" s="5">
        <f>IF(AND(U320&gt;='Amort. Sched.-BASE'!$AA$8, U320&lt;= ($AA$7+$AA$8)), (IPMT($W$8/12, (U320-$AA$8), $AA$7, $W$7)), 0)</f>
        <v>0</v>
      </c>
      <c r="X320" s="23">
        <f>IF(AND(U320&gt;='Amort. Sched.-BASE'!$AA$8, U320&lt;= ($AA$7+$AA$8)), (PPMT($W$8/12, (U320-$AA$8), $AA$7, $W$7)), 0)</f>
        <v>0</v>
      </c>
      <c r="Y320" s="5">
        <f>IF(CreditAmort2BASE[[#This Row],[Month]]=AA$8,W$7,0)</f>
        <v>0</v>
      </c>
      <c r="Z320" s="13">
        <f>IF(AND(U320&gt;='Amort. Sched.-BASE'!$AA$8, U320&lt;= ($AA$7+$AA$8)), Z319+X320, 0)</f>
        <v>0</v>
      </c>
      <c r="AA320" s="24" t="str">
        <f>IF(AND(U320&gt;='Amort. Sched.-BASE'!$AA$8, U320&lt;= ($AA$7+$AA$8)), W320/V320, " ")</f>
        <v xml:space="preserve"> </v>
      </c>
      <c r="AB320" s="25" t="str">
        <f>IF(AND(U320&gt;='Amort. Sched.-BASE'!$AA$8, U320&lt;= ($AA$7+$AA$8)), X320/V320, " ")</f>
        <v xml:space="preserve"> </v>
      </c>
      <c r="AD320" s="20">
        <f t="shared" si="68"/>
        <v>309</v>
      </c>
      <c r="AE320" s="5">
        <f t="shared" si="69"/>
        <v>0</v>
      </c>
      <c r="AF320" s="5">
        <f t="shared" si="70"/>
        <v>0</v>
      </c>
      <c r="AG320" s="5">
        <f t="shared" si="71"/>
        <v>0</v>
      </c>
      <c r="AH320" s="5">
        <f>IF(CreditAmort3BASE[[#This Row],[Month]]=AJ$8,AF$7,0)</f>
        <v>0</v>
      </c>
      <c r="AI320" s="13">
        <f t="shared" si="72"/>
        <v>0</v>
      </c>
      <c r="AJ320" s="6" t="str">
        <f t="shared" si="73"/>
        <v xml:space="preserve"> </v>
      </c>
      <c r="AK320" s="21" t="str">
        <f t="shared" si="74"/>
        <v xml:space="preserve"> </v>
      </c>
      <c r="AM320" s="20">
        <f t="shared" si="75"/>
        <v>309</v>
      </c>
      <c r="AN320" s="5">
        <f t="shared" si="76"/>
        <v>0</v>
      </c>
      <c r="AO320" s="5">
        <f t="shared" si="77"/>
        <v>0</v>
      </c>
      <c r="AP320" s="5">
        <f t="shared" si="78"/>
        <v>0</v>
      </c>
      <c r="AQ320" s="5">
        <f>IF(CreditAmort4BASE[[#This Row],[Month]]=AS$8,AO$7,0)</f>
        <v>0</v>
      </c>
      <c r="AR320" s="13">
        <f t="shared" si="79"/>
        <v>0</v>
      </c>
      <c r="AS320" s="6" t="str">
        <f t="shared" si="80"/>
        <v xml:space="preserve"> </v>
      </c>
      <c r="AT320" s="21" t="str">
        <f t="shared" si="81"/>
        <v xml:space="preserve"> </v>
      </c>
    </row>
    <row r="321" spans="3:46">
      <c r="C321" s="22">
        <f t="shared" si="82"/>
        <v>310</v>
      </c>
      <c r="D321" s="23">
        <f>IF(AND(C321&gt;='Amort. Sched.-BASE'!$I$8, C321&lt;= ($I$7+$I$8)), PMT('Amort. Sched.-BASE'!$E$8/12, 'Amort. Sched.-BASE'!$I$7, 'Amort. Sched.-BASE'!$E$7), 0)</f>
        <v>0</v>
      </c>
      <c r="E321" s="5">
        <f>IF(AND(C321&gt;='Amort. Sched.-BASE'!$I$8, C321&lt;= ($I$7+$I$8)), (IPMT($E$8/12, (C321-$I$8), $I$7, $E$7)), 0)</f>
        <v>0</v>
      </c>
      <c r="F321" s="23">
        <f>IF(AND(C321&gt;='Amort. Sched.-BASE'!$I$8, C321&lt;= ($I$7+$I$8)), (PPMT($E$8/12, (C321-$I$8), $I$7, $E$7)), 0)</f>
        <v>0</v>
      </c>
      <c r="G321" s="5">
        <f>IF(MortgageAmortBASE[[#This Row],[Month]]=I$8,E$7,0)</f>
        <v>0</v>
      </c>
      <c r="H321" s="13">
        <f>IF(AND(C321&gt;='Amort. Sched.-BASE'!$I$8, C321&lt;= ($I$7+$I$8)), H320+F321, 0)</f>
        <v>0</v>
      </c>
      <c r="I321" s="24" t="str">
        <f>IF(AND(C321&gt;='Amort. Sched.-BASE'!$I$8, C321&lt;= ($I$7+$I$8)), E321/D321, " ")</f>
        <v xml:space="preserve"> </v>
      </c>
      <c r="J321" s="25" t="str">
        <f>IF(AND(C321&gt;='Amort. Sched.-BASE'!$I$8, C321&lt;= ($I$7+$I$8)), F321/D321, " ")</f>
        <v xml:space="preserve"> </v>
      </c>
      <c r="L321" s="20">
        <f t="shared" si="66"/>
        <v>310</v>
      </c>
      <c r="M321" s="5">
        <f>IF(AND(L321&gt;='Amort. Sched.-BASE'!$R$8, L321&lt;= ($R$7+$R$8)), PMT('Amort. Sched.-BASE'!$N$8/12, 'Amort. Sched.-BASE'!$R$7, 'Amort. Sched.-BASE'!$N$7), 0)</f>
        <v>0</v>
      </c>
      <c r="N321" s="5">
        <f>IF(AND(L321&gt;='Amort. Sched.-BASE'!$R$8, L321&lt;= ($R$7+$R$8)), (IPMT($N$8/12, (L321-$R$8), $R$7, $N$7)), 0)</f>
        <v>0</v>
      </c>
      <c r="O321" s="5">
        <f>IF(AND(L321&gt;='Amort. Sched.-BASE'!$R$8, L321&lt;= ($R$7+$R$8)), (PPMT($N$8/12, (L321-$R$8), $R$7, $N$7)), 0)</f>
        <v>0</v>
      </c>
      <c r="P321" s="5">
        <f>IF(CreditAmort1BASE[[#This Row],[Month]]=R$8,N$7,0)</f>
        <v>0</v>
      </c>
      <c r="Q321" s="13">
        <f>IF(AND(L321&gt;='Amort. Sched.-BASE'!$R$8, L321&lt;= ($R$7+$R$8)), Q320+O321, 0)</f>
        <v>0</v>
      </c>
      <c r="R321" s="6" t="str">
        <f>IF(AND(L321&gt;='Amort. Sched.-BASE'!$R$8, L321&lt;= ($R$7+$R$8)), N321/M321, " ")</f>
        <v xml:space="preserve"> </v>
      </c>
      <c r="S321" s="21" t="str">
        <f>IF(AND(L321&gt;='Amort. Sched.-BASE'!$R$8, L321&lt;= ($R$7+$R$8)), O321/M321, " ")</f>
        <v xml:space="preserve"> </v>
      </c>
      <c r="U321" s="22">
        <f t="shared" si="67"/>
        <v>310</v>
      </c>
      <c r="V321" s="23">
        <f>IF(AND(U321&gt;='Amort. Sched.-BASE'!$AA$8, U321&lt;= ($AA$7+$AA$8)), PMT('Amort. Sched.-BASE'!$W$8/12, 'Amort. Sched.-BASE'!$AA$7, 'Amort. Sched.-BASE'!$W$7), 0)</f>
        <v>0</v>
      </c>
      <c r="W321" s="5">
        <f>IF(AND(U321&gt;='Amort. Sched.-BASE'!$AA$8, U321&lt;= ($AA$7+$AA$8)), (IPMT($W$8/12, (U321-$AA$8), $AA$7, $W$7)), 0)</f>
        <v>0</v>
      </c>
      <c r="X321" s="23">
        <f>IF(AND(U321&gt;='Amort. Sched.-BASE'!$AA$8, U321&lt;= ($AA$7+$AA$8)), (PPMT($W$8/12, (U321-$AA$8), $AA$7, $W$7)), 0)</f>
        <v>0</v>
      </c>
      <c r="Y321" s="5">
        <f>IF(CreditAmort2BASE[[#This Row],[Month]]=AA$8,W$7,0)</f>
        <v>0</v>
      </c>
      <c r="Z321" s="13">
        <f>IF(AND(U321&gt;='Amort. Sched.-BASE'!$AA$8, U321&lt;= ($AA$7+$AA$8)), Z320+X321, 0)</f>
        <v>0</v>
      </c>
      <c r="AA321" s="24" t="str">
        <f>IF(AND(U321&gt;='Amort. Sched.-BASE'!$AA$8, U321&lt;= ($AA$7+$AA$8)), W321/V321, " ")</f>
        <v xml:space="preserve"> </v>
      </c>
      <c r="AB321" s="25" t="str">
        <f>IF(AND(U321&gt;='Amort. Sched.-BASE'!$AA$8, U321&lt;= ($AA$7+$AA$8)), X321/V321, " ")</f>
        <v xml:space="preserve"> </v>
      </c>
      <c r="AD321" s="20">
        <f t="shared" si="68"/>
        <v>310</v>
      </c>
      <c r="AE321" s="5">
        <f t="shared" si="69"/>
        <v>0</v>
      </c>
      <c r="AF321" s="5">
        <f t="shared" si="70"/>
        <v>0</v>
      </c>
      <c r="AG321" s="5">
        <f t="shared" si="71"/>
        <v>0</v>
      </c>
      <c r="AH321" s="5">
        <f>IF(CreditAmort3BASE[[#This Row],[Month]]=AJ$8,AF$7,0)</f>
        <v>0</v>
      </c>
      <c r="AI321" s="13">
        <f t="shared" si="72"/>
        <v>0</v>
      </c>
      <c r="AJ321" s="6" t="str">
        <f t="shared" si="73"/>
        <v xml:space="preserve"> </v>
      </c>
      <c r="AK321" s="21" t="str">
        <f t="shared" si="74"/>
        <v xml:space="preserve"> </v>
      </c>
      <c r="AM321" s="20">
        <f t="shared" si="75"/>
        <v>310</v>
      </c>
      <c r="AN321" s="5">
        <f t="shared" si="76"/>
        <v>0</v>
      </c>
      <c r="AO321" s="5">
        <f t="shared" si="77"/>
        <v>0</v>
      </c>
      <c r="AP321" s="5">
        <f t="shared" si="78"/>
        <v>0</v>
      </c>
      <c r="AQ321" s="5">
        <f>IF(CreditAmort4BASE[[#This Row],[Month]]=AS$8,AO$7,0)</f>
        <v>0</v>
      </c>
      <c r="AR321" s="13">
        <f t="shared" si="79"/>
        <v>0</v>
      </c>
      <c r="AS321" s="6" t="str">
        <f t="shared" si="80"/>
        <v xml:space="preserve"> </v>
      </c>
      <c r="AT321" s="21" t="str">
        <f t="shared" si="81"/>
        <v xml:space="preserve"> </v>
      </c>
    </row>
    <row r="322" spans="3:46">
      <c r="C322" s="22">
        <f t="shared" si="82"/>
        <v>311</v>
      </c>
      <c r="D322" s="23">
        <f>IF(AND(C322&gt;='Amort. Sched.-BASE'!$I$8, C322&lt;= ($I$7+$I$8)), PMT('Amort. Sched.-BASE'!$E$8/12, 'Amort. Sched.-BASE'!$I$7, 'Amort. Sched.-BASE'!$E$7), 0)</f>
        <v>0</v>
      </c>
      <c r="E322" s="5">
        <f>IF(AND(C322&gt;='Amort. Sched.-BASE'!$I$8, C322&lt;= ($I$7+$I$8)), (IPMT($E$8/12, (C322-$I$8), $I$7, $E$7)), 0)</f>
        <v>0</v>
      </c>
      <c r="F322" s="23">
        <f>IF(AND(C322&gt;='Amort. Sched.-BASE'!$I$8, C322&lt;= ($I$7+$I$8)), (PPMT($E$8/12, (C322-$I$8), $I$7, $E$7)), 0)</f>
        <v>0</v>
      </c>
      <c r="G322" s="5">
        <f>IF(MortgageAmortBASE[[#This Row],[Month]]=I$8,E$7,0)</f>
        <v>0</v>
      </c>
      <c r="H322" s="13">
        <f>IF(AND(C322&gt;='Amort. Sched.-BASE'!$I$8, C322&lt;= ($I$7+$I$8)), H321+F322, 0)</f>
        <v>0</v>
      </c>
      <c r="I322" s="24" t="str">
        <f>IF(AND(C322&gt;='Amort. Sched.-BASE'!$I$8, C322&lt;= ($I$7+$I$8)), E322/D322, " ")</f>
        <v xml:space="preserve"> </v>
      </c>
      <c r="J322" s="25" t="str">
        <f>IF(AND(C322&gt;='Amort. Sched.-BASE'!$I$8, C322&lt;= ($I$7+$I$8)), F322/D322, " ")</f>
        <v xml:space="preserve"> </v>
      </c>
      <c r="L322" s="20">
        <f t="shared" si="66"/>
        <v>311</v>
      </c>
      <c r="M322" s="5">
        <f>IF(AND(L322&gt;='Amort. Sched.-BASE'!$R$8, L322&lt;= ($R$7+$R$8)), PMT('Amort. Sched.-BASE'!$N$8/12, 'Amort. Sched.-BASE'!$R$7, 'Amort. Sched.-BASE'!$N$7), 0)</f>
        <v>0</v>
      </c>
      <c r="N322" s="5">
        <f>IF(AND(L322&gt;='Amort. Sched.-BASE'!$R$8, L322&lt;= ($R$7+$R$8)), (IPMT($N$8/12, (L322-$R$8), $R$7, $N$7)), 0)</f>
        <v>0</v>
      </c>
      <c r="O322" s="5">
        <f>IF(AND(L322&gt;='Amort. Sched.-BASE'!$R$8, L322&lt;= ($R$7+$R$8)), (PPMT($N$8/12, (L322-$R$8), $R$7, $N$7)), 0)</f>
        <v>0</v>
      </c>
      <c r="P322" s="5">
        <f>IF(CreditAmort1BASE[[#This Row],[Month]]=R$8,N$7,0)</f>
        <v>0</v>
      </c>
      <c r="Q322" s="13">
        <f>IF(AND(L322&gt;='Amort. Sched.-BASE'!$R$8, L322&lt;= ($R$7+$R$8)), Q321+O322, 0)</f>
        <v>0</v>
      </c>
      <c r="R322" s="6" t="str">
        <f>IF(AND(L322&gt;='Amort. Sched.-BASE'!$R$8, L322&lt;= ($R$7+$R$8)), N322/M322, " ")</f>
        <v xml:space="preserve"> </v>
      </c>
      <c r="S322" s="21" t="str">
        <f>IF(AND(L322&gt;='Amort. Sched.-BASE'!$R$8, L322&lt;= ($R$7+$R$8)), O322/M322, " ")</f>
        <v xml:space="preserve"> </v>
      </c>
      <c r="U322" s="22">
        <f t="shared" si="67"/>
        <v>311</v>
      </c>
      <c r="V322" s="23">
        <f>IF(AND(U322&gt;='Amort. Sched.-BASE'!$AA$8, U322&lt;= ($AA$7+$AA$8)), PMT('Amort. Sched.-BASE'!$W$8/12, 'Amort. Sched.-BASE'!$AA$7, 'Amort. Sched.-BASE'!$W$7), 0)</f>
        <v>0</v>
      </c>
      <c r="W322" s="5">
        <f>IF(AND(U322&gt;='Amort. Sched.-BASE'!$AA$8, U322&lt;= ($AA$7+$AA$8)), (IPMT($W$8/12, (U322-$AA$8), $AA$7, $W$7)), 0)</f>
        <v>0</v>
      </c>
      <c r="X322" s="23">
        <f>IF(AND(U322&gt;='Amort. Sched.-BASE'!$AA$8, U322&lt;= ($AA$7+$AA$8)), (PPMT($W$8/12, (U322-$AA$8), $AA$7, $W$7)), 0)</f>
        <v>0</v>
      </c>
      <c r="Y322" s="5">
        <f>IF(CreditAmort2BASE[[#This Row],[Month]]=AA$8,W$7,0)</f>
        <v>0</v>
      </c>
      <c r="Z322" s="13">
        <f>IF(AND(U322&gt;='Amort. Sched.-BASE'!$AA$8, U322&lt;= ($AA$7+$AA$8)), Z321+X322, 0)</f>
        <v>0</v>
      </c>
      <c r="AA322" s="24" t="str">
        <f>IF(AND(U322&gt;='Amort. Sched.-BASE'!$AA$8, U322&lt;= ($AA$7+$AA$8)), W322/V322, " ")</f>
        <v xml:space="preserve"> </v>
      </c>
      <c r="AB322" s="25" t="str">
        <f>IF(AND(U322&gt;='Amort. Sched.-BASE'!$AA$8, U322&lt;= ($AA$7+$AA$8)), X322/V322, " ")</f>
        <v xml:space="preserve"> </v>
      </c>
      <c r="AD322" s="20">
        <f t="shared" si="68"/>
        <v>311</v>
      </c>
      <c r="AE322" s="5">
        <f t="shared" si="69"/>
        <v>0</v>
      </c>
      <c r="AF322" s="5">
        <f t="shared" si="70"/>
        <v>0</v>
      </c>
      <c r="AG322" s="5">
        <f t="shared" si="71"/>
        <v>0</v>
      </c>
      <c r="AH322" s="5">
        <f>IF(CreditAmort3BASE[[#This Row],[Month]]=AJ$8,AF$7,0)</f>
        <v>0</v>
      </c>
      <c r="AI322" s="13">
        <f t="shared" si="72"/>
        <v>0</v>
      </c>
      <c r="AJ322" s="6" t="str">
        <f t="shared" si="73"/>
        <v xml:space="preserve"> </v>
      </c>
      <c r="AK322" s="21" t="str">
        <f t="shared" si="74"/>
        <v xml:space="preserve"> </v>
      </c>
      <c r="AM322" s="20">
        <f t="shared" si="75"/>
        <v>311</v>
      </c>
      <c r="AN322" s="5">
        <f t="shared" si="76"/>
        <v>0</v>
      </c>
      <c r="AO322" s="5">
        <f t="shared" si="77"/>
        <v>0</v>
      </c>
      <c r="AP322" s="5">
        <f t="shared" si="78"/>
        <v>0</v>
      </c>
      <c r="AQ322" s="5">
        <f>IF(CreditAmort4BASE[[#This Row],[Month]]=AS$8,AO$7,0)</f>
        <v>0</v>
      </c>
      <c r="AR322" s="13">
        <f t="shared" si="79"/>
        <v>0</v>
      </c>
      <c r="AS322" s="6" t="str">
        <f t="shared" si="80"/>
        <v xml:space="preserve"> </v>
      </c>
      <c r="AT322" s="21" t="str">
        <f t="shared" si="81"/>
        <v xml:space="preserve"> </v>
      </c>
    </row>
    <row r="323" spans="3:46">
      <c r="C323" s="22">
        <f t="shared" si="82"/>
        <v>312</v>
      </c>
      <c r="D323" s="23">
        <f>IF(AND(C323&gt;='Amort. Sched.-BASE'!$I$8, C323&lt;= ($I$7+$I$8)), PMT('Amort. Sched.-BASE'!$E$8/12, 'Amort. Sched.-BASE'!$I$7, 'Amort. Sched.-BASE'!$E$7), 0)</f>
        <v>0</v>
      </c>
      <c r="E323" s="5">
        <f>IF(AND(C323&gt;='Amort. Sched.-BASE'!$I$8, C323&lt;= ($I$7+$I$8)), (IPMT($E$8/12, (C323-$I$8), $I$7, $E$7)), 0)</f>
        <v>0</v>
      </c>
      <c r="F323" s="23">
        <f>IF(AND(C323&gt;='Amort. Sched.-BASE'!$I$8, C323&lt;= ($I$7+$I$8)), (PPMT($E$8/12, (C323-$I$8), $I$7, $E$7)), 0)</f>
        <v>0</v>
      </c>
      <c r="G323" s="5">
        <f>IF(MortgageAmortBASE[[#This Row],[Month]]=I$8,E$7,0)</f>
        <v>0</v>
      </c>
      <c r="H323" s="13">
        <f>IF(AND(C323&gt;='Amort. Sched.-BASE'!$I$8, C323&lt;= ($I$7+$I$8)), H322+F323, 0)</f>
        <v>0</v>
      </c>
      <c r="I323" s="24" t="str">
        <f>IF(AND(C323&gt;='Amort. Sched.-BASE'!$I$8, C323&lt;= ($I$7+$I$8)), E323/D323, " ")</f>
        <v xml:space="preserve"> </v>
      </c>
      <c r="J323" s="25" t="str">
        <f>IF(AND(C323&gt;='Amort. Sched.-BASE'!$I$8, C323&lt;= ($I$7+$I$8)), F323/D323, " ")</f>
        <v xml:space="preserve"> </v>
      </c>
      <c r="L323" s="20">
        <f t="shared" si="66"/>
        <v>312</v>
      </c>
      <c r="M323" s="5">
        <f>IF(AND(L323&gt;='Amort. Sched.-BASE'!$R$8, L323&lt;= ($R$7+$R$8)), PMT('Amort. Sched.-BASE'!$N$8/12, 'Amort. Sched.-BASE'!$R$7, 'Amort. Sched.-BASE'!$N$7), 0)</f>
        <v>0</v>
      </c>
      <c r="N323" s="5">
        <f>IF(AND(L323&gt;='Amort. Sched.-BASE'!$R$8, L323&lt;= ($R$7+$R$8)), (IPMT($N$8/12, (L323-$R$8), $R$7, $N$7)), 0)</f>
        <v>0</v>
      </c>
      <c r="O323" s="5">
        <f>IF(AND(L323&gt;='Amort. Sched.-BASE'!$R$8, L323&lt;= ($R$7+$R$8)), (PPMT($N$8/12, (L323-$R$8), $R$7, $N$7)), 0)</f>
        <v>0</v>
      </c>
      <c r="P323" s="5">
        <f>IF(CreditAmort1BASE[[#This Row],[Month]]=R$8,N$7,0)</f>
        <v>0</v>
      </c>
      <c r="Q323" s="13">
        <f>IF(AND(L323&gt;='Amort. Sched.-BASE'!$R$8, L323&lt;= ($R$7+$R$8)), Q322+O323, 0)</f>
        <v>0</v>
      </c>
      <c r="R323" s="6" t="str">
        <f>IF(AND(L323&gt;='Amort. Sched.-BASE'!$R$8, L323&lt;= ($R$7+$R$8)), N323/M323, " ")</f>
        <v xml:space="preserve"> </v>
      </c>
      <c r="S323" s="21" t="str">
        <f>IF(AND(L323&gt;='Amort. Sched.-BASE'!$R$8, L323&lt;= ($R$7+$R$8)), O323/M323, " ")</f>
        <v xml:space="preserve"> </v>
      </c>
      <c r="U323" s="22">
        <f t="shared" si="67"/>
        <v>312</v>
      </c>
      <c r="V323" s="23">
        <f>IF(AND(U323&gt;='Amort. Sched.-BASE'!$AA$8, U323&lt;= ($AA$7+$AA$8)), PMT('Amort. Sched.-BASE'!$W$8/12, 'Amort. Sched.-BASE'!$AA$7, 'Amort. Sched.-BASE'!$W$7), 0)</f>
        <v>0</v>
      </c>
      <c r="W323" s="5">
        <f>IF(AND(U323&gt;='Amort. Sched.-BASE'!$AA$8, U323&lt;= ($AA$7+$AA$8)), (IPMT($W$8/12, (U323-$AA$8), $AA$7, $W$7)), 0)</f>
        <v>0</v>
      </c>
      <c r="X323" s="23">
        <f>IF(AND(U323&gt;='Amort. Sched.-BASE'!$AA$8, U323&lt;= ($AA$7+$AA$8)), (PPMT($W$8/12, (U323-$AA$8), $AA$7, $W$7)), 0)</f>
        <v>0</v>
      </c>
      <c r="Y323" s="5">
        <f>IF(CreditAmort2BASE[[#This Row],[Month]]=AA$8,W$7,0)</f>
        <v>0</v>
      </c>
      <c r="Z323" s="13">
        <f>IF(AND(U323&gt;='Amort. Sched.-BASE'!$AA$8, U323&lt;= ($AA$7+$AA$8)), Z322+X323, 0)</f>
        <v>0</v>
      </c>
      <c r="AA323" s="24" t="str">
        <f>IF(AND(U323&gt;='Amort. Sched.-BASE'!$AA$8, U323&lt;= ($AA$7+$AA$8)), W323/V323, " ")</f>
        <v xml:space="preserve"> </v>
      </c>
      <c r="AB323" s="25" t="str">
        <f>IF(AND(U323&gt;='Amort. Sched.-BASE'!$AA$8, U323&lt;= ($AA$7+$AA$8)), X323/V323, " ")</f>
        <v xml:space="preserve"> </v>
      </c>
      <c r="AD323" s="20">
        <f t="shared" si="68"/>
        <v>312</v>
      </c>
      <c r="AE323" s="5">
        <f t="shared" si="69"/>
        <v>0</v>
      </c>
      <c r="AF323" s="5">
        <f t="shared" si="70"/>
        <v>0</v>
      </c>
      <c r="AG323" s="5">
        <f t="shared" si="71"/>
        <v>0</v>
      </c>
      <c r="AH323" s="5">
        <f>IF(CreditAmort3BASE[[#This Row],[Month]]=AJ$8,AF$7,0)</f>
        <v>0</v>
      </c>
      <c r="AI323" s="13">
        <f t="shared" si="72"/>
        <v>0</v>
      </c>
      <c r="AJ323" s="6" t="str">
        <f t="shared" si="73"/>
        <v xml:space="preserve"> </v>
      </c>
      <c r="AK323" s="21" t="str">
        <f t="shared" si="74"/>
        <v xml:space="preserve"> </v>
      </c>
      <c r="AM323" s="20">
        <f t="shared" si="75"/>
        <v>312</v>
      </c>
      <c r="AN323" s="5">
        <f t="shared" si="76"/>
        <v>0</v>
      </c>
      <c r="AO323" s="5">
        <f t="shared" si="77"/>
        <v>0</v>
      </c>
      <c r="AP323" s="5">
        <f t="shared" si="78"/>
        <v>0</v>
      </c>
      <c r="AQ323" s="5">
        <f>IF(CreditAmort4BASE[[#This Row],[Month]]=AS$8,AO$7,0)</f>
        <v>0</v>
      </c>
      <c r="AR323" s="13">
        <f t="shared" si="79"/>
        <v>0</v>
      </c>
      <c r="AS323" s="6" t="str">
        <f t="shared" si="80"/>
        <v xml:space="preserve"> </v>
      </c>
      <c r="AT323" s="21" t="str">
        <f t="shared" si="81"/>
        <v xml:space="preserve"> </v>
      </c>
    </row>
    <row r="324" spans="3:46">
      <c r="C324" s="22">
        <f t="shared" si="82"/>
        <v>313</v>
      </c>
      <c r="D324" s="23">
        <f>IF(AND(C324&gt;='Amort. Sched.-BASE'!$I$8, C324&lt;= ($I$7+$I$8)), PMT('Amort. Sched.-BASE'!$E$8/12, 'Amort. Sched.-BASE'!$I$7, 'Amort. Sched.-BASE'!$E$7), 0)</f>
        <v>0</v>
      </c>
      <c r="E324" s="5">
        <f>IF(AND(C324&gt;='Amort. Sched.-BASE'!$I$8, C324&lt;= ($I$7+$I$8)), (IPMT($E$8/12, (C324-$I$8), $I$7, $E$7)), 0)</f>
        <v>0</v>
      </c>
      <c r="F324" s="23">
        <f>IF(AND(C324&gt;='Amort. Sched.-BASE'!$I$8, C324&lt;= ($I$7+$I$8)), (PPMT($E$8/12, (C324-$I$8), $I$7, $E$7)), 0)</f>
        <v>0</v>
      </c>
      <c r="G324" s="5">
        <f>IF(MortgageAmortBASE[[#This Row],[Month]]=I$8,E$7,0)</f>
        <v>0</v>
      </c>
      <c r="H324" s="13">
        <f>IF(AND(C324&gt;='Amort. Sched.-BASE'!$I$8, C324&lt;= ($I$7+$I$8)), H323+F324, 0)</f>
        <v>0</v>
      </c>
      <c r="I324" s="24" t="str">
        <f>IF(AND(C324&gt;='Amort. Sched.-BASE'!$I$8, C324&lt;= ($I$7+$I$8)), E324/D324, " ")</f>
        <v xml:space="preserve"> </v>
      </c>
      <c r="J324" s="25" t="str">
        <f>IF(AND(C324&gt;='Amort. Sched.-BASE'!$I$8, C324&lt;= ($I$7+$I$8)), F324/D324, " ")</f>
        <v xml:space="preserve"> </v>
      </c>
      <c r="L324" s="20">
        <f t="shared" si="66"/>
        <v>313</v>
      </c>
      <c r="M324" s="5">
        <f>IF(AND(L324&gt;='Amort. Sched.-BASE'!$R$8, L324&lt;= ($R$7+$R$8)), PMT('Amort. Sched.-BASE'!$N$8/12, 'Amort. Sched.-BASE'!$R$7, 'Amort. Sched.-BASE'!$N$7), 0)</f>
        <v>0</v>
      </c>
      <c r="N324" s="5">
        <f>IF(AND(L324&gt;='Amort. Sched.-BASE'!$R$8, L324&lt;= ($R$7+$R$8)), (IPMT($N$8/12, (L324-$R$8), $R$7, $N$7)), 0)</f>
        <v>0</v>
      </c>
      <c r="O324" s="5">
        <f>IF(AND(L324&gt;='Amort. Sched.-BASE'!$R$8, L324&lt;= ($R$7+$R$8)), (PPMT($N$8/12, (L324-$R$8), $R$7, $N$7)), 0)</f>
        <v>0</v>
      </c>
      <c r="P324" s="5">
        <f>IF(CreditAmort1BASE[[#This Row],[Month]]=R$8,N$7,0)</f>
        <v>0</v>
      </c>
      <c r="Q324" s="13">
        <f>IF(AND(L324&gt;='Amort. Sched.-BASE'!$R$8, L324&lt;= ($R$7+$R$8)), Q323+O324, 0)</f>
        <v>0</v>
      </c>
      <c r="R324" s="6" t="str">
        <f>IF(AND(L324&gt;='Amort. Sched.-BASE'!$R$8, L324&lt;= ($R$7+$R$8)), N324/M324, " ")</f>
        <v xml:space="preserve"> </v>
      </c>
      <c r="S324" s="21" t="str">
        <f>IF(AND(L324&gt;='Amort. Sched.-BASE'!$R$8, L324&lt;= ($R$7+$R$8)), O324/M324, " ")</f>
        <v xml:space="preserve"> </v>
      </c>
      <c r="U324" s="22">
        <f t="shared" si="67"/>
        <v>313</v>
      </c>
      <c r="V324" s="23">
        <f>IF(AND(U324&gt;='Amort. Sched.-BASE'!$AA$8, U324&lt;= ($AA$7+$AA$8)), PMT('Amort. Sched.-BASE'!$W$8/12, 'Amort. Sched.-BASE'!$AA$7, 'Amort. Sched.-BASE'!$W$7), 0)</f>
        <v>0</v>
      </c>
      <c r="W324" s="5">
        <f>IF(AND(U324&gt;='Amort. Sched.-BASE'!$AA$8, U324&lt;= ($AA$7+$AA$8)), (IPMT($W$8/12, (U324-$AA$8), $AA$7, $W$7)), 0)</f>
        <v>0</v>
      </c>
      <c r="X324" s="23">
        <f>IF(AND(U324&gt;='Amort. Sched.-BASE'!$AA$8, U324&lt;= ($AA$7+$AA$8)), (PPMT($W$8/12, (U324-$AA$8), $AA$7, $W$7)), 0)</f>
        <v>0</v>
      </c>
      <c r="Y324" s="5">
        <f>IF(CreditAmort2BASE[[#This Row],[Month]]=AA$8,W$7,0)</f>
        <v>0</v>
      </c>
      <c r="Z324" s="13">
        <f>IF(AND(U324&gt;='Amort. Sched.-BASE'!$AA$8, U324&lt;= ($AA$7+$AA$8)), Z323+X324, 0)</f>
        <v>0</v>
      </c>
      <c r="AA324" s="24" t="str">
        <f>IF(AND(U324&gt;='Amort. Sched.-BASE'!$AA$8, U324&lt;= ($AA$7+$AA$8)), W324/V324, " ")</f>
        <v xml:space="preserve"> </v>
      </c>
      <c r="AB324" s="25" t="str">
        <f>IF(AND(U324&gt;='Amort. Sched.-BASE'!$AA$8, U324&lt;= ($AA$7+$AA$8)), X324/V324, " ")</f>
        <v xml:space="preserve"> </v>
      </c>
      <c r="AD324" s="20">
        <f t="shared" si="68"/>
        <v>313</v>
      </c>
      <c r="AE324" s="5">
        <f t="shared" si="69"/>
        <v>0</v>
      </c>
      <c r="AF324" s="5">
        <f t="shared" si="70"/>
        <v>0</v>
      </c>
      <c r="AG324" s="5">
        <f t="shared" si="71"/>
        <v>0</v>
      </c>
      <c r="AH324" s="5">
        <f>IF(CreditAmort3BASE[[#This Row],[Month]]=AJ$8,AF$7,0)</f>
        <v>0</v>
      </c>
      <c r="AI324" s="13">
        <f t="shared" si="72"/>
        <v>0</v>
      </c>
      <c r="AJ324" s="6" t="str">
        <f t="shared" si="73"/>
        <v xml:space="preserve"> </v>
      </c>
      <c r="AK324" s="21" t="str">
        <f t="shared" si="74"/>
        <v xml:space="preserve"> </v>
      </c>
      <c r="AM324" s="20">
        <f t="shared" si="75"/>
        <v>313</v>
      </c>
      <c r="AN324" s="5">
        <f t="shared" si="76"/>
        <v>0</v>
      </c>
      <c r="AO324" s="5">
        <f t="shared" si="77"/>
        <v>0</v>
      </c>
      <c r="AP324" s="5">
        <f t="shared" si="78"/>
        <v>0</v>
      </c>
      <c r="AQ324" s="5">
        <f>IF(CreditAmort4BASE[[#This Row],[Month]]=AS$8,AO$7,0)</f>
        <v>0</v>
      </c>
      <c r="AR324" s="13">
        <f t="shared" si="79"/>
        <v>0</v>
      </c>
      <c r="AS324" s="6" t="str">
        <f t="shared" si="80"/>
        <v xml:space="preserve"> </v>
      </c>
      <c r="AT324" s="21" t="str">
        <f t="shared" si="81"/>
        <v xml:space="preserve"> </v>
      </c>
    </row>
    <row r="325" spans="3:46">
      <c r="C325" s="22">
        <f t="shared" si="82"/>
        <v>314</v>
      </c>
      <c r="D325" s="23">
        <f>IF(AND(C325&gt;='Amort. Sched.-BASE'!$I$8, C325&lt;= ($I$7+$I$8)), PMT('Amort. Sched.-BASE'!$E$8/12, 'Amort. Sched.-BASE'!$I$7, 'Amort. Sched.-BASE'!$E$7), 0)</f>
        <v>0</v>
      </c>
      <c r="E325" s="5">
        <f>IF(AND(C325&gt;='Amort. Sched.-BASE'!$I$8, C325&lt;= ($I$7+$I$8)), (IPMT($E$8/12, (C325-$I$8), $I$7, $E$7)), 0)</f>
        <v>0</v>
      </c>
      <c r="F325" s="23">
        <f>IF(AND(C325&gt;='Amort. Sched.-BASE'!$I$8, C325&lt;= ($I$7+$I$8)), (PPMT($E$8/12, (C325-$I$8), $I$7, $E$7)), 0)</f>
        <v>0</v>
      </c>
      <c r="G325" s="5">
        <f>IF(MortgageAmortBASE[[#This Row],[Month]]=I$8,E$7,0)</f>
        <v>0</v>
      </c>
      <c r="H325" s="13">
        <f>IF(AND(C325&gt;='Amort. Sched.-BASE'!$I$8, C325&lt;= ($I$7+$I$8)), H324+F325, 0)</f>
        <v>0</v>
      </c>
      <c r="I325" s="24" t="str">
        <f>IF(AND(C325&gt;='Amort. Sched.-BASE'!$I$8, C325&lt;= ($I$7+$I$8)), E325/D325, " ")</f>
        <v xml:space="preserve"> </v>
      </c>
      <c r="J325" s="25" t="str">
        <f>IF(AND(C325&gt;='Amort. Sched.-BASE'!$I$8, C325&lt;= ($I$7+$I$8)), F325/D325, " ")</f>
        <v xml:space="preserve"> </v>
      </c>
      <c r="L325" s="20">
        <f t="shared" si="66"/>
        <v>314</v>
      </c>
      <c r="M325" s="5">
        <f>IF(AND(L325&gt;='Amort. Sched.-BASE'!$R$8, L325&lt;= ($R$7+$R$8)), PMT('Amort. Sched.-BASE'!$N$8/12, 'Amort. Sched.-BASE'!$R$7, 'Amort. Sched.-BASE'!$N$7), 0)</f>
        <v>0</v>
      </c>
      <c r="N325" s="5">
        <f>IF(AND(L325&gt;='Amort. Sched.-BASE'!$R$8, L325&lt;= ($R$7+$R$8)), (IPMT($N$8/12, (L325-$R$8), $R$7, $N$7)), 0)</f>
        <v>0</v>
      </c>
      <c r="O325" s="5">
        <f>IF(AND(L325&gt;='Amort. Sched.-BASE'!$R$8, L325&lt;= ($R$7+$R$8)), (PPMT($N$8/12, (L325-$R$8), $R$7, $N$7)), 0)</f>
        <v>0</v>
      </c>
      <c r="P325" s="5">
        <f>IF(CreditAmort1BASE[[#This Row],[Month]]=R$8,N$7,0)</f>
        <v>0</v>
      </c>
      <c r="Q325" s="13">
        <f>IF(AND(L325&gt;='Amort. Sched.-BASE'!$R$8, L325&lt;= ($R$7+$R$8)), Q324+O325, 0)</f>
        <v>0</v>
      </c>
      <c r="R325" s="6" t="str">
        <f>IF(AND(L325&gt;='Amort. Sched.-BASE'!$R$8, L325&lt;= ($R$7+$R$8)), N325/M325, " ")</f>
        <v xml:space="preserve"> </v>
      </c>
      <c r="S325" s="21" t="str">
        <f>IF(AND(L325&gt;='Amort. Sched.-BASE'!$R$8, L325&lt;= ($R$7+$R$8)), O325/M325, " ")</f>
        <v xml:space="preserve"> </v>
      </c>
      <c r="U325" s="22">
        <f t="shared" si="67"/>
        <v>314</v>
      </c>
      <c r="V325" s="23">
        <f>IF(AND(U325&gt;='Amort. Sched.-BASE'!$AA$8, U325&lt;= ($AA$7+$AA$8)), PMT('Amort. Sched.-BASE'!$W$8/12, 'Amort. Sched.-BASE'!$AA$7, 'Amort. Sched.-BASE'!$W$7), 0)</f>
        <v>0</v>
      </c>
      <c r="W325" s="5">
        <f>IF(AND(U325&gt;='Amort. Sched.-BASE'!$AA$8, U325&lt;= ($AA$7+$AA$8)), (IPMT($W$8/12, (U325-$AA$8), $AA$7, $W$7)), 0)</f>
        <v>0</v>
      </c>
      <c r="X325" s="23">
        <f>IF(AND(U325&gt;='Amort. Sched.-BASE'!$AA$8, U325&lt;= ($AA$7+$AA$8)), (PPMT($W$8/12, (U325-$AA$8), $AA$7, $W$7)), 0)</f>
        <v>0</v>
      </c>
      <c r="Y325" s="5">
        <f>IF(CreditAmort2BASE[[#This Row],[Month]]=AA$8,W$7,0)</f>
        <v>0</v>
      </c>
      <c r="Z325" s="13">
        <f>IF(AND(U325&gt;='Amort. Sched.-BASE'!$AA$8, U325&lt;= ($AA$7+$AA$8)), Z324+X325, 0)</f>
        <v>0</v>
      </c>
      <c r="AA325" s="24" t="str">
        <f>IF(AND(U325&gt;='Amort. Sched.-BASE'!$AA$8, U325&lt;= ($AA$7+$AA$8)), W325/V325, " ")</f>
        <v xml:space="preserve"> </v>
      </c>
      <c r="AB325" s="25" t="str">
        <f>IF(AND(U325&gt;='Amort. Sched.-BASE'!$AA$8, U325&lt;= ($AA$7+$AA$8)), X325/V325, " ")</f>
        <v xml:space="preserve"> </v>
      </c>
      <c r="AD325" s="20">
        <f t="shared" si="68"/>
        <v>314</v>
      </c>
      <c r="AE325" s="5">
        <f t="shared" si="69"/>
        <v>0</v>
      </c>
      <c r="AF325" s="5">
        <f t="shared" si="70"/>
        <v>0</v>
      </c>
      <c r="AG325" s="5">
        <f t="shared" si="71"/>
        <v>0</v>
      </c>
      <c r="AH325" s="5">
        <f>IF(CreditAmort3BASE[[#This Row],[Month]]=AJ$8,AF$7,0)</f>
        <v>0</v>
      </c>
      <c r="AI325" s="13">
        <f t="shared" si="72"/>
        <v>0</v>
      </c>
      <c r="AJ325" s="6" t="str">
        <f t="shared" si="73"/>
        <v xml:space="preserve"> </v>
      </c>
      <c r="AK325" s="21" t="str">
        <f t="shared" si="74"/>
        <v xml:space="preserve"> </v>
      </c>
      <c r="AM325" s="20">
        <f t="shared" si="75"/>
        <v>314</v>
      </c>
      <c r="AN325" s="5">
        <f t="shared" si="76"/>
        <v>0</v>
      </c>
      <c r="AO325" s="5">
        <f t="shared" si="77"/>
        <v>0</v>
      </c>
      <c r="AP325" s="5">
        <f t="shared" si="78"/>
        <v>0</v>
      </c>
      <c r="AQ325" s="5">
        <f>IF(CreditAmort4BASE[[#This Row],[Month]]=AS$8,AO$7,0)</f>
        <v>0</v>
      </c>
      <c r="AR325" s="13">
        <f t="shared" si="79"/>
        <v>0</v>
      </c>
      <c r="AS325" s="6" t="str">
        <f t="shared" si="80"/>
        <v xml:space="preserve"> </v>
      </c>
      <c r="AT325" s="21" t="str">
        <f t="shared" si="81"/>
        <v xml:space="preserve"> </v>
      </c>
    </row>
    <row r="326" spans="3:46">
      <c r="C326" s="22">
        <f t="shared" si="82"/>
        <v>315</v>
      </c>
      <c r="D326" s="23">
        <f>IF(AND(C326&gt;='Amort. Sched.-BASE'!$I$8, C326&lt;= ($I$7+$I$8)), PMT('Amort. Sched.-BASE'!$E$8/12, 'Amort. Sched.-BASE'!$I$7, 'Amort. Sched.-BASE'!$E$7), 0)</f>
        <v>0</v>
      </c>
      <c r="E326" s="5">
        <f>IF(AND(C326&gt;='Amort. Sched.-BASE'!$I$8, C326&lt;= ($I$7+$I$8)), (IPMT($E$8/12, (C326-$I$8), $I$7, $E$7)), 0)</f>
        <v>0</v>
      </c>
      <c r="F326" s="23">
        <f>IF(AND(C326&gt;='Amort. Sched.-BASE'!$I$8, C326&lt;= ($I$7+$I$8)), (PPMT($E$8/12, (C326-$I$8), $I$7, $E$7)), 0)</f>
        <v>0</v>
      </c>
      <c r="G326" s="5">
        <f>IF(MortgageAmortBASE[[#This Row],[Month]]=I$8,E$7,0)</f>
        <v>0</v>
      </c>
      <c r="H326" s="13">
        <f>IF(AND(C326&gt;='Amort. Sched.-BASE'!$I$8, C326&lt;= ($I$7+$I$8)), H325+F326, 0)</f>
        <v>0</v>
      </c>
      <c r="I326" s="24" t="str">
        <f>IF(AND(C326&gt;='Amort. Sched.-BASE'!$I$8, C326&lt;= ($I$7+$I$8)), E326/D326, " ")</f>
        <v xml:space="preserve"> </v>
      </c>
      <c r="J326" s="25" t="str">
        <f>IF(AND(C326&gt;='Amort. Sched.-BASE'!$I$8, C326&lt;= ($I$7+$I$8)), F326/D326, " ")</f>
        <v xml:space="preserve"> </v>
      </c>
      <c r="L326" s="20">
        <f t="shared" si="66"/>
        <v>315</v>
      </c>
      <c r="M326" s="5">
        <f>IF(AND(L326&gt;='Amort. Sched.-BASE'!$R$8, L326&lt;= ($R$7+$R$8)), PMT('Amort. Sched.-BASE'!$N$8/12, 'Amort. Sched.-BASE'!$R$7, 'Amort. Sched.-BASE'!$N$7), 0)</f>
        <v>0</v>
      </c>
      <c r="N326" s="5">
        <f>IF(AND(L326&gt;='Amort. Sched.-BASE'!$R$8, L326&lt;= ($R$7+$R$8)), (IPMT($N$8/12, (L326-$R$8), $R$7, $N$7)), 0)</f>
        <v>0</v>
      </c>
      <c r="O326" s="5">
        <f>IF(AND(L326&gt;='Amort. Sched.-BASE'!$R$8, L326&lt;= ($R$7+$R$8)), (PPMT($N$8/12, (L326-$R$8), $R$7, $N$7)), 0)</f>
        <v>0</v>
      </c>
      <c r="P326" s="5">
        <f>IF(CreditAmort1BASE[[#This Row],[Month]]=R$8,N$7,0)</f>
        <v>0</v>
      </c>
      <c r="Q326" s="13">
        <f>IF(AND(L326&gt;='Amort. Sched.-BASE'!$R$8, L326&lt;= ($R$7+$R$8)), Q325+O326, 0)</f>
        <v>0</v>
      </c>
      <c r="R326" s="6" t="str">
        <f>IF(AND(L326&gt;='Amort. Sched.-BASE'!$R$8, L326&lt;= ($R$7+$R$8)), N326/M326, " ")</f>
        <v xml:space="preserve"> </v>
      </c>
      <c r="S326" s="21" t="str">
        <f>IF(AND(L326&gt;='Amort. Sched.-BASE'!$R$8, L326&lt;= ($R$7+$R$8)), O326/M326, " ")</f>
        <v xml:space="preserve"> </v>
      </c>
      <c r="U326" s="22">
        <f t="shared" si="67"/>
        <v>315</v>
      </c>
      <c r="V326" s="23">
        <f>IF(AND(U326&gt;='Amort. Sched.-BASE'!$AA$8, U326&lt;= ($AA$7+$AA$8)), PMT('Amort. Sched.-BASE'!$W$8/12, 'Amort. Sched.-BASE'!$AA$7, 'Amort. Sched.-BASE'!$W$7), 0)</f>
        <v>0</v>
      </c>
      <c r="W326" s="5">
        <f>IF(AND(U326&gt;='Amort. Sched.-BASE'!$AA$8, U326&lt;= ($AA$7+$AA$8)), (IPMT($W$8/12, (U326-$AA$8), $AA$7, $W$7)), 0)</f>
        <v>0</v>
      </c>
      <c r="X326" s="23">
        <f>IF(AND(U326&gt;='Amort. Sched.-BASE'!$AA$8, U326&lt;= ($AA$7+$AA$8)), (PPMT($W$8/12, (U326-$AA$8), $AA$7, $W$7)), 0)</f>
        <v>0</v>
      </c>
      <c r="Y326" s="5">
        <f>IF(CreditAmort2BASE[[#This Row],[Month]]=AA$8,W$7,0)</f>
        <v>0</v>
      </c>
      <c r="Z326" s="13">
        <f>IF(AND(U326&gt;='Amort. Sched.-BASE'!$AA$8, U326&lt;= ($AA$7+$AA$8)), Z325+X326, 0)</f>
        <v>0</v>
      </c>
      <c r="AA326" s="24" t="str">
        <f>IF(AND(U326&gt;='Amort. Sched.-BASE'!$AA$8, U326&lt;= ($AA$7+$AA$8)), W326/V326, " ")</f>
        <v xml:space="preserve"> </v>
      </c>
      <c r="AB326" s="25" t="str">
        <f>IF(AND(U326&gt;='Amort. Sched.-BASE'!$AA$8, U326&lt;= ($AA$7+$AA$8)), X326/V326, " ")</f>
        <v xml:space="preserve"> </v>
      </c>
      <c r="AD326" s="20">
        <f t="shared" si="68"/>
        <v>315</v>
      </c>
      <c r="AE326" s="5">
        <f t="shared" si="69"/>
        <v>0</v>
      </c>
      <c r="AF326" s="5">
        <f t="shared" si="70"/>
        <v>0</v>
      </c>
      <c r="AG326" s="5">
        <f t="shared" si="71"/>
        <v>0</v>
      </c>
      <c r="AH326" s="5">
        <f>IF(CreditAmort3BASE[[#This Row],[Month]]=AJ$8,AF$7,0)</f>
        <v>0</v>
      </c>
      <c r="AI326" s="13">
        <f t="shared" si="72"/>
        <v>0</v>
      </c>
      <c r="AJ326" s="6" t="str">
        <f t="shared" si="73"/>
        <v xml:space="preserve"> </v>
      </c>
      <c r="AK326" s="21" t="str">
        <f t="shared" si="74"/>
        <v xml:space="preserve"> </v>
      </c>
      <c r="AM326" s="20">
        <f t="shared" si="75"/>
        <v>315</v>
      </c>
      <c r="AN326" s="5">
        <f t="shared" si="76"/>
        <v>0</v>
      </c>
      <c r="AO326" s="5">
        <f t="shared" si="77"/>
        <v>0</v>
      </c>
      <c r="AP326" s="5">
        <f t="shared" si="78"/>
        <v>0</v>
      </c>
      <c r="AQ326" s="5">
        <f>IF(CreditAmort4BASE[[#This Row],[Month]]=AS$8,AO$7,0)</f>
        <v>0</v>
      </c>
      <c r="AR326" s="13">
        <f t="shared" si="79"/>
        <v>0</v>
      </c>
      <c r="AS326" s="6" t="str">
        <f t="shared" si="80"/>
        <v xml:space="preserve"> </v>
      </c>
      <c r="AT326" s="21" t="str">
        <f t="shared" si="81"/>
        <v xml:space="preserve"> </v>
      </c>
    </row>
    <row r="327" spans="3:46">
      <c r="C327" s="22">
        <f t="shared" si="82"/>
        <v>316</v>
      </c>
      <c r="D327" s="23">
        <f>IF(AND(C327&gt;='Amort. Sched.-BASE'!$I$8, C327&lt;= ($I$7+$I$8)), PMT('Amort. Sched.-BASE'!$E$8/12, 'Amort. Sched.-BASE'!$I$7, 'Amort. Sched.-BASE'!$E$7), 0)</f>
        <v>0</v>
      </c>
      <c r="E327" s="5">
        <f>IF(AND(C327&gt;='Amort. Sched.-BASE'!$I$8, C327&lt;= ($I$7+$I$8)), (IPMT($E$8/12, (C327-$I$8), $I$7, $E$7)), 0)</f>
        <v>0</v>
      </c>
      <c r="F327" s="23">
        <f>IF(AND(C327&gt;='Amort. Sched.-BASE'!$I$8, C327&lt;= ($I$7+$I$8)), (PPMT($E$8/12, (C327-$I$8), $I$7, $E$7)), 0)</f>
        <v>0</v>
      </c>
      <c r="G327" s="5">
        <f>IF(MortgageAmortBASE[[#This Row],[Month]]=I$8,E$7,0)</f>
        <v>0</v>
      </c>
      <c r="H327" s="13">
        <f>IF(AND(C327&gt;='Amort. Sched.-BASE'!$I$8, C327&lt;= ($I$7+$I$8)), H326+F327, 0)</f>
        <v>0</v>
      </c>
      <c r="I327" s="24" t="str">
        <f>IF(AND(C327&gt;='Amort. Sched.-BASE'!$I$8, C327&lt;= ($I$7+$I$8)), E327/D327, " ")</f>
        <v xml:space="preserve"> </v>
      </c>
      <c r="J327" s="25" t="str">
        <f>IF(AND(C327&gt;='Amort. Sched.-BASE'!$I$8, C327&lt;= ($I$7+$I$8)), F327/D327, " ")</f>
        <v xml:space="preserve"> </v>
      </c>
      <c r="L327" s="20">
        <f t="shared" si="66"/>
        <v>316</v>
      </c>
      <c r="M327" s="5">
        <f>IF(AND(L327&gt;='Amort. Sched.-BASE'!$R$8, L327&lt;= ($R$7+$R$8)), PMT('Amort. Sched.-BASE'!$N$8/12, 'Amort. Sched.-BASE'!$R$7, 'Amort. Sched.-BASE'!$N$7), 0)</f>
        <v>0</v>
      </c>
      <c r="N327" s="5">
        <f>IF(AND(L327&gt;='Amort. Sched.-BASE'!$R$8, L327&lt;= ($R$7+$R$8)), (IPMT($N$8/12, (L327-$R$8), $R$7, $N$7)), 0)</f>
        <v>0</v>
      </c>
      <c r="O327" s="5">
        <f>IF(AND(L327&gt;='Amort. Sched.-BASE'!$R$8, L327&lt;= ($R$7+$R$8)), (PPMT($N$8/12, (L327-$R$8), $R$7, $N$7)), 0)</f>
        <v>0</v>
      </c>
      <c r="P327" s="5">
        <f>IF(CreditAmort1BASE[[#This Row],[Month]]=R$8,N$7,0)</f>
        <v>0</v>
      </c>
      <c r="Q327" s="13">
        <f>IF(AND(L327&gt;='Amort. Sched.-BASE'!$R$8, L327&lt;= ($R$7+$R$8)), Q326+O327, 0)</f>
        <v>0</v>
      </c>
      <c r="R327" s="6" t="str">
        <f>IF(AND(L327&gt;='Amort. Sched.-BASE'!$R$8, L327&lt;= ($R$7+$R$8)), N327/M327, " ")</f>
        <v xml:space="preserve"> </v>
      </c>
      <c r="S327" s="21" t="str">
        <f>IF(AND(L327&gt;='Amort. Sched.-BASE'!$R$8, L327&lt;= ($R$7+$R$8)), O327/M327, " ")</f>
        <v xml:space="preserve"> </v>
      </c>
      <c r="U327" s="22">
        <f t="shared" si="67"/>
        <v>316</v>
      </c>
      <c r="V327" s="23">
        <f>IF(AND(U327&gt;='Amort. Sched.-BASE'!$AA$8, U327&lt;= ($AA$7+$AA$8)), PMT('Amort. Sched.-BASE'!$W$8/12, 'Amort. Sched.-BASE'!$AA$7, 'Amort. Sched.-BASE'!$W$7), 0)</f>
        <v>0</v>
      </c>
      <c r="W327" s="5">
        <f>IF(AND(U327&gt;='Amort. Sched.-BASE'!$AA$8, U327&lt;= ($AA$7+$AA$8)), (IPMT($W$8/12, (U327-$AA$8), $AA$7, $W$7)), 0)</f>
        <v>0</v>
      </c>
      <c r="X327" s="23">
        <f>IF(AND(U327&gt;='Amort. Sched.-BASE'!$AA$8, U327&lt;= ($AA$7+$AA$8)), (PPMT($W$8/12, (U327-$AA$8), $AA$7, $W$7)), 0)</f>
        <v>0</v>
      </c>
      <c r="Y327" s="5">
        <f>IF(CreditAmort2BASE[[#This Row],[Month]]=AA$8,W$7,0)</f>
        <v>0</v>
      </c>
      <c r="Z327" s="13">
        <f>IF(AND(U327&gt;='Amort. Sched.-BASE'!$AA$8, U327&lt;= ($AA$7+$AA$8)), Z326+X327, 0)</f>
        <v>0</v>
      </c>
      <c r="AA327" s="24" t="str">
        <f>IF(AND(U327&gt;='Amort. Sched.-BASE'!$AA$8, U327&lt;= ($AA$7+$AA$8)), W327/V327, " ")</f>
        <v xml:space="preserve"> </v>
      </c>
      <c r="AB327" s="25" t="str">
        <f>IF(AND(U327&gt;='Amort. Sched.-BASE'!$AA$8, U327&lt;= ($AA$7+$AA$8)), X327/V327, " ")</f>
        <v xml:space="preserve"> </v>
      </c>
      <c r="AD327" s="20">
        <f t="shared" si="68"/>
        <v>316</v>
      </c>
      <c r="AE327" s="5">
        <f t="shared" si="69"/>
        <v>0</v>
      </c>
      <c r="AF327" s="5">
        <f t="shared" si="70"/>
        <v>0</v>
      </c>
      <c r="AG327" s="5">
        <f t="shared" si="71"/>
        <v>0</v>
      </c>
      <c r="AH327" s="5">
        <f>IF(CreditAmort3BASE[[#This Row],[Month]]=AJ$8,AF$7,0)</f>
        <v>0</v>
      </c>
      <c r="AI327" s="13">
        <f t="shared" si="72"/>
        <v>0</v>
      </c>
      <c r="AJ327" s="6" t="str">
        <f t="shared" si="73"/>
        <v xml:space="preserve"> </v>
      </c>
      <c r="AK327" s="21" t="str">
        <f t="shared" si="74"/>
        <v xml:space="preserve"> </v>
      </c>
      <c r="AM327" s="20">
        <f t="shared" si="75"/>
        <v>316</v>
      </c>
      <c r="AN327" s="5">
        <f t="shared" si="76"/>
        <v>0</v>
      </c>
      <c r="AO327" s="5">
        <f t="shared" si="77"/>
        <v>0</v>
      </c>
      <c r="AP327" s="5">
        <f t="shared" si="78"/>
        <v>0</v>
      </c>
      <c r="AQ327" s="5">
        <f>IF(CreditAmort4BASE[[#This Row],[Month]]=AS$8,AO$7,0)</f>
        <v>0</v>
      </c>
      <c r="AR327" s="13">
        <f t="shared" si="79"/>
        <v>0</v>
      </c>
      <c r="AS327" s="6" t="str">
        <f t="shared" si="80"/>
        <v xml:space="preserve"> </v>
      </c>
      <c r="AT327" s="21" t="str">
        <f t="shared" si="81"/>
        <v xml:space="preserve"> </v>
      </c>
    </row>
    <row r="328" spans="3:46">
      <c r="C328" s="22">
        <f t="shared" si="82"/>
        <v>317</v>
      </c>
      <c r="D328" s="23">
        <f>IF(AND(C328&gt;='Amort. Sched.-BASE'!$I$8, C328&lt;= ($I$7+$I$8)), PMT('Amort. Sched.-BASE'!$E$8/12, 'Amort. Sched.-BASE'!$I$7, 'Amort. Sched.-BASE'!$E$7), 0)</f>
        <v>0</v>
      </c>
      <c r="E328" s="5">
        <f>IF(AND(C328&gt;='Amort. Sched.-BASE'!$I$8, C328&lt;= ($I$7+$I$8)), (IPMT($E$8/12, (C328-$I$8), $I$7, $E$7)), 0)</f>
        <v>0</v>
      </c>
      <c r="F328" s="23">
        <f>IF(AND(C328&gt;='Amort. Sched.-BASE'!$I$8, C328&lt;= ($I$7+$I$8)), (PPMT($E$8/12, (C328-$I$8), $I$7, $E$7)), 0)</f>
        <v>0</v>
      </c>
      <c r="G328" s="5">
        <f>IF(MortgageAmortBASE[[#This Row],[Month]]=I$8,E$7,0)</f>
        <v>0</v>
      </c>
      <c r="H328" s="13">
        <f>IF(AND(C328&gt;='Amort. Sched.-BASE'!$I$8, C328&lt;= ($I$7+$I$8)), H327+F328, 0)</f>
        <v>0</v>
      </c>
      <c r="I328" s="24" t="str">
        <f>IF(AND(C328&gt;='Amort. Sched.-BASE'!$I$8, C328&lt;= ($I$7+$I$8)), E328/D328, " ")</f>
        <v xml:space="preserve"> </v>
      </c>
      <c r="J328" s="25" t="str">
        <f>IF(AND(C328&gt;='Amort. Sched.-BASE'!$I$8, C328&lt;= ($I$7+$I$8)), F328/D328, " ")</f>
        <v xml:space="preserve"> </v>
      </c>
      <c r="L328" s="20">
        <f t="shared" si="66"/>
        <v>317</v>
      </c>
      <c r="M328" s="5">
        <f>IF(AND(L328&gt;='Amort. Sched.-BASE'!$R$8, L328&lt;= ($R$7+$R$8)), PMT('Amort. Sched.-BASE'!$N$8/12, 'Amort. Sched.-BASE'!$R$7, 'Amort. Sched.-BASE'!$N$7), 0)</f>
        <v>0</v>
      </c>
      <c r="N328" s="5">
        <f>IF(AND(L328&gt;='Amort. Sched.-BASE'!$R$8, L328&lt;= ($R$7+$R$8)), (IPMT($N$8/12, (L328-$R$8), $R$7, $N$7)), 0)</f>
        <v>0</v>
      </c>
      <c r="O328" s="5">
        <f>IF(AND(L328&gt;='Amort. Sched.-BASE'!$R$8, L328&lt;= ($R$7+$R$8)), (PPMT($N$8/12, (L328-$R$8), $R$7, $N$7)), 0)</f>
        <v>0</v>
      </c>
      <c r="P328" s="5">
        <f>IF(CreditAmort1BASE[[#This Row],[Month]]=R$8,N$7,0)</f>
        <v>0</v>
      </c>
      <c r="Q328" s="13">
        <f>IF(AND(L328&gt;='Amort. Sched.-BASE'!$R$8, L328&lt;= ($R$7+$R$8)), Q327+O328, 0)</f>
        <v>0</v>
      </c>
      <c r="R328" s="6" t="str">
        <f>IF(AND(L328&gt;='Amort. Sched.-BASE'!$R$8, L328&lt;= ($R$7+$R$8)), N328/M328, " ")</f>
        <v xml:space="preserve"> </v>
      </c>
      <c r="S328" s="21" t="str">
        <f>IF(AND(L328&gt;='Amort. Sched.-BASE'!$R$8, L328&lt;= ($R$7+$R$8)), O328/M328, " ")</f>
        <v xml:space="preserve"> </v>
      </c>
      <c r="U328" s="22">
        <f t="shared" si="67"/>
        <v>317</v>
      </c>
      <c r="V328" s="23">
        <f>IF(AND(U328&gt;='Amort. Sched.-BASE'!$AA$8, U328&lt;= ($AA$7+$AA$8)), PMT('Amort. Sched.-BASE'!$W$8/12, 'Amort. Sched.-BASE'!$AA$7, 'Amort. Sched.-BASE'!$W$7), 0)</f>
        <v>0</v>
      </c>
      <c r="W328" s="5">
        <f>IF(AND(U328&gt;='Amort. Sched.-BASE'!$AA$8, U328&lt;= ($AA$7+$AA$8)), (IPMT($W$8/12, (U328-$AA$8), $AA$7, $W$7)), 0)</f>
        <v>0</v>
      </c>
      <c r="X328" s="23">
        <f>IF(AND(U328&gt;='Amort. Sched.-BASE'!$AA$8, U328&lt;= ($AA$7+$AA$8)), (PPMT($W$8/12, (U328-$AA$8), $AA$7, $W$7)), 0)</f>
        <v>0</v>
      </c>
      <c r="Y328" s="5">
        <f>IF(CreditAmort2BASE[[#This Row],[Month]]=AA$8,W$7,0)</f>
        <v>0</v>
      </c>
      <c r="Z328" s="13">
        <f>IF(AND(U328&gt;='Amort. Sched.-BASE'!$AA$8, U328&lt;= ($AA$7+$AA$8)), Z327+X328, 0)</f>
        <v>0</v>
      </c>
      <c r="AA328" s="24" t="str">
        <f>IF(AND(U328&gt;='Amort. Sched.-BASE'!$AA$8, U328&lt;= ($AA$7+$AA$8)), W328/V328, " ")</f>
        <v xml:space="preserve"> </v>
      </c>
      <c r="AB328" s="25" t="str">
        <f>IF(AND(U328&gt;='Amort. Sched.-BASE'!$AA$8, U328&lt;= ($AA$7+$AA$8)), X328/V328, " ")</f>
        <v xml:space="preserve"> </v>
      </c>
      <c r="AD328" s="20">
        <f t="shared" si="68"/>
        <v>317</v>
      </c>
      <c r="AE328" s="5">
        <f t="shared" si="69"/>
        <v>0</v>
      </c>
      <c r="AF328" s="5">
        <f t="shared" si="70"/>
        <v>0</v>
      </c>
      <c r="AG328" s="5">
        <f t="shared" si="71"/>
        <v>0</v>
      </c>
      <c r="AH328" s="5">
        <f>IF(CreditAmort3BASE[[#This Row],[Month]]=AJ$8,AF$7,0)</f>
        <v>0</v>
      </c>
      <c r="AI328" s="13">
        <f t="shared" si="72"/>
        <v>0</v>
      </c>
      <c r="AJ328" s="6" t="str">
        <f t="shared" si="73"/>
        <v xml:space="preserve"> </v>
      </c>
      <c r="AK328" s="21" t="str">
        <f t="shared" si="74"/>
        <v xml:space="preserve"> </v>
      </c>
      <c r="AM328" s="20">
        <f t="shared" si="75"/>
        <v>317</v>
      </c>
      <c r="AN328" s="5">
        <f t="shared" si="76"/>
        <v>0</v>
      </c>
      <c r="AO328" s="5">
        <f t="shared" si="77"/>
        <v>0</v>
      </c>
      <c r="AP328" s="5">
        <f t="shared" si="78"/>
        <v>0</v>
      </c>
      <c r="AQ328" s="5">
        <f>IF(CreditAmort4BASE[[#This Row],[Month]]=AS$8,AO$7,0)</f>
        <v>0</v>
      </c>
      <c r="AR328" s="13">
        <f t="shared" si="79"/>
        <v>0</v>
      </c>
      <c r="AS328" s="6" t="str">
        <f t="shared" si="80"/>
        <v xml:space="preserve"> </v>
      </c>
      <c r="AT328" s="21" t="str">
        <f t="shared" si="81"/>
        <v xml:space="preserve"> </v>
      </c>
    </row>
    <row r="329" spans="3:46">
      <c r="C329" s="22">
        <f t="shared" si="82"/>
        <v>318</v>
      </c>
      <c r="D329" s="23">
        <f>IF(AND(C329&gt;='Amort. Sched.-BASE'!$I$8, C329&lt;= ($I$7+$I$8)), PMT('Amort. Sched.-BASE'!$E$8/12, 'Amort. Sched.-BASE'!$I$7, 'Amort. Sched.-BASE'!$E$7), 0)</f>
        <v>0</v>
      </c>
      <c r="E329" s="5">
        <f>IF(AND(C329&gt;='Amort. Sched.-BASE'!$I$8, C329&lt;= ($I$7+$I$8)), (IPMT($E$8/12, (C329-$I$8), $I$7, $E$7)), 0)</f>
        <v>0</v>
      </c>
      <c r="F329" s="23">
        <f>IF(AND(C329&gt;='Amort. Sched.-BASE'!$I$8, C329&lt;= ($I$7+$I$8)), (PPMT($E$8/12, (C329-$I$8), $I$7, $E$7)), 0)</f>
        <v>0</v>
      </c>
      <c r="G329" s="5">
        <f>IF(MortgageAmortBASE[[#This Row],[Month]]=I$8,E$7,0)</f>
        <v>0</v>
      </c>
      <c r="H329" s="13">
        <f>IF(AND(C329&gt;='Amort. Sched.-BASE'!$I$8, C329&lt;= ($I$7+$I$8)), H328+F329, 0)</f>
        <v>0</v>
      </c>
      <c r="I329" s="24" t="str">
        <f>IF(AND(C329&gt;='Amort. Sched.-BASE'!$I$8, C329&lt;= ($I$7+$I$8)), E329/D329, " ")</f>
        <v xml:space="preserve"> </v>
      </c>
      <c r="J329" s="25" t="str">
        <f>IF(AND(C329&gt;='Amort. Sched.-BASE'!$I$8, C329&lt;= ($I$7+$I$8)), F329/D329, " ")</f>
        <v xml:space="preserve"> </v>
      </c>
      <c r="L329" s="20">
        <f t="shared" si="66"/>
        <v>318</v>
      </c>
      <c r="M329" s="5">
        <f>IF(AND(L329&gt;='Amort. Sched.-BASE'!$R$8, L329&lt;= ($R$7+$R$8)), PMT('Amort. Sched.-BASE'!$N$8/12, 'Amort. Sched.-BASE'!$R$7, 'Amort. Sched.-BASE'!$N$7), 0)</f>
        <v>0</v>
      </c>
      <c r="N329" s="5">
        <f>IF(AND(L329&gt;='Amort. Sched.-BASE'!$R$8, L329&lt;= ($R$7+$R$8)), (IPMT($N$8/12, (L329-$R$8), $R$7, $N$7)), 0)</f>
        <v>0</v>
      </c>
      <c r="O329" s="5">
        <f>IF(AND(L329&gt;='Amort. Sched.-BASE'!$R$8, L329&lt;= ($R$7+$R$8)), (PPMT($N$8/12, (L329-$R$8), $R$7, $N$7)), 0)</f>
        <v>0</v>
      </c>
      <c r="P329" s="5">
        <f>IF(CreditAmort1BASE[[#This Row],[Month]]=R$8,N$7,0)</f>
        <v>0</v>
      </c>
      <c r="Q329" s="13">
        <f>IF(AND(L329&gt;='Amort. Sched.-BASE'!$R$8, L329&lt;= ($R$7+$R$8)), Q328+O329, 0)</f>
        <v>0</v>
      </c>
      <c r="R329" s="6" t="str">
        <f>IF(AND(L329&gt;='Amort. Sched.-BASE'!$R$8, L329&lt;= ($R$7+$R$8)), N329/M329, " ")</f>
        <v xml:space="preserve"> </v>
      </c>
      <c r="S329" s="21" t="str">
        <f>IF(AND(L329&gt;='Amort. Sched.-BASE'!$R$8, L329&lt;= ($R$7+$R$8)), O329/M329, " ")</f>
        <v xml:space="preserve"> </v>
      </c>
      <c r="U329" s="22">
        <f t="shared" si="67"/>
        <v>318</v>
      </c>
      <c r="V329" s="23">
        <f>IF(AND(U329&gt;='Amort. Sched.-BASE'!$AA$8, U329&lt;= ($AA$7+$AA$8)), PMT('Amort. Sched.-BASE'!$W$8/12, 'Amort. Sched.-BASE'!$AA$7, 'Amort. Sched.-BASE'!$W$7), 0)</f>
        <v>0</v>
      </c>
      <c r="W329" s="5">
        <f>IF(AND(U329&gt;='Amort. Sched.-BASE'!$AA$8, U329&lt;= ($AA$7+$AA$8)), (IPMT($W$8/12, (U329-$AA$8), $AA$7, $W$7)), 0)</f>
        <v>0</v>
      </c>
      <c r="X329" s="23">
        <f>IF(AND(U329&gt;='Amort. Sched.-BASE'!$AA$8, U329&lt;= ($AA$7+$AA$8)), (PPMT($W$8/12, (U329-$AA$8), $AA$7, $W$7)), 0)</f>
        <v>0</v>
      </c>
      <c r="Y329" s="5">
        <f>IF(CreditAmort2BASE[[#This Row],[Month]]=AA$8,W$7,0)</f>
        <v>0</v>
      </c>
      <c r="Z329" s="13">
        <f>IF(AND(U329&gt;='Amort. Sched.-BASE'!$AA$8, U329&lt;= ($AA$7+$AA$8)), Z328+X329, 0)</f>
        <v>0</v>
      </c>
      <c r="AA329" s="24" t="str">
        <f>IF(AND(U329&gt;='Amort. Sched.-BASE'!$AA$8, U329&lt;= ($AA$7+$AA$8)), W329/V329, " ")</f>
        <v xml:space="preserve"> </v>
      </c>
      <c r="AB329" s="25" t="str">
        <f>IF(AND(U329&gt;='Amort. Sched.-BASE'!$AA$8, U329&lt;= ($AA$7+$AA$8)), X329/V329, " ")</f>
        <v xml:space="preserve"> </v>
      </c>
      <c r="AD329" s="20">
        <f t="shared" si="68"/>
        <v>318</v>
      </c>
      <c r="AE329" s="5">
        <f t="shared" si="69"/>
        <v>0</v>
      </c>
      <c r="AF329" s="5">
        <f t="shared" si="70"/>
        <v>0</v>
      </c>
      <c r="AG329" s="5">
        <f t="shared" si="71"/>
        <v>0</v>
      </c>
      <c r="AH329" s="5">
        <f>IF(CreditAmort3BASE[[#This Row],[Month]]=AJ$8,AF$7,0)</f>
        <v>0</v>
      </c>
      <c r="AI329" s="13">
        <f t="shared" si="72"/>
        <v>0</v>
      </c>
      <c r="AJ329" s="6" t="str">
        <f t="shared" si="73"/>
        <v xml:space="preserve"> </v>
      </c>
      <c r="AK329" s="21" t="str">
        <f t="shared" si="74"/>
        <v xml:space="preserve"> </v>
      </c>
      <c r="AM329" s="20">
        <f t="shared" si="75"/>
        <v>318</v>
      </c>
      <c r="AN329" s="5">
        <f t="shared" si="76"/>
        <v>0</v>
      </c>
      <c r="AO329" s="5">
        <f t="shared" si="77"/>
        <v>0</v>
      </c>
      <c r="AP329" s="5">
        <f t="shared" si="78"/>
        <v>0</v>
      </c>
      <c r="AQ329" s="5">
        <f>IF(CreditAmort4BASE[[#This Row],[Month]]=AS$8,AO$7,0)</f>
        <v>0</v>
      </c>
      <c r="AR329" s="13">
        <f t="shared" si="79"/>
        <v>0</v>
      </c>
      <c r="AS329" s="6" t="str">
        <f t="shared" si="80"/>
        <v xml:space="preserve"> </v>
      </c>
      <c r="AT329" s="21" t="str">
        <f t="shared" si="81"/>
        <v xml:space="preserve"> </v>
      </c>
    </row>
    <row r="330" spans="3:46">
      <c r="C330" s="22">
        <f t="shared" si="82"/>
        <v>319</v>
      </c>
      <c r="D330" s="23">
        <f>IF(AND(C330&gt;='Amort. Sched.-BASE'!$I$8, C330&lt;= ($I$7+$I$8)), PMT('Amort. Sched.-BASE'!$E$8/12, 'Amort. Sched.-BASE'!$I$7, 'Amort. Sched.-BASE'!$E$7), 0)</f>
        <v>0</v>
      </c>
      <c r="E330" s="5">
        <f>IF(AND(C330&gt;='Amort. Sched.-BASE'!$I$8, C330&lt;= ($I$7+$I$8)), (IPMT($E$8/12, (C330-$I$8), $I$7, $E$7)), 0)</f>
        <v>0</v>
      </c>
      <c r="F330" s="23">
        <f>IF(AND(C330&gt;='Amort. Sched.-BASE'!$I$8, C330&lt;= ($I$7+$I$8)), (PPMT($E$8/12, (C330-$I$8), $I$7, $E$7)), 0)</f>
        <v>0</v>
      </c>
      <c r="G330" s="5">
        <f>IF(MortgageAmortBASE[[#This Row],[Month]]=I$8,E$7,0)</f>
        <v>0</v>
      </c>
      <c r="H330" s="13">
        <f>IF(AND(C330&gt;='Amort. Sched.-BASE'!$I$8, C330&lt;= ($I$7+$I$8)), H329+F330, 0)</f>
        <v>0</v>
      </c>
      <c r="I330" s="24" t="str">
        <f>IF(AND(C330&gt;='Amort. Sched.-BASE'!$I$8, C330&lt;= ($I$7+$I$8)), E330/D330, " ")</f>
        <v xml:space="preserve"> </v>
      </c>
      <c r="J330" s="25" t="str">
        <f>IF(AND(C330&gt;='Amort. Sched.-BASE'!$I$8, C330&lt;= ($I$7+$I$8)), F330/D330, " ")</f>
        <v xml:space="preserve"> </v>
      </c>
      <c r="L330" s="20">
        <f t="shared" si="66"/>
        <v>319</v>
      </c>
      <c r="M330" s="5">
        <f>IF(AND(L330&gt;='Amort. Sched.-BASE'!$R$8, L330&lt;= ($R$7+$R$8)), PMT('Amort. Sched.-BASE'!$N$8/12, 'Amort. Sched.-BASE'!$R$7, 'Amort. Sched.-BASE'!$N$7), 0)</f>
        <v>0</v>
      </c>
      <c r="N330" s="5">
        <f>IF(AND(L330&gt;='Amort. Sched.-BASE'!$R$8, L330&lt;= ($R$7+$R$8)), (IPMT($N$8/12, (L330-$R$8), $R$7, $N$7)), 0)</f>
        <v>0</v>
      </c>
      <c r="O330" s="5">
        <f>IF(AND(L330&gt;='Amort. Sched.-BASE'!$R$8, L330&lt;= ($R$7+$R$8)), (PPMT($N$8/12, (L330-$R$8), $R$7, $N$7)), 0)</f>
        <v>0</v>
      </c>
      <c r="P330" s="5">
        <f>IF(CreditAmort1BASE[[#This Row],[Month]]=R$8,N$7,0)</f>
        <v>0</v>
      </c>
      <c r="Q330" s="13">
        <f>IF(AND(L330&gt;='Amort. Sched.-BASE'!$R$8, L330&lt;= ($R$7+$R$8)), Q329+O330, 0)</f>
        <v>0</v>
      </c>
      <c r="R330" s="6" t="str">
        <f>IF(AND(L330&gt;='Amort. Sched.-BASE'!$R$8, L330&lt;= ($R$7+$R$8)), N330/M330, " ")</f>
        <v xml:space="preserve"> </v>
      </c>
      <c r="S330" s="21" t="str">
        <f>IF(AND(L330&gt;='Amort. Sched.-BASE'!$R$8, L330&lt;= ($R$7+$R$8)), O330/M330, " ")</f>
        <v xml:space="preserve"> </v>
      </c>
      <c r="U330" s="22">
        <f t="shared" si="67"/>
        <v>319</v>
      </c>
      <c r="V330" s="23">
        <f>IF(AND(U330&gt;='Amort. Sched.-BASE'!$AA$8, U330&lt;= ($AA$7+$AA$8)), PMT('Amort. Sched.-BASE'!$W$8/12, 'Amort. Sched.-BASE'!$AA$7, 'Amort. Sched.-BASE'!$W$7), 0)</f>
        <v>0</v>
      </c>
      <c r="W330" s="5">
        <f>IF(AND(U330&gt;='Amort. Sched.-BASE'!$AA$8, U330&lt;= ($AA$7+$AA$8)), (IPMT($W$8/12, (U330-$AA$8), $AA$7, $W$7)), 0)</f>
        <v>0</v>
      </c>
      <c r="X330" s="23">
        <f>IF(AND(U330&gt;='Amort. Sched.-BASE'!$AA$8, U330&lt;= ($AA$7+$AA$8)), (PPMT($W$8/12, (U330-$AA$8), $AA$7, $W$7)), 0)</f>
        <v>0</v>
      </c>
      <c r="Y330" s="5">
        <f>IF(CreditAmort2BASE[[#This Row],[Month]]=AA$8,W$7,0)</f>
        <v>0</v>
      </c>
      <c r="Z330" s="13">
        <f>IF(AND(U330&gt;='Amort. Sched.-BASE'!$AA$8, U330&lt;= ($AA$7+$AA$8)), Z329+X330, 0)</f>
        <v>0</v>
      </c>
      <c r="AA330" s="24" t="str">
        <f>IF(AND(U330&gt;='Amort. Sched.-BASE'!$AA$8, U330&lt;= ($AA$7+$AA$8)), W330/V330, " ")</f>
        <v xml:space="preserve"> </v>
      </c>
      <c r="AB330" s="25" t="str">
        <f>IF(AND(U330&gt;='Amort. Sched.-BASE'!$AA$8, U330&lt;= ($AA$7+$AA$8)), X330/V330, " ")</f>
        <v xml:space="preserve"> </v>
      </c>
      <c r="AD330" s="20">
        <f t="shared" si="68"/>
        <v>319</v>
      </c>
      <c r="AE330" s="5">
        <f t="shared" si="69"/>
        <v>0</v>
      </c>
      <c r="AF330" s="5">
        <f t="shared" si="70"/>
        <v>0</v>
      </c>
      <c r="AG330" s="5">
        <f t="shared" si="71"/>
        <v>0</v>
      </c>
      <c r="AH330" s="5">
        <f>IF(CreditAmort3BASE[[#This Row],[Month]]=AJ$8,AF$7,0)</f>
        <v>0</v>
      </c>
      <c r="AI330" s="13">
        <f t="shared" si="72"/>
        <v>0</v>
      </c>
      <c r="AJ330" s="6" t="str">
        <f t="shared" si="73"/>
        <v xml:space="preserve"> </v>
      </c>
      <c r="AK330" s="21" t="str">
        <f t="shared" si="74"/>
        <v xml:space="preserve"> </v>
      </c>
      <c r="AM330" s="20">
        <f t="shared" si="75"/>
        <v>319</v>
      </c>
      <c r="AN330" s="5">
        <f t="shared" si="76"/>
        <v>0</v>
      </c>
      <c r="AO330" s="5">
        <f t="shared" si="77"/>
        <v>0</v>
      </c>
      <c r="AP330" s="5">
        <f t="shared" si="78"/>
        <v>0</v>
      </c>
      <c r="AQ330" s="5">
        <f>IF(CreditAmort4BASE[[#This Row],[Month]]=AS$8,AO$7,0)</f>
        <v>0</v>
      </c>
      <c r="AR330" s="13">
        <f t="shared" si="79"/>
        <v>0</v>
      </c>
      <c r="AS330" s="6" t="str">
        <f t="shared" si="80"/>
        <v xml:space="preserve"> </v>
      </c>
      <c r="AT330" s="21" t="str">
        <f t="shared" si="81"/>
        <v xml:space="preserve"> </v>
      </c>
    </row>
    <row r="331" spans="3:46">
      <c r="C331" s="22">
        <f t="shared" si="82"/>
        <v>320</v>
      </c>
      <c r="D331" s="23">
        <f>IF(AND(C331&gt;='Amort. Sched.-BASE'!$I$8, C331&lt;= ($I$7+$I$8)), PMT('Amort. Sched.-BASE'!$E$8/12, 'Amort. Sched.-BASE'!$I$7, 'Amort. Sched.-BASE'!$E$7), 0)</f>
        <v>0</v>
      </c>
      <c r="E331" s="5">
        <f>IF(AND(C331&gt;='Amort. Sched.-BASE'!$I$8, C331&lt;= ($I$7+$I$8)), (IPMT($E$8/12, (C331-$I$8), $I$7, $E$7)), 0)</f>
        <v>0</v>
      </c>
      <c r="F331" s="23">
        <f>IF(AND(C331&gt;='Amort. Sched.-BASE'!$I$8, C331&lt;= ($I$7+$I$8)), (PPMT($E$8/12, (C331-$I$8), $I$7, $E$7)), 0)</f>
        <v>0</v>
      </c>
      <c r="G331" s="5">
        <f>IF(MortgageAmortBASE[[#This Row],[Month]]=I$8,E$7,0)</f>
        <v>0</v>
      </c>
      <c r="H331" s="13">
        <f>IF(AND(C331&gt;='Amort. Sched.-BASE'!$I$8, C331&lt;= ($I$7+$I$8)), H330+F331, 0)</f>
        <v>0</v>
      </c>
      <c r="I331" s="24" t="str">
        <f>IF(AND(C331&gt;='Amort. Sched.-BASE'!$I$8, C331&lt;= ($I$7+$I$8)), E331/D331, " ")</f>
        <v xml:space="preserve"> </v>
      </c>
      <c r="J331" s="25" t="str">
        <f>IF(AND(C331&gt;='Amort. Sched.-BASE'!$I$8, C331&lt;= ($I$7+$I$8)), F331/D331, " ")</f>
        <v xml:space="preserve"> </v>
      </c>
      <c r="L331" s="20">
        <f t="shared" si="66"/>
        <v>320</v>
      </c>
      <c r="M331" s="5">
        <f>IF(AND(L331&gt;='Amort. Sched.-BASE'!$R$8, L331&lt;= ($R$7+$R$8)), PMT('Amort. Sched.-BASE'!$N$8/12, 'Amort. Sched.-BASE'!$R$7, 'Amort. Sched.-BASE'!$N$7), 0)</f>
        <v>0</v>
      </c>
      <c r="N331" s="5">
        <f>IF(AND(L331&gt;='Amort. Sched.-BASE'!$R$8, L331&lt;= ($R$7+$R$8)), (IPMT($N$8/12, (L331-$R$8), $R$7, $N$7)), 0)</f>
        <v>0</v>
      </c>
      <c r="O331" s="5">
        <f>IF(AND(L331&gt;='Amort. Sched.-BASE'!$R$8, L331&lt;= ($R$7+$R$8)), (PPMT($N$8/12, (L331-$R$8), $R$7, $N$7)), 0)</f>
        <v>0</v>
      </c>
      <c r="P331" s="5">
        <f>IF(CreditAmort1BASE[[#This Row],[Month]]=R$8,N$7,0)</f>
        <v>0</v>
      </c>
      <c r="Q331" s="13">
        <f>IF(AND(L331&gt;='Amort. Sched.-BASE'!$R$8, L331&lt;= ($R$7+$R$8)), Q330+O331, 0)</f>
        <v>0</v>
      </c>
      <c r="R331" s="6" t="str">
        <f>IF(AND(L331&gt;='Amort. Sched.-BASE'!$R$8, L331&lt;= ($R$7+$R$8)), N331/M331, " ")</f>
        <v xml:space="preserve"> </v>
      </c>
      <c r="S331" s="21" t="str">
        <f>IF(AND(L331&gt;='Amort. Sched.-BASE'!$R$8, L331&lt;= ($R$7+$R$8)), O331/M331, " ")</f>
        <v xml:space="preserve"> </v>
      </c>
      <c r="U331" s="22">
        <f t="shared" si="67"/>
        <v>320</v>
      </c>
      <c r="V331" s="23">
        <f>IF(AND(U331&gt;='Amort. Sched.-BASE'!$AA$8, U331&lt;= ($AA$7+$AA$8)), PMT('Amort. Sched.-BASE'!$W$8/12, 'Amort. Sched.-BASE'!$AA$7, 'Amort. Sched.-BASE'!$W$7), 0)</f>
        <v>0</v>
      </c>
      <c r="W331" s="5">
        <f>IF(AND(U331&gt;='Amort. Sched.-BASE'!$AA$8, U331&lt;= ($AA$7+$AA$8)), (IPMT($W$8/12, (U331-$AA$8), $AA$7, $W$7)), 0)</f>
        <v>0</v>
      </c>
      <c r="X331" s="23">
        <f>IF(AND(U331&gt;='Amort. Sched.-BASE'!$AA$8, U331&lt;= ($AA$7+$AA$8)), (PPMT($W$8/12, (U331-$AA$8), $AA$7, $W$7)), 0)</f>
        <v>0</v>
      </c>
      <c r="Y331" s="5">
        <f>IF(CreditAmort2BASE[[#This Row],[Month]]=AA$8,W$7,0)</f>
        <v>0</v>
      </c>
      <c r="Z331" s="13">
        <f>IF(AND(U331&gt;='Amort. Sched.-BASE'!$AA$8, U331&lt;= ($AA$7+$AA$8)), Z330+X331, 0)</f>
        <v>0</v>
      </c>
      <c r="AA331" s="24" t="str">
        <f>IF(AND(U331&gt;='Amort. Sched.-BASE'!$AA$8, U331&lt;= ($AA$7+$AA$8)), W331/V331, " ")</f>
        <v xml:space="preserve"> </v>
      </c>
      <c r="AB331" s="25" t="str">
        <f>IF(AND(U331&gt;='Amort. Sched.-BASE'!$AA$8, U331&lt;= ($AA$7+$AA$8)), X331/V331, " ")</f>
        <v xml:space="preserve"> </v>
      </c>
      <c r="AD331" s="20">
        <f t="shared" si="68"/>
        <v>320</v>
      </c>
      <c r="AE331" s="5">
        <f t="shared" si="69"/>
        <v>0</v>
      </c>
      <c r="AF331" s="5">
        <f t="shared" si="70"/>
        <v>0</v>
      </c>
      <c r="AG331" s="5">
        <f t="shared" si="71"/>
        <v>0</v>
      </c>
      <c r="AH331" s="5">
        <f>IF(CreditAmort3BASE[[#This Row],[Month]]=AJ$8,AF$7,0)</f>
        <v>0</v>
      </c>
      <c r="AI331" s="13">
        <f t="shared" si="72"/>
        <v>0</v>
      </c>
      <c r="AJ331" s="6" t="str">
        <f t="shared" si="73"/>
        <v xml:space="preserve"> </v>
      </c>
      <c r="AK331" s="21" t="str">
        <f t="shared" si="74"/>
        <v xml:space="preserve"> </v>
      </c>
      <c r="AM331" s="20">
        <f t="shared" si="75"/>
        <v>320</v>
      </c>
      <c r="AN331" s="5">
        <f t="shared" si="76"/>
        <v>0</v>
      </c>
      <c r="AO331" s="5">
        <f t="shared" si="77"/>
        <v>0</v>
      </c>
      <c r="AP331" s="5">
        <f t="shared" si="78"/>
        <v>0</v>
      </c>
      <c r="AQ331" s="5">
        <f>IF(CreditAmort4BASE[[#This Row],[Month]]=AS$8,AO$7,0)</f>
        <v>0</v>
      </c>
      <c r="AR331" s="13">
        <f t="shared" si="79"/>
        <v>0</v>
      </c>
      <c r="AS331" s="6" t="str">
        <f t="shared" si="80"/>
        <v xml:space="preserve"> </v>
      </c>
      <c r="AT331" s="21" t="str">
        <f t="shared" si="81"/>
        <v xml:space="preserve"> </v>
      </c>
    </row>
    <row r="332" spans="3:46">
      <c r="C332" s="22">
        <f t="shared" si="82"/>
        <v>321</v>
      </c>
      <c r="D332" s="23">
        <f>IF(AND(C332&gt;='Amort. Sched.-BASE'!$I$8, C332&lt;= ($I$7+$I$8)), PMT('Amort. Sched.-BASE'!$E$8/12, 'Amort. Sched.-BASE'!$I$7, 'Amort. Sched.-BASE'!$E$7), 0)</f>
        <v>0</v>
      </c>
      <c r="E332" s="5">
        <f>IF(AND(C332&gt;='Amort. Sched.-BASE'!$I$8, C332&lt;= ($I$7+$I$8)), (IPMT($E$8/12, (C332-$I$8), $I$7, $E$7)), 0)</f>
        <v>0</v>
      </c>
      <c r="F332" s="23">
        <f>IF(AND(C332&gt;='Amort. Sched.-BASE'!$I$8, C332&lt;= ($I$7+$I$8)), (PPMT($E$8/12, (C332-$I$8), $I$7, $E$7)), 0)</f>
        <v>0</v>
      </c>
      <c r="G332" s="5">
        <f>IF(MortgageAmortBASE[[#This Row],[Month]]=I$8,E$7,0)</f>
        <v>0</v>
      </c>
      <c r="H332" s="13">
        <f>IF(AND(C332&gt;='Amort. Sched.-BASE'!$I$8, C332&lt;= ($I$7+$I$8)), H331+F332, 0)</f>
        <v>0</v>
      </c>
      <c r="I332" s="24" t="str">
        <f>IF(AND(C332&gt;='Amort. Sched.-BASE'!$I$8, C332&lt;= ($I$7+$I$8)), E332/D332, " ")</f>
        <v xml:space="preserve"> </v>
      </c>
      <c r="J332" s="25" t="str">
        <f>IF(AND(C332&gt;='Amort. Sched.-BASE'!$I$8, C332&lt;= ($I$7+$I$8)), F332/D332, " ")</f>
        <v xml:space="preserve"> </v>
      </c>
      <c r="L332" s="20">
        <f t="shared" si="66"/>
        <v>321</v>
      </c>
      <c r="M332" s="5">
        <f>IF(AND(L332&gt;='Amort. Sched.-BASE'!$R$8, L332&lt;= ($R$7+$R$8)), PMT('Amort. Sched.-BASE'!$N$8/12, 'Amort. Sched.-BASE'!$R$7, 'Amort. Sched.-BASE'!$N$7), 0)</f>
        <v>0</v>
      </c>
      <c r="N332" s="5">
        <f>IF(AND(L332&gt;='Amort. Sched.-BASE'!$R$8, L332&lt;= ($R$7+$R$8)), (IPMT($N$8/12, (L332-$R$8), $R$7, $N$7)), 0)</f>
        <v>0</v>
      </c>
      <c r="O332" s="5">
        <f>IF(AND(L332&gt;='Amort. Sched.-BASE'!$R$8, L332&lt;= ($R$7+$R$8)), (PPMT($N$8/12, (L332-$R$8), $R$7, $N$7)), 0)</f>
        <v>0</v>
      </c>
      <c r="P332" s="5">
        <f>IF(CreditAmort1BASE[[#This Row],[Month]]=R$8,N$7,0)</f>
        <v>0</v>
      </c>
      <c r="Q332" s="13">
        <f>IF(AND(L332&gt;='Amort. Sched.-BASE'!$R$8, L332&lt;= ($R$7+$R$8)), Q331+O332, 0)</f>
        <v>0</v>
      </c>
      <c r="R332" s="6" t="str">
        <f>IF(AND(L332&gt;='Amort. Sched.-BASE'!$R$8, L332&lt;= ($R$7+$R$8)), N332/M332, " ")</f>
        <v xml:space="preserve"> </v>
      </c>
      <c r="S332" s="21" t="str">
        <f>IF(AND(L332&gt;='Amort. Sched.-BASE'!$R$8, L332&lt;= ($R$7+$R$8)), O332/M332, " ")</f>
        <v xml:space="preserve"> </v>
      </c>
      <c r="U332" s="22">
        <f t="shared" si="67"/>
        <v>321</v>
      </c>
      <c r="V332" s="23">
        <f>IF(AND(U332&gt;='Amort. Sched.-BASE'!$AA$8, U332&lt;= ($AA$7+$AA$8)), PMT('Amort. Sched.-BASE'!$W$8/12, 'Amort. Sched.-BASE'!$AA$7, 'Amort. Sched.-BASE'!$W$7), 0)</f>
        <v>0</v>
      </c>
      <c r="W332" s="5">
        <f>IF(AND(U332&gt;='Amort. Sched.-BASE'!$AA$8, U332&lt;= ($AA$7+$AA$8)), (IPMT($W$8/12, (U332-$AA$8), $AA$7, $W$7)), 0)</f>
        <v>0</v>
      </c>
      <c r="X332" s="23">
        <f>IF(AND(U332&gt;='Amort. Sched.-BASE'!$AA$8, U332&lt;= ($AA$7+$AA$8)), (PPMT($W$8/12, (U332-$AA$8), $AA$7, $W$7)), 0)</f>
        <v>0</v>
      </c>
      <c r="Y332" s="5">
        <f>IF(CreditAmort2BASE[[#This Row],[Month]]=AA$8,W$7,0)</f>
        <v>0</v>
      </c>
      <c r="Z332" s="13">
        <f>IF(AND(U332&gt;='Amort. Sched.-BASE'!$AA$8, U332&lt;= ($AA$7+$AA$8)), Z331+X332, 0)</f>
        <v>0</v>
      </c>
      <c r="AA332" s="24" t="str">
        <f>IF(AND(U332&gt;='Amort. Sched.-BASE'!$AA$8, U332&lt;= ($AA$7+$AA$8)), W332/V332, " ")</f>
        <v xml:space="preserve"> </v>
      </c>
      <c r="AB332" s="25" t="str">
        <f>IF(AND(U332&gt;='Amort. Sched.-BASE'!$AA$8, U332&lt;= ($AA$7+$AA$8)), X332/V332, " ")</f>
        <v xml:space="preserve"> </v>
      </c>
      <c r="AD332" s="20">
        <f t="shared" si="68"/>
        <v>321</v>
      </c>
      <c r="AE332" s="5">
        <f t="shared" si="69"/>
        <v>0</v>
      </c>
      <c r="AF332" s="5">
        <f t="shared" si="70"/>
        <v>0</v>
      </c>
      <c r="AG332" s="5">
        <f t="shared" si="71"/>
        <v>0</v>
      </c>
      <c r="AH332" s="5">
        <f>IF(CreditAmort3BASE[[#This Row],[Month]]=AJ$8,AF$7,0)</f>
        <v>0</v>
      </c>
      <c r="AI332" s="13">
        <f t="shared" si="72"/>
        <v>0</v>
      </c>
      <c r="AJ332" s="6" t="str">
        <f t="shared" si="73"/>
        <v xml:space="preserve"> </v>
      </c>
      <c r="AK332" s="21" t="str">
        <f t="shared" si="74"/>
        <v xml:space="preserve"> </v>
      </c>
      <c r="AM332" s="20">
        <f t="shared" si="75"/>
        <v>321</v>
      </c>
      <c r="AN332" s="5">
        <f t="shared" si="76"/>
        <v>0</v>
      </c>
      <c r="AO332" s="5">
        <f t="shared" si="77"/>
        <v>0</v>
      </c>
      <c r="AP332" s="5">
        <f t="shared" si="78"/>
        <v>0</v>
      </c>
      <c r="AQ332" s="5">
        <f>IF(CreditAmort4BASE[[#This Row],[Month]]=AS$8,AO$7,0)</f>
        <v>0</v>
      </c>
      <c r="AR332" s="13">
        <f t="shared" si="79"/>
        <v>0</v>
      </c>
      <c r="AS332" s="6" t="str">
        <f t="shared" si="80"/>
        <v xml:space="preserve"> </v>
      </c>
      <c r="AT332" s="21" t="str">
        <f t="shared" si="81"/>
        <v xml:space="preserve"> </v>
      </c>
    </row>
    <row r="333" spans="3:46">
      <c r="C333" s="22">
        <f t="shared" si="82"/>
        <v>322</v>
      </c>
      <c r="D333" s="23">
        <f>IF(AND(C333&gt;='Amort. Sched.-BASE'!$I$8, C333&lt;= ($I$7+$I$8)), PMT('Amort. Sched.-BASE'!$E$8/12, 'Amort. Sched.-BASE'!$I$7, 'Amort. Sched.-BASE'!$E$7), 0)</f>
        <v>0</v>
      </c>
      <c r="E333" s="5">
        <f>IF(AND(C333&gt;='Amort. Sched.-BASE'!$I$8, C333&lt;= ($I$7+$I$8)), (IPMT($E$8/12, (C333-$I$8), $I$7, $E$7)), 0)</f>
        <v>0</v>
      </c>
      <c r="F333" s="23">
        <f>IF(AND(C333&gt;='Amort. Sched.-BASE'!$I$8, C333&lt;= ($I$7+$I$8)), (PPMT($E$8/12, (C333-$I$8), $I$7, $E$7)), 0)</f>
        <v>0</v>
      </c>
      <c r="G333" s="5">
        <f>IF(MortgageAmortBASE[[#This Row],[Month]]=I$8,E$7,0)</f>
        <v>0</v>
      </c>
      <c r="H333" s="13">
        <f>IF(AND(C333&gt;='Amort. Sched.-BASE'!$I$8, C333&lt;= ($I$7+$I$8)), H332+F333, 0)</f>
        <v>0</v>
      </c>
      <c r="I333" s="24" t="str">
        <f>IF(AND(C333&gt;='Amort. Sched.-BASE'!$I$8, C333&lt;= ($I$7+$I$8)), E333/D333, " ")</f>
        <v xml:space="preserve"> </v>
      </c>
      <c r="J333" s="25" t="str">
        <f>IF(AND(C333&gt;='Amort. Sched.-BASE'!$I$8, C333&lt;= ($I$7+$I$8)), F333/D333, " ")</f>
        <v xml:space="preserve"> </v>
      </c>
      <c r="L333" s="20">
        <f t="shared" ref="L333:L371" si="83">L332+1</f>
        <v>322</v>
      </c>
      <c r="M333" s="5">
        <f>IF(AND(L333&gt;='Amort. Sched.-BASE'!$R$8, L333&lt;= ($R$7+$R$8)), PMT('Amort. Sched.-BASE'!$N$8/12, 'Amort. Sched.-BASE'!$R$7, 'Amort. Sched.-BASE'!$N$7), 0)</f>
        <v>0</v>
      </c>
      <c r="N333" s="5">
        <f>IF(AND(L333&gt;='Amort. Sched.-BASE'!$R$8, L333&lt;= ($R$7+$R$8)), (IPMT($N$8/12, (L333-$R$8), $R$7, $N$7)), 0)</f>
        <v>0</v>
      </c>
      <c r="O333" s="5">
        <f>IF(AND(L333&gt;='Amort. Sched.-BASE'!$R$8, L333&lt;= ($R$7+$R$8)), (PPMT($N$8/12, (L333-$R$8), $R$7, $N$7)), 0)</f>
        <v>0</v>
      </c>
      <c r="P333" s="5">
        <f>IF(CreditAmort1BASE[[#This Row],[Month]]=R$8,N$7,0)</f>
        <v>0</v>
      </c>
      <c r="Q333" s="13">
        <f>IF(AND(L333&gt;='Amort. Sched.-BASE'!$R$8, L333&lt;= ($R$7+$R$8)), Q332+O333, 0)</f>
        <v>0</v>
      </c>
      <c r="R333" s="6" t="str">
        <f>IF(AND(L333&gt;='Amort. Sched.-BASE'!$R$8, L333&lt;= ($R$7+$R$8)), N333/M333, " ")</f>
        <v xml:space="preserve"> </v>
      </c>
      <c r="S333" s="21" t="str">
        <f>IF(AND(L333&gt;='Amort. Sched.-BASE'!$R$8, L333&lt;= ($R$7+$R$8)), O333/M333, " ")</f>
        <v xml:space="preserve"> </v>
      </c>
      <c r="U333" s="22">
        <f t="shared" ref="U333:U371" si="84">U332+1</f>
        <v>322</v>
      </c>
      <c r="V333" s="23">
        <f>IF(AND(U333&gt;='Amort. Sched.-BASE'!$AA$8, U333&lt;= ($AA$7+$AA$8)), PMT('Amort. Sched.-BASE'!$W$8/12, 'Amort. Sched.-BASE'!$AA$7, 'Amort. Sched.-BASE'!$W$7), 0)</f>
        <v>0</v>
      </c>
      <c r="W333" s="5">
        <f>IF(AND(U333&gt;='Amort. Sched.-BASE'!$AA$8, U333&lt;= ($AA$7+$AA$8)), (IPMT($W$8/12, (U333-$AA$8), $AA$7, $W$7)), 0)</f>
        <v>0</v>
      </c>
      <c r="X333" s="23">
        <f>IF(AND(U333&gt;='Amort. Sched.-BASE'!$AA$8, U333&lt;= ($AA$7+$AA$8)), (PPMT($W$8/12, (U333-$AA$8), $AA$7, $W$7)), 0)</f>
        <v>0</v>
      </c>
      <c r="Y333" s="5">
        <f>IF(CreditAmort2BASE[[#This Row],[Month]]=AA$8,W$7,0)</f>
        <v>0</v>
      </c>
      <c r="Z333" s="13">
        <f>IF(AND(U333&gt;='Amort. Sched.-BASE'!$AA$8, U333&lt;= ($AA$7+$AA$8)), Z332+X333, 0)</f>
        <v>0</v>
      </c>
      <c r="AA333" s="24" t="str">
        <f>IF(AND(U333&gt;='Amort. Sched.-BASE'!$AA$8, U333&lt;= ($AA$7+$AA$8)), W333/V333, " ")</f>
        <v xml:space="preserve"> </v>
      </c>
      <c r="AB333" s="25" t="str">
        <f>IF(AND(U333&gt;='Amort. Sched.-BASE'!$AA$8, U333&lt;= ($AA$7+$AA$8)), X333/V333, " ")</f>
        <v xml:space="preserve"> </v>
      </c>
      <c r="AD333" s="20">
        <f t="shared" ref="AD333:AD371" si="85">AD332+1</f>
        <v>322</v>
      </c>
      <c r="AE333" s="5">
        <f t="shared" ref="AE333:AE371" si="86">IF(AND(AD333&gt;=$AJ$8, AD333&lt;= ($AJ$7+$AJ$8)), PMT($AF$8/12, $AJ$7, $AF$7), 0)</f>
        <v>0</v>
      </c>
      <c r="AF333" s="5">
        <f t="shared" ref="AF333:AF371" si="87">IF(AND(AD333&gt;=$AJ$8, AD333&lt;= ($AJ$7+$AJ$8)), (IPMT($AF$8/12, (AD333-$AJ$8), $AJ$7, $AF$7)), 0)</f>
        <v>0</v>
      </c>
      <c r="AG333" s="5">
        <f t="shared" ref="AG333:AG371" si="88">IF(AND(AD333&gt;=$AJ$8, AD333&lt;= ($AJ$7+$AJ$8)), (PPMT($AF$8/12, (AD333-$AJ$8), $AJ$7, $AF$7)), 0)</f>
        <v>0</v>
      </c>
      <c r="AH333" s="5">
        <f>IF(CreditAmort3BASE[[#This Row],[Month]]=AJ$8,AF$7,0)</f>
        <v>0</v>
      </c>
      <c r="AI333" s="13">
        <f t="shared" ref="AI333:AI371" si="89">IF(AND(AD333&gt;=$AJ$8, AD333&lt;= ($AJ$7+$AJ$8)), AI332+AG333, 0)</f>
        <v>0</v>
      </c>
      <c r="AJ333" s="6" t="str">
        <f t="shared" ref="AJ333:AJ371" si="90">IF(AND(AD333&gt;=$AJ$8, AD333&lt;= ($AJ$7+$AJ$8)), AF333/AE333, " ")</f>
        <v xml:space="preserve"> </v>
      </c>
      <c r="AK333" s="21" t="str">
        <f t="shared" ref="AK333:AK371" si="91">IF(AND(AD333&gt;=$AJ$8, AD333&lt;= ($AJ$7+$AJ$8)), AG333/AE333, " ")</f>
        <v xml:space="preserve"> </v>
      </c>
      <c r="AM333" s="20">
        <f t="shared" ref="AM333:AM371" si="92">AM332+1</f>
        <v>322</v>
      </c>
      <c r="AN333" s="5">
        <f t="shared" ref="AN333:AN371" si="93">IF(AND(AM333&gt;=$AS$8, AM333&lt;= ($AS$7+$AS$8)), PMT($AO$8/12, $AS$7, $AO$7), 0)</f>
        <v>0</v>
      </c>
      <c r="AO333" s="5">
        <f t="shared" ref="AO333:AO371" si="94">IF(AND(AM333&gt;=$AS$8, AM333&lt;= ($AS$7+$AS$8)), (IPMT($AO$8/12, (AM333-$AS$8), $AS$7, $AO$7)), 0)</f>
        <v>0</v>
      </c>
      <c r="AP333" s="5">
        <f t="shared" ref="AP333:AP371" si="95">IF(AND(AM333&gt;=$AS$8, AM333&lt;= ($AS$7+$AS$8)), (PPMT($AO$8/12, (AM333-$AS$8), $AS$7, $AO$7)), 0)</f>
        <v>0</v>
      </c>
      <c r="AQ333" s="5">
        <f>IF(CreditAmort4BASE[[#This Row],[Month]]=AS$8,AO$7,0)</f>
        <v>0</v>
      </c>
      <c r="AR333" s="13">
        <f t="shared" ref="AR333:AR371" si="96">IF(AND(AM333&gt;=$AS$8, AM333&lt;= ($AS$7+$AS$8)), AR332+AP333, 0)</f>
        <v>0</v>
      </c>
      <c r="AS333" s="6" t="str">
        <f t="shared" ref="AS333:AS371" si="97">IF(AND(AM333&gt;=$AS$8, AM333&lt;= ($AS$7+$AS$8)), AO333/AN333, " ")</f>
        <v xml:space="preserve"> </v>
      </c>
      <c r="AT333" s="21" t="str">
        <f t="shared" ref="AT333:AT371" si="98">IF(AND(AM333&gt;=$AS$8, AM333&lt;= ($AS$7+$AS$8)), AP333/AN333, " ")</f>
        <v xml:space="preserve"> </v>
      </c>
    </row>
    <row r="334" spans="3:46">
      <c r="C334" s="22">
        <f t="shared" si="82"/>
        <v>323</v>
      </c>
      <c r="D334" s="23">
        <f>IF(AND(C334&gt;='Amort. Sched.-BASE'!$I$8, C334&lt;= ($I$7+$I$8)), PMT('Amort. Sched.-BASE'!$E$8/12, 'Amort. Sched.-BASE'!$I$7, 'Amort. Sched.-BASE'!$E$7), 0)</f>
        <v>0</v>
      </c>
      <c r="E334" s="5">
        <f>IF(AND(C334&gt;='Amort. Sched.-BASE'!$I$8, C334&lt;= ($I$7+$I$8)), (IPMT($E$8/12, (C334-$I$8), $I$7, $E$7)), 0)</f>
        <v>0</v>
      </c>
      <c r="F334" s="23">
        <f>IF(AND(C334&gt;='Amort. Sched.-BASE'!$I$8, C334&lt;= ($I$7+$I$8)), (PPMT($E$8/12, (C334-$I$8), $I$7, $E$7)), 0)</f>
        <v>0</v>
      </c>
      <c r="G334" s="5">
        <f>IF(MortgageAmortBASE[[#This Row],[Month]]=I$8,E$7,0)</f>
        <v>0</v>
      </c>
      <c r="H334" s="13">
        <f>IF(AND(C334&gt;='Amort. Sched.-BASE'!$I$8, C334&lt;= ($I$7+$I$8)), H333+F334, 0)</f>
        <v>0</v>
      </c>
      <c r="I334" s="24" t="str">
        <f>IF(AND(C334&gt;='Amort. Sched.-BASE'!$I$8, C334&lt;= ($I$7+$I$8)), E334/D334, " ")</f>
        <v xml:space="preserve"> </v>
      </c>
      <c r="J334" s="25" t="str">
        <f>IF(AND(C334&gt;='Amort. Sched.-BASE'!$I$8, C334&lt;= ($I$7+$I$8)), F334/D334, " ")</f>
        <v xml:space="preserve"> </v>
      </c>
      <c r="L334" s="20">
        <f t="shared" si="83"/>
        <v>323</v>
      </c>
      <c r="M334" s="5">
        <f>IF(AND(L334&gt;='Amort. Sched.-BASE'!$R$8, L334&lt;= ($R$7+$R$8)), PMT('Amort. Sched.-BASE'!$N$8/12, 'Amort. Sched.-BASE'!$R$7, 'Amort. Sched.-BASE'!$N$7), 0)</f>
        <v>0</v>
      </c>
      <c r="N334" s="5">
        <f>IF(AND(L334&gt;='Amort. Sched.-BASE'!$R$8, L334&lt;= ($R$7+$R$8)), (IPMT($N$8/12, (L334-$R$8), $R$7, $N$7)), 0)</f>
        <v>0</v>
      </c>
      <c r="O334" s="5">
        <f>IF(AND(L334&gt;='Amort. Sched.-BASE'!$R$8, L334&lt;= ($R$7+$R$8)), (PPMT($N$8/12, (L334-$R$8), $R$7, $N$7)), 0)</f>
        <v>0</v>
      </c>
      <c r="P334" s="5">
        <f>IF(CreditAmort1BASE[[#This Row],[Month]]=R$8,N$7,0)</f>
        <v>0</v>
      </c>
      <c r="Q334" s="13">
        <f>IF(AND(L334&gt;='Amort. Sched.-BASE'!$R$8, L334&lt;= ($R$7+$R$8)), Q333+O334, 0)</f>
        <v>0</v>
      </c>
      <c r="R334" s="6" t="str">
        <f>IF(AND(L334&gt;='Amort. Sched.-BASE'!$R$8, L334&lt;= ($R$7+$R$8)), N334/M334, " ")</f>
        <v xml:space="preserve"> </v>
      </c>
      <c r="S334" s="21" t="str">
        <f>IF(AND(L334&gt;='Amort. Sched.-BASE'!$R$8, L334&lt;= ($R$7+$R$8)), O334/M334, " ")</f>
        <v xml:space="preserve"> </v>
      </c>
      <c r="U334" s="22">
        <f t="shared" si="84"/>
        <v>323</v>
      </c>
      <c r="V334" s="23">
        <f>IF(AND(U334&gt;='Amort. Sched.-BASE'!$AA$8, U334&lt;= ($AA$7+$AA$8)), PMT('Amort. Sched.-BASE'!$W$8/12, 'Amort. Sched.-BASE'!$AA$7, 'Amort. Sched.-BASE'!$W$7), 0)</f>
        <v>0</v>
      </c>
      <c r="W334" s="5">
        <f>IF(AND(U334&gt;='Amort. Sched.-BASE'!$AA$8, U334&lt;= ($AA$7+$AA$8)), (IPMT($W$8/12, (U334-$AA$8), $AA$7, $W$7)), 0)</f>
        <v>0</v>
      </c>
      <c r="X334" s="23">
        <f>IF(AND(U334&gt;='Amort. Sched.-BASE'!$AA$8, U334&lt;= ($AA$7+$AA$8)), (PPMT($W$8/12, (U334-$AA$8), $AA$7, $W$7)), 0)</f>
        <v>0</v>
      </c>
      <c r="Y334" s="5">
        <f>IF(CreditAmort2BASE[[#This Row],[Month]]=AA$8,W$7,0)</f>
        <v>0</v>
      </c>
      <c r="Z334" s="13">
        <f>IF(AND(U334&gt;='Amort. Sched.-BASE'!$AA$8, U334&lt;= ($AA$7+$AA$8)), Z333+X334, 0)</f>
        <v>0</v>
      </c>
      <c r="AA334" s="24" t="str">
        <f>IF(AND(U334&gt;='Amort. Sched.-BASE'!$AA$8, U334&lt;= ($AA$7+$AA$8)), W334/V334, " ")</f>
        <v xml:space="preserve"> </v>
      </c>
      <c r="AB334" s="25" t="str">
        <f>IF(AND(U334&gt;='Amort. Sched.-BASE'!$AA$8, U334&lt;= ($AA$7+$AA$8)), X334/V334, " ")</f>
        <v xml:space="preserve"> </v>
      </c>
      <c r="AD334" s="20">
        <f t="shared" si="85"/>
        <v>323</v>
      </c>
      <c r="AE334" s="5">
        <f t="shared" si="86"/>
        <v>0</v>
      </c>
      <c r="AF334" s="5">
        <f t="shared" si="87"/>
        <v>0</v>
      </c>
      <c r="AG334" s="5">
        <f t="shared" si="88"/>
        <v>0</v>
      </c>
      <c r="AH334" s="5">
        <f>IF(CreditAmort3BASE[[#This Row],[Month]]=AJ$8,AF$7,0)</f>
        <v>0</v>
      </c>
      <c r="AI334" s="13">
        <f t="shared" si="89"/>
        <v>0</v>
      </c>
      <c r="AJ334" s="6" t="str">
        <f t="shared" si="90"/>
        <v xml:space="preserve"> </v>
      </c>
      <c r="AK334" s="21" t="str">
        <f t="shared" si="91"/>
        <v xml:space="preserve"> </v>
      </c>
      <c r="AM334" s="20">
        <f t="shared" si="92"/>
        <v>323</v>
      </c>
      <c r="AN334" s="5">
        <f t="shared" si="93"/>
        <v>0</v>
      </c>
      <c r="AO334" s="5">
        <f t="shared" si="94"/>
        <v>0</v>
      </c>
      <c r="AP334" s="5">
        <f t="shared" si="95"/>
        <v>0</v>
      </c>
      <c r="AQ334" s="5">
        <f>IF(CreditAmort4BASE[[#This Row],[Month]]=AS$8,AO$7,0)</f>
        <v>0</v>
      </c>
      <c r="AR334" s="13">
        <f t="shared" si="96"/>
        <v>0</v>
      </c>
      <c r="AS334" s="6" t="str">
        <f t="shared" si="97"/>
        <v xml:space="preserve"> </v>
      </c>
      <c r="AT334" s="21" t="str">
        <f t="shared" si="98"/>
        <v xml:space="preserve"> </v>
      </c>
    </row>
    <row r="335" spans="3:46">
      <c r="C335" s="22">
        <f t="shared" si="82"/>
        <v>324</v>
      </c>
      <c r="D335" s="23">
        <f>IF(AND(C335&gt;='Amort. Sched.-BASE'!$I$8, C335&lt;= ($I$7+$I$8)), PMT('Amort. Sched.-BASE'!$E$8/12, 'Amort. Sched.-BASE'!$I$7, 'Amort. Sched.-BASE'!$E$7), 0)</f>
        <v>0</v>
      </c>
      <c r="E335" s="5">
        <f>IF(AND(C335&gt;='Amort. Sched.-BASE'!$I$8, C335&lt;= ($I$7+$I$8)), (IPMT($E$8/12, (C335-$I$8), $I$7, $E$7)), 0)</f>
        <v>0</v>
      </c>
      <c r="F335" s="23">
        <f>IF(AND(C335&gt;='Amort. Sched.-BASE'!$I$8, C335&lt;= ($I$7+$I$8)), (PPMT($E$8/12, (C335-$I$8), $I$7, $E$7)), 0)</f>
        <v>0</v>
      </c>
      <c r="G335" s="5">
        <f>IF(MortgageAmortBASE[[#This Row],[Month]]=I$8,E$7,0)</f>
        <v>0</v>
      </c>
      <c r="H335" s="13">
        <f>IF(AND(C335&gt;='Amort. Sched.-BASE'!$I$8, C335&lt;= ($I$7+$I$8)), H334+F335, 0)</f>
        <v>0</v>
      </c>
      <c r="I335" s="24" t="str">
        <f>IF(AND(C335&gt;='Amort. Sched.-BASE'!$I$8, C335&lt;= ($I$7+$I$8)), E335/D335, " ")</f>
        <v xml:space="preserve"> </v>
      </c>
      <c r="J335" s="25" t="str">
        <f>IF(AND(C335&gt;='Amort. Sched.-BASE'!$I$8, C335&lt;= ($I$7+$I$8)), F335/D335, " ")</f>
        <v xml:space="preserve"> </v>
      </c>
      <c r="L335" s="20">
        <f t="shared" si="83"/>
        <v>324</v>
      </c>
      <c r="M335" s="5">
        <f>IF(AND(L335&gt;='Amort. Sched.-BASE'!$R$8, L335&lt;= ($R$7+$R$8)), PMT('Amort. Sched.-BASE'!$N$8/12, 'Amort. Sched.-BASE'!$R$7, 'Amort. Sched.-BASE'!$N$7), 0)</f>
        <v>0</v>
      </c>
      <c r="N335" s="5">
        <f>IF(AND(L335&gt;='Amort. Sched.-BASE'!$R$8, L335&lt;= ($R$7+$R$8)), (IPMT($N$8/12, (L335-$R$8), $R$7, $N$7)), 0)</f>
        <v>0</v>
      </c>
      <c r="O335" s="5">
        <f>IF(AND(L335&gt;='Amort. Sched.-BASE'!$R$8, L335&lt;= ($R$7+$R$8)), (PPMT($N$8/12, (L335-$R$8), $R$7, $N$7)), 0)</f>
        <v>0</v>
      </c>
      <c r="P335" s="5">
        <f>IF(CreditAmort1BASE[[#This Row],[Month]]=R$8,N$7,0)</f>
        <v>0</v>
      </c>
      <c r="Q335" s="13">
        <f>IF(AND(L335&gt;='Amort. Sched.-BASE'!$R$8, L335&lt;= ($R$7+$R$8)), Q334+O335, 0)</f>
        <v>0</v>
      </c>
      <c r="R335" s="6" t="str">
        <f>IF(AND(L335&gt;='Amort. Sched.-BASE'!$R$8, L335&lt;= ($R$7+$R$8)), N335/M335, " ")</f>
        <v xml:space="preserve"> </v>
      </c>
      <c r="S335" s="21" t="str">
        <f>IF(AND(L335&gt;='Amort. Sched.-BASE'!$R$8, L335&lt;= ($R$7+$R$8)), O335/M335, " ")</f>
        <v xml:space="preserve"> </v>
      </c>
      <c r="U335" s="22">
        <f t="shared" si="84"/>
        <v>324</v>
      </c>
      <c r="V335" s="23">
        <f>IF(AND(U335&gt;='Amort. Sched.-BASE'!$AA$8, U335&lt;= ($AA$7+$AA$8)), PMT('Amort. Sched.-BASE'!$W$8/12, 'Amort. Sched.-BASE'!$AA$7, 'Amort. Sched.-BASE'!$W$7), 0)</f>
        <v>0</v>
      </c>
      <c r="W335" s="5">
        <f>IF(AND(U335&gt;='Amort. Sched.-BASE'!$AA$8, U335&lt;= ($AA$7+$AA$8)), (IPMT($W$8/12, (U335-$AA$8), $AA$7, $W$7)), 0)</f>
        <v>0</v>
      </c>
      <c r="X335" s="23">
        <f>IF(AND(U335&gt;='Amort. Sched.-BASE'!$AA$8, U335&lt;= ($AA$7+$AA$8)), (PPMT($W$8/12, (U335-$AA$8), $AA$7, $W$7)), 0)</f>
        <v>0</v>
      </c>
      <c r="Y335" s="5">
        <f>IF(CreditAmort2BASE[[#This Row],[Month]]=AA$8,W$7,0)</f>
        <v>0</v>
      </c>
      <c r="Z335" s="13">
        <f>IF(AND(U335&gt;='Amort. Sched.-BASE'!$AA$8, U335&lt;= ($AA$7+$AA$8)), Z334+X335, 0)</f>
        <v>0</v>
      </c>
      <c r="AA335" s="24" t="str">
        <f>IF(AND(U335&gt;='Amort. Sched.-BASE'!$AA$8, U335&lt;= ($AA$7+$AA$8)), W335/V335, " ")</f>
        <v xml:space="preserve"> </v>
      </c>
      <c r="AB335" s="25" t="str">
        <f>IF(AND(U335&gt;='Amort. Sched.-BASE'!$AA$8, U335&lt;= ($AA$7+$AA$8)), X335/V335, " ")</f>
        <v xml:space="preserve"> </v>
      </c>
      <c r="AD335" s="20">
        <f t="shared" si="85"/>
        <v>324</v>
      </c>
      <c r="AE335" s="5">
        <f t="shared" si="86"/>
        <v>0</v>
      </c>
      <c r="AF335" s="5">
        <f t="shared" si="87"/>
        <v>0</v>
      </c>
      <c r="AG335" s="5">
        <f t="shared" si="88"/>
        <v>0</v>
      </c>
      <c r="AH335" s="5">
        <f>IF(CreditAmort3BASE[[#This Row],[Month]]=AJ$8,AF$7,0)</f>
        <v>0</v>
      </c>
      <c r="AI335" s="13">
        <f t="shared" si="89"/>
        <v>0</v>
      </c>
      <c r="AJ335" s="6" t="str">
        <f t="shared" si="90"/>
        <v xml:space="preserve"> </v>
      </c>
      <c r="AK335" s="21" t="str">
        <f t="shared" si="91"/>
        <v xml:space="preserve"> </v>
      </c>
      <c r="AM335" s="20">
        <f t="shared" si="92"/>
        <v>324</v>
      </c>
      <c r="AN335" s="5">
        <f t="shared" si="93"/>
        <v>0</v>
      </c>
      <c r="AO335" s="5">
        <f t="shared" si="94"/>
        <v>0</v>
      </c>
      <c r="AP335" s="5">
        <f t="shared" si="95"/>
        <v>0</v>
      </c>
      <c r="AQ335" s="5">
        <f>IF(CreditAmort4BASE[[#This Row],[Month]]=AS$8,AO$7,0)</f>
        <v>0</v>
      </c>
      <c r="AR335" s="13">
        <f t="shared" si="96"/>
        <v>0</v>
      </c>
      <c r="AS335" s="6" t="str">
        <f t="shared" si="97"/>
        <v xml:space="preserve"> </v>
      </c>
      <c r="AT335" s="21" t="str">
        <f t="shared" si="98"/>
        <v xml:space="preserve"> </v>
      </c>
    </row>
    <row r="336" spans="3:46">
      <c r="C336" s="22">
        <f t="shared" si="82"/>
        <v>325</v>
      </c>
      <c r="D336" s="23">
        <f>IF(AND(C336&gt;='Amort. Sched.-BASE'!$I$8, C336&lt;= ($I$7+$I$8)), PMT('Amort. Sched.-BASE'!$E$8/12, 'Amort. Sched.-BASE'!$I$7, 'Amort. Sched.-BASE'!$E$7), 0)</f>
        <v>0</v>
      </c>
      <c r="E336" s="5">
        <f>IF(AND(C336&gt;='Amort. Sched.-BASE'!$I$8, C336&lt;= ($I$7+$I$8)), (IPMT($E$8/12, (C336-$I$8), $I$7, $E$7)), 0)</f>
        <v>0</v>
      </c>
      <c r="F336" s="23">
        <f>IF(AND(C336&gt;='Amort. Sched.-BASE'!$I$8, C336&lt;= ($I$7+$I$8)), (PPMT($E$8/12, (C336-$I$8), $I$7, $E$7)), 0)</f>
        <v>0</v>
      </c>
      <c r="G336" s="5">
        <f>IF(MortgageAmortBASE[[#This Row],[Month]]=I$8,E$7,0)</f>
        <v>0</v>
      </c>
      <c r="H336" s="13">
        <f>IF(AND(C336&gt;='Amort. Sched.-BASE'!$I$8, C336&lt;= ($I$7+$I$8)), H335+F336, 0)</f>
        <v>0</v>
      </c>
      <c r="I336" s="24" t="str">
        <f>IF(AND(C336&gt;='Amort. Sched.-BASE'!$I$8, C336&lt;= ($I$7+$I$8)), E336/D336, " ")</f>
        <v xml:space="preserve"> </v>
      </c>
      <c r="J336" s="25" t="str">
        <f>IF(AND(C336&gt;='Amort. Sched.-BASE'!$I$8, C336&lt;= ($I$7+$I$8)), F336/D336, " ")</f>
        <v xml:space="preserve"> </v>
      </c>
      <c r="L336" s="20">
        <f t="shared" si="83"/>
        <v>325</v>
      </c>
      <c r="M336" s="5">
        <f>IF(AND(L336&gt;='Amort. Sched.-BASE'!$R$8, L336&lt;= ($R$7+$R$8)), PMT('Amort. Sched.-BASE'!$N$8/12, 'Amort. Sched.-BASE'!$R$7, 'Amort. Sched.-BASE'!$N$7), 0)</f>
        <v>0</v>
      </c>
      <c r="N336" s="5">
        <f>IF(AND(L336&gt;='Amort. Sched.-BASE'!$R$8, L336&lt;= ($R$7+$R$8)), (IPMT($N$8/12, (L336-$R$8), $R$7, $N$7)), 0)</f>
        <v>0</v>
      </c>
      <c r="O336" s="5">
        <f>IF(AND(L336&gt;='Amort. Sched.-BASE'!$R$8, L336&lt;= ($R$7+$R$8)), (PPMT($N$8/12, (L336-$R$8), $R$7, $N$7)), 0)</f>
        <v>0</v>
      </c>
      <c r="P336" s="5">
        <f>IF(CreditAmort1BASE[[#This Row],[Month]]=R$8,N$7,0)</f>
        <v>0</v>
      </c>
      <c r="Q336" s="13">
        <f>IF(AND(L336&gt;='Amort. Sched.-BASE'!$R$8, L336&lt;= ($R$7+$R$8)), Q335+O336, 0)</f>
        <v>0</v>
      </c>
      <c r="R336" s="6" t="str">
        <f>IF(AND(L336&gt;='Amort. Sched.-BASE'!$R$8, L336&lt;= ($R$7+$R$8)), N336/M336, " ")</f>
        <v xml:space="preserve"> </v>
      </c>
      <c r="S336" s="21" t="str">
        <f>IF(AND(L336&gt;='Amort. Sched.-BASE'!$R$8, L336&lt;= ($R$7+$R$8)), O336/M336, " ")</f>
        <v xml:space="preserve"> </v>
      </c>
      <c r="U336" s="22">
        <f t="shared" si="84"/>
        <v>325</v>
      </c>
      <c r="V336" s="23">
        <f>IF(AND(U336&gt;='Amort. Sched.-BASE'!$AA$8, U336&lt;= ($AA$7+$AA$8)), PMT('Amort. Sched.-BASE'!$W$8/12, 'Amort. Sched.-BASE'!$AA$7, 'Amort. Sched.-BASE'!$W$7), 0)</f>
        <v>0</v>
      </c>
      <c r="W336" s="5">
        <f>IF(AND(U336&gt;='Amort. Sched.-BASE'!$AA$8, U336&lt;= ($AA$7+$AA$8)), (IPMT($W$8/12, (U336-$AA$8), $AA$7, $W$7)), 0)</f>
        <v>0</v>
      </c>
      <c r="X336" s="23">
        <f>IF(AND(U336&gt;='Amort. Sched.-BASE'!$AA$8, U336&lt;= ($AA$7+$AA$8)), (PPMT($W$8/12, (U336-$AA$8), $AA$7, $W$7)), 0)</f>
        <v>0</v>
      </c>
      <c r="Y336" s="5">
        <f>IF(CreditAmort2BASE[[#This Row],[Month]]=AA$8,W$7,0)</f>
        <v>0</v>
      </c>
      <c r="Z336" s="13">
        <f>IF(AND(U336&gt;='Amort. Sched.-BASE'!$AA$8, U336&lt;= ($AA$7+$AA$8)), Z335+X336, 0)</f>
        <v>0</v>
      </c>
      <c r="AA336" s="24" t="str">
        <f>IF(AND(U336&gt;='Amort. Sched.-BASE'!$AA$8, U336&lt;= ($AA$7+$AA$8)), W336/V336, " ")</f>
        <v xml:space="preserve"> </v>
      </c>
      <c r="AB336" s="25" t="str">
        <f>IF(AND(U336&gt;='Amort. Sched.-BASE'!$AA$8, U336&lt;= ($AA$7+$AA$8)), X336/V336, " ")</f>
        <v xml:space="preserve"> </v>
      </c>
      <c r="AD336" s="20">
        <f t="shared" si="85"/>
        <v>325</v>
      </c>
      <c r="AE336" s="5">
        <f t="shared" si="86"/>
        <v>0</v>
      </c>
      <c r="AF336" s="5">
        <f t="shared" si="87"/>
        <v>0</v>
      </c>
      <c r="AG336" s="5">
        <f t="shared" si="88"/>
        <v>0</v>
      </c>
      <c r="AH336" s="5">
        <f>IF(CreditAmort3BASE[[#This Row],[Month]]=AJ$8,AF$7,0)</f>
        <v>0</v>
      </c>
      <c r="AI336" s="13">
        <f t="shared" si="89"/>
        <v>0</v>
      </c>
      <c r="AJ336" s="6" t="str">
        <f t="shared" si="90"/>
        <v xml:space="preserve"> </v>
      </c>
      <c r="AK336" s="21" t="str">
        <f t="shared" si="91"/>
        <v xml:space="preserve"> </v>
      </c>
      <c r="AM336" s="20">
        <f t="shared" si="92"/>
        <v>325</v>
      </c>
      <c r="AN336" s="5">
        <f t="shared" si="93"/>
        <v>0</v>
      </c>
      <c r="AO336" s="5">
        <f t="shared" si="94"/>
        <v>0</v>
      </c>
      <c r="AP336" s="5">
        <f t="shared" si="95"/>
        <v>0</v>
      </c>
      <c r="AQ336" s="5">
        <f>IF(CreditAmort4BASE[[#This Row],[Month]]=AS$8,AO$7,0)</f>
        <v>0</v>
      </c>
      <c r="AR336" s="13">
        <f t="shared" si="96"/>
        <v>0</v>
      </c>
      <c r="AS336" s="6" t="str">
        <f t="shared" si="97"/>
        <v xml:space="preserve"> </v>
      </c>
      <c r="AT336" s="21" t="str">
        <f t="shared" si="98"/>
        <v xml:space="preserve"> </v>
      </c>
    </row>
    <row r="337" spans="3:46">
      <c r="C337" s="22">
        <f t="shared" si="82"/>
        <v>326</v>
      </c>
      <c r="D337" s="23">
        <f>IF(AND(C337&gt;='Amort. Sched.-BASE'!$I$8, C337&lt;= ($I$7+$I$8)), PMT('Amort. Sched.-BASE'!$E$8/12, 'Amort. Sched.-BASE'!$I$7, 'Amort. Sched.-BASE'!$E$7), 0)</f>
        <v>0</v>
      </c>
      <c r="E337" s="5">
        <f>IF(AND(C337&gt;='Amort. Sched.-BASE'!$I$8, C337&lt;= ($I$7+$I$8)), (IPMT($E$8/12, (C337-$I$8), $I$7, $E$7)), 0)</f>
        <v>0</v>
      </c>
      <c r="F337" s="23">
        <f>IF(AND(C337&gt;='Amort. Sched.-BASE'!$I$8, C337&lt;= ($I$7+$I$8)), (PPMT($E$8/12, (C337-$I$8), $I$7, $E$7)), 0)</f>
        <v>0</v>
      </c>
      <c r="G337" s="5">
        <f>IF(MortgageAmortBASE[[#This Row],[Month]]=I$8,E$7,0)</f>
        <v>0</v>
      </c>
      <c r="H337" s="13">
        <f>IF(AND(C337&gt;='Amort. Sched.-BASE'!$I$8, C337&lt;= ($I$7+$I$8)), H336+F337, 0)</f>
        <v>0</v>
      </c>
      <c r="I337" s="24" t="str">
        <f>IF(AND(C337&gt;='Amort. Sched.-BASE'!$I$8, C337&lt;= ($I$7+$I$8)), E337/D337, " ")</f>
        <v xml:space="preserve"> </v>
      </c>
      <c r="J337" s="25" t="str">
        <f>IF(AND(C337&gt;='Amort. Sched.-BASE'!$I$8, C337&lt;= ($I$7+$I$8)), F337/D337, " ")</f>
        <v xml:space="preserve"> </v>
      </c>
      <c r="L337" s="20">
        <f t="shared" si="83"/>
        <v>326</v>
      </c>
      <c r="M337" s="5">
        <f>IF(AND(L337&gt;='Amort. Sched.-BASE'!$R$8, L337&lt;= ($R$7+$R$8)), PMT('Amort. Sched.-BASE'!$N$8/12, 'Amort. Sched.-BASE'!$R$7, 'Amort. Sched.-BASE'!$N$7), 0)</f>
        <v>0</v>
      </c>
      <c r="N337" s="5">
        <f>IF(AND(L337&gt;='Amort. Sched.-BASE'!$R$8, L337&lt;= ($R$7+$R$8)), (IPMT($N$8/12, (L337-$R$8), $R$7, $N$7)), 0)</f>
        <v>0</v>
      </c>
      <c r="O337" s="5">
        <f>IF(AND(L337&gt;='Amort. Sched.-BASE'!$R$8, L337&lt;= ($R$7+$R$8)), (PPMT($N$8/12, (L337-$R$8), $R$7, $N$7)), 0)</f>
        <v>0</v>
      </c>
      <c r="P337" s="5">
        <f>IF(CreditAmort1BASE[[#This Row],[Month]]=R$8,N$7,0)</f>
        <v>0</v>
      </c>
      <c r="Q337" s="13">
        <f>IF(AND(L337&gt;='Amort. Sched.-BASE'!$R$8, L337&lt;= ($R$7+$R$8)), Q336+O337, 0)</f>
        <v>0</v>
      </c>
      <c r="R337" s="6" t="str">
        <f>IF(AND(L337&gt;='Amort. Sched.-BASE'!$R$8, L337&lt;= ($R$7+$R$8)), N337/M337, " ")</f>
        <v xml:space="preserve"> </v>
      </c>
      <c r="S337" s="21" t="str">
        <f>IF(AND(L337&gt;='Amort. Sched.-BASE'!$R$8, L337&lt;= ($R$7+$R$8)), O337/M337, " ")</f>
        <v xml:space="preserve"> </v>
      </c>
      <c r="U337" s="22">
        <f t="shared" si="84"/>
        <v>326</v>
      </c>
      <c r="V337" s="23">
        <f>IF(AND(U337&gt;='Amort. Sched.-BASE'!$AA$8, U337&lt;= ($AA$7+$AA$8)), PMT('Amort. Sched.-BASE'!$W$8/12, 'Amort. Sched.-BASE'!$AA$7, 'Amort. Sched.-BASE'!$W$7), 0)</f>
        <v>0</v>
      </c>
      <c r="W337" s="5">
        <f>IF(AND(U337&gt;='Amort. Sched.-BASE'!$AA$8, U337&lt;= ($AA$7+$AA$8)), (IPMT($W$8/12, (U337-$AA$8), $AA$7, $W$7)), 0)</f>
        <v>0</v>
      </c>
      <c r="X337" s="23">
        <f>IF(AND(U337&gt;='Amort. Sched.-BASE'!$AA$8, U337&lt;= ($AA$7+$AA$8)), (PPMT($W$8/12, (U337-$AA$8), $AA$7, $W$7)), 0)</f>
        <v>0</v>
      </c>
      <c r="Y337" s="5">
        <f>IF(CreditAmort2BASE[[#This Row],[Month]]=AA$8,W$7,0)</f>
        <v>0</v>
      </c>
      <c r="Z337" s="13">
        <f>IF(AND(U337&gt;='Amort. Sched.-BASE'!$AA$8, U337&lt;= ($AA$7+$AA$8)), Z336+X337, 0)</f>
        <v>0</v>
      </c>
      <c r="AA337" s="24" t="str">
        <f>IF(AND(U337&gt;='Amort. Sched.-BASE'!$AA$8, U337&lt;= ($AA$7+$AA$8)), W337/V337, " ")</f>
        <v xml:space="preserve"> </v>
      </c>
      <c r="AB337" s="25" t="str">
        <f>IF(AND(U337&gt;='Amort. Sched.-BASE'!$AA$8, U337&lt;= ($AA$7+$AA$8)), X337/V337, " ")</f>
        <v xml:space="preserve"> </v>
      </c>
      <c r="AD337" s="20">
        <f t="shared" si="85"/>
        <v>326</v>
      </c>
      <c r="AE337" s="5">
        <f t="shared" si="86"/>
        <v>0</v>
      </c>
      <c r="AF337" s="5">
        <f t="shared" si="87"/>
        <v>0</v>
      </c>
      <c r="AG337" s="5">
        <f t="shared" si="88"/>
        <v>0</v>
      </c>
      <c r="AH337" s="5">
        <f>IF(CreditAmort3BASE[[#This Row],[Month]]=AJ$8,AF$7,0)</f>
        <v>0</v>
      </c>
      <c r="AI337" s="13">
        <f t="shared" si="89"/>
        <v>0</v>
      </c>
      <c r="AJ337" s="6" t="str">
        <f t="shared" si="90"/>
        <v xml:space="preserve"> </v>
      </c>
      <c r="AK337" s="21" t="str">
        <f t="shared" si="91"/>
        <v xml:space="preserve"> </v>
      </c>
      <c r="AM337" s="20">
        <f t="shared" si="92"/>
        <v>326</v>
      </c>
      <c r="AN337" s="5">
        <f t="shared" si="93"/>
        <v>0</v>
      </c>
      <c r="AO337" s="5">
        <f t="shared" si="94"/>
        <v>0</v>
      </c>
      <c r="AP337" s="5">
        <f t="shared" si="95"/>
        <v>0</v>
      </c>
      <c r="AQ337" s="5">
        <f>IF(CreditAmort4BASE[[#This Row],[Month]]=AS$8,AO$7,0)</f>
        <v>0</v>
      </c>
      <c r="AR337" s="13">
        <f t="shared" si="96"/>
        <v>0</v>
      </c>
      <c r="AS337" s="6" t="str">
        <f t="shared" si="97"/>
        <v xml:space="preserve"> </v>
      </c>
      <c r="AT337" s="21" t="str">
        <f t="shared" si="98"/>
        <v xml:space="preserve"> </v>
      </c>
    </row>
    <row r="338" spans="3:46">
      <c r="C338" s="22">
        <f t="shared" si="82"/>
        <v>327</v>
      </c>
      <c r="D338" s="23">
        <f>IF(AND(C338&gt;='Amort. Sched.-BASE'!$I$8, C338&lt;= ($I$7+$I$8)), PMT('Amort. Sched.-BASE'!$E$8/12, 'Amort. Sched.-BASE'!$I$7, 'Amort. Sched.-BASE'!$E$7), 0)</f>
        <v>0</v>
      </c>
      <c r="E338" s="5">
        <f>IF(AND(C338&gt;='Amort. Sched.-BASE'!$I$8, C338&lt;= ($I$7+$I$8)), (IPMT($E$8/12, (C338-$I$8), $I$7, $E$7)), 0)</f>
        <v>0</v>
      </c>
      <c r="F338" s="23">
        <f>IF(AND(C338&gt;='Amort. Sched.-BASE'!$I$8, C338&lt;= ($I$7+$I$8)), (PPMT($E$8/12, (C338-$I$8), $I$7, $E$7)), 0)</f>
        <v>0</v>
      </c>
      <c r="G338" s="5">
        <f>IF(MortgageAmortBASE[[#This Row],[Month]]=I$8,E$7,0)</f>
        <v>0</v>
      </c>
      <c r="H338" s="13">
        <f>IF(AND(C338&gt;='Amort. Sched.-BASE'!$I$8, C338&lt;= ($I$7+$I$8)), H337+F338, 0)</f>
        <v>0</v>
      </c>
      <c r="I338" s="24" t="str">
        <f>IF(AND(C338&gt;='Amort. Sched.-BASE'!$I$8, C338&lt;= ($I$7+$I$8)), E338/D338, " ")</f>
        <v xml:space="preserve"> </v>
      </c>
      <c r="J338" s="25" t="str">
        <f>IF(AND(C338&gt;='Amort. Sched.-BASE'!$I$8, C338&lt;= ($I$7+$I$8)), F338/D338, " ")</f>
        <v xml:space="preserve"> </v>
      </c>
      <c r="L338" s="20">
        <f t="shared" si="83"/>
        <v>327</v>
      </c>
      <c r="M338" s="5">
        <f>IF(AND(L338&gt;='Amort. Sched.-BASE'!$R$8, L338&lt;= ($R$7+$R$8)), PMT('Amort. Sched.-BASE'!$N$8/12, 'Amort. Sched.-BASE'!$R$7, 'Amort. Sched.-BASE'!$N$7), 0)</f>
        <v>0</v>
      </c>
      <c r="N338" s="5">
        <f>IF(AND(L338&gt;='Amort. Sched.-BASE'!$R$8, L338&lt;= ($R$7+$R$8)), (IPMT($N$8/12, (L338-$R$8), $R$7, $N$7)), 0)</f>
        <v>0</v>
      </c>
      <c r="O338" s="5">
        <f>IF(AND(L338&gt;='Amort. Sched.-BASE'!$R$8, L338&lt;= ($R$7+$R$8)), (PPMT($N$8/12, (L338-$R$8), $R$7, $N$7)), 0)</f>
        <v>0</v>
      </c>
      <c r="P338" s="5">
        <f>IF(CreditAmort1BASE[[#This Row],[Month]]=R$8,N$7,0)</f>
        <v>0</v>
      </c>
      <c r="Q338" s="13">
        <f>IF(AND(L338&gt;='Amort. Sched.-BASE'!$R$8, L338&lt;= ($R$7+$R$8)), Q337+O338, 0)</f>
        <v>0</v>
      </c>
      <c r="R338" s="6" t="str">
        <f>IF(AND(L338&gt;='Amort. Sched.-BASE'!$R$8, L338&lt;= ($R$7+$R$8)), N338/M338, " ")</f>
        <v xml:space="preserve"> </v>
      </c>
      <c r="S338" s="21" t="str">
        <f>IF(AND(L338&gt;='Amort. Sched.-BASE'!$R$8, L338&lt;= ($R$7+$R$8)), O338/M338, " ")</f>
        <v xml:space="preserve"> </v>
      </c>
      <c r="U338" s="22">
        <f t="shared" si="84"/>
        <v>327</v>
      </c>
      <c r="V338" s="23">
        <f>IF(AND(U338&gt;='Amort. Sched.-BASE'!$AA$8, U338&lt;= ($AA$7+$AA$8)), PMT('Amort. Sched.-BASE'!$W$8/12, 'Amort. Sched.-BASE'!$AA$7, 'Amort. Sched.-BASE'!$W$7), 0)</f>
        <v>0</v>
      </c>
      <c r="W338" s="5">
        <f>IF(AND(U338&gt;='Amort. Sched.-BASE'!$AA$8, U338&lt;= ($AA$7+$AA$8)), (IPMT($W$8/12, (U338-$AA$8), $AA$7, $W$7)), 0)</f>
        <v>0</v>
      </c>
      <c r="X338" s="23">
        <f>IF(AND(U338&gt;='Amort. Sched.-BASE'!$AA$8, U338&lt;= ($AA$7+$AA$8)), (PPMT($W$8/12, (U338-$AA$8), $AA$7, $W$7)), 0)</f>
        <v>0</v>
      </c>
      <c r="Y338" s="5">
        <f>IF(CreditAmort2BASE[[#This Row],[Month]]=AA$8,W$7,0)</f>
        <v>0</v>
      </c>
      <c r="Z338" s="13">
        <f>IF(AND(U338&gt;='Amort. Sched.-BASE'!$AA$8, U338&lt;= ($AA$7+$AA$8)), Z337+X338, 0)</f>
        <v>0</v>
      </c>
      <c r="AA338" s="24" t="str">
        <f>IF(AND(U338&gt;='Amort. Sched.-BASE'!$AA$8, U338&lt;= ($AA$7+$AA$8)), W338/V338, " ")</f>
        <v xml:space="preserve"> </v>
      </c>
      <c r="AB338" s="25" t="str">
        <f>IF(AND(U338&gt;='Amort. Sched.-BASE'!$AA$8, U338&lt;= ($AA$7+$AA$8)), X338/V338, " ")</f>
        <v xml:space="preserve"> </v>
      </c>
      <c r="AD338" s="20">
        <f t="shared" si="85"/>
        <v>327</v>
      </c>
      <c r="AE338" s="5">
        <f t="shared" si="86"/>
        <v>0</v>
      </c>
      <c r="AF338" s="5">
        <f t="shared" si="87"/>
        <v>0</v>
      </c>
      <c r="AG338" s="5">
        <f t="shared" si="88"/>
        <v>0</v>
      </c>
      <c r="AH338" s="5">
        <f>IF(CreditAmort3BASE[[#This Row],[Month]]=AJ$8,AF$7,0)</f>
        <v>0</v>
      </c>
      <c r="AI338" s="13">
        <f t="shared" si="89"/>
        <v>0</v>
      </c>
      <c r="AJ338" s="6" t="str">
        <f t="shared" si="90"/>
        <v xml:space="preserve"> </v>
      </c>
      <c r="AK338" s="21" t="str">
        <f t="shared" si="91"/>
        <v xml:space="preserve"> </v>
      </c>
      <c r="AM338" s="20">
        <f t="shared" si="92"/>
        <v>327</v>
      </c>
      <c r="AN338" s="5">
        <f t="shared" si="93"/>
        <v>0</v>
      </c>
      <c r="AO338" s="5">
        <f t="shared" si="94"/>
        <v>0</v>
      </c>
      <c r="AP338" s="5">
        <f t="shared" si="95"/>
        <v>0</v>
      </c>
      <c r="AQ338" s="5">
        <f>IF(CreditAmort4BASE[[#This Row],[Month]]=AS$8,AO$7,0)</f>
        <v>0</v>
      </c>
      <c r="AR338" s="13">
        <f t="shared" si="96"/>
        <v>0</v>
      </c>
      <c r="AS338" s="6" t="str">
        <f t="shared" si="97"/>
        <v xml:space="preserve"> </v>
      </c>
      <c r="AT338" s="21" t="str">
        <f t="shared" si="98"/>
        <v xml:space="preserve"> </v>
      </c>
    </row>
    <row r="339" spans="3:46">
      <c r="C339" s="22">
        <f t="shared" si="82"/>
        <v>328</v>
      </c>
      <c r="D339" s="23">
        <f>IF(AND(C339&gt;='Amort. Sched.-BASE'!$I$8, C339&lt;= ($I$7+$I$8)), PMT('Amort. Sched.-BASE'!$E$8/12, 'Amort. Sched.-BASE'!$I$7, 'Amort. Sched.-BASE'!$E$7), 0)</f>
        <v>0</v>
      </c>
      <c r="E339" s="5">
        <f>IF(AND(C339&gt;='Amort. Sched.-BASE'!$I$8, C339&lt;= ($I$7+$I$8)), (IPMT($E$8/12, (C339-$I$8), $I$7, $E$7)), 0)</f>
        <v>0</v>
      </c>
      <c r="F339" s="23">
        <f>IF(AND(C339&gt;='Amort. Sched.-BASE'!$I$8, C339&lt;= ($I$7+$I$8)), (PPMT($E$8/12, (C339-$I$8), $I$7, $E$7)), 0)</f>
        <v>0</v>
      </c>
      <c r="G339" s="5">
        <f>IF(MortgageAmortBASE[[#This Row],[Month]]=I$8,E$7,0)</f>
        <v>0</v>
      </c>
      <c r="H339" s="13">
        <f>IF(AND(C339&gt;='Amort. Sched.-BASE'!$I$8, C339&lt;= ($I$7+$I$8)), H338+F339, 0)</f>
        <v>0</v>
      </c>
      <c r="I339" s="24" t="str">
        <f>IF(AND(C339&gt;='Amort. Sched.-BASE'!$I$8, C339&lt;= ($I$7+$I$8)), E339/D339, " ")</f>
        <v xml:space="preserve"> </v>
      </c>
      <c r="J339" s="25" t="str">
        <f>IF(AND(C339&gt;='Amort. Sched.-BASE'!$I$8, C339&lt;= ($I$7+$I$8)), F339/D339, " ")</f>
        <v xml:space="preserve"> </v>
      </c>
      <c r="L339" s="20">
        <f t="shared" si="83"/>
        <v>328</v>
      </c>
      <c r="M339" s="5">
        <f>IF(AND(L339&gt;='Amort. Sched.-BASE'!$R$8, L339&lt;= ($R$7+$R$8)), PMT('Amort. Sched.-BASE'!$N$8/12, 'Amort. Sched.-BASE'!$R$7, 'Amort. Sched.-BASE'!$N$7), 0)</f>
        <v>0</v>
      </c>
      <c r="N339" s="5">
        <f>IF(AND(L339&gt;='Amort. Sched.-BASE'!$R$8, L339&lt;= ($R$7+$R$8)), (IPMT($N$8/12, (L339-$R$8), $R$7, $N$7)), 0)</f>
        <v>0</v>
      </c>
      <c r="O339" s="5">
        <f>IF(AND(L339&gt;='Amort. Sched.-BASE'!$R$8, L339&lt;= ($R$7+$R$8)), (PPMT($N$8/12, (L339-$R$8), $R$7, $N$7)), 0)</f>
        <v>0</v>
      </c>
      <c r="P339" s="5">
        <f>IF(CreditAmort1BASE[[#This Row],[Month]]=R$8,N$7,0)</f>
        <v>0</v>
      </c>
      <c r="Q339" s="13">
        <f>IF(AND(L339&gt;='Amort. Sched.-BASE'!$R$8, L339&lt;= ($R$7+$R$8)), Q338+O339, 0)</f>
        <v>0</v>
      </c>
      <c r="R339" s="6" t="str">
        <f>IF(AND(L339&gt;='Amort. Sched.-BASE'!$R$8, L339&lt;= ($R$7+$R$8)), N339/M339, " ")</f>
        <v xml:space="preserve"> </v>
      </c>
      <c r="S339" s="21" t="str">
        <f>IF(AND(L339&gt;='Amort. Sched.-BASE'!$R$8, L339&lt;= ($R$7+$R$8)), O339/M339, " ")</f>
        <v xml:space="preserve"> </v>
      </c>
      <c r="U339" s="22">
        <f t="shared" si="84"/>
        <v>328</v>
      </c>
      <c r="V339" s="23">
        <f>IF(AND(U339&gt;='Amort. Sched.-BASE'!$AA$8, U339&lt;= ($AA$7+$AA$8)), PMT('Amort. Sched.-BASE'!$W$8/12, 'Amort. Sched.-BASE'!$AA$7, 'Amort. Sched.-BASE'!$W$7), 0)</f>
        <v>0</v>
      </c>
      <c r="W339" s="5">
        <f>IF(AND(U339&gt;='Amort. Sched.-BASE'!$AA$8, U339&lt;= ($AA$7+$AA$8)), (IPMT($W$8/12, (U339-$AA$8), $AA$7, $W$7)), 0)</f>
        <v>0</v>
      </c>
      <c r="X339" s="23">
        <f>IF(AND(U339&gt;='Amort. Sched.-BASE'!$AA$8, U339&lt;= ($AA$7+$AA$8)), (PPMT($W$8/12, (U339-$AA$8), $AA$7, $W$7)), 0)</f>
        <v>0</v>
      </c>
      <c r="Y339" s="5">
        <f>IF(CreditAmort2BASE[[#This Row],[Month]]=AA$8,W$7,0)</f>
        <v>0</v>
      </c>
      <c r="Z339" s="13">
        <f>IF(AND(U339&gt;='Amort. Sched.-BASE'!$AA$8, U339&lt;= ($AA$7+$AA$8)), Z338+X339, 0)</f>
        <v>0</v>
      </c>
      <c r="AA339" s="24" t="str">
        <f>IF(AND(U339&gt;='Amort. Sched.-BASE'!$AA$8, U339&lt;= ($AA$7+$AA$8)), W339/V339, " ")</f>
        <v xml:space="preserve"> </v>
      </c>
      <c r="AB339" s="25" t="str">
        <f>IF(AND(U339&gt;='Amort. Sched.-BASE'!$AA$8, U339&lt;= ($AA$7+$AA$8)), X339/V339, " ")</f>
        <v xml:space="preserve"> </v>
      </c>
      <c r="AD339" s="20">
        <f t="shared" si="85"/>
        <v>328</v>
      </c>
      <c r="AE339" s="5">
        <f t="shared" si="86"/>
        <v>0</v>
      </c>
      <c r="AF339" s="5">
        <f t="shared" si="87"/>
        <v>0</v>
      </c>
      <c r="AG339" s="5">
        <f t="shared" si="88"/>
        <v>0</v>
      </c>
      <c r="AH339" s="5">
        <f>IF(CreditAmort3BASE[[#This Row],[Month]]=AJ$8,AF$7,0)</f>
        <v>0</v>
      </c>
      <c r="AI339" s="13">
        <f t="shared" si="89"/>
        <v>0</v>
      </c>
      <c r="AJ339" s="6" t="str">
        <f t="shared" si="90"/>
        <v xml:space="preserve"> </v>
      </c>
      <c r="AK339" s="21" t="str">
        <f t="shared" si="91"/>
        <v xml:space="preserve"> </v>
      </c>
      <c r="AM339" s="20">
        <f t="shared" si="92"/>
        <v>328</v>
      </c>
      <c r="AN339" s="5">
        <f t="shared" si="93"/>
        <v>0</v>
      </c>
      <c r="AO339" s="5">
        <f t="shared" si="94"/>
        <v>0</v>
      </c>
      <c r="AP339" s="5">
        <f t="shared" si="95"/>
        <v>0</v>
      </c>
      <c r="AQ339" s="5">
        <f>IF(CreditAmort4BASE[[#This Row],[Month]]=AS$8,AO$7,0)</f>
        <v>0</v>
      </c>
      <c r="AR339" s="13">
        <f t="shared" si="96"/>
        <v>0</v>
      </c>
      <c r="AS339" s="6" t="str">
        <f t="shared" si="97"/>
        <v xml:space="preserve"> </v>
      </c>
      <c r="AT339" s="21" t="str">
        <f t="shared" si="98"/>
        <v xml:space="preserve"> </v>
      </c>
    </row>
    <row r="340" spans="3:46">
      <c r="C340" s="22">
        <f t="shared" si="82"/>
        <v>329</v>
      </c>
      <c r="D340" s="23">
        <f>IF(AND(C340&gt;='Amort. Sched.-BASE'!$I$8, C340&lt;= ($I$7+$I$8)), PMT('Amort. Sched.-BASE'!$E$8/12, 'Amort. Sched.-BASE'!$I$7, 'Amort. Sched.-BASE'!$E$7), 0)</f>
        <v>0</v>
      </c>
      <c r="E340" s="5">
        <f>IF(AND(C340&gt;='Amort. Sched.-BASE'!$I$8, C340&lt;= ($I$7+$I$8)), (IPMT($E$8/12, (C340-$I$8), $I$7, $E$7)), 0)</f>
        <v>0</v>
      </c>
      <c r="F340" s="23">
        <f>IF(AND(C340&gt;='Amort. Sched.-BASE'!$I$8, C340&lt;= ($I$7+$I$8)), (PPMT($E$8/12, (C340-$I$8), $I$7, $E$7)), 0)</f>
        <v>0</v>
      </c>
      <c r="G340" s="5">
        <f>IF(MortgageAmortBASE[[#This Row],[Month]]=I$8,E$7,0)</f>
        <v>0</v>
      </c>
      <c r="H340" s="13">
        <f>IF(AND(C340&gt;='Amort. Sched.-BASE'!$I$8, C340&lt;= ($I$7+$I$8)), H339+F340, 0)</f>
        <v>0</v>
      </c>
      <c r="I340" s="24" t="str">
        <f>IF(AND(C340&gt;='Amort. Sched.-BASE'!$I$8, C340&lt;= ($I$7+$I$8)), E340/D340, " ")</f>
        <v xml:space="preserve"> </v>
      </c>
      <c r="J340" s="25" t="str">
        <f>IF(AND(C340&gt;='Amort. Sched.-BASE'!$I$8, C340&lt;= ($I$7+$I$8)), F340/D340, " ")</f>
        <v xml:space="preserve"> </v>
      </c>
      <c r="L340" s="20">
        <f t="shared" si="83"/>
        <v>329</v>
      </c>
      <c r="M340" s="5">
        <f>IF(AND(L340&gt;='Amort. Sched.-BASE'!$R$8, L340&lt;= ($R$7+$R$8)), PMT('Amort. Sched.-BASE'!$N$8/12, 'Amort. Sched.-BASE'!$R$7, 'Amort. Sched.-BASE'!$N$7), 0)</f>
        <v>0</v>
      </c>
      <c r="N340" s="5">
        <f>IF(AND(L340&gt;='Amort. Sched.-BASE'!$R$8, L340&lt;= ($R$7+$R$8)), (IPMT($N$8/12, (L340-$R$8), $R$7, $N$7)), 0)</f>
        <v>0</v>
      </c>
      <c r="O340" s="5">
        <f>IF(AND(L340&gt;='Amort. Sched.-BASE'!$R$8, L340&lt;= ($R$7+$R$8)), (PPMT($N$8/12, (L340-$R$8), $R$7, $N$7)), 0)</f>
        <v>0</v>
      </c>
      <c r="P340" s="5">
        <f>IF(CreditAmort1BASE[[#This Row],[Month]]=R$8,N$7,0)</f>
        <v>0</v>
      </c>
      <c r="Q340" s="13">
        <f>IF(AND(L340&gt;='Amort. Sched.-BASE'!$R$8, L340&lt;= ($R$7+$R$8)), Q339+O340, 0)</f>
        <v>0</v>
      </c>
      <c r="R340" s="6" t="str">
        <f>IF(AND(L340&gt;='Amort. Sched.-BASE'!$R$8, L340&lt;= ($R$7+$R$8)), N340/M340, " ")</f>
        <v xml:space="preserve"> </v>
      </c>
      <c r="S340" s="21" t="str">
        <f>IF(AND(L340&gt;='Amort. Sched.-BASE'!$R$8, L340&lt;= ($R$7+$R$8)), O340/M340, " ")</f>
        <v xml:space="preserve"> </v>
      </c>
      <c r="U340" s="22">
        <f t="shared" si="84"/>
        <v>329</v>
      </c>
      <c r="V340" s="23">
        <f>IF(AND(U340&gt;='Amort. Sched.-BASE'!$AA$8, U340&lt;= ($AA$7+$AA$8)), PMT('Amort. Sched.-BASE'!$W$8/12, 'Amort. Sched.-BASE'!$AA$7, 'Amort. Sched.-BASE'!$W$7), 0)</f>
        <v>0</v>
      </c>
      <c r="W340" s="5">
        <f>IF(AND(U340&gt;='Amort. Sched.-BASE'!$AA$8, U340&lt;= ($AA$7+$AA$8)), (IPMT($W$8/12, (U340-$AA$8), $AA$7, $W$7)), 0)</f>
        <v>0</v>
      </c>
      <c r="X340" s="23">
        <f>IF(AND(U340&gt;='Amort. Sched.-BASE'!$AA$8, U340&lt;= ($AA$7+$AA$8)), (PPMT($W$8/12, (U340-$AA$8), $AA$7, $W$7)), 0)</f>
        <v>0</v>
      </c>
      <c r="Y340" s="5">
        <f>IF(CreditAmort2BASE[[#This Row],[Month]]=AA$8,W$7,0)</f>
        <v>0</v>
      </c>
      <c r="Z340" s="13">
        <f>IF(AND(U340&gt;='Amort. Sched.-BASE'!$AA$8, U340&lt;= ($AA$7+$AA$8)), Z339+X340, 0)</f>
        <v>0</v>
      </c>
      <c r="AA340" s="24" t="str">
        <f>IF(AND(U340&gt;='Amort. Sched.-BASE'!$AA$8, U340&lt;= ($AA$7+$AA$8)), W340/V340, " ")</f>
        <v xml:space="preserve"> </v>
      </c>
      <c r="AB340" s="25" t="str">
        <f>IF(AND(U340&gt;='Amort. Sched.-BASE'!$AA$8, U340&lt;= ($AA$7+$AA$8)), X340/V340, " ")</f>
        <v xml:space="preserve"> </v>
      </c>
      <c r="AD340" s="20">
        <f t="shared" si="85"/>
        <v>329</v>
      </c>
      <c r="AE340" s="5">
        <f t="shared" si="86"/>
        <v>0</v>
      </c>
      <c r="AF340" s="5">
        <f t="shared" si="87"/>
        <v>0</v>
      </c>
      <c r="AG340" s="5">
        <f t="shared" si="88"/>
        <v>0</v>
      </c>
      <c r="AH340" s="5">
        <f>IF(CreditAmort3BASE[[#This Row],[Month]]=AJ$8,AF$7,0)</f>
        <v>0</v>
      </c>
      <c r="AI340" s="13">
        <f t="shared" si="89"/>
        <v>0</v>
      </c>
      <c r="AJ340" s="6" t="str">
        <f t="shared" si="90"/>
        <v xml:space="preserve"> </v>
      </c>
      <c r="AK340" s="21" t="str">
        <f t="shared" si="91"/>
        <v xml:space="preserve"> </v>
      </c>
      <c r="AM340" s="20">
        <f t="shared" si="92"/>
        <v>329</v>
      </c>
      <c r="AN340" s="5">
        <f t="shared" si="93"/>
        <v>0</v>
      </c>
      <c r="AO340" s="5">
        <f t="shared" si="94"/>
        <v>0</v>
      </c>
      <c r="AP340" s="5">
        <f t="shared" si="95"/>
        <v>0</v>
      </c>
      <c r="AQ340" s="5">
        <f>IF(CreditAmort4BASE[[#This Row],[Month]]=AS$8,AO$7,0)</f>
        <v>0</v>
      </c>
      <c r="AR340" s="13">
        <f t="shared" si="96"/>
        <v>0</v>
      </c>
      <c r="AS340" s="6" t="str">
        <f t="shared" si="97"/>
        <v xml:space="preserve"> </v>
      </c>
      <c r="AT340" s="21" t="str">
        <f t="shared" si="98"/>
        <v xml:space="preserve"> </v>
      </c>
    </row>
    <row r="341" spans="3:46">
      <c r="C341" s="22">
        <f t="shared" si="82"/>
        <v>330</v>
      </c>
      <c r="D341" s="23">
        <f>IF(AND(C341&gt;='Amort. Sched.-BASE'!$I$8, C341&lt;= ($I$7+$I$8)), PMT('Amort. Sched.-BASE'!$E$8/12, 'Amort. Sched.-BASE'!$I$7, 'Amort. Sched.-BASE'!$E$7), 0)</f>
        <v>0</v>
      </c>
      <c r="E341" s="5">
        <f>IF(AND(C341&gt;='Amort. Sched.-BASE'!$I$8, C341&lt;= ($I$7+$I$8)), (IPMT($E$8/12, (C341-$I$8), $I$7, $E$7)), 0)</f>
        <v>0</v>
      </c>
      <c r="F341" s="23">
        <f>IF(AND(C341&gt;='Amort. Sched.-BASE'!$I$8, C341&lt;= ($I$7+$I$8)), (PPMT($E$8/12, (C341-$I$8), $I$7, $E$7)), 0)</f>
        <v>0</v>
      </c>
      <c r="G341" s="5">
        <f>IF(MortgageAmortBASE[[#This Row],[Month]]=I$8,E$7,0)</f>
        <v>0</v>
      </c>
      <c r="H341" s="13">
        <f>IF(AND(C341&gt;='Amort. Sched.-BASE'!$I$8, C341&lt;= ($I$7+$I$8)), H340+F341, 0)</f>
        <v>0</v>
      </c>
      <c r="I341" s="24" t="str">
        <f>IF(AND(C341&gt;='Amort. Sched.-BASE'!$I$8, C341&lt;= ($I$7+$I$8)), E341/D341, " ")</f>
        <v xml:space="preserve"> </v>
      </c>
      <c r="J341" s="25" t="str">
        <f>IF(AND(C341&gt;='Amort. Sched.-BASE'!$I$8, C341&lt;= ($I$7+$I$8)), F341/D341, " ")</f>
        <v xml:space="preserve"> </v>
      </c>
      <c r="L341" s="20">
        <f t="shared" si="83"/>
        <v>330</v>
      </c>
      <c r="M341" s="5">
        <f>IF(AND(L341&gt;='Amort. Sched.-BASE'!$R$8, L341&lt;= ($R$7+$R$8)), PMT('Amort. Sched.-BASE'!$N$8/12, 'Amort. Sched.-BASE'!$R$7, 'Amort. Sched.-BASE'!$N$7), 0)</f>
        <v>0</v>
      </c>
      <c r="N341" s="5">
        <f>IF(AND(L341&gt;='Amort. Sched.-BASE'!$R$8, L341&lt;= ($R$7+$R$8)), (IPMT($N$8/12, (L341-$R$8), $R$7, $N$7)), 0)</f>
        <v>0</v>
      </c>
      <c r="O341" s="5">
        <f>IF(AND(L341&gt;='Amort. Sched.-BASE'!$R$8, L341&lt;= ($R$7+$R$8)), (PPMT($N$8/12, (L341-$R$8), $R$7, $N$7)), 0)</f>
        <v>0</v>
      </c>
      <c r="P341" s="5">
        <f>IF(CreditAmort1BASE[[#This Row],[Month]]=R$8,N$7,0)</f>
        <v>0</v>
      </c>
      <c r="Q341" s="13">
        <f>IF(AND(L341&gt;='Amort. Sched.-BASE'!$R$8, L341&lt;= ($R$7+$R$8)), Q340+O341, 0)</f>
        <v>0</v>
      </c>
      <c r="R341" s="6" t="str">
        <f>IF(AND(L341&gt;='Amort. Sched.-BASE'!$R$8, L341&lt;= ($R$7+$R$8)), N341/M341, " ")</f>
        <v xml:space="preserve"> </v>
      </c>
      <c r="S341" s="21" t="str">
        <f>IF(AND(L341&gt;='Amort. Sched.-BASE'!$R$8, L341&lt;= ($R$7+$R$8)), O341/M341, " ")</f>
        <v xml:space="preserve"> </v>
      </c>
      <c r="U341" s="22">
        <f t="shared" si="84"/>
        <v>330</v>
      </c>
      <c r="V341" s="23">
        <f>IF(AND(U341&gt;='Amort. Sched.-BASE'!$AA$8, U341&lt;= ($AA$7+$AA$8)), PMT('Amort. Sched.-BASE'!$W$8/12, 'Amort. Sched.-BASE'!$AA$7, 'Amort. Sched.-BASE'!$W$7), 0)</f>
        <v>0</v>
      </c>
      <c r="W341" s="5">
        <f>IF(AND(U341&gt;='Amort. Sched.-BASE'!$AA$8, U341&lt;= ($AA$7+$AA$8)), (IPMT($W$8/12, (U341-$AA$8), $AA$7, $W$7)), 0)</f>
        <v>0</v>
      </c>
      <c r="X341" s="23">
        <f>IF(AND(U341&gt;='Amort. Sched.-BASE'!$AA$8, U341&lt;= ($AA$7+$AA$8)), (PPMT($W$8/12, (U341-$AA$8), $AA$7, $W$7)), 0)</f>
        <v>0</v>
      </c>
      <c r="Y341" s="5">
        <f>IF(CreditAmort2BASE[[#This Row],[Month]]=AA$8,W$7,0)</f>
        <v>0</v>
      </c>
      <c r="Z341" s="13">
        <f>IF(AND(U341&gt;='Amort. Sched.-BASE'!$AA$8, U341&lt;= ($AA$7+$AA$8)), Z340+X341, 0)</f>
        <v>0</v>
      </c>
      <c r="AA341" s="24" t="str">
        <f>IF(AND(U341&gt;='Amort. Sched.-BASE'!$AA$8, U341&lt;= ($AA$7+$AA$8)), W341/V341, " ")</f>
        <v xml:space="preserve"> </v>
      </c>
      <c r="AB341" s="25" t="str">
        <f>IF(AND(U341&gt;='Amort. Sched.-BASE'!$AA$8, U341&lt;= ($AA$7+$AA$8)), X341/V341, " ")</f>
        <v xml:space="preserve"> </v>
      </c>
      <c r="AD341" s="20">
        <f t="shared" si="85"/>
        <v>330</v>
      </c>
      <c r="AE341" s="5">
        <f t="shared" si="86"/>
        <v>0</v>
      </c>
      <c r="AF341" s="5">
        <f t="shared" si="87"/>
        <v>0</v>
      </c>
      <c r="AG341" s="5">
        <f t="shared" si="88"/>
        <v>0</v>
      </c>
      <c r="AH341" s="5">
        <f>IF(CreditAmort3BASE[[#This Row],[Month]]=AJ$8,AF$7,0)</f>
        <v>0</v>
      </c>
      <c r="AI341" s="13">
        <f t="shared" si="89"/>
        <v>0</v>
      </c>
      <c r="AJ341" s="6" t="str">
        <f t="shared" si="90"/>
        <v xml:space="preserve"> </v>
      </c>
      <c r="AK341" s="21" t="str">
        <f t="shared" si="91"/>
        <v xml:space="preserve"> </v>
      </c>
      <c r="AM341" s="20">
        <f t="shared" si="92"/>
        <v>330</v>
      </c>
      <c r="AN341" s="5">
        <f t="shared" si="93"/>
        <v>0</v>
      </c>
      <c r="AO341" s="5">
        <f t="shared" si="94"/>
        <v>0</v>
      </c>
      <c r="AP341" s="5">
        <f t="shared" si="95"/>
        <v>0</v>
      </c>
      <c r="AQ341" s="5">
        <f>IF(CreditAmort4BASE[[#This Row],[Month]]=AS$8,AO$7,0)</f>
        <v>0</v>
      </c>
      <c r="AR341" s="13">
        <f t="shared" si="96"/>
        <v>0</v>
      </c>
      <c r="AS341" s="6" t="str">
        <f t="shared" si="97"/>
        <v xml:space="preserve"> </v>
      </c>
      <c r="AT341" s="21" t="str">
        <f t="shared" si="98"/>
        <v xml:space="preserve"> </v>
      </c>
    </row>
    <row r="342" spans="3:46">
      <c r="C342" s="22">
        <f t="shared" si="82"/>
        <v>331</v>
      </c>
      <c r="D342" s="23">
        <f>IF(AND(C342&gt;='Amort. Sched.-BASE'!$I$8, C342&lt;= ($I$7+$I$8)), PMT('Amort. Sched.-BASE'!$E$8/12, 'Amort. Sched.-BASE'!$I$7, 'Amort. Sched.-BASE'!$E$7), 0)</f>
        <v>0</v>
      </c>
      <c r="E342" s="5">
        <f>IF(AND(C342&gt;='Amort. Sched.-BASE'!$I$8, C342&lt;= ($I$7+$I$8)), (IPMT($E$8/12, (C342-$I$8), $I$7, $E$7)), 0)</f>
        <v>0</v>
      </c>
      <c r="F342" s="23">
        <f>IF(AND(C342&gt;='Amort. Sched.-BASE'!$I$8, C342&lt;= ($I$7+$I$8)), (PPMT($E$8/12, (C342-$I$8), $I$7, $E$7)), 0)</f>
        <v>0</v>
      </c>
      <c r="G342" s="5">
        <f>IF(MortgageAmortBASE[[#This Row],[Month]]=I$8,E$7,0)</f>
        <v>0</v>
      </c>
      <c r="H342" s="13">
        <f>IF(AND(C342&gt;='Amort. Sched.-BASE'!$I$8, C342&lt;= ($I$7+$I$8)), H341+F342, 0)</f>
        <v>0</v>
      </c>
      <c r="I342" s="24" t="str">
        <f>IF(AND(C342&gt;='Amort. Sched.-BASE'!$I$8, C342&lt;= ($I$7+$I$8)), E342/D342, " ")</f>
        <v xml:space="preserve"> </v>
      </c>
      <c r="J342" s="25" t="str">
        <f>IF(AND(C342&gt;='Amort. Sched.-BASE'!$I$8, C342&lt;= ($I$7+$I$8)), F342/D342, " ")</f>
        <v xml:space="preserve"> </v>
      </c>
      <c r="L342" s="20">
        <f t="shared" si="83"/>
        <v>331</v>
      </c>
      <c r="M342" s="5">
        <f>IF(AND(L342&gt;='Amort. Sched.-BASE'!$R$8, L342&lt;= ($R$7+$R$8)), PMT('Amort. Sched.-BASE'!$N$8/12, 'Amort. Sched.-BASE'!$R$7, 'Amort. Sched.-BASE'!$N$7), 0)</f>
        <v>0</v>
      </c>
      <c r="N342" s="5">
        <f>IF(AND(L342&gt;='Amort. Sched.-BASE'!$R$8, L342&lt;= ($R$7+$R$8)), (IPMT($N$8/12, (L342-$R$8), $R$7, $N$7)), 0)</f>
        <v>0</v>
      </c>
      <c r="O342" s="5">
        <f>IF(AND(L342&gt;='Amort. Sched.-BASE'!$R$8, L342&lt;= ($R$7+$R$8)), (PPMT($N$8/12, (L342-$R$8), $R$7, $N$7)), 0)</f>
        <v>0</v>
      </c>
      <c r="P342" s="5">
        <f>IF(CreditAmort1BASE[[#This Row],[Month]]=R$8,N$7,0)</f>
        <v>0</v>
      </c>
      <c r="Q342" s="13">
        <f>IF(AND(L342&gt;='Amort. Sched.-BASE'!$R$8, L342&lt;= ($R$7+$R$8)), Q341+O342, 0)</f>
        <v>0</v>
      </c>
      <c r="R342" s="6" t="str">
        <f>IF(AND(L342&gt;='Amort. Sched.-BASE'!$R$8, L342&lt;= ($R$7+$R$8)), N342/M342, " ")</f>
        <v xml:space="preserve"> </v>
      </c>
      <c r="S342" s="21" t="str">
        <f>IF(AND(L342&gt;='Amort. Sched.-BASE'!$R$8, L342&lt;= ($R$7+$R$8)), O342/M342, " ")</f>
        <v xml:space="preserve"> </v>
      </c>
      <c r="U342" s="22">
        <f t="shared" si="84"/>
        <v>331</v>
      </c>
      <c r="V342" s="23">
        <f>IF(AND(U342&gt;='Amort. Sched.-BASE'!$AA$8, U342&lt;= ($AA$7+$AA$8)), PMT('Amort. Sched.-BASE'!$W$8/12, 'Amort. Sched.-BASE'!$AA$7, 'Amort. Sched.-BASE'!$W$7), 0)</f>
        <v>0</v>
      </c>
      <c r="W342" s="5">
        <f>IF(AND(U342&gt;='Amort. Sched.-BASE'!$AA$8, U342&lt;= ($AA$7+$AA$8)), (IPMT($W$8/12, (U342-$AA$8), $AA$7, $W$7)), 0)</f>
        <v>0</v>
      </c>
      <c r="X342" s="23">
        <f>IF(AND(U342&gt;='Amort. Sched.-BASE'!$AA$8, U342&lt;= ($AA$7+$AA$8)), (PPMT($W$8/12, (U342-$AA$8), $AA$7, $W$7)), 0)</f>
        <v>0</v>
      </c>
      <c r="Y342" s="5">
        <f>IF(CreditAmort2BASE[[#This Row],[Month]]=AA$8,W$7,0)</f>
        <v>0</v>
      </c>
      <c r="Z342" s="13">
        <f>IF(AND(U342&gt;='Amort. Sched.-BASE'!$AA$8, U342&lt;= ($AA$7+$AA$8)), Z341+X342, 0)</f>
        <v>0</v>
      </c>
      <c r="AA342" s="24" t="str">
        <f>IF(AND(U342&gt;='Amort. Sched.-BASE'!$AA$8, U342&lt;= ($AA$7+$AA$8)), W342/V342, " ")</f>
        <v xml:space="preserve"> </v>
      </c>
      <c r="AB342" s="25" t="str">
        <f>IF(AND(U342&gt;='Amort. Sched.-BASE'!$AA$8, U342&lt;= ($AA$7+$AA$8)), X342/V342, " ")</f>
        <v xml:space="preserve"> </v>
      </c>
      <c r="AD342" s="20">
        <f t="shared" si="85"/>
        <v>331</v>
      </c>
      <c r="AE342" s="5">
        <f t="shared" si="86"/>
        <v>0</v>
      </c>
      <c r="AF342" s="5">
        <f t="shared" si="87"/>
        <v>0</v>
      </c>
      <c r="AG342" s="5">
        <f t="shared" si="88"/>
        <v>0</v>
      </c>
      <c r="AH342" s="5">
        <f>IF(CreditAmort3BASE[[#This Row],[Month]]=AJ$8,AF$7,0)</f>
        <v>0</v>
      </c>
      <c r="AI342" s="13">
        <f t="shared" si="89"/>
        <v>0</v>
      </c>
      <c r="AJ342" s="6" t="str">
        <f t="shared" si="90"/>
        <v xml:space="preserve"> </v>
      </c>
      <c r="AK342" s="21" t="str">
        <f t="shared" si="91"/>
        <v xml:space="preserve"> </v>
      </c>
      <c r="AM342" s="20">
        <f t="shared" si="92"/>
        <v>331</v>
      </c>
      <c r="AN342" s="5">
        <f t="shared" si="93"/>
        <v>0</v>
      </c>
      <c r="AO342" s="5">
        <f t="shared" si="94"/>
        <v>0</v>
      </c>
      <c r="AP342" s="5">
        <f t="shared" si="95"/>
        <v>0</v>
      </c>
      <c r="AQ342" s="5">
        <f>IF(CreditAmort4BASE[[#This Row],[Month]]=AS$8,AO$7,0)</f>
        <v>0</v>
      </c>
      <c r="AR342" s="13">
        <f t="shared" si="96"/>
        <v>0</v>
      </c>
      <c r="AS342" s="6" t="str">
        <f t="shared" si="97"/>
        <v xml:space="preserve"> </v>
      </c>
      <c r="AT342" s="21" t="str">
        <f t="shared" si="98"/>
        <v xml:space="preserve"> </v>
      </c>
    </row>
    <row r="343" spans="3:46">
      <c r="C343" s="22">
        <f t="shared" si="82"/>
        <v>332</v>
      </c>
      <c r="D343" s="23">
        <f>IF(AND(C343&gt;='Amort. Sched.-BASE'!$I$8, C343&lt;= ($I$7+$I$8)), PMT('Amort. Sched.-BASE'!$E$8/12, 'Amort. Sched.-BASE'!$I$7, 'Amort. Sched.-BASE'!$E$7), 0)</f>
        <v>0</v>
      </c>
      <c r="E343" s="5">
        <f>IF(AND(C343&gt;='Amort. Sched.-BASE'!$I$8, C343&lt;= ($I$7+$I$8)), (IPMT($E$8/12, (C343-$I$8), $I$7, $E$7)), 0)</f>
        <v>0</v>
      </c>
      <c r="F343" s="23">
        <f>IF(AND(C343&gt;='Amort. Sched.-BASE'!$I$8, C343&lt;= ($I$7+$I$8)), (PPMT($E$8/12, (C343-$I$8), $I$7, $E$7)), 0)</f>
        <v>0</v>
      </c>
      <c r="G343" s="5">
        <f>IF(MortgageAmortBASE[[#This Row],[Month]]=I$8,E$7,0)</f>
        <v>0</v>
      </c>
      <c r="H343" s="13">
        <f>IF(AND(C343&gt;='Amort. Sched.-BASE'!$I$8, C343&lt;= ($I$7+$I$8)), H342+F343, 0)</f>
        <v>0</v>
      </c>
      <c r="I343" s="24" t="str">
        <f>IF(AND(C343&gt;='Amort. Sched.-BASE'!$I$8, C343&lt;= ($I$7+$I$8)), E343/D343, " ")</f>
        <v xml:space="preserve"> </v>
      </c>
      <c r="J343" s="25" t="str">
        <f>IF(AND(C343&gt;='Amort. Sched.-BASE'!$I$8, C343&lt;= ($I$7+$I$8)), F343/D343, " ")</f>
        <v xml:space="preserve"> </v>
      </c>
      <c r="L343" s="20">
        <f t="shared" si="83"/>
        <v>332</v>
      </c>
      <c r="M343" s="5">
        <f>IF(AND(L343&gt;='Amort. Sched.-BASE'!$R$8, L343&lt;= ($R$7+$R$8)), PMT('Amort. Sched.-BASE'!$N$8/12, 'Amort. Sched.-BASE'!$R$7, 'Amort. Sched.-BASE'!$N$7), 0)</f>
        <v>0</v>
      </c>
      <c r="N343" s="5">
        <f>IF(AND(L343&gt;='Amort. Sched.-BASE'!$R$8, L343&lt;= ($R$7+$R$8)), (IPMT($N$8/12, (L343-$R$8), $R$7, $N$7)), 0)</f>
        <v>0</v>
      </c>
      <c r="O343" s="5">
        <f>IF(AND(L343&gt;='Amort. Sched.-BASE'!$R$8, L343&lt;= ($R$7+$R$8)), (PPMT($N$8/12, (L343-$R$8), $R$7, $N$7)), 0)</f>
        <v>0</v>
      </c>
      <c r="P343" s="5">
        <f>IF(CreditAmort1BASE[[#This Row],[Month]]=R$8,N$7,0)</f>
        <v>0</v>
      </c>
      <c r="Q343" s="13">
        <f>IF(AND(L343&gt;='Amort. Sched.-BASE'!$R$8, L343&lt;= ($R$7+$R$8)), Q342+O343, 0)</f>
        <v>0</v>
      </c>
      <c r="R343" s="6" t="str">
        <f>IF(AND(L343&gt;='Amort. Sched.-BASE'!$R$8, L343&lt;= ($R$7+$R$8)), N343/M343, " ")</f>
        <v xml:space="preserve"> </v>
      </c>
      <c r="S343" s="21" t="str">
        <f>IF(AND(L343&gt;='Amort. Sched.-BASE'!$R$8, L343&lt;= ($R$7+$R$8)), O343/M343, " ")</f>
        <v xml:space="preserve"> </v>
      </c>
      <c r="U343" s="22">
        <f t="shared" si="84"/>
        <v>332</v>
      </c>
      <c r="V343" s="23">
        <f>IF(AND(U343&gt;='Amort. Sched.-BASE'!$AA$8, U343&lt;= ($AA$7+$AA$8)), PMT('Amort. Sched.-BASE'!$W$8/12, 'Amort. Sched.-BASE'!$AA$7, 'Amort. Sched.-BASE'!$W$7), 0)</f>
        <v>0</v>
      </c>
      <c r="W343" s="5">
        <f>IF(AND(U343&gt;='Amort. Sched.-BASE'!$AA$8, U343&lt;= ($AA$7+$AA$8)), (IPMT($W$8/12, (U343-$AA$8), $AA$7, $W$7)), 0)</f>
        <v>0</v>
      </c>
      <c r="X343" s="23">
        <f>IF(AND(U343&gt;='Amort. Sched.-BASE'!$AA$8, U343&lt;= ($AA$7+$AA$8)), (PPMT($W$8/12, (U343-$AA$8), $AA$7, $W$7)), 0)</f>
        <v>0</v>
      </c>
      <c r="Y343" s="5">
        <f>IF(CreditAmort2BASE[[#This Row],[Month]]=AA$8,W$7,0)</f>
        <v>0</v>
      </c>
      <c r="Z343" s="13">
        <f>IF(AND(U343&gt;='Amort. Sched.-BASE'!$AA$8, U343&lt;= ($AA$7+$AA$8)), Z342+X343, 0)</f>
        <v>0</v>
      </c>
      <c r="AA343" s="24" t="str">
        <f>IF(AND(U343&gt;='Amort. Sched.-BASE'!$AA$8, U343&lt;= ($AA$7+$AA$8)), W343/V343, " ")</f>
        <v xml:space="preserve"> </v>
      </c>
      <c r="AB343" s="25" t="str">
        <f>IF(AND(U343&gt;='Amort. Sched.-BASE'!$AA$8, U343&lt;= ($AA$7+$AA$8)), X343/V343, " ")</f>
        <v xml:space="preserve"> </v>
      </c>
      <c r="AD343" s="20">
        <f t="shared" si="85"/>
        <v>332</v>
      </c>
      <c r="AE343" s="5">
        <f t="shared" si="86"/>
        <v>0</v>
      </c>
      <c r="AF343" s="5">
        <f t="shared" si="87"/>
        <v>0</v>
      </c>
      <c r="AG343" s="5">
        <f t="shared" si="88"/>
        <v>0</v>
      </c>
      <c r="AH343" s="5">
        <f>IF(CreditAmort3BASE[[#This Row],[Month]]=AJ$8,AF$7,0)</f>
        <v>0</v>
      </c>
      <c r="AI343" s="13">
        <f t="shared" si="89"/>
        <v>0</v>
      </c>
      <c r="AJ343" s="6" t="str">
        <f t="shared" si="90"/>
        <v xml:space="preserve"> </v>
      </c>
      <c r="AK343" s="21" t="str">
        <f t="shared" si="91"/>
        <v xml:space="preserve"> </v>
      </c>
      <c r="AM343" s="20">
        <f t="shared" si="92"/>
        <v>332</v>
      </c>
      <c r="AN343" s="5">
        <f t="shared" si="93"/>
        <v>0</v>
      </c>
      <c r="AO343" s="5">
        <f t="shared" si="94"/>
        <v>0</v>
      </c>
      <c r="AP343" s="5">
        <f t="shared" si="95"/>
        <v>0</v>
      </c>
      <c r="AQ343" s="5">
        <f>IF(CreditAmort4BASE[[#This Row],[Month]]=AS$8,AO$7,0)</f>
        <v>0</v>
      </c>
      <c r="AR343" s="13">
        <f t="shared" si="96"/>
        <v>0</v>
      </c>
      <c r="AS343" s="6" t="str">
        <f t="shared" si="97"/>
        <v xml:space="preserve"> </v>
      </c>
      <c r="AT343" s="21" t="str">
        <f t="shared" si="98"/>
        <v xml:space="preserve"> </v>
      </c>
    </row>
    <row r="344" spans="3:46">
      <c r="C344" s="22">
        <f t="shared" si="82"/>
        <v>333</v>
      </c>
      <c r="D344" s="23">
        <f>IF(AND(C344&gt;='Amort. Sched.-BASE'!$I$8, C344&lt;= ($I$7+$I$8)), PMT('Amort. Sched.-BASE'!$E$8/12, 'Amort. Sched.-BASE'!$I$7, 'Amort. Sched.-BASE'!$E$7), 0)</f>
        <v>0</v>
      </c>
      <c r="E344" s="5">
        <f>IF(AND(C344&gt;='Amort. Sched.-BASE'!$I$8, C344&lt;= ($I$7+$I$8)), (IPMT($E$8/12, (C344-$I$8), $I$7, $E$7)), 0)</f>
        <v>0</v>
      </c>
      <c r="F344" s="23">
        <f>IF(AND(C344&gt;='Amort. Sched.-BASE'!$I$8, C344&lt;= ($I$7+$I$8)), (PPMT($E$8/12, (C344-$I$8), $I$7, $E$7)), 0)</f>
        <v>0</v>
      </c>
      <c r="G344" s="5">
        <f>IF(MortgageAmortBASE[[#This Row],[Month]]=I$8,E$7,0)</f>
        <v>0</v>
      </c>
      <c r="H344" s="13">
        <f>IF(AND(C344&gt;='Amort. Sched.-BASE'!$I$8, C344&lt;= ($I$7+$I$8)), H343+F344, 0)</f>
        <v>0</v>
      </c>
      <c r="I344" s="24" t="str">
        <f>IF(AND(C344&gt;='Amort. Sched.-BASE'!$I$8, C344&lt;= ($I$7+$I$8)), E344/D344, " ")</f>
        <v xml:space="preserve"> </v>
      </c>
      <c r="J344" s="25" t="str">
        <f>IF(AND(C344&gt;='Amort. Sched.-BASE'!$I$8, C344&lt;= ($I$7+$I$8)), F344/D344, " ")</f>
        <v xml:space="preserve"> </v>
      </c>
      <c r="L344" s="20">
        <f t="shared" si="83"/>
        <v>333</v>
      </c>
      <c r="M344" s="5">
        <f>IF(AND(L344&gt;='Amort. Sched.-BASE'!$R$8, L344&lt;= ($R$7+$R$8)), PMT('Amort. Sched.-BASE'!$N$8/12, 'Amort. Sched.-BASE'!$R$7, 'Amort. Sched.-BASE'!$N$7), 0)</f>
        <v>0</v>
      </c>
      <c r="N344" s="5">
        <f>IF(AND(L344&gt;='Amort. Sched.-BASE'!$R$8, L344&lt;= ($R$7+$R$8)), (IPMT($N$8/12, (L344-$R$8), $R$7, $N$7)), 0)</f>
        <v>0</v>
      </c>
      <c r="O344" s="5">
        <f>IF(AND(L344&gt;='Amort. Sched.-BASE'!$R$8, L344&lt;= ($R$7+$R$8)), (PPMT($N$8/12, (L344-$R$8), $R$7, $N$7)), 0)</f>
        <v>0</v>
      </c>
      <c r="P344" s="5">
        <f>IF(CreditAmort1BASE[[#This Row],[Month]]=R$8,N$7,0)</f>
        <v>0</v>
      </c>
      <c r="Q344" s="13">
        <f>IF(AND(L344&gt;='Amort. Sched.-BASE'!$R$8, L344&lt;= ($R$7+$R$8)), Q343+O344, 0)</f>
        <v>0</v>
      </c>
      <c r="R344" s="6" t="str">
        <f>IF(AND(L344&gt;='Amort. Sched.-BASE'!$R$8, L344&lt;= ($R$7+$R$8)), N344/M344, " ")</f>
        <v xml:space="preserve"> </v>
      </c>
      <c r="S344" s="21" t="str">
        <f>IF(AND(L344&gt;='Amort. Sched.-BASE'!$R$8, L344&lt;= ($R$7+$R$8)), O344/M344, " ")</f>
        <v xml:space="preserve"> </v>
      </c>
      <c r="U344" s="22">
        <f t="shared" si="84"/>
        <v>333</v>
      </c>
      <c r="V344" s="23">
        <f>IF(AND(U344&gt;='Amort. Sched.-BASE'!$AA$8, U344&lt;= ($AA$7+$AA$8)), PMT('Amort. Sched.-BASE'!$W$8/12, 'Amort. Sched.-BASE'!$AA$7, 'Amort. Sched.-BASE'!$W$7), 0)</f>
        <v>0</v>
      </c>
      <c r="W344" s="5">
        <f>IF(AND(U344&gt;='Amort. Sched.-BASE'!$AA$8, U344&lt;= ($AA$7+$AA$8)), (IPMT($W$8/12, (U344-$AA$8), $AA$7, $W$7)), 0)</f>
        <v>0</v>
      </c>
      <c r="X344" s="23">
        <f>IF(AND(U344&gt;='Amort. Sched.-BASE'!$AA$8, U344&lt;= ($AA$7+$AA$8)), (PPMT($W$8/12, (U344-$AA$8), $AA$7, $W$7)), 0)</f>
        <v>0</v>
      </c>
      <c r="Y344" s="5">
        <f>IF(CreditAmort2BASE[[#This Row],[Month]]=AA$8,W$7,0)</f>
        <v>0</v>
      </c>
      <c r="Z344" s="13">
        <f>IF(AND(U344&gt;='Amort. Sched.-BASE'!$AA$8, U344&lt;= ($AA$7+$AA$8)), Z343+X344, 0)</f>
        <v>0</v>
      </c>
      <c r="AA344" s="24" t="str">
        <f>IF(AND(U344&gt;='Amort. Sched.-BASE'!$AA$8, U344&lt;= ($AA$7+$AA$8)), W344/V344, " ")</f>
        <v xml:space="preserve"> </v>
      </c>
      <c r="AB344" s="25" t="str">
        <f>IF(AND(U344&gt;='Amort. Sched.-BASE'!$AA$8, U344&lt;= ($AA$7+$AA$8)), X344/V344, " ")</f>
        <v xml:space="preserve"> </v>
      </c>
      <c r="AD344" s="20">
        <f t="shared" si="85"/>
        <v>333</v>
      </c>
      <c r="AE344" s="5">
        <f t="shared" si="86"/>
        <v>0</v>
      </c>
      <c r="AF344" s="5">
        <f t="shared" si="87"/>
        <v>0</v>
      </c>
      <c r="AG344" s="5">
        <f t="shared" si="88"/>
        <v>0</v>
      </c>
      <c r="AH344" s="5">
        <f>IF(CreditAmort3BASE[[#This Row],[Month]]=AJ$8,AF$7,0)</f>
        <v>0</v>
      </c>
      <c r="AI344" s="13">
        <f t="shared" si="89"/>
        <v>0</v>
      </c>
      <c r="AJ344" s="6" t="str">
        <f t="shared" si="90"/>
        <v xml:space="preserve"> </v>
      </c>
      <c r="AK344" s="21" t="str">
        <f t="shared" si="91"/>
        <v xml:space="preserve"> </v>
      </c>
      <c r="AM344" s="20">
        <f t="shared" si="92"/>
        <v>333</v>
      </c>
      <c r="AN344" s="5">
        <f t="shared" si="93"/>
        <v>0</v>
      </c>
      <c r="AO344" s="5">
        <f t="shared" si="94"/>
        <v>0</v>
      </c>
      <c r="AP344" s="5">
        <f t="shared" si="95"/>
        <v>0</v>
      </c>
      <c r="AQ344" s="5">
        <f>IF(CreditAmort4BASE[[#This Row],[Month]]=AS$8,AO$7,0)</f>
        <v>0</v>
      </c>
      <c r="AR344" s="13">
        <f t="shared" si="96"/>
        <v>0</v>
      </c>
      <c r="AS344" s="6" t="str">
        <f t="shared" si="97"/>
        <v xml:space="preserve"> </v>
      </c>
      <c r="AT344" s="21" t="str">
        <f t="shared" si="98"/>
        <v xml:space="preserve"> </v>
      </c>
    </row>
    <row r="345" spans="3:46">
      <c r="C345" s="22">
        <f t="shared" si="82"/>
        <v>334</v>
      </c>
      <c r="D345" s="23">
        <f>IF(AND(C345&gt;='Amort. Sched.-BASE'!$I$8, C345&lt;= ($I$7+$I$8)), PMT('Amort. Sched.-BASE'!$E$8/12, 'Amort. Sched.-BASE'!$I$7, 'Amort. Sched.-BASE'!$E$7), 0)</f>
        <v>0</v>
      </c>
      <c r="E345" s="5">
        <f>IF(AND(C345&gt;='Amort. Sched.-BASE'!$I$8, C345&lt;= ($I$7+$I$8)), (IPMT($E$8/12, (C345-$I$8), $I$7, $E$7)), 0)</f>
        <v>0</v>
      </c>
      <c r="F345" s="23">
        <f>IF(AND(C345&gt;='Amort. Sched.-BASE'!$I$8, C345&lt;= ($I$7+$I$8)), (PPMT($E$8/12, (C345-$I$8), $I$7, $E$7)), 0)</f>
        <v>0</v>
      </c>
      <c r="G345" s="5">
        <f>IF(MortgageAmortBASE[[#This Row],[Month]]=I$8,E$7,0)</f>
        <v>0</v>
      </c>
      <c r="H345" s="13">
        <f>IF(AND(C345&gt;='Amort. Sched.-BASE'!$I$8, C345&lt;= ($I$7+$I$8)), H344+F345, 0)</f>
        <v>0</v>
      </c>
      <c r="I345" s="24" t="str">
        <f>IF(AND(C345&gt;='Amort. Sched.-BASE'!$I$8, C345&lt;= ($I$7+$I$8)), E345/D345, " ")</f>
        <v xml:space="preserve"> </v>
      </c>
      <c r="J345" s="25" t="str">
        <f>IF(AND(C345&gt;='Amort. Sched.-BASE'!$I$8, C345&lt;= ($I$7+$I$8)), F345/D345, " ")</f>
        <v xml:space="preserve"> </v>
      </c>
      <c r="L345" s="20">
        <f t="shared" si="83"/>
        <v>334</v>
      </c>
      <c r="M345" s="5">
        <f>IF(AND(L345&gt;='Amort. Sched.-BASE'!$R$8, L345&lt;= ($R$7+$R$8)), PMT('Amort. Sched.-BASE'!$N$8/12, 'Amort. Sched.-BASE'!$R$7, 'Amort. Sched.-BASE'!$N$7), 0)</f>
        <v>0</v>
      </c>
      <c r="N345" s="5">
        <f>IF(AND(L345&gt;='Amort. Sched.-BASE'!$R$8, L345&lt;= ($R$7+$R$8)), (IPMT($N$8/12, (L345-$R$8), $R$7, $N$7)), 0)</f>
        <v>0</v>
      </c>
      <c r="O345" s="5">
        <f>IF(AND(L345&gt;='Amort. Sched.-BASE'!$R$8, L345&lt;= ($R$7+$R$8)), (PPMT($N$8/12, (L345-$R$8), $R$7, $N$7)), 0)</f>
        <v>0</v>
      </c>
      <c r="P345" s="5">
        <f>IF(CreditAmort1BASE[[#This Row],[Month]]=R$8,N$7,0)</f>
        <v>0</v>
      </c>
      <c r="Q345" s="13">
        <f>IF(AND(L345&gt;='Amort. Sched.-BASE'!$R$8, L345&lt;= ($R$7+$R$8)), Q344+O345, 0)</f>
        <v>0</v>
      </c>
      <c r="R345" s="6" t="str">
        <f>IF(AND(L345&gt;='Amort. Sched.-BASE'!$R$8, L345&lt;= ($R$7+$R$8)), N345/M345, " ")</f>
        <v xml:space="preserve"> </v>
      </c>
      <c r="S345" s="21" t="str">
        <f>IF(AND(L345&gt;='Amort. Sched.-BASE'!$R$8, L345&lt;= ($R$7+$R$8)), O345/M345, " ")</f>
        <v xml:space="preserve"> </v>
      </c>
      <c r="U345" s="22">
        <f t="shared" si="84"/>
        <v>334</v>
      </c>
      <c r="V345" s="23">
        <f>IF(AND(U345&gt;='Amort. Sched.-BASE'!$AA$8, U345&lt;= ($AA$7+$AA$8)), PMT('Amort. Sched.-BASE'!$W$8/12, 'Amort. Sched.-BASE'!$AA$7, 'Amort. Sched.-BASE'!$W$7), 0)</f>
        <v>0</v>
      </c>
      <c r="W345" s="5">
        <f>IF(AND(U345&gt;='Amort. Sched.-BASE'!$AA$8, U345&lt;= ($AA$7+$AA$8)), (IPMT($W$8/12, (U345-$AA$8), $AA$7, $W$7)), 0)</f>
        <v>0</v>
      </c>
      <c r="X345" s="23">
        <f>IF(AND(U345&gt;='Amort. Sched.-BASE'!$AA$8, U345&lt;= ($AA$7+$AA$8)), (PPMT($W$8/12, (U345-$AA$8), $AA$7, $W$7)), 0)</f>
        <v>0</v>
      </c>
      <c r="Y345" s="5">
        <f>IF(CreditAmort2BASE[[#This Row],[Month]]=AA$8,W$7,0)</f>
        <v>0</v>
      </c>
      <c r="Z345" s="13">
        <f>IF(AND(U345&gt;='Amort. Sched.-BASE'!$AA$8, U345&lt;= ($AA$7+$AA$8)), Z344+X345, 0)</f>
        <v>0</v>
      </c>
      <c r="AA345" s="24" t="str">
        <f>IF(AND(U345&gt;='Amort. Sched.-BASE'!$AA$8, U345&lt;= ($AA$7+$AA$8)), W345/V345, " ")</f>
        <v xml:space="preserve"> </v>
      </c>
      <c r="AB345" s="25" t="str">
        <f>IF(AND(U345&gt;='Amort. Sched.-BASE'!$AA$8, U345&lt;= ($AA$7+$AA$8)), X345/V345, " ")</f>
        <v xml:space="preserve"> </v>
      </c>
      <c r="AD345" s="20">
        <f t="shared" si="85"/>
        <v>334</v>
      </c>
      <c r="AE345" s="5">
        <f t="shared" si="86"/>
        <v>0</v>
      </c>
      <c r="AF345" s="5">
        <f t="shared" si="87"/>
        <v>0</v>
      </c>
      <c r="AG345" s="5">
        <f t="shared" si="88"/>
        <v>0</v>
      </c>
      <c r="AH345" s="5">
        <f>IF(CreditAmort3BASE[[#This Row],[Month]]=AJ$8,AF$7,0)</f>
        <v>0</v>
      </c>
      <c r="AI345" s="13">
        <f t="shared" si="89"/>
        <v>0</v>
      </c>
      <c r="AJ345" s="6" t="str">
        <f t="shared" si="90"/>
        <v xml:space="preserve"> </v>
      </c>
      <c r="AK345" s="21" t="str">
        <f t="shared" si="91"/>
        <v xml:space="preserve"> </v>
      </c>
      <c r="AM345" s="20">
        <f t="shared" si="92"/>
        <v>334</v>
      </c>
      <c r="AN345" s="5">
        <f t="shared" si="93"/>
        <v>0</v>
      </c>
      <c r="AO345" s="5">
        <f t="shared" si="94"/>
        <v>0</v>
      </c>
      <c r="AP345" s="5">
        <f t="shared" si="95"/>
        <v>0</v>
      </c>
      <c r="AQ345" s="5">
        <f>IF(CreditAmort4BASE[[#This Row],[Month]]=AS$8,AO$7,0)</f>
        <v>0</v>
      </c>
      <c r="AR345" s="13">
        <f t="shared" si="96"/>
        <v>0</v>
      </c>
      <c r="AS345" s="6" t="str">
        <f t="shared" si="97"/>
        <v xml:space="preserve"> </v>
      </c>
      <c r="AT345" s="21" t="str">
        <f t="shared" si="98"/>
        <v xml:space="preserve"> </v>
      </c>
    </row>
    <row r="346" spans="3:46">
      <c r="C346" s="22">
        <f t="shared" si="82"/>
        <v>335</v>
      </c>
      <c r="D346" s="23">
        <f>IF(AND(C346&gt;='Amort. Sched.-BASE'!$I$8, C346&lt;= ($I$7+$I$8)), PMT('Amort. Sched.-BASE'!$E$8/12, 'Amort. Sched.-BASE'!$I$7, 'Amort. Sched.-BASE'!$E$7), 0)</f>
        <v>0</v>
      </c>
      <c r="E346" s="5">
        <f>IF(AND(C346&gt;='Amort. Sched.-BASE'!$I$8, C346&lt;= ($I$7+$I$8)), (IPMT($E$8/12, (C346-$I$8), $I$7, $E$7)), 0)</f>
        <v>0</v>
      </c>
      <c r="F346" s="23">
        <f>IF(AND(C346&gt;='Amort. Sched.-BASE'!$I$8, C346&lt;= ($I$7+$I$8)), (PPMT($E$8/12, (C346-$I$8), $I$7, $E$7)), 0)</f>
        <v>0</v>
      </c>
      <c r="G346" s="5">
        <f>IF(MortgageAmortBASE[[#This Row],[Month]]=I$8,E$7,0)</f>
        <v>0</v>
      </c>
      <c r="H346" s="13">
        <f>IF(AND(C346&gt;='Amort. Sched.-BASE'!$I$8, C346&lt;= ($I$7+$I$8)), H345+F346, 0)</f>
        <v>0</v>
      </c>
      <c r="I346" s="24" t="str">
        <f>IF(AND(C346&gt;='Amort. Sched.-BASE'!$I$8, C346&lt;= ($I$7+$I$8)), E346/D346, " ")</f>
        <v xml:space="preserve"> </v>
      </c>
      <c r="J346" s="25" t="str">
        <f>IF(AND(C346&gt;='Amort. Sched.-BASE'!$I$8, C346&lt;= ($I$7+$I$8)), F346/D346, " ")</f>
        <v xml:space="preserve"> </v>
      </c>
      <c r="L346" s="20">
        <f t="shared" si="83"/>
        <v>335</v>
      </c>
      <c r="M346" s="5">
        <f>IF(AND(L346&gt;='Amort. Sched.-BASE'!$R$8, L346&lt;= ($R$7+$R$8)), PMT('Amort. Sched.-BASE'!$N$8/12, 'Amort. Sched.-BASE'!$R$7, 'Amort. Sched.-BASE'!$N$7), 0)</f>
        <v>0</v>
      </c>
      <c r="N346" s="5">
        <f>IF(AND(L346&gt;='Amort. Sched.-BASE'!$R$8, L346&lt;= ($R$7+$R$8)), (IPMT($N$8/12, (L346-$R$8), $R$7, $N$7)), 0)</f>
        <v>0</v>
      </c>
      <c r="O346" s="5">
        <f>IF(AND(L346&gt;='Amort. Sched.-BASE'!$R$8, L346&lt;= ($R$7+$R$8)), (PPMT($N$8/12, (L346-$R$8), $R$7, $N$7)), 0)</f>
        <v>0</v>
      </c>
      <c r="P346" s="5">
        <f>IF(CreditAmort1BASE[[#This Row],[Month]]=R$8,N$7,0)</f>
        <v>0</v>
      </c>
      <c r="Q346" s="13">
        <f>IF(AND(L346&gt;='Amort. Sched.-BASE'!$R$8, L346&lt;= ($R$7+$R$8)), Q345+O346, 0)</f>
        <v>0</v>
      </c>
      <c r="R346" s="6" t="str">
        <f>IF(AND(L346&gt;='Amort. Sched.-BASE'!$R$8, L346&lt;= ($R$7+$R$8)), N346/M346, " ")</f>
        <v xml:space="preserve"> </v>
      </c>
      <c r="S346" s="21" t="str">
        <f>IF(AND(L346&gt;='Amort. Sched.-BASE'!$R$8, L346&lt;= ($R$7+$R$8)), O346/M346, " ")</f>
        <v xml:space="preserve"> </v>
      </c>
      <c r="U346" s="22">
        <f t="shared" si="84"/>
        <v>335</v>
      </c>
      <c r="V346" s="23">
        <f>IF(AND(U346&gt;='Amort. Sched.-BASE'!$AA$8, U346&lt;= ($AA$7+$AA$8)), PMT('Amort. Sched.-BASE'!$W$8/12, 'Amort. Sched.-BASE'!$AA$7, 'Amort. Sched.-BASE'!$W$7), 0)</f>
        <v>0</v>
      </c>
      <c r="W346" s="5">
        <f>IF(AND(U346&gt;='Amort. Sched.-BASE'!$AA$8, U346&lt;= ($AA$7+$AA$8)), (IPMT($W$8/12, (U346-$AA$8), $AA$7, $W$7)), 0)</f>
        <v>0</v>
      </c>
      <c r="X346" s="23">
        <f>IF(AND(U346&gt;='Amort. Sched.-BASE'!$AA$8, U346&lt;= ($AA$7+$AA$8)), (PPMT($W$8/12, (U346-$AA$8), $AA$7, $W$7)), 0)</f>
        <v>0</v>
      </c>
      <c r="Y346" s="5">
        <f>IF(CreditAmort2BASE[[#This Row],[Month]]=AA$8,W$7,0)</f>
        <v>0</v>
      </c>
      <c r="Z346" s="13">
        <f>IF(AND(U346&gt;='Amort. Sched.-BASE'!$AA$8, U346&lt;= ($AA$7+$AA$8)), Z345+X346, 0)</f>
        <v>0</v>
      </c>
      <c r="AA346" s="24" t="str">
        <f>IF(AND(U346&gt;='Amort. Sched.-BASE'!$AA$8, U346&lt;= ($AA$7+$AA$8)), W346/V346, " ")</f>
        <v xml:space="preserve"> </v>
      </c>
      <c r="AB346" s="25" t="str">
        <f>IF(AND(U346&gt;='Amort. Sched.-BASE'!$AA$8, U346&lt;= ($AA$7+$AA$8)), X346/V346, " ")</f>
        <v xml:space="preserve"> </v>
      </c>
      <c r="AD346" s="20">
        <f t="shared" si="85"/>
        <v>335</v>
      </c>
      <c r="AE346" s="5">
        <f t="shared" si="86"/>
        <v>0</v>
      </c>
      <c r="AF346" s="5">
        <f t="shared" si="87"/>
        <v>0</v>
      </c>
      <c r="AG346" s="5">
        <f t="shared" si="88"/>
        <v>0</v>
      </c>
      <c r="AH346" s="5">
        <f>IF(CreditAmort3BASE[[#This Row],[Month]]=AJ$8,AF$7,0)</f>
        <v>0</v>
      </c>
      <c r="AI346" s="13">
        <f t="shared" si="89"/>
        <v>0</v>
      </c>
      <c r="AJ346" s="6" t="str">
        <f t="shared" si="90"/>
        <v xml:space="preserve"> </v>
      </c>
      <c r="AK346" s="21" t="str">
        <f t="shared" si="91"/>
        <v xml:space="preserve"> </v>
      </c>
      <c r="AM346" s="20">
        <f t="shared" si="92"/>
        <v>335</v>
      </c>
      <c r="AN346" s="5">
        <f t="shared" si="93"/>
        <v>0</v>
      </c>
      <c r="AO346" s="5">
        <f t="shared" si="94"/>
        <v>0</v>
      </c>
      <c r="AP346" s="5">
        <f t="shared" si="95"/>
        <v>0</v>
      </c>
      <c r="AQ346" s="5">
        <f>IF(CreditAmort4BASE[[#This Row],[Month]]=AS$8,AO$7,0)</f>
        <v>0</v>
      </c>
      <c r="AR346" s="13">
        <f t="shared" si="96"/>
        <v>0</v>
      </c>
      <c r="AS346" s="6" t="str">
        <f t="shared" si="97"/>
        <v xml:space="preserve"> </v>
      </c>
      <c r="AT346" s="21" t="str">
        <f t="shared" si="98"/>
        <v xml:space="preserve"> </v>
      </c>
    </row>
    <row r="347" spans="3:46">
      <c r="C347" s="22">
        <f t="shared" si="82"/>
        <v>336</v>
      </c>
      <c r="D347" s="23">
        <f>IF(AND(C347&gt;='Amort. Sched.-BASE'!$I$8, C347&lt;= ($I$7+$I$8)), PMT('Amort. Sched.-BASE'!$E$8/12, 'Amort. Sched.-BASE'!$I$7, 'Amort. Sched.-BASE'!$E$7), 0)</f>
        <v>0</v>
      </c>
      <c r="E347" s="5">
        <f>IF(AND(C347&gt;='Amort. Sched.-BASE'!$I$8, C347&lt;= ($I$7+$I$8)), (IPMT($E$8/12, (C347-$I$8), $I$7, $E$7)), 0)</f>
        <v>0</v>
      </c>
      <c r="F347" s="23">
        <f>IF(AND(C347&gt;='Amort. Sched.-BASE'!$I$8, C347&lt;= ($I$7+$I$8)), (PPMT($E$8/12, (C347-$I$8), $I$7, $E$7)), 0)</f>
        <v>0</v>
      </c>
      <c r="G347" s="5">
        <f>IF(MortgageAmortBASE[[#This Row],[Month]]=I$8,E$7,0)</f>
        <v>0</v>
      </c>
      <c r="H347" s="13">
        <f>IF(AND(C347&gt;='Amort. Sched.-BASE'!$I$8, C347&lt;= ($I$7+$I$8)), H346+F347, 0)</f>
        <v>0</v>
      </c>
      <c r="I347" s="24" t="str">
        <f>IF(AND(C347&gt;='Amort. Sched.-BASE'!$I$8, C347&lt;= ($I$7+$I$8)), E347/D347, " ")</f>
        <v xml:space="preserve"> </v>
      </c>
      <c r="J347" s="25" t="str">
        <f>IF(AND(C347&gt;='Amort. Sched.-BASE'!$I$8, C347&lt;= ($I$7+$I$8)), F347/D347, " ")</f>
        <v xml:space="preserve"> </v>
      </c>
      <c r="L347" s="20">
        <f t="shared" si="83"/>
        <v>336</v>
      </c>
      <c r="M347" s="5">
        <f>IF(AND(L347&gt;='Amort. Sched.-BASE'!$R$8, L347&lt;= ($R$7+$R$8)), PMT('Amort. Sched.-BASE'!$N$8/12, 'Amort. Sched.-BASE'!$R$7, 'Amort. Sched.-BASE'!$N$7), 0)</f>
        <v>0</v>
      </c>
      <c r="N347" s="5">
        <f>IF(AND(L347&gt;='Amort. Sched.-BASE'!$R$8, L347&lt;= ($R$7+$R$8)), (IPMT($N$8/12, (L347-$R$8), $R$7, $N$7)), 0)</f>
        <v>0</v>
      </c>
      <c r="O347" s="5">
        <f>IF(AND(L347&gt;='Amort. Sched.-BASE'!$R$8, L347&lt;= ($R$7+$R$8)), (PPMT($N$8/12, (L347-$R$8), $R$7, $N$7)), 0)</f>
        <v>0</v>
      </c>
      <c r="P347" s="5">
        <f>IF(CreditAmort1BASE[[#This Row],[Month]]=R$8,N$7,0)</f>
        <v>0</v>
      </c>
      <c r="Q347" s="13">
        <f>IF(AND(L347&gt;='Amort. Sched.-BASE'!$R$8, L347&lt;= ($R$7+$R$8)), Q346+O347, 0)</f>
        <v>0</v>
      </c>
      <c r="R347" s="6" t="str">
        <f>IF(AND(L347&gt;='Amort. Sched.-BASE'!$R$8, L347&lt;= ($R$7+$R$8)), N347/M347, " ")</f>
        <v xml:space="preserve"> </v>
      </c>
      <c r="S347" s="21" t="str">
        <f>IF(AND(L347&gt;='Amort. Sched.-BASE'!$R$8, L347&lt;= ($R$7+$R$8)), O347/M347, " ")</f>
        <v xml:space="preserve"> </v>
      </c>
      <c r="U347" s="22">
        <f t="shared" si="84"/>
        <v>336</v>
      </c>
      <c r="V347" s="23">
        <f>IF(AND(U347&gt;='Amort. Sched.-BASE'!$AA$8, U347&lt;= ($AA$7+$AA$8)), PMT('Amort. Sched.-BASE'!$W$8/12, 'Amort. Sched.-BASE'!$AA$7, 'Amort. Sched.-BASE'!$W$7), 0)</f>
        <v>0</v>
      </c>
      <c r="W347" s="5">
        <f>IF(AND(U347&gt;='Amort. Sched.-BASE'!$AA$8, U347&lt;= ($AA$7+$AA$8)), (IPMT($W$8/12, (U347-$AA$8), $AA$7, $W$7)), 0)</f>
        <v>0</v>
      </c>
      <c r="X347" s="23">
        <f>IF(AND(U347&gt;='Amort. Sched.-BASE'!$AA$8, U347&lt;= ($AA$7+$AA$8)), (PPMT($W$8/12, (U347-$AA$8), $AA$7, $W$7)), 0)</f>
        <v>0</v>
      </c>
      <c r="Y347" s="5">
        <f>IF(CreditAmort2BASE[[#This Row],[Month]]=AA$8,W$7,0)</f>
        <v>0</v>
      </c>
      <c r="Z347" s="13">
        <f>IF(AND(U347&gt;='Amort. Sched.-BASE'!$AA$8, U347&lt;= ($AA$7+$AA$8)), Z346+X347, 0)</f>
        <v>0</v>
      </c>
      <c r="AA347" s="24" t="str">
        <f>IF(AND(U347&gt;='Amort. Sched.-BASE'!$AA$8, U347&lt;= ($AA$7+$AA$8)), W347/V347, " ")</f>
        <v xml:space="preserve"> </v>
      </c>
      <c r="AB347" s="25" t="str">
        <f>IF(AND(U347&gt;='Amort. Sched.-BASE'!$AA$8, U347&lt;= ($AA$7+$AA$8)), X347/V347, " ")</f>
        <v xml:space="preserve"> </v>
      </c>
      <c r="AD347" s="20">
        <f t="shared" si="85"/>
        <v>336</v>
      </c>
      <c r="AE347" s="5">
        <f t="shared" si="86"/>
        <v>0</v>
      </c>
      <c r="AF347" s="5">
        <f t="shared" si="87"/>
        <v>0</v>
      </c>
      <c r="AG347" s="5">
        <f t="shared" si="88"/>
        <v>0</v>
      </c>
      <c r="AH347" s="5">
        <f>IF(CreditAmort3BASE[[#This Row],[Month]]=AJ$8,AF$7,0)</f>
        <v>0</v>
      </c>
      <c r="AI347" s="13">
        <f t="shared" si="89"/>
        <v>0</v>
      </c>
      <c r="AJ347" s="6" t="str">
        <f t="shared" si="90"/>
        <v xml:space="preserve"> </v>
      </c>
      <c r="AK347" s="21" t="str">
        <f t="shared" si="91"/>
        <v xml:space="preserve"> </v>
      </c>
      <c r="AM347" s="20">
        <f t="shared" si="92"/>
        <v>336</v>
      </c>
      <c r="AN347" s="5">
        <f t="shared" si="93"/>
        <v>0</v>
      </c>
      <c r="AO347" s="5">
        <f t="shared" si="94"/>
        <v>0</v>
      </c>
      <c r="AP347" s="5">
        <f t="shared" si="95"/>
        <v>0</v>
      </c>
      <c r="AQ347" s="5">
        <f>IF(CreditAmort4BASE[[#This Row],[Month]]=AS$8,AO$7,0)</f>
        <v>0</v>
      </c>
      <c r="AR347" s="13">
        <f t="shared" si="96"/>
        <v>0</v>
      </c>
      <c r="AS347" s="6" t="str">
        <f t="shared" si="97"/>
        <v xml:space="preserve"> </v>
      </c>
      <c r="AT347" s="21" t="str">
        <f t="shared" si="98"/>
        <v xml:space="preserve"> </v>
      </c>
    </row>
    <row r="348" spans="3:46">
      <c r="C348" s="22">
        <f t="shared" si="82"/>
        <v>337</v>
      </c>
      <c r="D348" s="23">
        <f>IF(AND(C348&gt;='Amort. Sched.-BASE'!$I$8, C348&lt;= ($I$7+$I$8)), PMT('Amort. Sched.-BASE'!$E$8/12, 'Amort. Sched.-BASE'!$I$7, 'Amort. Sched.-BASE'!$E$7), 0)</f>
        <v>0</v>
      </c>
      <c r="E348" s="5">
        <f>IF(AND(C348&gt;='Amort. Sched.-BASE'!$I$8, C348&lt;= ($I$7+$I$8)), (IPMT($E$8/12, (C348-$I$8), $I$7, $E$7)), 0)</f>
        <v>0</v>
      </c>
      <c r="F348" s="23">
        <f>IF(AND(C348&gt;='Amort. Sched.-BASE'!$I$8, C348&lt;= ($I$7+$I$8)), (PPMT($E$8/12, (C348-$I$8), $I$7, $E$7)), 0)</f>
        <v>0</v>
      </c>
      <c r="G348" s="5">
        <f>IF(MortgageAmortBASE[[#This Row],[Month]]=I$8,E$7,0)</f>
        <v>0</v>
      </c>
      <c r="H348" s="13">
        <f>IF(AND(C348&gt;='Amort. Sched.-BASE'!$I$8, C348&lt;= ($I$7+$I$8)), H347+F348, 0)</f>
        <v>0</v>
      </c>
      <c r="I348" s="24" t="str">
        <f>IF(AND(C348&gt;='Amort. Sched.-BASE'!$I$8, C348&lt;= ($I$7+$I$8)), E348/D348, " ")</f>
        <v xml:space="preserve"> </v>
      </c>
      <c r="J348" s="25" t="str">
        <f>IF(AND(C348&gt;='Amort. Sched.-BASE'!$I$8, C348&lt;= ($I$7+$I$8)), F348/D348, " ")</f>
        <v xml:space="preserve"> </v>
      </c>
      <c r="L348" s="20">
        <f t="shared" si="83"/>
        <v>337</v>
      </c>
      <c r="M348" s="5">
        <f>IF(AND(L348&gt;='Amort. Sched.-BASE'!$R$8, L348&lt;= ($R$7+$R$8)), PMT('Amort. Sched.-BASE'!$N$8/12, 'Amort. Sched.-BASE'!$R$7, 'Amort. Sched.-BASE'!$N$7), 0)</f>
        <v>0</v>
      </c>
      <c r="N348" s="5">
        <f>IF(AND(L348&gt;='Amort. Sched.-BASE'!$R$8, L348&lt;= ($R$7+$R$8)), (IPMT($N$8/12, (L348-$R$8), $R$7, $N$7)), 0)</f>
        <v>0</v>
      </c>
      <c r="O348" s="5">
        <f>IF(AND(L348&gt;='Amort. Sched.-BASE'!$R$8, L348&lt;= ($R$7+$R$8)), (PPMT($N$8/12, (L348-$R$8), $R$7, $N$7)), 0)</f>
        <v>0</v>
      </c>
      <c r="P348" s="5">
        <f>IF(CreditAmort1BASE[[#This Row],[Month]]=R$8,N$7,0)</f>
        <v>0</v>
      </c>
      <c r="Q348" s="13">
        <f>IF(AND(L348&gt;='Amort. Sched.-BASE'!$R$8, L348&lt;= ($R$7+$R$8)), Q347+O348, 0)</f>
        <v>0</v>
      </c>
      <c r="R348" s="6" t="str">
        <f>IF(AND(L348&gt;='Amort. Sched.-BASE'!$R$8, L348&lt;= ($R$7+$R$8)), N348/M348, " ")</f>
        <v xml:space="preserve"> </v>
      </c>
      <c r="S348" s="21" t="str">
        <f>IF(AND(L348&gt;='Amort. Sched.-BASE'!$R$8, L348&lt;= ($R$7+$R$8)), O348/M348, " ")</f>
        <v xml:space="preserve"> </v>
      </c>
      <c r="U348" s="22">
        <f t="shared" si="84"/>
        <v>337</v>
      </c>
      <c r="V348" s="23">
        <f>IF(AND(U348&gt;='Amort. Sched.-BASE'!$AA$8, U348&lt;= ($AA$7+$AA$8)), PMT('Amort. Sched.-BASE'!$W$8/12, 'Amort. Sched.-BASE'!$AA$7, 'Amort. Sched.-BASE'!$W$7), 0)</f>
        <v>0</v>
      </c>
      <c r="W348" s="5">
        <f>IF(AND(U348&gt;='Amort. Sched.-BASE'!$AA$8, U348&lt;= ($AA$7+$AA$8)), (IPMT($W$8/12, (U348-$AA$8), $AA$7, $W$7)), 0)</f>
        <v>0</v>
      </c>
      <c r="X348" s="23">
        <f>IF(AND(U348&gt;='Amort. Sched.-BASE'!$AA$8, U348&lt;= ($AA$7+$AA$8)), (PPMT($W$8/12, (U348-$AA$8), $AA$7, $W$7)), 0)</f>
        <v>0</v>
      </c>
      <c r="Y348" s="5">
        <f>IF(CreditAmort2BASE[[#This Row],[Month]]=AA$8,W$7,0)</f>
        <v>0</v>
      </c>
      <c r="Z348" s="13">
        <f>IF(AND(U348&gt;='Amort. Sched.-BASE'!$AA$8, U348&lt;= ($AA$7+$AA$8)), Z347+X348, 0)</f>
        <v>0</v>
      </c>
      <c r="AA348" s="24" t="str">
        <f>IF(AND(U348&gt;='Amort. Sched.-BASE'!$AA$8, U348&lt;= ($AA$7+$AA$8)), W348/V348, " ")</f>
        <v xml:space="preserve"> </v>
      </c>
      <c r="AB348" s="25" t="str">
        <f>IF(AND(U348&gt;='Amort. Sched.-BASE'!$AA$8, U348&lt;= ($AA$7+$AA$8)), X348/V348, " ")</f>
        <v xml:space="preserve"> </v>
      </c>
      <c r="AD348" s="20">
        <f t="shared" si="85"/>
        <v>337</v>
      </c>
      <c r="AE348" s="5">
        <f t="shared" si="86"/>
        <v>0</v>
      </c>
      <c r="AF348" s="5">
        <f t="shared" si="87"/>
        <v>0</v>
      </c>
      <c r="AG348" s="5">
        <f t="shared" si="88"/>
        <v>0</v>
      </c>
      <c r="AH348" s="5">
        <f>IF(CreditAmort3BASE[[#This Row],[Month]]=AJ$8,AF$7,0)</f>
        <v>0</v>
      </c>
      <c r="AI348" s="13">
        <f t="shared" si="89"/>
        <v>0</v>
      </c>
      <c r="AJ348" s="6" t="str">
        <f t="shared" si="90"/>
        <v xml:space="preserve"> </v>
      </c>
      <c r="AK348" s="21" t="str">
        <f t="shared" si="91"/>
        <v xml:space="preserve"> </v>
      </c>
      <c r="AM348" s="20">
        <f t="shared" si="92"/>
        <v>337</v>
      </c>
      <c r="AN348" s="5">
        <f t="shared" si="93"/>
        <v>0</v>
      </c>
      <c r="AO348" s="5">
        <f t="shared" si="94"/>
        <v>0</v>
      </c>
      <c r="AP348" s="5">
        <f t="shared" si="95"/>
        <v>0</v>
      </c>
      <c r="AQ348" s="5">
        <f>IF(CreditAmort4BASE[[#This Row],[Month]]=AS$8,AO$7,0)</f>
        <v>0</v>
      </c>
      <c r="AR348" s="13">
        <f t="shared" si="96"/>
        <v>0</v>
      </c>
      <c r="AS348" s="6" t="str">
        <f t="shared" si="97"/>
        <v xml:space="preserve"> </v>
      </c>
      <c r="AT348" s="21" t="str">
        <f t="shared" si="98"/>
        <v xml:space="preserve"> </v>
      </c>
    </row>
    <row r="349" spans="3:46">
      <c r="C349" s="22">
        <f t="shared" si="82"/>
        <v>338</v>
      </c>
      <c r="D349" s="23">
        <f>IF(AND(C349&gt;='Amort. Sched.-BASE'!$I$8, C349&lt;= ($I$7+$I$8)), PMT('Amort. Sched.-BASE'!$E$8/12, 'Amort. Sched.-BASE'!$I$7, 'Amort. Sched.-BASE'!$E$7), 0)</f>
        <v>0</v>
      </c>
      <c r="E349" s="5">
        <f>IF(AND(C349&gt;='Amort. Sched.-BASE'!$I$8, C349&lt;= ($I$7+$I$8)), (IPMT($E$8/12, (C349-$I$8), $I$7, $E$7)), 0)</f>
        <v>0</v>
      </c>
      <c r="F349" s="23">
        <f>IF(AND(C349&gt;='Amort. Sched.-BASE'!$I$8, C349&lt;= ($I$7+$I$8)), (PPMT($E$8/12, (C349-$I$8), $I$7, $E$7)), 0)</f>
        <v>0</v>
      </c>
      <c r="G349" s="5">
        <f>IF(MortgageAmortBASE[[#This Row],[Month]]=I$8,E$7,0)</f>
        <v>0</v>
      </c>
      <c r="H349" s="13">
        <f>IF(AND(C349&gt;='Amort. Sched.-BASE'!$I$8, C349&lt;= ($I$7+$I$8)), H348+F349, 0)</f>
        <v>0</v>
      </c>
      <c r="I349" s="24" t="str">
        <f>IF(AND(C349&gt;='Amort. Sched.-BASE'!$I$8, C349&lt;= ($I$7+$I$8)), E349/D349, " ")</f>
        <v xml:space="preserve"> </v>
      </c>
      <c r="J349" s="25" t="str">
        <f>IF(AND(C349&gt;='Amort. Sched.-BASE'!$I$8, C349&lt;= ($I$7+$I$8)), F349/D349, " ")</f>
        <v xml:space="preserve"> </v>
      </c>
      <c r="L349" s="20">
        <f t="shared" si="83"/>
        <v>338</v>
      </c>
      <c r="M349" s="5">
        <f>IF(AND(L349&gt;='Amort. Sched.-BASE'!$R$8, L349&lt;= ($R$7+$R$8)), PMT('Amort. Sched.-BASE'!$N$8/12, 'Amort. Sched.-BASE'!$R$7, 'Amort. Sched.-BASE'!$N$7), 0)</f>
        <v>0</v>
      </c>
      <c r="N349" s="5">
        <f>IF(AND(L349&gt;='Amort. Sched.-BASE'!$R$8, L349&lt;= ($R$7+$R$8)), (IPMT($N$8/12, (L349-$R$8), $R$7, $N$7)), 0)</f>
        <v>0</v>
      </c>
      <c r="O349" s="5">
        <f>IF(AND(L349&gt;='Amort. Sched.-BASE'!$R$8, L349&lt;= ($R$7+$R$8)), (PPMT($N$8/12, (L349-$R$8), $R$7, $N$7)), 0)</f>
        <v>0</v>
      </c>
      <c r="P349" s="5">
        <f>IF(CreditAmort1BASE[[#This Row],[Month]]=R$8,N$7,0)</f>
        <v>0</v>
      </c>
      <c r="Q349" s="13">
        <f>IF(AND(L349&gt;='Amort. Sched.-BASE'!$R$8, L349&lt;= ($R$7+$R$8)), Q348+O349, 0)</f>
        <v>0</v>
      </c>
      <c r="R349" s="6" t="str">
        <f>IF(AND(L349&gt;='Amort. Sched.-BASE'!$R$8, L349&lt;= ($R$7+$R$8)), N349/M349, " ")</f>
        <v xml:space="preserve"> </v>
      </c>
      <c r="S349" s="21" t="str">
        <f>IF(AND(L349&gt;='Amort. Sched.-BASE'!$R$8, L349&lt;= ($R$7+$R$8)), O349/M349, " ")</f>
        <v xml:space="preserve"> </v>
      </c>
      <c r="U349" s="22">
        <f t="shared" si="84"/>
        <v>338</v>
      </c>
      <c r="V349" s="23">
        <f>IF(AND(U349&gt;='Amort. Sched.-BASE'!$AA$8, U349&lt;= ($AA$7+$AA$8)), PMT('Amort. Sched.-BASE'!$W$8/12, 'Amort. Sched.-BASE'!$AA$7, 'Amort. Sched.-BASE'!$W$7), 0)</f>
        <v>0</v>
      </c>
      <c r="W349" s="5">
        <f>IF(AND(U349&gt;='Amort. Sched.-BASE'!$AA$8, U349&lt;= ($AA$7+$AA$8)), (IPMT($W$8/12, (U349-$AA$8), $AA$7, $W$7)), 0)</f>
        <v>0</v>
      </c>
      <c r="X349" s="23">
        <f>IF(AND(U349&gt;='Amort. Sched.-BASE'!$AA$8, U349&lt;= ($AA$7+$AA$8)), (PPMT($W$8/12, (U349-$AA$8), $AA$7, $W$7)), 0)</f>
        <v>0</v>
      </c>
      <c r="Y349" s="5">
        <f>IF(CreditAmort2BASE[[#This Row],[Month]]=AA$8,W$7,0)</f>
        <v>0</v>
      </c>
      <c r="Z349" s="13">
        <f>IF(AND(U349&gt;='Amort. Sched.-BASE'!$AA$8, U349&lt;= ($AA$7+$AA$8)), Z348+X349, 0)</f>
        <v>0</v>
      </c>
      <c r="AA349" s="24" t="str">
        <f>IF(AND(U349&gt;='Amort. Sched.-BASE'!$AA$8, U349&lt;= ($AA$7+$AA$8)), W349/V349, " ")</f>
        <v xml:space="preserve"> </v>
      </c>
      <c r="AB349" s="25" t="str">
        <f>IF(AND(U349&gt;='Amort. Sched.-BASE'!$AA$8, U349&lt;= ($AA$7+$AA$8)), X349/V349, " ")</f>
        <v xml:space="preserve"> </v>
      </c>
      <c r="AD349" s="20">
        <f t="shared" si="85"/>
        <v>338</v>
      </c>
      <c r="AE349" s="5">
        <f t="shared" si="86"/>
        <v>0</v>
      </c>
      <c r="AF349" s="5">
        <f t="shared" si="87"/>
        <v>0</v>
      </c>
      <c r="AG349" s="5">
        <f t="shared" si="88"/>
        <v>0</v>
      </c>
      <c r="AH349" s="5">
        <f>IF(CreditAmort3BASE[[#This Row],[Month]]=AJ$8,AF$7,0)</f>
        <v>0</v>
      </c>
      <c r="AI349" s="13">
        <f t="shared" si="89"/>
        <v>0</v>
      </c>
      <c r="AJ349" s="6" t="str">
        <f t="shared" si="90"/>
        <v xml:space="preserve"> </v>
      </c>
      <c r="AK349" s="21" t="str">
        <f t="shared" si="91"/>
        <v xml:space="preserve"> </v>
      </c>
      <c r="AM349" s="20">
        <f t="shared" si="92"/>
        <v>338</v>
      </c>
      <c r="AN349" s="5">
        <f t="shared" si="93"/>
        <v>0</v>
      </c>
      <c r="AO349" s="5">
        <f t="shared" si="94"/>
        <v>0</v>
      </c>
      <c r="AP349" s="5">
        <f t="shared" si="95"/>
        <v>0</v>
      </c>
      <c r="AQ349" s="5">
        <f>IF(CreditAmort4BASE[[#This Row],[Month]]=AS$8,AO$7,0)</f>
        <v>0</v>
      </c>
      <c r="AR349" s="13">
        <f t="shared" si="96"/>
        <v>0</v>
      </c>
      <c r="AS349" s="6" t="str">
        <f t="shared" si="97"/>
        <v xml:space="preserve"> </v>
      </c>
      <c r="AT349" s="21" t="str">
        <f t="shared" si="98"/>
        <v xml:space="preserve"> </v>
      </c>
    </row>
    <row r="350" spans="3:46">
      <c r="C350" s="22">
        <f t="shared" si="82"/>
        <v>339</v>
      </c>
      <c r="D350" s="23">
        <f>IF(AND(C350&gt;='Amort. Sched.-BASE'!$I$8, C350&lt;= ($I$7+$I$8)), PMT('Amort. Sched.-BASE'!$E$8/12, 'Amort. Sched.-BASE'!$I$7, 'Amort. Sched.-BASE'!$E$7), 0)</f>
        <v>0</v>
      </c>
      <c r="E350" s="5">
        <f>IF(AND(C350&gt;='Amort. Sched.-BASE'!$I$8, C350&lt;= ($I$7+$I$8)), (IPMT($E$8/12, (C350-$I$8), $I$7, $E$7)), 0)</f>
        <v>0</v>
      </c>
      <c r="F350" s="23">
        <f>IF(AND(C350&gt;='Amort. Sched.-BASE'!$I$8, C350&lt;= ($I$7+$I$8)), (PPMT($E$8/12, (C350-$I$8), $I$7, $E$7)), 0)</f>
        <v>0</v>
      </c>
      <c r="G350" s="5">
        <f>IF(MortgageAmortBASE[[#This Row],[Month]]=I$8,E$7,0)</f>
        <v>0</v>
      </c>
      <c r="H350" s="13">
        <f>IF(AND(C350&gt;='Amort. Sched.-BASE'!$I$8, C350&lt;= ($I$7+$I$8)), H349+F350, 0)</f>
        <v>0</v>
      </c>
      <c r="I350" s="24" t="str">
        <f>IF(AND(C350&gt;='Amort. Sched.-BASE'!$I$8, C350&lt;= ($I$7+$I$8)), E350/D350, " ")</f>
        <v xml:space="preserve"> </v>
      </c>
      <c r="J350" s="25" t="str">
        <f>IF(AND(C350&gt;='Amort. Sched.-BASE'!$I$8, C350&lt;= ($I$7+$I$8)), F350/D350, " ")</f>
        <v xml:space="preserve"> </v>
      </c>
      <c r="L350" s="20">
        <f t="shared" si="83"/>
        <v>339</v>
      </c>
      <c r="M350" s="5">
        <f>IF(AND(L350&gt;='Amort. Sched.-BASE'!$R$8, L350&lt;= ($R$7+$R$8)), PMT('Amort. Sched.-BASE'!$N$8/12, 'Amort. Sched.-BASE'!$R$7, 'Amort. Sched.-BASE'!$N$7), 0)</f>
        <v>0</v>
      </c>
      <c r="N350" s="5">
        <f>IF(AND(L350&gt;='Amort. Sched.-BASE'!$R$8, L350&lt;= ($R$7+$R$8)), (IPMT($N$8/12, (L350-$R$8), $R$7, $N$7)), 0)</f>
        <v>0</v>
      </c>
      <c r="O350" s="5">
        <f>IF(AND(L350&gt;='Amort. Sched.-BASE'!$R$8, L350&lt;= ($R$7+$R$8)), (PPMT($N$8/12, (L350-$R$8), $R$7, $N$7)), 0)</f>
        <v>0</v>
      </c>
      <c r="P350" s="5">
        <f>IF(CreditAmort1BASE[[#This Row],[Month]]=R$8,N$7,0)</f>
        <v>0</v>
      </c>
      <c r="Q350" s="13">
        <f>IF(AND(L350&gt;='Amort. Sched.-BASE'!$R$8, L350&lt;= ($R$7+$R$8)), Q349+O350, 0)</f>
        <v>0</v>
      </c>
      <c r="R350" s="6" t="str">
        <f>IF(AND(L350&gt;='Amort. Sched.-BASE'!$R$8, L350&lt;= ($R$7+$R$8)), N350/M350, " ")</f>
        <v xml:space="preserve"> </v>
      </c>
      <c r="S350" s="21" t="str">
        <f>IF(AND(L350&gt;='Amort. Sched.-BASE'!$R$8, L350&lt;= ($R$7+$R$8)), O350/M350, " ")</f>
        <v xml:space="preserve"> </v>
      </c>
      <c r="U350" s="22">
        <f t="shared" si="84"/>
        <v>339</v>
      </c>
      <c r="V350" s="23">
        <f>IF(AND(U350&gt;='Amort. Sched.-BASE'!$AA$8, U350&lt;= ($AA$7+$AA$8)), PMT('Amort. Sched.-BASE'!$W$8/12, 'Amort. Sched.-BASE'!$AA$7, 'Amort. Sched.-BASE'!$W$7), 0)</f>
        <v>0</v>
      </c>
      <c r="W350" s="5">
        <f>IF(AND(U350&gt;='Amort. Sched.-BASE'!$AA$8, U350&lt;= ($AA$7+$AA$8)), (IPMT($W$8/12, (U350-$AA$8), $AA$7, $W$7)), 0)</f>
        <v>0</v>
      </c>
      <c r="X350" s="23">
        <f>IF(AND(U350&gt;='Amort. Sched.-BASE'!$AA$8, U350&lt;= ($AA$7+$AA$8)), (PPMT($W$8/12, (U350-$AA$8), $AA$7, $W$7)), 0)</f>
        <v>0</v>
      </c>
      <c r="Y350" s="5">
        <f>IF(CreditAmort2BASE[[#This Row],[Month]]=AA$8,W$7,0)</f>
        <v>0</v>
      </c>
      <c r="Z350" s="13">
        <f>IF(AND(U350&gt;='Amort. Sched.-BASE'!$AA$8, U350&lt;= ($AA$7+$AA$8)), Z349+X350, 0)</f>
        <v>0</v>
      </c>
      <c r="AA350" s="24" t="str">
        <f>IF(AND(U350&gt;='Amort. Sched.-BASE'!$AA$8, U350&lt;= ($AA$7+$AA$8)), W350/V350, " ")</f>
        <v xml:space="preserve"> </v>
      </c>
      <c r="AB350" s="25" t="str">
        <f>IF(AND(U350&gt;='Amort. Sched.-BASE'!$AA$8, U350&lt;= ($AA$7+$AA$8)), X350/V350, " ")</f>
        <v xml:space="preserve"> </v>
      </c>
      <c r="AD350" s="20">
        <f t="shared" si="85"/>
        <v>339</v>
      </c>
      <c r="AE350" s="5">
        <f t="shared" si="86"/>
        <v>0</v>
      </c>
      <c r="AF350" s="5">
        <f t="shared" si="87"/>
        <v>0</v>
      </c>
      <c r="AG350" s="5">
        <f t="shared" si="88"/>
        <v>0</v>
      </c>
      <c r="AH350" s="5">
        <f>IF(CreditAmort3BASE[[#This Row],[Month]]=AJ$8,AF$7,0)</f>
        <v>0</v>
      </c>
      <c r="AI350" s="13">
        <f t="shared" si="89"/>
        <v>0</v>
      </c>
      <c r="AJ350" s="6" t="str">
        <f t="shared" si="90"/>
        <v xml:space="preserve"> </v>
      </c>
      <c r="AK350" s="21" t="str">
        <f t="shared" si="91"/>
        <v xml:space="preserve"> </v>
      </c>
      <c r="AM350" s="20">
        <f t="shared" si="92"/>
        <v>339</v>
      </c>
      <c r="AN350" s="5">
        <f t="shared" si="93"/>
        <v>0</v>
      </c>
      <c r="AO350" s="5">
        <f t="shared" si="94"/>
        <v>0</v>
      </c>
      <c r="AP350" s="5">
        <f t="shared" si="95"/>
        <v>0</v>
      </c>
      <c r="AQ350" s="5">
        <f>IF(CreditAmort4BASE[[#This Row],[Month]]=AS$8,AO$7,0)</f>
        <v>0</v>
      </c>
      <c r="AR350" s="13">
        <f t="shared" si="96"/>
        <v>0</v>
      </c>
      <c r="AS350" s="6" t="str">
        <f t="shared" si="97"/>
        <v xml:space="preserve"> </v>
      </c>
      <c r="AT350" s="21" t="str">
        <f t="shared" si="98"/>
        <v xml:space="preserve"> </v>
      </c>
    </row>
    <row r="351" spans="3:46">
      <c r="C351" s="22">
        <f t="shared" si="82"/>
        <v>340</v>
      </c>
      <c r="D351" s="23">
        <f>IF(AND(C351&gt;='Amort. Sched.-BASE'!$I$8, C351&lt;= ($I$7+$I$8)), PMT('Amort. Sched.-BASE'!$E$8/12, 'Amort. Sched.-BASE'!$I$7, 'Amort. Sched.-BASE'!$E$7), 0)</f>
        <v>0</v>
      </c>
      <c r="E351" s="5">
        <f>IF(AND(C351&gt;='Amort. Sched.-BASE'!$I$8, C351&lt;= ($I$7+$I$8)), (IPMT($E$8/12, (C351-$I$8), $I$7, $E$7)), 0)</f>
        <v>0</v>
      </c>
      <c r="F351" s="23">
        <f>IF(AND(C351&gt;='Amort. Sched.-BASE'!$I$8, C351&lt;= ($I$7+$I$8)), (PPMT($E$8/12, (C351-$I$8), $I$7, $E$7)), 0)</f>
        <v>0</v>
      </c>
      <c r="G351" s="5">
        <f>IF(MortgageAmortBASE[[#This Row],[Month]]=I$8,E$7,0)</f>
        <v>0</v>
      </c>
      <c r="H351" s="13">
        <f>IF(AND(C351&gt;='Amort. Sched.-BASE'!$I$8, C351&lt;= ($I$7+$I$8)), H350+F351, 0)</f>
        <v>0</v>
      </c>
      <c r="I351" s="24" t="str">
        <f>IF(AND(C351&gt;='Amort. Sched.-BASE'!$I$8, C351&lt;= ($I$7+$I$8)), E351/D351, " ")</f>
        <v xml:space="preserve"> </v>
      </c>
      <c r="J351" s="25" t="str">
        <f>IF(AND(C351&gt;='Amort. Sched.-BASE'!$I$8, C351&lt;= ($I$7+$I$8)), F351/D351, " ")</f>
        <v xml:space="preserve"> </v>
      </c>
      <c r="L351" s="20">
        <f t="shared" si="83"/>
        <v>340</v>
      </c>
      <c r="M351" s="5">
        <f>IF(AND(L351&gt;='Amort. Sched.-BASE'!$R$8, L351&lt;= ($R$7+$R$8)), PMT('Amort. Sched.-BASE'!$N$8/12, 'Amort. Sched.-BASE'!$R$7, 'Amort. Sched.-BASE'!$N$7), 0)</f>
        <v>0</v>
      </c>
      <c r="N351" s="5">
        <f>IF(AND(L351&gt;='Amort. Sched.-BASE'!$R$8, L351&lt;= ($R$7+$R$8)), (IPMT($N$8/12, (L351-$R$8), $R$7, $N$7)), 0)</f>
        <v>0</v>
      </c>
      <c r="O351" s="5">
        <f>IF(AND(L351&gt;='Amort. Sched.-BASE'!$R$8, L351&lt;= ($R$7+$R$8)), (PPMT($N$8/12, (L351-$R$8), $R$7, $N$7)), 0)</f>
        <v>0</v>
      </c>
      <c r="P351" s="5">
        <f>IF(CreditAmort1BASE[[#This Row],[Month]]=R$8,N$7,0)</f>
        <v>0</v>
      </c>
      <c r="Q351" s="13">
        <f>IF(AND(L351&gt;='Amort. Sched.-BASE'!$R$8, L351&lt;= ($R$7+$R$8)), Q350+O351, 0)</f>
        <v>0</v>
      </c>
      <c r="R351" s="6" t="str">
        <f>IF(AND(L351&gt;='Amort. Sched.-BASE'!$R$8, L351&lt;= ($R$7+$R$8)), N351/M351, " ")</f>
        <v xml:space="preserve"> </v>
      </c>
      <c r="S351" s="21" t="str">
        <f>IF(AND(L351&gt;='Amort. Sched.-BASE'!$R$8, L351&lt;= ($R$7+$R$8)), O351/M351, " ")</f>
        <v xml:space="preserve"> </v>
      </c>
      <c r="U351" s="22">
        <f t="shared" si="84"/>
        <v>340</v>
      </c>
      <c r="V351" s="23">
        <f>IF(AND(U351&gt;='Amort. Sched.-BASE'!$AA$8, U351&lt;= ($AA$7+$AA$8)), PMT('Amort. Sched.-BASE'!$W$8/12, 'Amort. Sched.-BASE'!$AA$7, 'Amort. Sched.-BASE'!$W$7), 0)</f>
        <v>0</v>
      </c>
      <c r="W351" s="5">
        <f>IF(AND(U351&gt;='Amort. Sched.-BASE'!$AA$8, U351&lt;= ($AA$7+$AA$8)), (IPMT($W$8/12, (U351-$AA$8), $AA$7, $W$7)), 0)</f>
        <v>0</v>
      </c>
      <c r="X351" s="23">
        <f>IF(AND(U351&gt;='Amort. Sched.-BASE'!$AA$8, U351&lt;= ($AA$7+$AA$8)), (PPMT($W$8/12, (U351-$AA$8), $AA$7, $W$7)), 0)</f>
        <v>0</v>
      </c>
      <c r="Y351" s="5">
        <f>IF(CreditAmort2BASE[[#This Row],[Month]]=AA$8,W$7,0)</f>
        <v>0</v>
      </c>
      <c r="Z351" s="13">
        <f>IF(AND(U351&gt;='Amort. Sched.-BASE'!$AA$8, U351&lt;= ($AA$7+$AA$8)), Z350+X351, 0)</f>
        <v>0</v>
      </c>
      <c r="AA351" s="24" t="str">
        <f>IF(AND(U351&gt;='Amort. Sched.-BASE'!$AA$8, U351&lt;= ($AA$7+$AA$8)), W351/V351, " ")</f>
        <v xml:space="preserve"> </v>
      </c>
      <c r="AB351" s="25" t="str">
        <f>IF(AND(U351&gt;='Amort. Sched.-BASE'!$AA$8, U351&lt;= ($AA$7+$AA$8)), X351/V351, " ")</f>
        <v xml:space="preserve"> </v>
      </c>
      <c r="AD351" s="20">
        <f t="shared" si="85"/>
        <v>340</v>
      </c>
      <c r="AE351" s="5">
        <f t="shared" si="86"/>
        <v>0</v>
      </c>
      <c r="AF351" s="5">
        <f t="shared" si="87"/>
        <v>0</v>
      </c>
      <c r="AG351" s="5">
        <f t="shared" si="88"/>
        <v>0</v>
      </c>
      <c r="AH351" s="5">
        <f>IF(CreditAmort3BASE[[#This Row],[Month]]=AJ$8,AF$7,0)</f>
        <v>0</v>
      </c>
      <c r="AI351" s="13">
        <f t="shared" si="89"/>
        <v>0</v>
      </c>
      <c r="AJ351" s="6" t="str">
        <f t="shared" si="90"/>
        <v xml:space="preserve"> </v>
      </c>
      <c r="AK351" s="21" t="str">
        <f t="shared" si="91"/>
        <v xml:space="preserve"> </v>
      </c>
      <c r="AM351" s="20">
        <f t="shared" si="92"/>
        <v>340</v>
      </c>
      <c r="AN351" s="5">
        <f t="shared" si="93"/>
        <v>0</v>
      </c>
      <c r="AO351" s="5">
        <f t="shared" si="94"/>
        <v>0</v>
      </c>
      <c r="AP351" s="5">
        <f t="shared" si="95"/>
        <v>0</v>
      </c>
      <c r="AQ351" s="5">
        <f>IF(CreditAmort4BASE[[#This Row],[Month]]=AS$8,AO$7,0)</f>
        <v>0</v>
      </c>
      <c r="AR351" s="13">
        <f t="shared" si="96"/>
        <v>0</v>
      </c>
      <c r="AS351" s="6" t="str">
        <f t="shared" si="97"/>
        <v xml:space="preserve"> </v>
      </c>
      <c r="AT351" s="21" t="str">
        <f t="shared" si="98"/>
        <v xml:space="preserve"> </v>
      </c>
    </row>
    <row r="352" spans="3:46">
      <c r="C352" s="22">
        <f t="shared" si="82"/>
        <v>341</v>
      </c>
      <c r="D352" s="23">
        <f>IF(AND(C352&gt;='Amort. Sched.-BASE'!$I$8, C352&lt;= ($I$7+$I$8)), PMT('Amort. Sched.-BASE'!$E$8/12, 'Amort. Sched.-BASE'!$I$7, 'Amort. Sched.-BASE'!$E$7), 0)</f>
        <v>0</v>
      </c>
      <c r="E352" s="5">
        <f>IF(AND(C352&gt;='Amort. Sched.-BASE'!$I$8, C352&lt;= ($I$7+$I$8)), (IPMT($E$8/12, (C352-$I$8), $I$7, $E$7)), 0)</f>
        <v>0</v>
      </c>
      <c r="F352" s="23">
        <f>IF(AND(C352&gt;='Amort. Sched.-BASE'!$I$8, C352&lt;= ($I$7+$I$8)), (PPMT($E$8/12, (C352-$I$8), $I$7, $E$7)), 0)</f>
        <v>0</v>
      </c>
      <c r="G352" s="5">
        <f>IF(MortgageAmortBASE[[#This Row],[Month]]=I$8,E$7,0)</f>
        <v>0</v>
      </c>
      <c r="H352" s="13">
        <f>IF(AND(C352&gt;='Amort. Sched.-BASE'!$I$8, C352&lt;= ($I$7+$I$8)), H351+F352, 0)</f>
        <v>0</v>
      </c>
      <c r="I352" s="24" t="str">
        <f>IF(AND(C352&gt;='Amort. Sched.-BASE'!$I$8, C352&lt;= ($I$7+$I$8)), E352/D352, " ")</f>
        <v xml:space="preserve"> </v>
      </c>
      <c r="J352" s="25" t="str">
        <f>IF(AND(C352&gt;='Amort. Sched.-BASE'!$I$8, C352&lt;= ($I$7+$I$8)), F352/D352, " ")</f>
        <v xml:space="preserve"> </v>
      </c>
      <c r="L352" s="20">
        <f t="shared" si="83"/>
        <v>341</v>
      </c>
      <c r="M352" s="5">
        <f>IF(AND(L352&gt;='Amort. Sched.-BASE'!$R$8, L352&lt;= ($R$7+$R$8)), PMT('Amort. Sched.-BASE'!$N$8/12, 'Amort. Sched.-BASE'!$R$7, 'Amort. Sched.-BASE'!$N$7), 0)</f>
        <v>0</v>
      </c>
      <c r="N352" s="5">
        <f>IF(AND(L352&gt;='Amort. Sched.-BASE'!$R$8, L352&lt;= ($R$7+$R$8)), (IPMT($N$8/12, (L352-$R$8), $R$7, $N$7)), 0)</f>
        <v>0</v>
      </c>
      <c r="O352" s="5">
        <f>IF(AND(L352&gt;='Amort. Sched.-BASE'!$R$8, L352&lt;= ($R$7+$R$8)), (PPMT($N$8/12, (L352-$R$8), $R$7, $N$7)), 0)</f>
        <v>0</v>
      </c>
      <c r="P352" s="5">
        <f>IF(CreditAmort1BASE[[#This Row],[Month]]=R$8,N$7,0)</f>
        <v>0</v>
      </c>
      <c r="Q352" s="13">
        <f>IF(AND(L352&gt;='Amort. Sched.-BASE'!$R$8, L352&lt;= ($R$7+$R$8)), Q351+O352, 0)</f>
        <v>0</v>
      </c>
      <c r="R352" s="6" t="str">
        <f>IF(AND(L352&gt;='Amort. Sched.-BASE'!$R$8, L352&lt;= ($R$7+$R$8)), N352/M352, " ")</f>
        <v xml:space="preserve"> </v>
      </c>
      <c r="S352" s="21" t="str">
        <f>IF(AND(L352&gt;='Amort. Sched.-BASE'!$R$8, L352&lt;= ($R$7+$R$8)), O352/M352, " ")</f>
        <v xml:space="preserve"> </v>
      </c>
      <c r="U352" s="22">
        <f t="shared" si="84"/>
        <v>341</v>
      </c>
      <c r="V352" s="23">
        <f>IF(AND(U352&gt;='Amort. Sched.-BASE'!$AA$8, U352&lt;= ($AA$7+$AA$8)), PMT('Amort. Sched.-BASE'!$W$8/12, 'Amort. Sched.-BASE'!$AA$7, 'Amort. Sched.-BASE'!$W$7), 0)</f>
        <v>0</v>
      </c>
      <c r="W352" s="5">
        <f>IF(AND(U352&gt;='Amort. Sched.-BASE'!$AA$8, U352&lt;= ($AA$7+$AA$8)), (IPMT($W$8/12, (U352-$AA$8), $AA$7, $W$7)), 0)</f>
        <v>0</v>
      </c>
      <c r="X352" s="23">
        <f>IF(AND(U352&gt;='Amort. Sched.-BASE'!$AA$8, U352&lt;= ($AA$7+$AA$8)), (PPMT($W$8/12, (U352-$AA$8), $AA$7, $W$7)), 0)</f>
        <v>0</v>
      </c>
      <c r="Y352" s="5">
        <f>IF(CreditAmort2BASE[[#This Row],[Month]]=AA$8,W$7,0)</f>
        <v>0</v>
      </c>
      <c r="Z352" s="13">
        <f>IF(AND(U352&gt;='Amort. Sched.-BASE'!$AA$8, U352&lt;= ($AA$7+$AA$8)), Z351+X352, 0)</f>
        <v>0</v>
      </c>
      <c r="AA352" s="24" t="str">
        <f>IF(AND(U352&gt;='Amort. Sched.-BASE'!$AA$8, U352&lt;= ($AA$7+$AA$8)), W352/V352, " ")</f>
        <v xml:space="preserve"> </v>
      </c>
      <c r="AB352" s="25" t="str">
        <f>IF(AND(U352&gt;='Amort. Sched.-BASE'!$AA$8, U352&lt;= ($AA$7+$AA$8)), X352/V352, " ")</f>
        <v xml:space="preserve"> </v>
      </c>
      <c r="AD352" s="20">
        <f t="shared" si="85"/>
        <v>341</v>
      </c>
      <c r="AE352" s="5">
        <f t="shared" si="86"/>
        <v>0</v>
      </c>
      <c r="AF352" s="5">
        <f t="shared" si="87"/>
        <v>0</v>
      </c>
      <c r="AG352" s="5">
        <f t="shared" si="88"/>
        <v>0</v>
      </c>
      <c r="AH352" s="5">
        <f>IF(CreditAmort3BASE[[#This Row],[Month]]=AJ$8,AF$7,0)</f>
        <v>0</v>
      </c>
      <c r="AI352" s="13">
        <f t="shared" si="89"/>
        <v>0</v>
      </c>
      <c r="AJ352" s="6" t="str">
        <f t="shared" si="90"/>
        <v xml:space="preserve"> </v>
      </c>
      <c r="AK352" s="21" t="str">
        <f t="shared" si="91"/>
        <v xml:space="preserve"> </v>
      </c>
      <c r="AM352" s="20">
        <f t="shared" si="92"/>
        <v>341</v>
      </c>
      <c r="AN352" s="5">
        <f t="shared" si="93"/>
        <v>0</v>
      </c>
      <c r="AO352" s="5">
        <f t="shared" si="94"/>
        <v>0</v>
      </c>
      <c r="AP352" s="5">
        <f t="shared" si="95"/>
        <v>0</v>
      </c>
      <c r="AQ352" s="5">
        <f>IF(CreditAmort4BASE[[#This Row],[Month]]=AS$8,AO$7,0)</f>
        <v>0</v>
      </c>
      <c r="AR352" s="13">
        <f t="shared" si="96"/>
        <v>0</v>
      </c>
      <c r="AS352" s="6" t="str">
        <f t="shared" si="97"/>
        <v xml:space="preserve"> </v>
      </c>
      <c r="AT352" s="21" t="str">
        <f t="shared" si="98"/>
        <v xml:space="preserve"> </v>
      </c>
    </row>
    <row r="353" spans="3:46">
      <c r="C353" s="22">
        <f t="shared" ref="C353:C371" si="99">C352+1</f>
        <v>342</v>
      </c>
      <c r="D353" s="23">
        <f>IF(AND(C353&gt;='Amort. Sched.-BASE'!$I$8, C353&lt;= ($I$7+$I$8)), PMT('Amort. Sched.-BASE'!$E$8/12, 'Amort. Sched.-BASE'!$I$7, 'Amort. Sched.-BASE'!$E$7), 0)</f>
        <v>0</v>
      </c>
      <c r="E353" s="5">
        <f>IF(AND(C353&gt;='Amort. Sched.-BASE'!$I$8, C353&lt;= ($I$7+$I$8)), (IPMT($E$8/12, (C353-$I$8), $I$7, $E$7)), 0)</f>
        <v>0</v>
      </c>
      <c r="F353" s="23">
        <f>IF(AND(C353&gt;='Amort. Sched.-BASE'!$I$8, C353&lt;= ($I$7+$I$8)), (PPMT($E$8/12, (C353-$I$8), $I$7, $E$7)), 0)</f>
        <v>0</v>
      </c>
      <c r="G353" s="5">
        <f>IF(MortgageAmortBASE[[#This Row],[Month]]=I$8,E$7,0)</f>
        <v>0</v>
      </c>
      <c r="H353" s="13">
        <f>IF(AND(C353&gt;='Amort. Sched.-BASE'!$I$8, C353&lt;= ($I$7+$I$8)), H352+F353, 0)</f>
        <v>0</v>
      </c>
      <c r="I353" s="24" t="str">
        <f>IF(AND(C353&gt;='Amort. Sched.-BASE'!$I$8, C353&lt;= ($I$7+$I$8)), E353/D353, " ")</f>
        <v xml:space="preserve"> </v>
      </c>
      <c r="J353" s="25" t="str">
        <f>IF(AND(C353&gt;='Amort. Sched.-BASE'!$I$8, C353&lt;= ($I$7+$I$8)), F353/D353, " ")</f>
        <v xml:space="preserve"> </v>
      </c>
      <c r="L353" s="20">
        <f t="shared" si="83"/>
        <v>342</v>
      </c>
      <c r="M353" s="5">
        <f>IF(AND(L353&gt;='Amort. Sched.-BASE'!$R$8, L353&lt;= ($R$7+$R$8)), PMT('Amort. Sched.-BASE'!$N$8/12, 'Amort. Sched.-BASE'!$R$7, 'Amort. Sched.-BASE'!$N$7), 0)</f>
        <v>0</v>
      </c>
      <c r="N353" s="5">
        <f>IF(AND(L353&gt;='Amort. Sched.-BASE'!$R$8, L353&lt;= ($R$7+$R$8)), (IPMT($N$8/12, (L353-$R$8), $R$7, $N$7)), 0)</f>
        <v>0</v>
      </c>
      <c r="O353" s="5">
        <f>IF(AND(L353&gt;='Amort. Sched.-BASE'!$R$8, L353&lt;= ($R$7+$R$8)), (PPMT($N$8/12, (L353-$R$8), $R$7, $N$7)), 0)</f>
        <v>0</v>
      </c>
      <c r="P353" s="5">
        <f>IF(CreditAmort1BASE[[#This Row],[Month]]=R$8,N$7,0)</f>
        <v>0</v>
      </c>
      <c r="Q353" s="13">
        <f>IF(AND(L353&gt;='Amort. Sched.-BASE'!$R$8, L353&lt;= ($R$7+$R$8)), Q352+O353, 0)</f>
        <v>0</v>
      </c>
      <c r="R353" s="6" t="str">
        <f>IF(AND(L353&gt;='Amort. Sched.-BASE'!$R$8, L353&lt;= ($R$7+$R$8)), N353/M353, " ")</f>
        <v xml:space="preserve"> </v>
      </c>
      <c r="S353" s="21" t="str">
        <f>IF(AND(L353&gt;='Amort. Sched.-BASE'!$R$8, L353&lt;= ($R$7+$R$8)), O353/M353, " ")</f>
        <v xml:space="preserve"> </v>
      </c>
      <c r="U353" s="22">
        <f t="shared" si="84"/>
        <v>342</v>
      </c>
      <c r="V353" s="23">
        <f>IF(AND(U353&gt;='Amort. Sched.-BASE'!$AA$8, U353&lt;= ($AA$7+$AA$8)), PMT('Amort. Sched.-BASE'!$W$8/12, 'Amort. Sched.-BASE'!$AA$7, 'Amort. Sched.-BASE'!$W$7), 0)</f>
        <v>0</v>
      </c>
      <c r="W353" s="5">
        <f>IF(AND(U353&gt;='Amort. Sched.-BASE'!$AA$8, U353&lt;= ($AA$7+$AA$8)), (IPMT($W$8/12, (U353-$AA$8), $AA$7, $W$7)), 0)</f>
        <v>0</v>
      </c>
      <c r="X353" s="23">
        <f>IF(AND(U353&gt;='Amort. Sched.-BASE'!$AA$8, U353&lt;= ($AA$7+$AA$8)), (PPMT($W$8/12, (U353-$AA$8), $AA$7, $W$7)), 0)</f>
        <v>0</v>
      </c>
      <c r="Y353" s="5">
        <f>IF(CreditAmort2BASE[[#This Row],[Month]]=AA$8,W$7,0)</f>
        <v>0</v>
      </c>
      <c r="Z353" s="13">
        <f>IF(AND(U353&gt;='Amort. Sched.-BASE'!$AA$8, U353&lt;= ($AA$7+$AA$8)), Z352+X353, 0)</f>
        <v>0</v>
      </c>
      <c r="AA353" s="24" t="str">
        <f>IF(AND(U353&gt;='Amort. Sched.-BASE'!$AA$8, U353&lt;= ($AA$7+$AA$8)), W353/V353, " ")</f>
        <v xml:space="preserve"> </v>
      </c>
      <c r="AB353" s="25" t="str">
        <f>IF(AND(U353&gt;='Amort. Sched.-BASE'!$AA$8, U353&lt;= ($AA$7+$AA$8)), X353/V353, " ")</f>
        <v xml:space="preserve"> </v>
      </c>
      <c r="AD353" s="20">
        <f t="shared" si="85"/>
        <v>342</v>
      </c>
      <c r="AE353" s="5">
        <f t="shared" si="86"/>
        <v>0</v>
      </c>
      <c r="AF353" s="5">
        <f t="shared" si="87"/>
        <v>0</v>
      </c>
      <c r="AG353" s="5">
        <f t="shared" si="88"/>
        <v>0</v>
      </c>
      <c r="AH353" s="5">
        <f>IF(CreditAmort3BASE[[#This Row],[Month]]=AJ$8,AF$7,0)</f>
        <v>0</v>
      </c>
      <c r="AI353" s="13">
        <f t="shared" si="89"/>
        <v>0</v>
      </c>
      <c r="AJ353" s="6" t="str">
        <f t="shared" si="90"/>
        <v xml:space="preserve"> </v>
      </c>
      <c r="AK353" s="21" t="str">
        <f t="shared" si="91"/>
        <v xml:space="preserve"> </v>
      </c>
      <c r="AM353" s="20">
        <f t="shared" si="92"/>
        <v>342</v>
      </c>
      <c r="AN353" s="5">
        <f t="shared" si="93"/>
        <v>0</v>
      </c>
      <c r="AO353" s="5">
        <f t="shared" si="94"/>
        <v>0</v>
      </c>
      <c r="AP353" s="5">
        <f t="shared" si="95"/>
        <v>0</v>
      </c>
      <c r="AQ353" s="5">
        <f>IF(CreditAmort4BASE[[#This Row],[Month]]=AS$8,AO$7,0)</f>
        <v>0</v>
      </c>
      <c r="AR353" s="13">
        <f t="shared" si="96"/>
        <v>0</v>
      </c>
      <c r="AS353" s="6" t="str">
        <f t="shared" si="97"/>
        <v xml:space="preserve"> </v>
      </c>
      <c r="AT353" s="21" t="str">
        <f t="shared" si="98"/>
        <v xml:space="preserve"> </v>
      </c>
    </row>
    <row r="354" spans="3:46">
      <c r="C354" s="22">
        <f t="shared" si="99"/>
        <v>343</v>
      </c>
      <c r="D354" s="23">
        <f>IF(AND(C354&gt;='Amort. Sched.-BASE'!$I$8, C354&lt;= ($I$7+$I$8)), PMT('Amort. Sched.-BASE'!$E$8/12, 'Amort. Sched.-BASE'!$I$7, 'Amort. Sched.-BASE'!$E$7), 0)</f>
        <v>0</v>
      </c>
      <c r="E354" s="5">
        <f>IF(AND(C354&gt;='Amort. Sched.-BASE'!$I$8, C354&lt;= ($I$7+$I$8)), (IPMT($E$8/12, (C354-$I$8), $I$7, $E$7)), 0)</f>
        <v>0</v>
      </c>
      <c r="F354" s="23">
        <f>IF(AND(C354&gt;='Amort. Sched.-BASE'!$I$8, C354&lt;= ($I$7+$I$8)), (PPMT($E$8/12, (C354-$I$8), $I$7, $E$7)), 0)</f>
        <v>0</v>
      </c>
      <c r="G354" s="5">
        <f>IF(MortgageAmortBASE[[#This Row],[Month]]=I$8,E$7,0)</f>
        <v>0</v>
      </c>
      <c r="H354" s="13">
        <f>IF(AND(C354&gt;='Amort. Sched.-BASE'!$I$8, C354&lt;= ($I$7+$I$8)), H353+F354, 0)</f>
        <v>0</v>
      </c>
      <c r="I354" s="24" t="str">
        <f>IF(AND(C354&gt;='Amort. Sched.-BASE'!$I$8, C354&lt;= ($I$7+$I$8)), E354/D354, " ")</f>
        <v xml:space="preserve"> </v>
      </c>
      <c r="J354" s="25" t="str">
        <f>IF(AND(C354&gt;='Amort. Sched.-BASE'!$I$8, C354&lt;= ($I$7+$I$8)), F354/D354, " ")</f>
        <v xml:space="preserve"> </v>
      </c>
      <c r="L354" s="20">
        <f t="shared" si="83"/>
        <v>343</v>
      </c>
      <c r="M354" s="5">
        <f>IF(AND(L354&gt;='Amort. Sched.-BASE'!$R$8, L354&lt;= ($R$7+$R$8)), PMT('Amort. Sched.-BASE'!$N$8/12, 'Amort. Sched.-BASE'!$R$7, 'Amort. Sched.-BASE'!$N$7), 0)</f>
        <v>0</v>
      </c>
      <c r="N354" s="5">
        <f>IF(AND(L354&gt;='Amort. Sched.-BASE'!$R$8, L354&lt;= ($R$7+$R$8)), (IPMT($N$8/12, (L354-$R$8), $R$7, $N$7)), 0)</f>
        <v>0</v>
      </c>
      <c r="O354" s="5">
        <f>IF(AND(L354&gt;='Amort. Sched.-BASE'!$R$8, L354&lt;= ($R$7+$R$8)), (PPMT($N$8/12, (L354-$R$8), $R$7, $N$7)), 0)</f>
        <v>0</v>
      </c>
      <c r="P354" s="5">
        <f>IF(CreditAmort1BASE[[#This Row],[Month]]=R$8,N$7,0)</f>
        <v>0</v>
      </c>
      <c r="Q354" s="13">
        <f>IF(AND(L354&gt;='Amort. Sched.-BASE'!$R$8, L354&lt;= ($R$7+$R$8)), Q353+O354, 0)</f>
        <v>0</v>
      </c>
      <c r="R354" s="6" t="str">
        <f>IF(AND(L354&gt;='Amort. Sched.-BASE'!$R$8, L354&lt;= ($R$7+$R$8)), N354/M354, " ")</f>
        <v xml:space="preserve"> </v>
      </c>
      <c r="S354" s="21" t="str">
        <f>IF(AND(L354&gt;='Amort. Sched.-BASE'!$R$8, L354&lt;= ($R$7+$R$8)), O354/M354, " ")</f>
        <v xml:space="preserve"> </v>
      </c>
      <c r="U354" s="22">
        <f t="shared" si="84"/>
        <v>343</v>
      </c>
      <c r="V354" s="23">
        <f>IF(AND(U354&gt;='Amort. Sched.-BASE'!$AA$8, U354&lt;= ($AA$7+$AA$8)), PMT('Amort. Sched.-BASE'!$W$8/12, 'Amort. Sched.-BASE'!$AA$7, 'Amort. Sched.-BASE'!$W$7), 0)</f>
        <v>0</v>
      </c>
      <c r="W354" s="5">
        <f>IF(AND(U354&gt;='Amort. Sched.-BASE'!$AA$8, U354&lt;= ($AA$7+$AA$8)), (IPMT($W$8/12, (U354-$AA$8), $AA$7, $W$7)), 0)</f>
        <v>0</v>
      </c>
      <c r="X354" s="23">
        <f>IF(AND(U354&gt;='Amort. Sched.-BASE'!$AA$8, U354&lt;= ($AA$7+$AA$8)), (PPMT($W$8/12, (U354-$AA$8), $AA$7, $W$7)), 0)</f>
        <v>0</v>
      </c>
      <c r="Y354" s="5">
        <f>IF(CreditAmort2BASE[[#This Row],[Month]]=AA$8,W$7,0)</f>
        <v>0</v>
      </c>
      <c r="Z354" s="13">
        <f>IF(AND(U354&gt;='Amort. Sched.-BASE'!$AA$8, U354&lt;= ($AA$7+$AA$8)), Z353+X354, 0)</f>
        <v>0</v>
      </c>
      <c r="AA354" s="24" t="str">
        <f>IF(AND(U354&gt;='Amort. Sched.-BASE'!$AA$8, U354&lt;= ($AA$7+$AA$8)), W354/V354, " ")</f>
        <v xml:space="preserve"> </v>
      </c>
      <c r="AB354" s="25" t="str">
        <f>IF(AND(U354&gt;='Amort. Sched.-BASE'!$AA$8, U354&lt;= ($AA$7+$AA$8)), X354/V354, " ")</f>
        <v xml:space="preserve"> </v>
      </c>
      <c r="AD354" s="20">
        <f t="shared" si="85"/>
        <v>343</v>
      </c>
      <c r="AE354" s="5">
        <f t="shared" si="86"/>
        <v>0</v>
      </c>
      <c r="AF354" s="5">
        <f t="shared" si="87"/>
        <v>0</v>
      </c>
      <c r="AG354" s="5">
        <f t="shared" si="88"/>
        <v>0</v>
      </c>
      <c r="AH354" s="5">
        <f>IF(CreditAmort3BASE[[#This Row],[Month]]=AJ$8,AF$7,0)</f>
        <v>0</v>
      </c>
      <c r="AI354" s="13">
        <f t="shared" si="89"/>
        <v>0</v>
      </c>
      <c r="AJ354" s="6" t="str">
        <f t="shared" si="90"/>
        <v xml:space="preserve"> </v>
      </c>
      <c r="AK354" s="21" t="str">
        <f t="shared" si="91"/>
        <v xml:space="preserve"> </v>
      </c>
      <c r="AM354" s="20">
        <f t="shared" si="92"/>
        <v>343</v>
      </c>
      <c r="AN354" s="5">
        <f t="shared" si="93"/>
        <v>0</v>
      </c>
      <c r="AO354" s="5">
        <f t="shared" si="94"/>
        <v>0</v>
      </c>
      <c r="AP354" s="5">
        <f t="shared" si="95"/>
        <v>0</v>
      </c>
      <c r="AQ354" s="5">
        <f>IF(CreditAmort4BASE[[#This Row],[Month]]=AS$8,AO$7,0)</f>
        <v>0</v>
      </c>
      <c r="AR354" s="13">
        <f t="shared" si="96"/>
        <v>0</v>
      </c>
      <c r="AS354" s="6" t="str">
        <f t="shared" si="97"/>
        <v xml:space="preserve"> </v>
      </c>
      <c r="AT354" s="21" t="str">
        <f t="shared" si="98"/>
        <v xml:space="preserve"> </v>
      </c>
    </row>
    <row r="355" spans="3:46">
      <c r="C355" s="22">
        <f t="shared" si="99"/>
        <v>344</v>
      </c>
      <c r="D355" s="23">
        <f>IF(AND(C355&gt;='Amort. Sched.-BASE'!$I$8, C355&lt;= ($I$7+$I$8)), PMT('Amort. Sched.-BASE'!$E$8/12, 'Amort. Sched.-BASE'!$I$7, 'Amort. Sched.-BASE'!$E$7), 0)</f>
        <v>0</v>
      </c>
      <c r="E355" s="5">
        <f>IF(AND(C355&gt;='Amort. Sched.-BASE'!$I$8, C355&lt;= ($I$7+$I$8)), (IPMT($E$8/12, (C355-$I$8), $I$7, $E$7)), 0)</f>
        <v>0</v>
      </c>
      <c r="F355" s="23">
        <f>IF(AND(C355&gt;='Amort. Sched.-BASE'!$I$8, C355&lt;= ($I$7+$I$8)), (PPMT($E$8/12, (C355-$I$8), $I$7, $E$7)), 0)</f>
        <v>0</v>
      </c>
      <c r="G355" s="5">
        <f>IF(MortgageAmortBASE[[#This Row],[Month]]=I$8,E$7,0)</f>
        <v>0</v>
      </c>
      <c r="H355" s="13">
        <f>IF(AND(C355&gt;='Amort. Sched.-BASE'!$I$8, C355&lt;= ($I$7+$I$8)), H354+F355, 0)</f>
        <v>0</v>
      </c>
      <c r="I355" s="24" t="str">
        <f>IF(AND(C355&gt;='Amort. Sched.-BASE'!$I$8, C355&lt;= ($I$7+$I$8)), E355/D355, " ")</f>
        <v xml:space="preserve"> </v>
      </c>
      <c r="J355" s="25" t="str">
        <f>IF(AND(C355&gt;='Amort. Sched.-BASE'!$I$8, C355&lt;= ($I$7+$I$8)), F355/D355, " ")</f>
        <v xml:space="preserve"> </v>
      </c>
      <c r="L355" s="20">
        <f t="shared" si="83"/>
        <v>344</v>
      </c>
      <c r="M355" s="5">
        <f>IF(AND(L355&gt;='Amort. Sched.-BASE'!$R$8, L355&lt;= ($R$7+$R$8)), PMT('Amort. Sched.-BASE'!$N$8/12, 'Amort. Sched.-BASE'!$R$7, 'Amort. Sched.-BASE'!$N$7), 0)</f>
        <v>0</v>
      </c>
      <c r="N355" s="5">
        <f>IF(AND(L355&gt;='Amort. Sched.-BASE'!$R$8, L355&lt;= ($R$7+$R$8)), (IPMT($N$8/12, (L355-$R$8), $R$7, $N$7)), 0)</f>
        <v>0</v>
      </c>
      <c r="O355" s="5">
        <f>IF(AND(L355&gt;='Amort. Sched.-BASE'!$R$8, L355&lt;= ($R$7+$R$8)), (PPMT($N$8/12, (L355-$R$8), $R$7, $N$7)), 0)</f>
        <v>0</v>
      </c>
      <c r="P355" s="5">
        <f>IF(CreditAmort1BASE[[#This Row],[Month]]=R$8,N$7,0)</f>
        <v>0</v>
      </c>
      <c r="Q355" s="13">
        <f>IF(AND(L355&gt;='Amort. Sched.-BASE'!$R$8, L355&lt;= ($R$7+$R$8)), Q354+O355, 0)</f>
        <v>0</v>
      </c>
      <c r="R355" s="6" t="str">
        <f>IF(AND(L355&gt;='Amort. Sched.-BASE'!$R$8, L355&lt;= ($R$7+$R$8)), N355/M355, " ")</f>
        <v xml:space="preserve"> </v>
      </c>
      <c r="S355" s="21" t="str">
        <f>IF(AND(L355&gt;='Amort. Sched.-BASE'!$R$8, L355&lt;= ($R$7+$R$8)), O355/M355, " ")</f>
        <v xml:space="preserve"> </v>
      </c>
      <c r="U355" s="22">
        <f t="shared" si="84"/>
        <v>344</v>
      </c>
      <c r="V355" s="23">
        <f>IF(AND(U355&gt;='Amort. Sched.-BASE'!$AA$8, U355&lt;= ($AA$7+$AA$8)), PMT('Amort. Sched.-BASE'!$W$8/12, 'Amort. Sched.-BASE'!$AA$7, 'Amort. Sched.-BASE'!$W$7), 0)</f>
        <v>0</v>
      </c>
      <c r="W355" s="5">
        <f>IF(AND(U355&gt;='Amort. Sched.-BASE'!$AA$8, U355&lt;= ($AA$7+$AA$8)), (IPMT($W$8/12, (U355-$AA$8), $AA$7, $W$7)), 0)</f>
        <v>0</v>
      </c>
      <c r="X355" s="23">
        <f>IF(AND(U355&gt;='Amort. Sched.-BASE'!$AA$8, U355&lt;= ($AA$7+$AA$8)), (PPMT($W$8/12, (U355-$AA$8), $AA$7, $W$7)), 0)</f>
        <v>0</v>
      </c>
      <c r="Y355" s="5">
        <f>IF(CreditAmort2BASE[[#This Row],[Month]]=AA$8,W$7,0)</f>
        <v>0</v>
      </c>
      <c r="Z355" s="13">
        <f>IF(AND(U355&gt;='Amort. Sched.-BASE'!$AA$8, U355&lt;= ($AA$7+$AA$8)), Z354+X355, 0)</f>
        <v>0</v>
      </c>
      <c r="AA355" s="24" t="str">
        <f>IF(AND(U355&gt;='Amort. Sched.-BASE'!$AA$8, U355&lt;= ($AA$7+$AA$8)), W355/V355, " ")</f>
        <v xml:space="preserve"> </v>
      </c>
      <c r="AB355" s="25" t="str">
        <f>IF(AND(U355&gt;='Amort. Sched.-BASE'!$AA$8, U355&lt;= ($AA$7+$AA$8)), X355/V355, " ")</f>
        <v xml:space="preserve"> </v>
      </c>
      <c r="AD355" s="20">
        <f t="shared" si="85"/>
        <v>344</v>
      </c>
      <c r="AE355" s="5">
        <f t="shared" si="86"/>
        <v>0</v>
      </c>
      <c r="AF355" s="5">
        <f t="shared" si="87"/>
        <v>0</v>
      </c>
      <c r="AG355" s="5">
        <f t="shared" si="88"/>
        <v>0</v>
      </c>
      <c r="AH355" s="5">
        <f>IF(CreditAmort3BASE[[#This Row],[Month]]=AJ$8,AF$7,0)</f>
        <v>0</v>
      </c>
      <c r="AI355" s="13">
        <f t="shared" si="89"/>
        <v>0</v>
      </c>
      <c r="AJ355" s="6" t="str">
        <f t="shared" si="90"/>
        <v xml:space="preserve"> </v>
      </c>
      <c r="AK355" s="21" t="str">
        <f t="shared" si="91"/>
        <v xml:space="preserve"> </v>
      </c>
      <c r="AM355" s="20">
        <f t="shared" si="92"/>
        <v>344</v>
      </c>
      <c r="AN355" s="5">
        <f t="shared" si="93"/>
        <v>0</v>
      </c>
      <c r="AO355" s="5">
        <f t="shared" si="94"/>
        <v>0</v>
      </c>
      <c r="AP355" s="5">
        <f t="shared" si="95"/>
        <v>0</v>
      </c>
      <c r="AQ355" s="5">
        <f>IF(CreditAmort4BASE[[#This Row],[Month]]=AS$8,AO$7,0)</f>
        <v>0</v>
      </c>
      <c r="AR355" s="13">
        <f t="shared" si="96"/>
        <v>0</v>
      </c>
      <c r="AS355" s="6" t="str">
        <f t="shared" si="97"/>
        <v xml:space="preserve"> </v>
      </c>
      <c r="AT355" s="21" t="str">
        <f t="shared" si="98"/>
        <v xml:space="preserve"> </v>
      </c>
    </row>
    <row r="356" spans="3:46">
      <c r="C356" s="22">
        <f t="shared" si="99"/>
        <v>345</v>
      </c>
      <c r="D356" s="23">
        <f>IF(AND(C356&gt;='Amort. Sched.-BASE'!$I$8, C356&lt;= ($I$7+$I$8)), PMT('Amort. Sched.-BASE'!$E$8/12, 'Amort. Sched.-BASE'!$I$7, 'Amort. Sched.-BASE'!$E$7), 0)</f>
        <v>0</v>
      </c>
      <c r="E356" s="5">
        <f>IF(AND(C356&gt;='Amort. Sched.-BASE'!$I$8, C356&lt;= ($I$7+$I$8)), (IPMT($E$8/12, (C356-$I$8), $I$7, $E$7)), 0)</f>
        <v>0</v>
      </c>
      <c r="F356" s="23">
        <f>IF(AND(C356&gt;='Amort. Sched.-BASE'!$I$8, C356&lt;= ($I$7+$I$8)), (PPMT($E$8/12, (C356-$I$8), $I$7, $E$7)), 0)</f>
        <v>0</v>
      </c>
      <c r="G356" s="5">
        <f>IF(MortgageAmortBASE[[#This Row],[Month]]=I$8,E$7,0)</f>
        <v>0</v>
      </c>
      <c r="H356" s="13">
        <f>IF(AND(C356&gt;='Amort. Sched.-BASE'!$I$8, C356&lt;= ($I$7+$I$8)), H355+F356, 0)</f>
        <v>0</v>
      </c>
      <c r="I356" s="24" t="str">
        <f>IF(AND(C356&gt;='Amort. Sched.-BASE'!$I$8, C356&lt;= ($I$7+$I$8)), E356/D356, " ")</f>
        <v xml:space="preserve"> </v>
      </c>
      <c r="J356" s="25" t="str">
        <f>IF(AND(C356&gt;='Amort. Sched.-BASE'!$I$8, C356&lt;= ($I$7+$I$8)), F356/D356, " ")</f>
        <v xml:space="preserve"> </v>
      </c>
      <c r="L356" s="20">
        <f t="shared" si="83"/>
        <v>345</v>
      </c>
      <c r="M356" s="5">
        <f>IF(AND(L356&gt;='Amort. Sched.-BASE'!$R$8, L356&lt;= ($R$7+$R$8)), PMT('Amort. Sched.-BASE'!$N$8/12, 'Amort. Sched.-BASE'!$R$7, 'Amort. Sched.-BASE'!$N$7), 0)</f>
        <v>0</v>
      </c>
      <c r="N356" s="5">
        <f>IF(AND(L356&gt;='Amort. Sched.-BASE'!$R$8, L356&lt;= ($R$7+$R$8)), (IPMT($N$8/12, (L356-$R$8), $R$7, $N$7)), 0)</f>
        <v>0</v>
      </c>
      <c r="O356" s="5">
        <f>IF(AND(L356&gt;='Amort. Sched.-BASE'!$R$8, L356&lt;= ($R$7+$R$8)), (PPMT($N$8/12, (L356-$R$8), $R$7, $N$7)), 0)</f>
        <v>0</v>
      </c>
      <c r="P356" s="5">
        <f>IF(CreditAmort1BASE[[#This Row],[Month]]=R$8,N$7,0)</f>
        <v>0</v>
      </c>
      <c r="Q356" s="13">
        <f>IF(AND(L356&gt;='Amort. Sched.-BASE'!$R$8, L356&lt;= ($R$7+$R$8)), Q355+O356, 0)</f>
        <v>0</v>
      </c>
      <c r="R356" s="6" t="str">
        <f>IF(AND(L356&gt;='Amort. Sched.-BASE'!$R$8, L356&lt;= ($R$7+$R$8)), N356/M356, " ")</f>
        <v xml:space="preserve"> </v>
      </c>
      <c r="S356" s="21" t="str">
        <f>IF(AND(L356&gt;='Amort. Sched.-BASE'!$R$8, L356&lt;= ($R$7+$R$8)), O356/M356, " ")</f>
        <v xml:space="preserve"> </v>
      </c>
      <c r="U356" s="22">
        <f t="shared" si="84"/>
        <v>345</v>
      </c>
      <c r="V356" s="23">
        <f>IF(AND(U356&gt;='Amort. Sched.-BASE'!$AA$8, U356&lt;= ($AA$7+$AA$8)), PMT('Amort. Sched.-BASE'!$W$8/12, 'Amort. Sched.-BASE'!$AA$7, 'Amort. Sched.-BASE'!$W$7), 0)</f>
        <v>0</v>
      </c>
      <c r="W356" s="5">
        <f>IF(AND(U356&gt;='Amort. Sched.-BASE'!$AA$8, U356&lt;= ($AA$7+$AA$8)), (IPMT($W$8/12, (U356-$AA$8), $AA$7, $W$7)), 0)</f>
        <v>0</v>
      </c>
      <c r="X356" s="23">
        <f>IF(AND(U356&gt;='Amort. Sched.-BASE'!$AA$8, U356&lt;= ($AA$7+$AA$8)), (PPMT($W$8/12, (U356-$AA$8), $AA$7, $W$7)), 0)</f>
        <v>0</v>
      </c>
      <c r="Y356" s="5">
        <f>IF(CreditAmort2BASE[[#This Row],[Month]]=AA$8,W$7,0)</f>
        <v>0</v>
      </c>
      <c r="Z356" s="13">
        <f>IF(AND(U356&gt;='Amort. Sched.-BASE'!$AA$8, U356&lt;= ($AA$7+$AA$8)), Z355+X356, 0)</f>
        <v>0</v>
      </c>
      <c r="AA356" s="24" t="str">
        <f>IF(AND(U356&gt;='Amort. Sched.-BASE'!$AA$8, U356&lt;= ($AA$7+$AA$8)), W356/V356, " ")</f>
        <v xml:space="preserve"> </v>
      </c>
      <c r="AB356" s="25" t="str">
        <f>IF(AND(U356&gt;='Amort. Sched.-BASE'!$AA$8, U356&lt;= ($AA$7+$AA$8)), X356/V356, " ")</f>
        <v xml:space="preserve"> </v>
      </c>
      <c r="AD356" s="20">
        <f t="shared" si="85"/>
        <v>345</v>
      </c>
      <c r="AE356" s="5">
        <f t="shared" si="86"/>
        <v>0</v>
      </c>
      <c r="AF356" s="5">
        <f t="shared" si="87"/>
        <v>0</v>
      </c>
      <c r="AG356" s="5">
        <f t="shared" si="88"/>
        <v>0</v>
      </c>
      <c r="AH356" s="5">
        <f>IF(CreditAmort3BASE[[#This Row],[Month]]=AJ$8,AF$7,0)</f>
        <v>0</v>
      </c>
      <c r="AI356" s="13">
        <f t="shared" si="89"/>
        <v>0</v>
      </c>
      <c r="AJ356" s="6" t="str">
        <f t="shared" si="90"/>
        <v xml:space="preserve"> </v>
      </c>
      <c r="AK356" s="21" t="str">
        <f t="shared" si="91"/>
        <v xml:space="preserve"> </v>
      </c>
      <c r="AM356" s="20">
        <f t="shared" si="92"/>
        <v>345</v>
      </c>
      <c r="AN356" s="5">
        <f t="shared" si="93"/>
        <v>0</v>
      </c>
      <c r="AO356" s="5">
        <f t="shared" si="94"/>
        <v>0</v>
      </c>
      <c r="AP356" s="5">
        <f t="shared" si="95"/>
        <v>0</v>
      </c>
      <c r="AQ356" s="5">
        <f>IF(CreditAmort4BASE[[#This Row],[Month]]=AS$8,AO$7,0)</f>
        <v>0</v>
      </c>
      <c r="AR356" s="13">
        <f t="shared" si="96"/>
        <v>0</v>
      </c>
      <c r="AS356" s="6" t="str">
        <f t="shared" si="97"/>
        <v xml:space="preserve"> </v>
      </c>
      <c r="AT356" s="21" t="str">
        <f t="shared" si="98"/>
        <v xml:space="preserve"> </v>
      </c>
    </row>
    <row r="357" spans="3:46">
      <c r="C357" s="22">
        <f t="shared" si="99"/>
        <v>346</v>
      </c>
      <c r="D357" s="23">
        <f>IF(AND(C357&gt;='Amort. Sched.-BASE'!$I$8, C357&lt;= ($I$7+$I$8)), PMT('Amort. Sched.-BASE'!$E$8/12, 'Amort. Sched.-BASE'!$I$7, 'Amort. Sched.-BASE'!$E$7), 0)</f>
        <v>0</v>
      </c>
      <c r="E357" s="5">
        <f>IF(AND(C357&gt;='Amort. Sched.-BASE'!$I$8, C357&lt;= ($I$7+$I$8)), (IPMT($E$8/12, (C357-$I$8), $I$7, $E$7)), 0)</f>
        <v>0</v>
      </c>
      <c r="F357" s="23">
        <f>IF(AND(C357&gt;='Amort. Sched.-BASE'!$I$8, C357&lt;= ($I$7+$I$8)), (PPMT($E$8/12, (C357-$I$8), $I$7, $E$7)), 0)</f>
        <v>0</v>
      </c>
      <c r="G357" s="5">
        <f>IF(MortgageAmortBASE[[#This Row],[Month]]=I$8,E$7,0)</f>
        <v>0</v>
      </c>
      <c r="H357" s="13">
        <f>IF(AND(C357&gt;='Amort. Sched.-BASE'!$I$8, C357&lt;= ($I$7+$I$8)), H356+F357, 0)</f>
        <v>0</v>
      </c>
      <c r="I357" s="24" t="str">
        <f>IF(AND(C357&gt;='Amort. Sched.-BASE'!$I$8, C357&lt;= ($I$7+$I$8)), E357/D357, " ")</f>
        <v xml:space="preserve"> </v>
      </c>
      <c r="J357" s="25" t="str">
        <f>IF(AND(C357&gt;='Amort. Sched.-BASE'!$I$8, C357&lt;= ($I$7+$I$8)), F357/D357, " ")</f>
        <v xml:space="preserve"> </v>
      </c>
      <c r="L357" s="20">
        <f t="shared" si="83"/>
        <v>346</v>
      </c>
      <c r="M357" s="5">
        <f>IF(AND(L357&gt;='Amort. Sched.-BASE'!$R$8, L357&lt;= ($R$7+$R$8)), PMT('Amort. Sched.-BASE'!$N$8/12, 'Amort. Sched.-BASE'!$R$7, 'Amort. Sched.-BASE'!$N$7), 0)</f>
        <v>0</v>
      </c>
      <c r="N357" s="5">
        <f>IF(AND(L357&gt;='Amort. Sched.-BASE'!$R$8, L357&lt;= ($R$7+$R$8)), (IPMT($N$8/12, (L357-$R$8), $R$7, $N$7)), 0)</f>
        <v>0</v>
      </c>
      <c r="O357" s="5">
        <f>IF(AND(L357&gt;='Amort. Sched.-BASE'!$R$8, L357&lt;= ($R$7+$R$8)), (PPMT($N$8/12, (L357-$R$8), $R$7, $N$7)), 0)</f>
        <v>0</v>
      </c>
      <c r="P357" s="5">
        <f>IF(CreditAmort1BASE[[#This Row],[Month]]=R$8,N$7,0)</f>
        <v>0</v>
      </c>
      <c r="Q357" s="13">
        <f>IF(AND(L357&gt;='Amort. Sched.-BASE'!$R$8, L357&lt;= ($R$7+$R$8)), Q356+O357, 0)</f>
        <v>0</v>
      </c>
      <c r="R357" s="6" t="str">
        <f>IF(AND(L357&gt;='Amort. Sched.-BASE'!$R$8, L357&lt;= ($R$7+$R$8)), N357/M357, " ")</f>
        <v xml:space="preserve"> </v>
      </c>
      <c r="S357" s="21" t="str">
        <f>IF(AND(L357&gt;='Amort. Sched.-BASE'!$R$8, L357&lt;= ($R$7+$R$8)), O357/M357, " ")</f>
        <v xml:space="preserve"> </v>
      </c>
      <c r="U357" s="22">
        <f t="shared" si="84"/>
        <v>346</v>
      </c>
      <c r="V357" s="23">
        <f>IF(AND(U357&gt;='Amort. Sched.-BASE'!$AA$8, U357&lt;= ($AA$7+$AA$8)), PMT('Amort. Sched.-BASE'!$W$8/12, 'Amort. Sched.-BASE'!$AA$7, 'Amort. Sched.-BASE'!$W$7), 0)</f>
        <v>0</v>
      </c>
      <c r="W357" s="5">
        <f>IF(AND(U357&gt;='Amort. Sched.-BASE'!$AA$8, U357&lt;= ($AA$7+$AA$8)), (IPMT($W$8/12, (U357-$AA$8), $AA$7, $W$7)), 0)</f>
        <v>0</v>
      </c>
      <c r="X357" s="23">
        <f>IF(AND(U357&gt;='Amort. Sched.-BASE'!$AA$8, U357&lt;= ($AA$7+$AA$8)), (PPMT($W$8/12, (U357-$AA$8), $AA$7, $W$7)), 0)</f>
        <v>0</v>
      </c>
      <c r="Y357" s="5">
        <f>IF(CreditAmort2BASE[[#This Row],[Month]]=AA$8,W$7,0)</f>
        <v>0</v>
      </c>
      <c r="Z357" s="13">
        <f>IF(AND(U357&gt;='Amort. Sched.-BASE'!$AA$8, U357&lt;= ($AA$7+$AA$8)), Z356+X357, 0)</f>
        <v>0</v>
      </c>
      <c r="AA357" s="24" t="str">
        <f>IF(AND(U357&gt;='Amort. Sched.-BASE'!$AA$8, U357&lt;= ($AA$7+$AA$8)), W357/V357, " ")</f>
        <v xml:space="preserve"> </v>
      </c>
      <c r="AB357" s="25" t="str">
        <f>IF(AND(U357&gt;='Amort. Sched.-BASE'!$AA$8, U357&lt;= ($AA$7+$AA$8)), X357/V357, " ")</f>
        <v xml:space="preserve"> </v>
      </c>
      <c r="AD357" s="20">
        <f t="shared" si="85"/>
        <v>346</v>
      </c>
      <c r="AE357" s="5">
        <f t="shared" si="86"/>
        <v>0</v>
      </c>
      <c r="AF357" s="5">
        <f t="shared" si="87"/>
        <v>0</v>
      </c>
      <c r="AG357" s="5">
        <f t="shared" si="88"/>
        <v>0</v>
      </c>
      <c r="AH357" s="5">
        <f>IF(CreditAmort3BASE[[#This Row],[Month]]=AJ$8,AF$7,0)</f>
        <v>0</v>
      </c>
      <c r="AI357" s="13">
        <f t="shared" si="89"/>
        <v>0</v>
      </c>
      <c r="AJ357" s="6" t="str">
        <f t="shared" si="90"/>
        <v xml:space="preserve"> </v>
      </c>
      <c r="AK357" s="21" t="str">
        <f t="shared" si="91"/>
        <v xml:space="preserve"> </v>
      </c>
      <c r="AM357" s="20">
        <f t="shared" si="92"/>
        <v>346</v>
      </c>
      <c r="AN357" s="5">
        <f t="shared" si="93"/>
        <v>0</v>
      </c>
      <c r="AO357" s="5">
        <f t="shared" si="94"/>
        <v>0</v>
      </c>
      <c r="AP357" s="5">
        <f t="shared" si="95"/>
        <v>0</v>
      </c>
      <c r="AQ357" s="5">
        <f>IF(CreditAmort4BASE[[#This Row],[Month]]=AS$8,AO$7,0)</f>
        <v>0</v>
      </c>
      <c r="AR357" s="13">
        <f t="shared" si="96"/>
        <v>0</v>
      </c>
      <c r="AS357" s="6" t="str">
        <f t="shared" si="97"/>
        <v xml:space="preserve"> </v>
      </c>
      <c r="AT357" s="21" t="str">
        <f t="shared" si="98"/>
        <v xml:space="preserve"> </v>
      </c>
    </row>
    <row r="358" spans="3:46">
      <c r="C358" s="22">
        <f t="shared" si="99"/>
        <v>347</v>
      </c>
      <c r="D358" s="23">
        <f>IF(AND(C358&gt;='Amort. Sched.-BASE'!$I$8, C358&lt;= ($I$7+$I$8)), PMT('Amort. Sched.-BASE'!$E$8/12, 'Amort. Sched.-BASE'!$I$7, 'Amort. Sched.-BASE'!$E$7), 0)</f>
        <v>0</v>
      </c>
      <c r="E358" s="5">
        <f>IF(AND(C358&gt;='Amort. Sched.-BASE'!$I$8, C358&lt;= ($I$7+$I$8)), (IPMT($E$8/12, (C358-$I$8), $I$7, $E$7)), 0)</f>
        <v>0</v>
      </c>
      <c r="F358" s="23">
        <f>IF(AND(C358&gt;='Amort. Sched.-BASE'!$I$8, C358&lt;= ($I$7+$I$8)), (PPMT($E$8/12, (C358-$I$8), $I$7, $E$7)), 0)</f>
        <v>0</v>
      </c>
      <c r="G358" s="5">
        <f>IF(MortgageAmortBASE[[#This Row],[Month]]=I$8,E$7,0)</f>
        <v>0</v>
      </c>
      <c r="H358" s="13">
        <f>IF(AND(C358&gt;='Amort. Sched.-BASE'!$I$8, C358&lt;= ($I$7+$I$8)), H357+F358, 0)</f>
        <v>0</v>
      </c>
      <c r="I358" s="24" t="str">
        <f>IF(AND(C358&gt;='Amort. Sched.-BASE'!$I$8, C358&lt;= ($I$7+$I$8)), E358/D358, " ")</f>
        <v xml:space="preserve"> </v>
      </c>
      <c r="J358" s="25" t="str">
        <f>IF(AND(C358&gt;='Amort. Sched.-BASE'!$I$8, C358&lt;= ($I$7+$I$8)), F358/D358, " ")</f>
        <v xml:space="preserve"> </v>
      </c>
      <c r="L358" s="20">
        <f t="shared" si="83"/>
        <v>347</v>
      </c>
      <c r="M358" s="5">
        <f>IF(AND(L358&gt;='Amort. Sched.-BASE'!$R$8, L358&lt;= ($R$7+$R$8)), PMT('Amort. Sched.-BASE'!$N$8/12, 'Amort. Sched.-BASE'!$R$7, 'Amort. Sched.-BASE'!$N$7), 0)</f>
        <v>0</v>
      </c>
      <c r="N358" s="5">
        <f>IF(AND(L358&gt;='Amort. Sched.-BASE'!$R$8, L358&lt;= ($R$7+$R$8)), (IPMT($N$8/12, (L358-$R$8), $R$7, $N$7)), 0)</f>
        <v>0</v>
      </c>
      <c r="O358" s="5">
        <f>IF(AND(L358&gt;='Amort. Sched.-BASE'!$R$8, L358&lt;= ($R$7+$R$8)), (PPMT($N$8/12, (L358-$R$8), $R$7, $N$7)), 0)</f>
        <v>0</v>
      </c>
      <c r="P358" s="5">
        <f>IF(CreditAmort1BASE[[#This Row],[Month]]=R$8,N$7,0)</f>
        <v>0</v>
      </c>
      <c r="Q358" s="13">
        <f>IF(AND(L358&gt;='Amort. Sched.-BASE'!$R$8, L358&lt;= ($R$7+$R$8)), Q357+O358, 0)</f>
        <v>0</v>
      </c>
      <c r="R358" s="6" t="str">
        <f>IF(AND(L358&gt;='Amort. Sched.-BASE'!$R$8, L358&lt;= ($R$7+$R$8)), N358/M358, " ")</f>
        <v xml:space="preserve"> </v>
      </c>
      <c r="S358" s="21" t="str">
        <f>IF(AND(L358&gt;='Amort. Sched.-BASE'!$R$8, L358&lt;= ($R$7+$R$8)), O358/M358, " ")</f>
        <v xml:space="preserve"> </v>
      </c>
      <c r="U358" s="22">
        <f t="shared" si="84"/>
        <v>347</v>
      </c>
      <c r="V358" s="23">
        <f>IF(AND(U358&gt;='Amort. Sched.-BASE'!$AA$8, U358&lt;= ($AA$7+$AA$8)), PMT('Amort. Sched.-BASE'!$W$8/12, 'Amort. Sched.-BASE'!$AA$7, 'Amort. Sched.-BASE'!$W$7), 0)</f>
        <v>0</v>
      </c>
      <c r="W358" s="5">
        <f>IF(AND(U358&gt;='Amort. Sched.-BASE'!$AA$8, U358&lt;= ($AA$7+$AA$8)), (IPMT($W$8/12, (U358-$AA$8), $AA$7, $W$7)), 0)</f>
        <v>0</v>
      </c>
      <c r="X358" s="23">
        <f>IF(AND(U358&gt;='Amort. Sched.-BASE'!$AA$8, U358&lt;= ($AA$7+$AA$8)), (PPMT($W$8/12, (U358-$AA$8), $AA$7, $W$7)), 0)</f>
        <v>0</v>
      </c>
      <c r="Y358" s="5">
        <f>IF(CreditAmort2BASE[[#This Row],[Month]]=AA$8,W$7,0)</f>
        <v>0</v>
      </c>
      <c r="Z358" s="13">
        <f>IF(AND(U358&gt;='Amort. Sched.-BASE'!$AA$8, U358&lt;= ($AA$7+$AA$8)), Z357+X358, 0)</f>
        <v>0</v>
      </c>
      <c r="AA358" s="24" t="str">
        <f>IF(AND(U358&gt;='Amort. Sched.-BASE'!$AA$8, U358&lt;= ($AA$7+$AA$8)), W358/V358, " ")</f>
        <v xml:space="preserve"> </v>
      </c>
      <c r="AB358" s="25" t="str">
        <f>IF(AND(U358&gt;='Amort. Sched.-BASE'!$AA$8, U358&lt;= ($AA$7+$AA$8)), X358/V358, " ")</f>
        <v xml:space="preserve"> </v>
      </c>
      <c r="AD358" s="20">
        <f t="shared" si="85"/>
        <v>347</v>
      </c>
      <c r="AE358" s="5">
        <f t="shared" si="86"/>
        <v>0</v>
      </c>
      <c r="AF358" s="5">
        <f t="shared" si="87"/>
        <v>0</v>
      </c>
      <c r="AG358" s="5">
        <f t="shared" si="88"/>
        <v>0</v>
      </c>
      <c r="AH358" s="5">
        <f>IF(CreditAmort3BASE[[#This Row],[Month]]=AJ$8,AF$7,0)</f>
        <v>0</v>
      </c>
      <c r="AI358" s="13">
        <f t="shared" si="89"/>
        <v>0</v>
      </c>
      <c r="AJ358" s="6" t="str">
        <f t="shared" si="90"/>
        <v xml:space="preserve"> </v>
      </c>
      <c r="AK358" s="21" t="str">
        <f t="shared" si="91"/>
        <v xml:space="preserve"> </v>
      </c>
      <c r="AM358" s="20">
        <f t="shared" si="92"/>
        <v>347</v>
      </c>
      <c r="AN358" s="5">
        <f t="shared" si="93"/>
        <v>0</v>
      </c>
      <c r="AO358" s="5">
        <f t="shared" si="94"/>
        <v>0</v>
      </c>
      <c r="AP358" s="5">
        <f t="shared" si="95"/>
        <v>0</v>
      </c>
      <c r="AQ358" s="5">
        <f>IF(CreditAmort4BASE[[#This Row],[Month]]=AS$8,AO$7,0)</f>
        <v>0</v>
      </c>
      <c r="AR358" s="13">
        <f t="shared" si="96"/>
        <v>0</v>
      </c>
      <c r="AS358" s="6" t="str">
        <f t="shared" si="97"/>
        <v xml:space="preserve"> </v>
      </c>
      <c r="AT358" s="21" t="str">
        <f t="shared" si="98"/>
        <v xml:space="preserve"> </v>
      </c>
    </row>
    <row r="359" spans="3:46">
      <c r="C359" s="22">
        <f t="shared" si="99"/>
        <v>348</v>
      </c>
      <c r="D359" s="23">
        <f>IF(AND(C359&gt;='Amort. Sched.-BASE'!$I$8, C359&lt;= ($I$7+$I$8)), PMT('Amort. Sched.-BASE'!$E$8/12, 'Amort. Sched.-BASE'!$I$7, 'Amort. Sched.-BASE'!$E$7), 0)</f>
        <v>0</v>
      </c>
      <c r="E359" s="5">
        <f>IF(AND(C359&gt;='Amort. Sched.-BASE'!$I$8, C359&lt;= ($I$7+$I$8)), (IPMT($E$8/12, (C359-$I$8), $I$7, $E$7)), 0)</f>
        <v>0</v>
      </c>
      <c r="F359" s="23">
        <f>IF(AND(C359&gt;='Amort. Sched.-BASE'!$I$8, C359&lt;= ($I$7+$I$8)), (PPMT($E$8/12, (C359-$I$8), $I$7, $E$7)), 0)</f>
        <v>0</v>
      </c>
      <c r="G359" s="5">
        <f>IF(MortgageAmortBASE[[#This Row],[Month]]=I$8,E$7,0)</f>
        <v>0</v>
      </c>
      <c r="H359" s="13">
        <f>IF(AND(C359&gt;='Amort. Sched.-BASE'!$I$8, C359&lt;= ($I$7+$I$8)), H358+F359, 0)</f>
        <v>0</v>
      </c>
      <c r="I359" s="24" t="str">
        <f>IF(AND(C359&gt;='Amort. Sched.-BASE'!$I$8, C359&lt;= ($I$7+$I$8)), E359/D359, " ")</f>
        <v xml:space="preserve"> </v>
      </c>
      <c r="J359" s="25" t="str">
        <f>IF(AND(C359&gt;='Amort. Sched.-BASE'!$I$8, C359&lt;= ($I$7+$I$8)), F359/D359, " ")</f>
        <v xml:space="preserve"> </v>
      </c>
      <c r="L359" s="20">
        <f t="shared" si="83"/>
        <v>348</v>
      </c>
      <c r="M359" s="5">
        <f>IF(AND(L359&gt;='Amort. Sched.-BASE'!$R$8, L359&lt;= ($R$7+$R$8)), PMT('Amort. Sched.-BASE'!$N$8/12, 'Amort. Sched.-BASE'!$R$7, 'Amort. Sched.-BASE'!$N$7), 0)</f>
        <v>0</v>
      </c>
      <c r="N359" s="5">
        <f>IF(AND(L359&gt;='Amort. Sched.-BASE'!$R$8, L359&lt;= ($R$7+$R$8)), (IPMT($N$8/12, (L359-$R$8), $R$7, $N$7)), 0)</f>
        <v>0</v>
      </c>
      <c r="O359" s="5">
        <f>IF(AND(L359&gt;='Amort. Sched.-BASE'!$R$8, L359&lt;= ($R$7+$R$8)), (PPMT($N$8/12, (L359-$R$8), $R$7, $N$7)), 0)</f>
        <v>0</v>
      </c>
      <c r="P359" s="5">
        <f>IF(CreditAmort1BASE[[#This Row],[Month]]=R$8,N$7,0)</f>
        <v>0</v>
      </c>
      <c r="Q359" s="13">
        <f>IF(AND(L359&gt;='Amort. Sched.-BASE'!$R$8, L359&lt;= ($R$7+$R$8)), Q358+O359, 0)</f>
        <v>0</v>
      </c>
      <c r="R359" s="6" t="str">
        <f>IF(AND(L359&gt;='Amort. Sched.-BASE'!$R$8, L359&lt;= ($R$7+$R$8)), N359/M359, " ")</f>
        <v xml:space="preserve"> </v>
      </c>
      <c r="S359" s="21" t="str">
        <f>IF(AND(L359&gt;='Amort. Sched.-BASE'!$R$8, L359&lt;= ($R$7+$R$8)), O359/M359, " ")</f>
        <v xml:space="preserve"> </v>
      </c>
      <c r="U359" s="22">
        <f t="shared" si="84"/>
        <v>348</v>
      </c>
      <c r="V359" s="23">
        <f>IF(AND(U359&gt;='Amort. Sched.-BASE'!$AA$8, U359&lt;= ($AA$7+$AA$8)), PMT('Amort. Sched.-BASE'!$W$8/12, 'Amort. Sched.-BASE'!$AA$7, 'Amort. Sched.-BASE'!$W$7), 0)</f>
        <v>0</v>
      </c>
      <c r="W359" s="5">
        <f>IF(AND(U359&gt;='Amort. Sched.-BASE'!$AA$8, U359&lt;= ($AA$7+$AA$8)), (IPMT($W$8/12, (U359-$AA$8), $AA$7, $W$7)), 0)</f>
        <v>0</v>
      </c>
      <c r="X359" s="23">
        <f>IF(AND(U359&gt;='Amort. Sched.-BASE'!$AA$8, U359&lt;= ($AA$7+$AA$8)), (PPMT($W$8/12, (U359-$AA$8), $AA$7, $W$7)), 0)</f>
        <v>0</v>
      </c>
      <c r="Y359" s="5">
        <f>IF(CreditAmort2BASE[[#This Row],[Month]]=AA$8,W$7,0)</f>
        <v>0</v>
      </c>
      <c r="Z359" s="13">
        <f>IF(AND(U359&gt;='Amort. Sched.-BASE'!$AA$8, U359&lt;= ($AA$7+$AA$8)), Z358+X359, 0)</f>
        <v>0</v>
      </c>
      <c r="AA359" s="24" t="str">
        <f>IF(AND(U359&gt;='Amort. Sched.-BASE'!$AA$8, U359&lt;= ($AA$7+$AA$8)), W359/V359, " ")</f>
        <v xml:space="preserve"> </v>
      </c>
      <c r="AB359" s="25" t="str">
        <f>IF(AND(U359&gt;='Amort. Sched.-BASE'!$AA$8, U359&lt;= ($AA$7+$AA$8)), X359/V359, " ")</f>
        <v xml:space="preserve"> </v>
      </c>
      <c r="AD359" s="20">
        <f t="shared" si="85"/>
        <v>348</v>
      </c>
      <c r="AE359" s="5">
        <f t="shared" si="86"/>
        <v>0</v>
      </c>
      <c r="AF359" s="5">
        <f t="shared" si="87"/>
        <v>0</v>
      </c>
      <c r="AG359" s="5">
        <f t="shared" si="88"/>
        <v>0</v>
      </c>
      <c r="AH359" s="5">
        <f>IF(CreditAmort3BASE[[#This Row],[Month]]=AJ$8,AF$7,0)</f>
        <v>0</v>
      </c>
      <c r="AI359" s="13">
        <f t="shared" si="89"/>
        <v>0</v>
      </c>
      <c r="AJ359" s="6" t="str">
        <f t="shared" si="90"/>
        <v xml:space="preserve"> </v>
      </c>
      <c r="AK359" s="21" t="str">
        <f t="shared" si="91"/>
        <v xml:space="preserve"> </v>
      </c>
      <c r="AM359" s="20">
        <f t="shared" si="92"/>
        <v>348</v>
      </c>
      <c r="AN359" s="5">
        <f t="shared" si="93"/>
        <v>0</v>
      </c>
      <c r="AO359" s="5">
        <f t="shared" si="94"/>
        <v>0</v>
      </c>
      <c r="AP359" s="5">
        <f t="shared" si="95"/>
        <v>0</v>
      </c>
      <c r="AQ359" s="5">
        <f>IF(CreditAmort4BASE[[#This Row],[Month]]=AS$8,AO$7,0)</f>
        <v>0</v>
      </c>
      <c r="AR359" s="13">
        <f t="shared" si="96"/>
        <v>0</v>
      </c>
      <c r="AS359" s="6" t="str">
        <f t="shared" si="97"/>
        <v xml:space="preserve"> </v>
      </c>
      <c r="AT359" s="21" t="str">
        <f t="shared" si="98"/>
        <v xml:space="preserve"> </v>
      </c>
    </row>
    <row r="360" spans="3:46">
      <c r="C360" s="22">
        <f t="shared" si="99"/>
        <v>349</v>
      </c>
      <c r="D360" s="23">
        <f>IF(AND(C360&gt;='Amort. Sched.-BASE'!$I$8, C360&lt;= ($I$7+$I$8)), PMT('Amort. Sched.-BASE'!$E$8/12, 'Amort. Sched.-BASE'!$I$7, 'Amort. Sched.-BASE'!$E$7), 0)</f>
        <v>0</v>
      </c>
      <c r="E360" s="5">
        <f>IF(AND(C360&gt;='Amort. Sched.-BASE'!$I$8, C360&lt;= ($I$7+$I$8)), (IPMT($E$8/12, (C360-$I$8), $I$7, $E$7)), 0)</f>
        <v>0</v>
      </c>
      <c r="F360" s="23">
        <f>IF(AND(C360&gt;='Amort. Sched.-BASE'!$I$8, C360&lt;= ($I$7+$I$8)), (PPMT($E$8/12, (C360-$I$8), $I$7, $E$7)), 0)</f>
        <v>0</v>
      </c>
      <c r="G360" s="5">
        <f>IF(MortgageAmortBASE[[#This Row],[Month]]=I$8,E$7,0)</f>
        <v>0</v>
      </c>
      <c r="H360" s="13">
        <f>IF(AND(C360&gt;='Amort. Sched.-BASE'!$I$8, C360&lt;= ($I$7+$I$8)), H359+F360, 0)</f>
        <v>0</v>
      </c>
      <c r="I360" s="24" t="str">
        <f>IF(AND(C360&gt;='Amort. Sched.-BASE'!$I$8, C360&lt;= ($I$7+$I$8)), E360/D360, " ")</f>
        <v xml:space="preserve"> </v>
      </c>
      <c r="J360" s="25" t="str">
        <f>IF(AND(C360&gt;='Amort. Sched.-BASE'!$I$8, C360&lt;= ($I$7+$I$8)), F360/D360, " ")</f>
        <v xml:space="preserve"> </v>
      </c>
      <c r="L360" s="20">
        <f t="shared" si="83"/>
        <v>349</v>
      </c>
      <c r="M360" s="5">
        <f>IF(AND(L360&gt;='Amort. Sched.-BASE'!$R$8, L360&lt;= ($R$7+$R$8)), PMT('Amort. Sched.-BASE'!$N$8/12, 'Amort. Sched.-BASE'!$R$7, 'Amort. Sched.-BASE'!$N$7), 0)</f>
        <v>0</v>
      </c>
      <c r="N360" s="5">
        <f>IF(AND(L360&gt;='Amort. Sched.-BASE'!$R$8, L360&lt;= ($R$7+$R$8)), (IPMT($N$8/12, (L360-$R$8), $R$7, $N$7)), 0)</f>
        <v>0</v>
      </c>
      <c r="O360" s="5">
        <f>IF(AND(L360&gt;='Amort. Sched.-BASE'!$R$8, L360&lt;= ($R$7+$R$8)), (PPMT($N$8/12, (L360-$R$8), $R$7, $N$7)), 0)</f>
        <v>0</v>
      </c>
      <c r="P360" s="5">
        <f>IF(CreditAmort1BASE[[#This Row],[Month]]=R$8,N$7,0)</f>
        <v>0</v>
      </c>
      <c r="Q360" s="13">
        <f>IF(AND(L360&gt;='Amort. Sched.-BASE'!$R$8, L360&lt;= ($R$7+$R$8)), Q359+O360, 0)</f>
        <v>0</v>
      </c>
      <c r="R360" s="6" t="str">
        <f>IF(AND(L360&gt;='Amort. Sched.-BASE'!$R$8, L360&lt;= ($R$7+$R$8)), N360/M360, " ")</f>
        <v xml:space="preserve"> </v>
      </c>
      <c r="S360" s="21" t="str">
        <f>IF(AND(L360&gt;='Amort. Sched.-BASE'!$R$8, L360&lt;= ($R$7+$R$8)), O360/M360, " ")</f>
        <v xml:space="preserve"> </v>
      </c>
      <c r="U360" s="22">
        <f t="shared" si="84"/>
        <v>349</v>
      </c>
      <c r="V360" s="23">
        <f>IF(AND(U360&gt;='Amort. Sched.-BASE'!$AA$8, U360&lt;= ($AA$7+$AA$8)), PMT('Amort. Sched.-BASE'!$W$8/12, 'Amort. Sched.-BASE'!$AA$7, 'Amort. Sched.-BASE'!$W$7), 0)</f>
        <v>0</v>
      </c>
      <c r="W360" s="5">
        <f>IF(AND(U360&gt;='Amort. Sched.-BASE'!$AA$8, U360&lt;= ($AA$7+$AA$8)), (IPMT($W$8/12, (U360-$AA$8), $AA$7, $W$7)), 0)</f>
        <v>0</v>
      </c>
      <c r="X360" s="23">
        <f>IF(AND(U360&gt;='Amort. Sched.-BASE'!$AA$8, U360&lt;= ($AA$7+$AA$8)), (PPMT($W$8/12, (U360-$AA$8), $AA$7, $W$7)), 0)</f>
        <v>0</v>
      </c>
      <c r="Y360" s="5">
        <f>IF(CreditAmort2BASE[[#This Row],[Month]]=AA$8,W$7,0)</f>
        <v>0</v>
      </c>
      <c r="Z360" s="13">
        <f>IF(AND(U360&gt;='Amort. Sched.-BASE'!$AA$8, U360&lt;= ($AA$7+$AA$8)), Z359+X360, 0)</f>
        <v>0</v>
      </c>
      <c r="AA360" s="24" t="str">
        <f>IF(AND(U360&gt;='Amort. Sched.-BASE'!$AA$8, U360&lt;= ($AA$7+$AA$8)), W360/V360, " ")</f>
        <v xml:space="preserve"> </v>
      </c>
      <c r="AB360" s="25" t="str">
        <f>IF(AND(U360&gt;='Amort. Sched.-BASE'!$AA$8, U360&lt;= ($AA$7+$AA$8)), X360/V360, " ")</f>
        <v xml:space="preserve"> </v>
      </c>
      <c r="AD360" s="20">
        <f t="shared" si="85"/>
        <v>349</v>
      </c>
      <c r="AE360" s="5">
        <f t="shared" si="86"/>
        <v>0</v>
      </c>
      <c r="AF360" s="5">
        <f t="shared" si="87"/>
        <v>0</v>
      </c>
      <c r="AG360" s="5">
        <f t="shared" si="88"/>
        <v>0</v>
      </c>
      <c r="AH360" s="5">
        <f>IF(CreditAmort3BASE[[#This Row],[Month]]=AJ$8,AF$7,0)</f>
        <v>0</v>
      </c>
      <c r="AI360" s="13">
        <f t="shared" si="89"/>
        <v>0</v>
      </c>
      <c r="AJ360" s="6" t="str">
        <f t="shared" si="90"/>
        <v xml:space="preserve"> </v>
      </c>
      <c r="AK360" s="21" t="str">
        <f t="shared" si="91"/>
        <v xml:space="preserve"> </v>
      </c>
      <c r="AM360" s="20">
        <f t="shared" si="92"/>
        <v>349</v>
      </c>
      <c r="AN360" s="5">
        <f t="shared" si="93"/>
        <v>0</v>
      </c>
      <c r="AO360" s="5">
        <f t="shared" si="94"/>
        <v>0</v>
      </c>
      <c r="AP360" s="5">
        <f t="shared" si="95"/>
        <v>0</v>
      </c>
      <c r="AQ360" s="5">
        <f>IF(CreditAmort4BASE[[#This Row],[Month]]=AS$8,AO$7,0)</f>
        <v>0</v>
      </c>
      <c r="AR360" s="13">
        <f t="shared" si="96"/>
        <v>0</v>
      </c>
      <c r="AS360" s="6" t="str">
        <f t="shared" si="97"/>
        <v xml:space="preserve"> </v>
      </c>
      <c r="AT360" s="21" t="str">
        <f t="shared" si="98"/>
        <v xml:space="preserve"> </v>
      </c>
    </row>
    <row r="361" spans="3:46">
      <c r="C361" s="22">
        <f t="shared" si="99"/>
        <v>350</v>
      </c>
      <c r="D361" s="23">
        <f>IF(AND(C361&gt;='Amort. Sched.-BASE'!$I$8, C361&lt;= ($I$7+$I$8)), PMT('Amort. Sched.-BASE'!$E$8/12, 'Amort. Sched.-BASE'!$I$7, 'Amort. Sched.-BASE'!$E$7), 0)</f>
        <v>0</v>
      </c>
      <c r="E361" s="5">
        <f>IF(AND(C361&gt;='Amort. Sched.-BASE'!$I$8, C361&lt;= ($I$7+$I$8)), (IPMT($E$8/12, (C361-$I$8), $I$7, $E$7)), 0)</f>
        <v>0</v>
      </c>
      <c r="F361" s="23">
        <f>IF(AND(C361&gt;='Amort. Sched.-BASE'!$I$8, C361&lt;= ($I$7+$I$8)), (PPMT($E$8/12, (C361-$I$8), $I$7, $E$7)), 0)</f>
        <v>0</v>
      </c>
      <c r="G361" s="5">
        <f>IF(MortgageAmortBASE[[#This Row],[Month]]=I$8,E$7,0)</f>
        <v>0</v>
      </c>
      <c r="H361" s="13">
        <f>IF(AND(C361&gt;='Amort. Sched.-BASE'!$I$8, C361&lt;= ($I$7+$I$8)), H360+F361, 0)</f>
        <v>0</v>
      </c>
      <c r="I361" s="24" t="str">
        <f>IF(AND(C361&gt;='Amort. Sched.-BASE'!$I$8, C361&lt;= ($I$7+$I$8)), E361/D361, " ")</f>
        <v xml:space="preserve"> </v>
      </c>
      <c r="J361" s="25" t="str">
        <f>IF(AND(C361&gt;='Amort. Sched.-BASE'!$I$8, C361&lt;= ($I$7+$I$8)), F361/D361, " ")</f>
        <v xml:space="preserve"> </v>
      </c>
      <c r="L361" s="20">
        <f t="shared" si="83"/>
        <v>350</v>
      </c>
      <c r="M361" s="5">
        <f>IF(AND(L361&gt;='Amort. Sched.-BASE'!$R$8, L361&lt;= ($R$7+$R$8)), PMT('Amort. Sched.-BASE'!$N$8/12, 'Amort. Sched.-BASE'!$R$7, 'Amort. Sched.-BASE'!$N$7), 0)</f>
        <v>0</v>
      </c>
      <c r="N361" s="5">
        <f>IF(AND(L361&gt;='Amort. Sched.-BASE'!$R$8, L361&lt;= ($R$7+$R$8)), (IPMT($N$8/12, (L361-$R$8), $R$7, $N$7)), 0)</f>
        <v>0</v>
      </c>
      <c r="O361" s="5">
        <f>IF(AND(L361&gt;='Amort. Sched.-BASE'!$R$8, L361&lt;= ($R$7+$R$8)), (PPMT($N$8/12, (L361-$R$8), $R$7, $N$7)), 0)</f>
        <v>0</v>
      </c>
      <c r="P361" s="5">
        <f>IF(CreditAmort1BASE[[#This Row],[Month]]=R$8,N$7,0)</f>
        <v>0</v>
      </c>
      <c r="Q361" s="13">
        <f>IF(AND(L361&gt;='Amort. Sched.-BASE'!$R$8, L361&lt;= ($R$7+$R$8)), Q360+O361, 0)</f>
        <v>0</v>
      </c>
      <c r="R361" s="6" t="str">
        <f>IF(AND(L361&gt;='Amort. Sched.-BASE'!$R$8, L361&lt;= ($R$7+$R$8)), N361/M361, " ")</f>
        <v xml:space="preserve"> </v>
      </c>
      <c r="S361" s="21" t="str">
        <f>IF(AND(L361&gt;='Amort. Sched.-BASE'!$R$8, L361&lt;= ($R$7+$R$8)), O361/M361, " ")</f>
        <v xml:space="preserve"> </v>
      </c>
      <c r="U361" s="22">
        <f t="shared" si="84"/>
        <v>350</v>
      </c>
      <c r="V361" s="23">
        <f>IF(AND(U361&gt;='Amort. Sched.-BASE'!$AA$8, U361&lt;= ($AA$7+$AA$8)), PMT('Amort. Sched.-BASE'!$W$8/12, 'Amort. Sched.-BASE'!$AA$7, 'Amort. Sched.-BASE'!$W$7), 0)</f>
        <v>0</v>
      </c>
      <c r="W361" s="5">
        <f>IF(AND(U361&gt;='Amort. Sched.-BASE'!$AA$8, U361&lt;= ($AA$7+$AA$8)), (IPMT($W$8/12, (U361-$AA$8), $AA$7, $W$7)), 0)</f>
        <v>0</v>
      </c>
      <c r="X361" s="23">
        <f>IF(AND(U361&gt;='Amort. Sched.-BASE'!$AA$8, U361&lt;= ($AA$7+$AA$8)), (PPMT($W$8/12, (U361-$AA$8), $AA$7, $W$7)), 0)</f>
        <v>0</v>
      </c>
      <c r="Y361" s="5">
        <f>IF(CreditAmort2BASE[[#This Row],[Month]]=AA$8,W$7,0)</f>
        <v>0</v>
      </c>
      <c r="Z361" s="13">
        <f>IF(AND(U361&gt;='Amort. Sched.-BASE'!$AA$8, U361&lt;= ($AA$7+$AA$8)), Z360+X361, 0)</f>
        <v>0</v>
      </c>
      <c r="AA361" s="24" t="str">
        <f>IF(AND(U361&gt;='Amort. Sched.-BASE'!$AA$8, U361&lt;= ($AA$7+$AA$8)), W361/V361, " ")</f>
        <v xml:space="preserve"> </v>
      </c>
      <c r="AB361" s="25" t="str">
        <f>IF(AND(U361&gt;='Amort. Sched.-BASE'!$AA$8, U361&lt;= ($AA$7+$AA$8)), X361/V361, " ")</f>
        <v xml:space="preserve"> </v>
      </c>
      <c r="AD361" s="20">
        <f t="shared" si="85"/>
        <v>350</v>
      </c>
      <c r="AE361" s="5">
        <f t="shared" si="86"/>
        <v>0</v>
      </c>
      <c r="AF361" s="5">
        <f t="shared" si="87"/>
        <v>0</v>
      </c>
      <c r="AG361" s="5">
        <f t="shared" si="88"/>
        <v>0</v>
      </c>
      <c r="AH361" s="5">
        <f>IF(CreditAmort3BASE[[#This Row],[Month]]=AJ$8,AF$7,0)</f>
        <v>0</v>
      </c>
      <c r="AI361" s="13">
        <f t="shared" si="89"/>
        <v>0</v>
      </c>
      <c r="AJ361" s="6" t="str">
        <f t="shared" si="90"/>
        <v xml:space="preserve"> </v>
      </c>
      <c r="AK361" s="21" t="str">
        <f t="shared" si="91"/>
        <v xml:space="preserve"> </v>
      </c>
      <c r="AM361" s="20">
        <f t="shared" si="92"/>
        <v>350</v>
      </c>
      <c r="AN361" s="5">
        <f t="shared" si="93"/>
        <v>0</v>
      </c>
      <c r="AO361" s="5">
        <f t="shared" si="94"/>
        <v>0</v>
      </c>
      <c r="AP361" s="5">
        <f t="shared" si="95"/>
        <v>0</v>
      </c>
      <c r="AQ361" s="5">
        <f>IF(CreditAmort4BASE[[#This Row],[Month]]=AS$8,AO$7,0)</f>
        <v>0</v>
      </c>
      <c r="AR361" s="13">
        <f t="shared" si="96"/>
        <v>0</v>
      </c>
      <c r="AS361" s="6" t="str">
        <f t="shared" si="97"/>
        <v xml:space="preserve"> </v>
      </c>
      <c r="AT361" s="21" t="str">
        <f t="shared" si="98"/>
        <v xml:space="preserve"> </v>
      </c>
    </row>
    <row r="362" spans="3:46">
      <c r="C362" s="22">
        <f t="shared" si="99"/>
        <v>351</v>
      </c>
      <c r="D362" s="23">
        <f>IF(AND(C362&gt;='Amort. Sched.-BASE'!$I$8, C362&lt;= ($I$7+$I$8)), PMT('Amort. Sched.-BASE'!$E$8/12, 'Amort. Sched.-BASE'!$I$7, 'Amort. Sched.-BASE'!$E$7), 0)</f>
        <v>0</v>
      </c>
      <c r="E362" s="5">
        <f>IF(AND(C362&gt;='Amort. Sched.-BASE'!$I$8, C362&lt;= ($I$7+$I$8)), (IPMT($E$8/12, (C362-$I$8), $I$7, $E$7)), 0)</f>
        <v>0</v>
      </c>
      <c r="F362" s="23">
        <f>IF(AND(C362&gt;='Amort. Sched.-BASE'!$I$8, C362&lt;= ($I$7+$I$8)), (PPMT($E$8/12, (C362-$I$8), $I$7, $E$7)), 0)</f>
        <v>0</v>
      </c>
      <c r="G362" s="5">
        <f>IF(MortgageAmortBASE[[#This Row],[Month]]=I$8,E$7,0)</f>
        <v>0</v>
      </c>
      <c r="H362" s="13">
        <f>IF(AND(C362&gt;='Amort. Sched.-BASE'!$I$8, C362&lt;= ($I$7+$I$8)), H361+F362, 0)</f>
        <v>0</v>
      </c>
      <c r="I362" s="24" t="str">
        <f>IF(AND(C362&gt;='Amort. Sched.-BASE'!$I$8, C362&lt;= ($I$7+$I$8)), E362/D362, " ")</f>
        <v xml:space="preserve"> </v>
      </c>
      <c r="J362" s="25" t="str">
        <f>IF(AND(C362&gt;='Amort. Sched.-BASE'!$I$8, C362&lt;= ($I$7+$I$8)), F362/D362, " ")</f>
        <v xml:space="preserve"> </v>
      </c>
      <c r="L362" s="20">
        <f t="shared" si="83"/>
        <v>351</v>
      </c>
      <c r="M362" s="5">
        <f>IF(AND(L362&gt;='Amort. Sched.-BASE'!$R$8, L362&lt;= ($R$7+$R$8)), PMT('Amort. Sched.-BASE'!$N$8/12, 'Amort. Sched.-BASE'!$R$7, 'Amort. Sched.-BASE'!$N$7), 0)</f>
        <v>0</v>
      </c>
      <c r="N362" s="5">
        <f>IF(AND(L362&gt;='Amort. Sched.-BASE'!$R$8, L362&lt;= ($R$7+$R$8)), (IPMT($N$8/12, (L362-$R$8), $R$7, $N$7)), 0)</f>
        <v>0</v>
      </c>
      <c r="O362" s="5">
        <f>IF(AND(L362&gt;='Amort. Sched.-BASE'!$R$8, L362&lt;= ($R$7+$R$8)), (PPMT($N$8/12, (L362-$R$8), $R$7, $N$7)), 0)</f>
        <v>0</v>
      </c>
      <c r="P362" s="5">
        <f>IF(CreditAmort1BASE[[#This Row],[Month]]=R$8,N$7,0)</f>
        <v>0</v>
      </c>
      <c r="Q362" s="13">
        <f>IF(AND(L362&gt;='Amort. Sched.-BASE'!$R$8, L362&lt;= ($R$7+$R$8)), Q361+O362, 0)</f>
        <v>0</v>
      </c>
      <c r="R362" s="6" t="str">
        <f>IF(AND(L362&gt;='Amort. Sched.-BASE'!$R$8, L362&lt;= ($R$7+$R$8)), N362/M362, " ")</f>
        <v xml:space="preserve"> </v>
      </c>
      <c r="S362" s="21" t="str">
        <f>IF(AND(L362&gt;='Amort. Sched.-BASE'!$R$8, L362&lt;= ($R$7+$R$8)), O362/M362, " ")</f>
        <v xml:space="preserve"> </v>
      </c>
      <c r="U362" s="22">
        <f t="shared" si="84"/>
        <v>351</v>
      </c>
      <c r="V362" s="23">
        <f>IF(AND(U362&gt;='Amort. Sched.-BASE'!$AA$8, U362&lt;= ($AA$7+$AA$8)), PMT('Amort. Sched.-BASE'!$W$8/12, 'Amort. Sched.-BASE'!$AA$7, 'Amort. Sched.-BASE'!$W$7), 0)</f>
        <v>0</v>
      </c>
      <c r="W362" s="5">
        <f>IF(AND(U362&gt;='Amort. Sched.-BASE'!$AA$8, U362&lt;= ($AA$7+$AA$8)), (IPMT($W$8/12, (U362-$AA$8), $AA$7, $W$7)), 0)</f>
        <v>0</v>
      </c>
      <c r="X362" s="23">
        <f>IF(AND(U362&gt;='Amort. Sched.-BASE'!$AA$8, U362&lt;= ($AA$7+$AA$8)), (PPMT($W$8/12, (U362-$AA$8), $AA$7, $W$7)), 0)</f>
        <v>0</v>
      </c>
      <c r="Y362" s="5">
        <f>IF(CreditAmort2BASE[[#This Row],[Month]]=AA$8,W$7,0)</f>
        <v>0</v>
      </c>
      <c r="Z362" s="13">
        <f>IF(AND(U362&gt;='Amort. Sched.-BASE'!$AA$8, U362&lt;= ($AA$7+$AA$8)), Z361+X362, 0)</f>
        <v>0</v>
      </c>
      <c r="AA362" s="24" t="str">
        <f>IF(AND(U362&gt;='Amort. Sched.-BASE'!$AA$8, U362&lt;= ($AA$7+$AA$8)), W362/V362, " ")</f>
        <v xml:space="preserve"> </v>
      </c>
      <c r="AB362" s="25" t="str">
        <f>IF(AND(U362&gt;='Amort. Sched.-BASE'!$AA$8, U362&lt;= ($AA$7+$AA$8)), X362/V362, " ")</f>
        <v xml:space="preserve"> </v>
      </c>
      <c r="AD362" s="20">
        <f t="shared" si="85"/>
        <v>351</v>
      </c>
      <c r="AE362" s="5">
        <f t="shared" si="86"/>
        <v>0</v>
      </c>
      <c r="AF362" s="5">
        <f t="shared" si="87"/>
        <v>0</v>
      </c>
      <c r="AG362" s="5">
        <f t="shared" si="88"/>
        <v>0</v>
      </c>
      <c r="AH362" s="5">
        <f>IF(CreditAmort3BASE[[#This Row],[Month]]=AJ$8,AF$7,0)</f>
        <v>0</v>
      </c>
      <c r="AI362" s="13">
        <f t="shared" si="89"/>
        <v>0</v>
      </c>
      <c r="AJ362" s="6" t="str">
        <f t="shared" si="90"/>
        <v xml:space="preserve"> </v>
      </c>
      <c r="AK362" s="21" t="str">
        <f t="shared" si="91"/>
        <v xml:space="preserve"> </v>
      </c>
      <c r="AM362" s="20">
        <f t="shared" si="92"/>
        <v>351</v>
      </c>
      <c r="AN362" s="5">
        <f t="shared" si="93"/>
        <v>0</v>
      </c>
      <c r="AO362" s="5">
        <f t="shared" si="94"/>
        <v>0</v>
      </c>
      <c r="AP362" s="5">
        <f t="shared" si="95"/>
        <v>0</v>
      </c>
      <c r="AQ362" s="5">
        <f>IF(CreditAmort4BASE[[#This Row],[Month]]=AS$8,AO$7,0)</f>
        <v>0</v>
      </c>
      <c r="AR362" s="13">
        <f t="shared" si="96"/>
        <v>0</v>
      </c>
      <c r="AS362" s="6" t="str">
        <f t="shared" si="97"/>
        <v xml:space="preserve"> </v>
      </c>
      <c r="AT362" s="21" t="str">
        <f t="shared" si="98"/>
        <v xml:space="preserve"> </v>
      </c>
    </row>
    <row r="363" spans="3:46">
      <c r="C363" s="22">
        <f t="shared" si="99"/>
        <v>352</v>
      </c>
      <c r="D363" s="23">
        <f>IF(AND(C363&gt;='Amort. Sched.-BASE'!$I$8, C363&lt;= ($I$7+$I$8)), PMT('Amort. Sched.-BASE'!$E$8/12, 'Amort. Sched.-BASE'!$I$7, 'Amort. Sched.-BASE'!$E$7), 0)</f>
        <v>0</v>
      </c>
      <c r="E363" s="5">
        <f>IF(AND(C363&gt;='Amort. Sched.-BASE'!$I$8, C363&lt;= ($I$7+$I$8)), (IPMT($E$8/12, (C363-$I$8), $I$7, $E$7)), 0)</f>
        <v>0</v>
      </c>
      <c r="F363" s="23">
        <f>IF(AND(C363&gt;='Amort. Sched.-BASE'!$I$8, C363&lt;= ($I$7+$I$8)), (PPMT($E$8/12, (C363-$I$8), $I$7, $E$7)), 0)</f>
        <v>0</v>
      </c>
      <c r="G363" s="5">
        <f>IF(MortgageAmortBASE[[#This Row],[Month]]=I$8,E$7,0)</f>
        <v>0</v>
      </c>
      <c r="H363" s="13">
        <f>IF(AND(C363&gt;='Amort. Sched.-BASE'!$I$8, C363&lt;= ($I$7+$I$8)), H362+F363, 0)</f>
        <v>0</v>
      </c>
      <c r="I363" s="24" t="str">
        <f>IF(AND(C363&gt;='Amort. Sched.-BASE'!$I$8, C363&lt;= ($I$7+$I$8)), E363/D363, " ")</f>
        <v xml:space="preserve"> </v>
      </c>
      <c r="J363" s="25" t="str">
        <f>IF(AND(C363&gt;='Amort. Sched.-BASE'!$I$8, C363&lt;= ($I$7+$I$8)), F363/D363, " ")</f>
        <v xml:space="preserve"> </v>
      </c>
      <c r="L363" s="20">
        <f t="shared" si="83"/>
        <v>352</v>
      </c>
      <c r="M363" s="5">
        <f>IF(AND(L363&gt;='Amort. Sched.-BASE'!$R$8, L363&lt;= ($R$7+$R$8)), PMT('Amort. Sched.-BASE'!$N$8/12, 'Amort. Sched.-BASE'!$R$7, 'Amort. Sched.-BASE'!$N$7), 0)</f>
        <v>0</v>
      </c>
      <c r="N363" s="5">
        <f>IF(AND(L363&gt;='Amort. Sched.-BASE'!$R$8, L363&lt;= ($R$7+$R$8)), (IPMT($N$8/12, (L363-$R$8), $R$7, $N$7)), 0)</f>
        <v>0</v>
      </c>
      <c r="O363" s="5">
        <f>IF(AND(L363&gt;='Amort. Sched.-BASE'!$R$8, L363&lt;= ($R$7+$R$8)), (PPMT($N$8/12, (L363-$R$8), $R$7, $N$7)), 0)</f>
        <v>0</v>
      </c>
      <c r="P363" s="5">
        <f>IF(CreditAmort1BASE[[#This Row],[Month]]=R$8,N$7,0)</f>
        <v>0</v>
      </c>
      <c r="Q363" s="13">
        <f>IF(AND(L363&gt;='Amort. Sched.-BASE'!$R$8, L363&lt;= ($R$7+$R$8)), Q362+O363, 0)</f>
        <v>0</v>
      </c>
      <c r="R363" s="6" t="str">
        <f>IF(AND(L363&gt;='Amort. Sched.-BASE'!$R$8, L363&lt;= ($R$7+$R$8)), N363/M363, " ")</f>
        <v xml:space="preserve"> </v>
      </c>
      <c r="S363" s="21" t="str">
        <f>IF(AND(L363&gt;='Amort. Sched.-BASE'!$R$8, L363&lt;= ($R$7+$R$8)), O363/M363, " ")</f>
        <v xml:space="preserve"> </v>
      </c>
      <c r="U363" s="22">
        <f t="shared" si="84"/>
        <v>352</v>
      </c>
      <c r="V363" s="23">
        <f>IF(AND(U363&gt;='Amort. Sched.-BASE'!$AA$8, U363&lt;= ($AA$7+$AA$8)), PMT('Amort. Sched.-BASE'!$W$8/12, 'Amort. Sched.-BASE'!$AA$7, 'Amort. Sched.-BASE'!$W$7), 0)</f>
        <v>0</v>
      </c>
      <c r="W363" s="5">
        <f>IF(AND(U363&gt;='Amort. Sched.-BASE'!$AA$8, U363&lt;= ($AA$7+$AA$8)), (IPMT($W$8/12, (U363-$AA$8), $AA$7, $W$7)), 0)</f>
        <v>0</v>
      </c>
      <c r="X363" s="23">
        <f>IF(AND(U363&gt;='Amort. Sched.-BASE'!$AA$8, U363&lt;= ($AA$7+$AA$8)), (PPMT($W$8/12, (U363-$AA$8), $AA$7, $W$7)), 0)</f>
        <v>0</v>
      </c>
      <c r="Y363" s="5">
        <f>IF(CreditAmort2BASE[[#This Row],[Month]]=AA$8,W$7,0)</f>
        <v>0</v>
      </c>
      <c r="Z363" s="13">
        <f>IF(AND(U363&gt;='Amort. Sched.-BASE'!$AA$8, U363&lt;= ($AA$7+$AA$8)), Z362+X363, 0)</f>
        <v>0</v>
      </c>
      <c r="AA363" s="24" t="str">
        <f>IF(AND(U363&gt;='Amort. Sched.-BASE'!$AA$8, U363&lt;= ($AA$7+$AA$8)), W363/V363, " ")</f>
        <v xml:space="preserve"> </v>
      </c>
      <c r="AB363" s="25" t="str">
        <f>IF(AND(U363&gt;='Amort. Sched.-BASE'!$AA$8, U363&lt;= ($AA$7+$AA$8)), X363/V363, " ")</f>
        <v xml:space="preserve"> </v>
      </c>
      <c r="AD363" s="20">
        <f t="shared" si="85"/>
        <v>352</v>
      </c>
      <c r="AE363" s="5">
        <f t="shared" si="86"/>
        <v>0</v>
      </c>
      <c r="AF363" s="5">
        <f t="shared" si="87"/>
        <v>0</v>
      </c>
      <c r="AG363" s="5">
        <f t="shared" si="88"/>
        <v>0</v>
      </c>
      <c r="AH363" s="5">
        <f>IF(CreditAmort3BASE[[#This Row],[Month]]=AJ$8,AF$7,0)</f>
        <v>0</v>
      </c>
      <c r="AI363" s="13">
        <f t="shared" si="89"/>
        <v>0</v>
      </c>
      <c r="AJ363" s="6" t="str">
        <f t="shared" si="90"/>
        <v xml:space="preserve"> </v>
      </c>
      <c r="AK363" s="21" t="str">
        <f t="shared" si="91"/>
        <v xml:space="preserve"> </v>
      </c>
      <c r="AM363" s="20">
        <f t="shared" si="92"/>
        <v>352</v>
      </c>
      <c r="AN363" s="5">
        <f t="shared" si="93"/>
        <v>0</v>
      </c>
      <c r="AO363" s="5">
        <f t="shared" si="94"/>
        <v>0</v>
      </c>
      <c r="AP363" s="5">
        <f t="shared" si="95"/>
        <v>0</v>
      </c>
      <c r="AQ363" s="5">
        <f>IF(CreditAmort4BASE[[#This Row],[Month]]=AS$8,AO$7,0)</f>
        <v>0</v>
      </c>
      <c r="AR363" s="13">
        <f t="shared" si="96"/>
        <v>0</v>
      </c>
      <c r="AS363" s="6" t="str">
        <f t="shared" si="97"/>
        <v xml:space="preserve"> </v>
      </c>
      <c r="AT363" s="21" t="str">
        <f t="shared" si="98"/>
        <v xml:space="preserve"> </v>
      </c>
    </row>
    <row r="364" spans="3:46">
      <c r="C364" s="22">
        <f t="shared" si="99"/>
        <v>353</v>
      </c>
      <c r="D364" s="23">
        <f>IF(AND(C364&gt;='Amort. Sched.-BASE'!$I$8, C364&lt;= ($I$7+$I$8)), PMT('Amort. Sched.-BASE'!$E$8/12, 'Amort. Sched.-BASE'!$I$7, 'Amort. Sched.-BASE'!$E$7), 0)</f>
        <v>0</v>
      </c>
      <c r="E364" s="5">
        <f>IF(AND(C364&gt;='Amort. Sched.-BASE'!$I$8, C364&lt;= ($I$7+$I$8)), (IPMT($E$8/12, (C364-$I$8), $I$7, $E$7)), 0)</f>
        <v>0</v>
      </c>
      <c r="F364" s="23">
        <f>IF(AND(C364&gt;='Amort. Sched.-BASE'!$I$8, C364&lt;= ($I$7+$I$8)), (PPMT($E$8/12, (C364-$I$8), $I$7, $E$7)), 0)</f>
        <v>0</v>
      </c>
      <c r="G364" s="5">
        <f>IF(MortgageAmortBASE[[#This Row],[Month]]=I$8,E$7,0)</f>
        <v>0</v>
      </c>
      <c r="H364" s="13">
        <f>IF(AND(C364&gt;='Amort. Sched.-BASE'!$I$8, C364&lt;= ($I$7+$I$8)), H363+F364, 0)</f>
        <v>0</v>
      </c>
      <c r="I364" s="24" t="str">
        <f>IF(AND(C364&gt;='Amort. Sched.-BASE'!$I$8, C364&lt;= ($I$7+$I$8)), E364/D364, " ")</f>
        <v xml:space="preserve"> </v>
      </c>
      <c r="J364" s="25" t="str">
        <f>IF(AND(C364&gt;='Amort. Sched.-BASE'!$I$8, C364&lt;= ($I$7+$I$8)), F364/D364, " ")</f>
        <v xml:space="preserve"> </v>
      </c>
      <c r="L364" s="20">
        <f t="shared" si="83"/>
        <v>353</v>
      </c>
      <c r="M364" s="5">
        <f>IF(AND(L364&gt;='Amort. Sched.-BASE'!$R$8, L364&lt;= ($R$7+$R$8)), PMT('Amort. Sched.-BASE'!$N$8/12, 'Amort. Sched.-BASE'!$R$7, 'Amort. Sched.-BASE'!$N$7), 0)</f>
        <v>0</v>
      </c>
      <c r="N364" s="5">
        <f>IF(AND(L364&gt;='Amort. Sched.-BASE'!$R$8, L364&lt;= ($R$7+$R$8)), (IPMT($N$8/12, (L364-$R$8), $R$7, $N$7)), 0)</f>
        <v>0</v>
      </c>
      <c r="O364" s="5">
        <f>IF(AND(L364&gt;='Amort. Sched.-BASE'!$R$8, L364&lt;= ($R$7+$R$8)), (PPMT($N$8/12, (L364-$R$8), $R$7, $N$7)), 0)</f>
        <v>0</v>
      </c>
      <c r="P364" s="5">
        <f>IF(CreditAmort1BASE[[#This Row],[Month]]=R$8,N$7,0)</f>
        <v>0</v>
      </c>
      <c r="Q364" s="13">
        <f>IF(AND(L364&gt;='Amort. Sched.-BASE'!$R$8, L364&lt;= ($R$7+$R$8)), Q363+O364, 0)</f>
        <v>0</v>
      </c>
      <c r="R364" s="6" t="str">
        <f>IF(AND(L364&gt;='Amort. Sched.-BASE'!$R$8, L364&lt;= ($R$7+$R$8)), N364/M364, " ")</f>
        <v xml:space="preserve"> </v>
      </c>
      <c r="S364" s="21" t="str">
        <f>IF(AND(L364&gt;='Amort. Sched.-BASE'!$R$8, L364&lt;= ($R$7+$R$8)), O364/M364, " ")</f>
        <v xml:space="preserve"> </v>
      </c>
      <c r="U364" s="22">
        <f t="shared" si="84"/>
        <v>353</v>
      </c>
      <c r="V364" s="23">
        <f>IF(AND(U364&gt;='Amort. Sched.-BASE'!$AA$8, U364&lt;= ($AA$7+$AA$8)), PMT('Amort. Sched.-BASE'!$W$8/12, 'Amort. Sched.-BASE'!$AA$7, 'Amort. Sched.-BASE'!$W$7), 0)</f>
        <v>0</v>
      </c>
      <c r="W364" s="5">
        <f>IF(AND(U364&gt;='Amort. Sched.-BASE'!$AA$8, U364&lt;= ($AA$7+$AA$8)), (IPMT($W$8/12, (U364-$AA$8), $AA$7, $W$7)), 0)</f>
        <v>0</v>
      </c>
      <c r="X364" s="23">
        <f>IF(AND(U364&gt;='Amort. Sched.-BASE'!$AA$8, U364&lt;= ($AA$7+$AA$8)), (PPMT($W$8/12, (U364-$AA$8), $AA$7, $W$7)), 0)</f>
        <v>0</v>
      </c>
      <c r="Y364" s="5">
        <f>IF(CreditAmort2BASE[[#This Row],[Month]]=AA$8,W$7,0)</f>
        <v>0</v>
      </c>
      <c r="Z364" s="13">
        <f>IF(AND(U364&gt;='Amort. Sched.-BASE'!$AA$8, U364&lt;= ($AA$7+$AA$8)), Z363+X364, 0)</f>
        <v>0</v>
      </c>
      <c r="AA364" s="24" t="str">
        <f>IF(AND(U364&gt;='Amort. Sched.-BASE'!$AA$8, U364&lt;= ($AA$7+$AA$8)), W364/V364, " ")</f>
        <v xml:space="preserve"> </v>
      </c>
      <c r="AB364" s="25" t="str">
        <f>IF(AND(U364&gt;='Amort. Sched.-BASE'!$AA$8, U364&lt;= ($AA$7+$AA$8)), X364/V364, " ")</f>
        <v xml:space="preserve"> </v>
      </c>
      <c r="AD364" s="20">
        <f t="shared" si="85"/>
        <v>353</v>
      </c>
      <c r="AE364" s="5">
        <f t="shared" si="86"/>
        <v>0</v>
      </c>
      <c r="AF364" s="5">
        <f t="shared" si="87"/>
        <v>0</v>
      </c>
      <c r="AG364" s="5">
        <f t="shared" si="88"/>
        <v>0</v>
      </c>
      <c r="AH364" s="5">
        <f>IF(CreditAmort3BASE[[#This Row],[Month]]=AJ$8,AF$7,0)</f>
        <v>0</v>
      </c>
      <c r="AI364" s="13">
        <f t="shared" si="89"/>
        <v>0</v>
      </c>
      <c r="AJ364" s="6" t="str">
        <f t="shared" si="90"/>
        <v xml:space="preserve"> </v>
      </c>
      <c r="AK364" s="21" t="str">
        <f t="shared" si="91"/>
        <v xml:space="preserve"> </v>
      </c>
      <c r="AM364" s="20">
        <f t="shared" si="92"/>
        <v>353</v>
      </c>
      <c r="AN364" s="5">
        <f t="shared" si="93"/>
        <v>0</v>
      </c>
      <c r="AO364" s="5">
        <f t="shared" si="94"/>
        <v>0</v>
      </c>
      <c r="AP364" s="5">
        <f t="shared" si="95"/>
        <v>0</v>
      </c>
      <c r="AQ364" s="5">
        <f>IF(CreditAmort4BASE[[#This Row],[Month]]=AS$8,AO$7,0)</f>
        <v>0</v>
      </c>
      <c r="AR364" s="13">
        <f t="shared" si="96"/>
        <v>0</v>
      </c>
      <c r="AS364" s="6" t="str">
        <f t="shared" si="97"/>
        <v xml:space="preserve"> </v>
      </c>
      <c r="AT364" s="21" t="str">
        <f t="shared" si="98"/>
        <v xml:space="preserve"> </v>
      </c>
    </row>
    <row r="365" spans="3:46">
      <c r="C365" s="22">
        <f t="shared" si="99"/>
        <v>354</v>
      </c>
      <c r="D365" s="23">
        <f>IF(AND(C365&gt;='Amort. Sched.-BASE'!$I$8, C365&lt;= ($I$7+$I$8)), PMT('Amort. Sched.-BASE'!$E$8/12, 'Amort. Sched.-BASE'!$I$7, 'Amort. Sched.-BASE'!$E$7), 0)</f>
        <v>0</v>
      </c>
      <c r="E365" s="5">
        <f>IF(AND(C365&gt;='Amort. Sched.-BASE'!$I$8, C365&lt;= ($I$7+$I$8)), (IPMT($E$8/12, (C365-$I$8), $I$7, $E$7)), 0)</f>
        <v>0</v>
      </c>
      <c r="F365" s="23">
        <f>IF(AND(C365&gt;='Amort. Sched.-BASE'!$I$8, C365&lt;= ($I$7+$I$8)), (PPMT($E$8/12, (C365-$I$8), $I$7, $E$7)), 0)</f>
        <v>0</v>
      </c>
      <c r="G365" s="5">
        <f>IF(MortgageAmortBASE[[#This Row],[Month]]=I$8,E$7,0)</f>
        <v>0</v>
      </c>
      <c r="H365" s="13">
        <f>IF(AND(C365&gt;='Amort. Sched.-BASE'!$I$8, C365&lt;= ($I$7+$I$8)), H364+F365, 0)</f>
        <v>0</v>
      </c>
      <c r="I365" s="24" t="str">
        <f>IF(AND(C365&gt;='Amort. Sched.-BASE'!$I$8, C365&lt;= ($I$7+$I$8)), E365/D365, " ")</f>
        <v xml:space="preserve"> </v>
      </c>
      <c r="J365" s="25" t="str">
        <f>IF(AND(C365&gt;='Amort. Sched.-BASE'!$I$8, C365&lt;= ($I$7+$I$8)), F365/D365, " ")</f>
        <v xml:space="preserve"> </v>
      </c>
      <c r="L365" s="20">
        <f t="shared" si="83"/>
        <v>354</v>
      </c>
      <c r="M365" s="5">
        <f>IF(AND(L365&gt;='Amort. Sched.-BASE'!$R$8, L365&lt;= ($R$7+$R$8)), PMT('Amort. Sched.-BASE'!$N$8/12, 'Amort. Sched.-BASE'!$R$7, 'Amort. Sched.-BASE'!$N$7), 0)</f>
        <v>0</v>
      </c>
      <c r="N365" s="5">
        <f>IF(AND(L365&gt;='Amort. Sched.-BASE'!$R$8, L365&lt;= ($R$7+$R$8)), (IPMT($N$8/12, (L365-$R$8), $R$7, $N$7)), 0)</f>
        <v>0</v>
      </c>
      <c r="O365" s="5">
        <f>IF(AND(L365&gt;='Amort. Sched.-BASE'!$R$8, L365&lt;= ($R$7+$R$8)), (PPMT($N$8/12, (L365-$R$8), $R$7, $N$7)), 0)</f>
        <v>0</v>
      </c>
      <c r="P365" s="5">
        <f>IF(CreditAmort1BASE[[#This Row],[Month]]=R$8,N$7,0)</f>
        <v>0</v>
      </c>
      <c r="Q365" s="13">
        <f>IF(AND(L365&gt;='Amort. Sched.-BASE'!$R$8, L365&lt;= ($R$7+$R$8)), Q364+O365, 0)</f>
        <v>0</v>
      </c>
      <c r="R365" s="6" t="str">
        <f>IF(AND(L365&gt;='Amort. Sched.-BASE'!$R$8, L365&lt;= ($R$7+$R$8)), N365/M365, " ")</f>
        <v xml:space="preserve"> </v>
      </c>
      <c r="S365" s="21" t="str">
        <f>IF(AND(L365&gt;='Amort. Sched.-BASE'!$R$8, L365&lt;= ($R$7+$R$8)), O365/M365, " ")</f>
        <v xml:space="preserve"> </v>
      </c>
      <c r="U365" s="22">
        <f t="shared" si="84"/>
        <v>354</v>
      </c>
      <c r="V365" s="23">
        <f>IF(AND(U365&gt;='Amort. Sched.-BASE'!$AA$8, U365&lt;= ($AA$7+$AA$8)), PMT('Amort. Sched.-BASE'!$W$8/12, 'Amort. Sched.-BASE'!$AA$7, 'Amort. Sched.-BASE'!$W$7), 0)</f>
        <v>0</v>
      </c>
      <c r="W365" s="5">
        <f>IF(AND(U365&gt;='Amort. Sched.-BASE'!$AA$8, U365&lt;= ($AA$7+$AA$8)), (IPMT($W$8/12, (U365-$AA$8), $AA$7, $W$7)), 0)</f>
        <v>0</v>
      </c>
      <c r="X365" s="23">
        <f>IF(AND(U365&gt;='Amort. Sched.-BASE'!$AA$8, U365&lt;= ($AA$7+$AA$8)), (PPMT($W$8/12, (U365-$AA$8), $AA$7, $W$7)), 0)</f>
        <v>0</v>
      </c>
      <c r="Y365" s="5">
        <f>IF(CreditAmort2BASE[[#This Row],[Month]]=AA$8,W$7,0)</f>
        <v>0</v>
      </c>
      <c r="Z365" s="13">
        <f>IF(AND(U365&gt;='Amort. Sched.-BASE'!$AA$8, U365&lt;= ($AA$7+$AA$8)), Z364+X365, 0)</f>
        <v>0</v>
      </c>
      <c r="AA365" s="24" t="str">
        <f>IF(AND(U365&gt;='Amort. Sched.-BASE'!$AA$8, U365&lt;= ($AA$7+$AA$8)), W365/V365, " ")</f>
        <v xml:space="preserve"> </v>
      </c>
      <c r="AB365" s="25" t="str">
        <f>IF(AND(U365&gt;='Amort. Sched.-BASE'!$AA$8, U365&lt;= ($AA$7+$AA$8)), X365/V365, " ")</f>
        <v xml:space="preserve"> </v>
      </c>
      <c r="AD365" s="20">
        <f t="shared" si="85"/>
        <v>354</v>
      </c>
      <c r="AE365" s="5">
        <f t="shared" si="86"/>
        <v>0</v>
      </c>
      <c r="AF365" s="5">
        <f t="shared" si="87"/>
        <v>0</v>
      </c>
      <c r="AG365" s="5">
        <f t="shared" si="88"/>
        <v>0</v>
      </c>
      <c r="AH365" s="5">
        <f>IF(CreditAmort3BASE[[#This Row],[Month]]=AJ$8,AF$7,0)</f>
        <v>0</v>
      </c>
      <c r="AI365" s="13">
        <f t="shared" si="89"/>
        <v>0</v>
      </c>
      <c r="AJ365" s="6" t="str">
        <f t="shared" si="90"/>
        <v xml:space="preserve"> </v>
      </c>
      <c r="AK365" s="21" t="str">
        <f t="shared" si="91"/>
        <v xml:space="preserve"> </v>
      </c>
      <c r="AM365" s="20">
        <f t="shared" si="92"/>
        <v>354</v>
      </c>
      <c r="AN365" s="5">
        <f t="shared" si="93"/>
        <v>0</v>
      </c>
      <c r="AO365" s="5">
        <f t="shared" si="94"/>
        <v>0</v>
      </c>
      <c r="AP365" s="5">
        <f t="shared" si="95"/>
        <v>0</v>
      </c>
      <c r="AQ365" s="5">
        <f>IF(CreditAmort4BASE[[#This Row],[Month]]=AS$8,AO$7,0)</f>
        <v>0</v>
      </c>
      <c r="AR365" s="13">
        <f t="shared" si="96"/>
        <v>0</v>
      </c>
      <c r="AS365" s="6" t="str">
        <f t="shared" si="97"/>
        <v xml:space="preserve"> </v>
      </c>
      <c r="AT365" s="21" t="str">
        <f t="shared" si="98"/>
        <v xml:space="preserve"> </v>
      </c>
    </row>
    <row r="366" spans="3:46">
      <c r="C366" s="22">
        <f t="shared" si="99"/>
        <v>355</v>
      </c>
      <c r="D366" s="23">
        <f>IF(AND(C366&gt;='Amort. Sched.-BASE'!$I$8, C366&lt;= ($I$7+$I$8)), PMT('Amort. Sched.-BASE'!$E$8/12, 'Amort. Sched.-BASE'!$I$7, 'Amort. Sched.-BASE'!$E$7), 0)</f>
        <v>0</v>
      </c>
      <c r="E366" s="5">
        <f>IF(AND(C366&gt;='Amort. Sched.-BASE'!$I$8, C366&lt;= ($I$7+$I$8)), (IPMT($E$8/12, (C366-$I$8), $I$7, $E$7)), 0)</f>
        <v>0</v>
      </c>
      <c r="F366" s="23">
        <f>IF(AND(C366&gt;='Amort. Sched.-BASE'!$I$8, C366&lt;= ($I$7+$I$8)), (PPMT($E$8/12, (C366-$I$8), $I$7, $E$7)), 0)</f>
        <v>0</v>
      </c>
      <c r="G366" s="5">
        <f>IF(MortgageAmortBASE[[#This Row],[Month]]=I$8,E$7,0)</f>
        <v>0</v>
      </c>
      <c r="H366" s="13">
        <f>IF(AND(C366&gt;='Amort. Sched.-BASE'!$I$8, C366&lt;= ($I$7+$I$8)), H365+F366, 0)</f>
        <v>0</v>
      </c>
      <c r="I366" s="24" t="str">
        <f>IF(AND(C366&gt;='Amort. Sched.-BASE'!$I$8, C366&lt;= ($I$7+$I$8)), E366/D366, " ")</f>
        <v xml:space="preserve"> </v>
      </c>
      <c r="J366" s="25" t="str">
        <f>IF(AND(C366&gt;='Amort. Sched.-BASE'!$I$8, C366&lt;= ($I$7+$I$8)), F366/D366, " ")</f>
        <v xml:space="preserve"> </v>
      </c>
      <c r="L366" s="20">
        <f t="shared" si="83"/>
        <v>355</v>
      </c>
      <c r="M366" s="5">
        <f>IF(AND(L366&gt;='Amort. Sched.-BASE'!$R$8, L366&lt;= ($R$7+$R$8)), PMT('Amort. Sched.-BASE'!$N$8/12, 'Amort. Sched.-BASE'!$R$7, 'Amort. Sched.-BASE'!$N$7), 0)</f>
        <v>0</v>
      </c>
      <c r="N366" s="5">
        <f>IF(AND(L366&gt;='Amort. Sched.-BASE'!$R$8, L366&lt;= ($R$7+$R$8)), (IPMT($N$8/12, (L366-$R$8), $R$7, $N$7)), 0)</f>
        <v>0</v>
      </c>
      <c r="O366" s="5">
        <f>IF(AND(L366&gt;='Amort. Sched.-BASE'!$R$8, L366&lt;= ($R$7+$R$8)), (PPMT($N$8/12, (L366-$R$8), $R$7, $N$7)), 0)</f>
        <v>0</v>
      </c>
      <c r="P366" s="5">
        <f>IF(CreditAmort1BASE[[#This Row],[Month]]=R$8,N$7,0)</f>
        <v>0</v>
      </c>
      <c r="Q366" s="13">
        <f>IF(AND(L366&gt;='Amort. Sched.-BASE'!$R$8, L366&lt;= ($R$7+$R$8)), Q365+O366, 0)</f>
        <v>0</v>
      </c>
      <c r="R366" s="6" t="str">
        <f>IF(AND(L366&gt;='Amort. Sched.-BASE'!$R$8, L366&lt;= ($R$7+$R$8)), N366/M366, " ")</f>
        <v xml:space="preserve"> </v>
      </c>
      <c r="S366" s="21" t="str">
        <f>IF(AND(L366&gt;='Amort. Sched.-BASE'!$R$8, L366&lt;= ($R$7+$R$8)), O366/M366, " ")</f>
        <v xml:space="preserve"> </v>
      </c>
      <c r="U366" s="22">
        <f t="shared" si="84"/>
        <v>355</v>
      </c>
      <c r="V366" s="23">
        <f>IF(AND(U366&gt;='Amort. Sched.-BASE'!$AA$8, U366&lt;= ($AA$7+$AA$8)), PMT('Amort. Sched.-BASE'!$W$8/12, 'Amort. Sched.-BASE'!$AA$7, 'Amort. Sched.-BASE'!$W$7), 0)</f>
        <v>0</v>
      </c>
      <c r="W366" s="5">
        <f>IF(AND(U366&gt;='Amort. Sched.-BASE'!$AA$8, U366&lt;= ($AA$7+$AA$8)), (IPMT($W$8/12, (U366-$AA$8), $AA$7, $W$7)), 0)</f>
        <v>0</v>
      </c>
      <c r="X366" s="23">
        <f>IF(AND(U366&gt;='Amort. Sched.-BASE'!$AA$8, U366&lt;= ($AA$7+$AA$8)), (PPMT($W$8/12, (U366-$AA$8), $AA$7, $W$7)), 0)</f>
        <v>0</v>
      </c>
      <c r="Y366" s="5">
        <f>IF(CreditAmort2BASE[[#This Row],[Month]]=AA$8,W$7,0)</f>
        <v>0</v>
      </c>
      <c r="Z366" s="13">
        <f>IF(AND(U366&gt;='Amort. Sched.-BASE'!$AA$8, U366&lt;= ($AA$7+$AA$8)), Z365+X366, 0)</f>
        <v>0</v>
      </c>
      <c r="AA366" s="24" t="str">
        <f>IF(AND(U366&gt;='Amort. Sched.-BASE'!$AA$8, U366&lt;= ($AA$7+$AA$8)), W366/V366, " ")</f>
        <v xml:space="preserve"> </v>
      </c>
      <c r="AB366" s="25" t="str">
        <f>IF(AND(U366&gt;='Amort. Sched.-BASE'!$AA$8, U366&lt;= ($AA$7+$AA$8)), X366/V366, " ")</f>
        <v xml:space="preserve"> </v>
      </c>
      <c r="AD366" s="20">
        <f t="shared" si="85"/>
        <v>355</v>
      </c>
      <c r="AE366" s="5">
        <f t="shared" si="86"/>
        <v>0</v>
      </c>
      <c r="AF366" s="5">
        <f t="shared" si="87"/>
        <v>0</v>
      </c>
      <c r="AG366" s="5">
        <f t="shared" si="88"/>
        <v>0</v>
      </c>
      <c r="AH366" s="5">
        <f>IF(CreditAmort3BASE[[#This Row],[Month]]=AJ$8,AF$7,0)</f>
        <v>0</v>
      </c>
      <c r="AI366" s="13">
        <f t="shared" si="89"/>
        <v>0</v>
      </c>
      <c r="AJ366" s="6" t="str">
        <f t="shared" si="90"/>
        <v xml:space="preserve"> </v>
      </c>
      <c r="AK366" s="21" t="str">
        <f t="shared" si="91"/>
        <v xml:space="preserve"> </v>
      </c>
      <c r="AM366" s="20">
        <f t="shared" si="92"/>
        <v>355</v>
      </c>
      <c r="AN366" s="5">
        <f t="shared" si="93"/>
        <v>0</v>
      </c>
      <c r="AO366" s="5">
        <f t="shared" si="94"/>
        <v>0</v>
      </c>
      <c r="AP366" s="5">
        <f t="shared" si="95"/>
        <v>0</v>
      </c>
      <c r="AQ366" s="5">
        <f>IF(CreditAmort4BASE[[#This Row],[Month]]=AS$8,AO$7,0)</f>
        <v>0</v>
      </c>
      <c r="AR366" s="13">
        <f t="shared" si="96"/>
        <v>0</v>
      </c>
      <c r="AS366" s="6" t="str">
        <f t="shared" si="97"/>
        <v xml:space="preserve"> </v>
      </c>
      <c r="AT366" s="21" t="str">
        <f t="shared" si="98"/>
        <v xml:space="preserve"> </v>
      </c>
    </row>
    <row r="367" spans="3:46">
      <c r="C367" s="22">
        <f t="shared" si="99"/>
        <v>356</v>
      </c>
      <c r="D367" s="23">
        <f>IF(AND(C367&gt;='Amort. Sched.-BASE'!$I$8, C367&lt;= ($I$7+$I$8)), PMT('Amort. Sched.-BASE'!$E$8/12, 'Amort. Sched.-BASE'!$I$7, 'Amort. Sched.-BASE'!$E$7), 0)</f>
        <v>0</v>
      </c>
      <c r="E367" s="5">
        <f>IF(AND(C367&gt;='Amort. Sched.-BASE'!$I$8, C367&lt;= ($I$7+$I$8)), (IPMT($E$8/12, (C367-$I$8), $I$7, $E$7)), 0)</f>
        <v>0</v>
      </c>
      <c r="F367" s="23">
        <f>IF(AND(C367&gt;='Amort. Sched.-BASE'!$I$8, C367&lt;= ($I$7+$I$8)), (PPMT($E$8/12, (C367-$I$8), $I$7, $E$7)), 0)</f>
        <v>0</v>
      </c>
      <c r="G367" s="5">
        <f>IF(MortgageAmortBASE[[#This Row],[Month]]=I$8,E$7,0)</f>
        <v>0</v>
      </c>
      <c r="H367" s="13">
        <f>IF(AND(C367&gt;='Amort. Sched.-BASE'!$I$8, C367&lt;= ($I$7+$I$8)), H366+F367, 0)</f>
        <v>0</v>
      </c>
      <c r="I367" s="24" t="str">
        <f>IF(AND(C367&gt;='Amort. Sched.-BASE'!$I$8, C367&lt;= ($I$7+$I$8)), E367/D367, " ")</f>
        <v xml:space="preserve"> </v>
      </c>
      <c r="J367" s="25" t="str">
        <f>IF(AND(C367&gt;='Amort. Sched.-BASE'!$I$8, C367&lt;= ($I$7+$I$8)), F367/D367, " ")</f>
        <v xml:space="preserve"> </v>
      </c>
      <c r="L367" s="20">
        <f t="shared" si="83"/>
        <v>356</v>
      </c>
      <c r="M367" s="5">
        <f>IF(AND(L367&gt;='Amort. Sched.-BASE'!$R$8, L367&lt;= ($R$7+$R$8)), PMT('Amort. Sched.-BASE'!$N$8/12, 'Amort. Sched.-BASE'!$R$7, 'Amort. Sched.-BASE'!$N$7), 0)</f>
        <v>0</v>
      </c>
      <c r="N367" s="5">
        <f>IF(AND(L367&gt;='Amort. Sched.-BASE'!$R$8, L367&lt;= ($R$7+$R$8)), (IPMT($N$8/12, (L367-$R$8), $R$7, $N$7)), 0)</f>
        <v>0</v>
      </c>
      <c r="O367" s="5">
        <f>IF(AND(L367&gt;='Amort. Sched.-BASE'!$R$8, L367&lt;= ($R$7+$R$8)), (PPMT($N$8/12, (L367-$R$8), $R$7, $N$7)), 0)</f>
        <v>0</v>
      </c>
      <c r="P367" s="5">
        <f>IF(CreditAmort1BASE[[#This Row],[Month]]=R$8,N$7,0)</f>
        <v>0</v>
      </c>
      <c r="Q367" s="13">
        <f>IF(AND(L367&gt;='Amort. Sched.-BASE'!$R$8, L367&lt;= ($R$7+$R$8)), Q366+O367, 0)</f>
        <v>0</v>
      </c>
      <c r="R367" s="6" t="str">
        <f>IF(AND(L367&gt;='Amort. Sched.-BASE'!$R$8, L367&lt;= ($R$7+$R$8)), N367/M367, " ")</f>
        <v xml:space="preserve"> </v>
      </c>
      <c r="S367" s="21" t="str">
        <f>IF(AND(L367&gt;='Amort. Sched.-BASE'!$R$8, L367&lt;= ($R$7+$R$8)), O367/M367, " ")</f>
        <v xml:space="preserve"> </v>
      </c>
      <c r="U367" s="22">
        <f t="shared" si="84"/>
        <v>356</v>
      </c>
      <c r="V367" s="23">
        <f>IF(AND(U367&gt;='Amort. Sched.-BASE'!$AA$8, U367&lt;= ($AA$7+$AA$8)), PMT('Amort. Sched.-BASE'!$W$8/12, 'Amort. Sched.-BASE'!$AA$7, 'Amort. Sched.-BASE'!$W$7), 0)</f>
        <v>0</v>
      </c>
      <c r="W367" s="5">
        <f>IF(AND(U367&gt;='Amort. Sched.-BASE'!$AA$8, U367&lt;= ($AA$7+$AA$8)), (IPMT($W$8/12, (U367-$AA$8), $AA$7, $W$7)), 0)</f>
        <v>0</v>
      </c>
      <c r="X367" s="23">
        <f>IF(AND(U367&gt;='Amort. Sched.-BASE'!$AA$8, U367&lt;= ($AA$7+$AA$8)), (PPMT($W$8/12, (U367-$AA$8), $AA$7, $W$7)), 0)</f>
        <v>0</v>
      </c>
      <c r="Y367" s="5">
        <f>IF(CreditAmort2BASE[[#This Row],[Month]]=AA$8,W$7,0)</f>
        <v>0</v>
      </c>
      <c r="Z367" s="13">
        <f>IF(AND(U367&gt;='Amort. Sched.-BASE'!$AA$8, U367&lt;= ($AA$7+$AA$8)), Z366+X367, 0)</f>
        <v>0</v>
      </c>
      <c r="AA367" s="24" t="str">
        <f>IF(AND(U367&gt;='Amort. Sched.-BASE'!$AA$8, U367&lt;= ($AA$7+$AA$8)), W367/V367, " ")</f>
        <v xml:space="preserve"> </v>
      </c>
      <c r="AB367" s="25" t="str">
        <f>IF(AND(U367&gt;='Amort. Sched.-BASE'!$AA$8, U367&lt;= ($AA$7+$AA$8)), X367/V367, " ")</f>
        <v xml:space="preserve"> </v>
      </c>
      <c r="AD367" s="20">
        <f t="shared" si="85"/>
        <v>356</v>
      </c>
      <c r="AE367" s="5">
        <f t="shared" si="86"/>
        <v>0</v>
      </c>
      <c r="AF367" s="5">
        <f t="shared" si="87"/>
        <v>0</v>
      </c>
      <c r="AG367" s="5">
        <f t="shared" si="88"/>
        <v>0</v>
      </c>
      <c r="AH367" s="5">
        <f>IF(CreditAmort3BASE[[#This Row],[Month]]=AJ$8,AF$7,0)</f>
        <v>0</v>
      </c>
      <c r="AI367" s="13">
        <f t="shared" si="89"/>
        <v>0</v>
      </c>
      <c r="AJ367" s="6" t="str">
        <f t="shared" si="90"/>
        <v xml:space="preserve"> </v>
      </c>
      <c r="AK367" s="21" t="str">
        <f t="shared" si="91"/>
        <v xml:space="preserve"> </v>
      </c>
      <c r="AM367" s="20">
        <f t="shared" si="92"/>
        <v>356</v>
      </c>
      <c r="AN367" s="5">
        <f t="shared" si="93"/>
        <v>0</v>
      </c>
      <c r="AO367" s="5">
        <f t="shared" si="94"/>
        <v>0</v>
      </c>
      <c r="AP367" s="5">
        <f t="shared" si="95"/>
        <v>0</v>
      </c>
      <c r="AQ367" s="5">
        <f>IF(CreditAmort4BASE[[#This Row],[Month]]=AS$8,AO$7,0)</f>
        <v>0</v>
      </c>
      <c r="AR367" s="13">
        <f t="shared" si="96"/>
        <v>0</v>
      </c>
      <c r="AS367" s="6" t="str">
        <f t="shared" si="97"/>
        <v xml:space="preserve"> </v>
      </c>
      <c r="AT367" s="21" t="str">
        <f t="shared" si="98"/>
        <v xml:space="preserve"> </v>
      </c>
    </row>
    <row r="368" spans="3:46">
      <c r="C368" s="22">
        <f t="shared" si="99"/>
        <v>357</v>
      </c>
      <c r="D368" s="23">
        <f>IF(AND(C368&gt;='Amort. Sched.-BASE'!$I$8, C368&lt;= ($I$7+$I$8)), PMT('Amort. Sched.-BASE'!$E$8/12, 'Amort. Sched.-BASE'!$I$7, 'Amort. Sched.-BASE'!$E$7), 0)</f>
        <v>0</v>
      </c>
      <c r="E368" s="5">
        <f>IF(AND(C368&gt;='Amort. Sched.-BASE'!$I$8, C368&lt;= ($I$7+$I$8)), (IPMT($E$8/12, (C368-$I$8), $I$7, $E$7)), 0)</f>
        <v>0</v>
      </c>
      <c r="F368" s="23">
        <f>IF(AND(C368&gt;='Amort. Sched.-BASE'!$I$8, C368&lt;= ($I$7+$I$8)), (PPMT($E$8/12, (C368-$I$8), $I$7, $E$7)), 0)</f>
        <v>0</v>
      </c>
      <c r="G368" s="5">
        <f>IF(MortgageAmortBASE[[#This Row],[Month]]=I$8,E$7,0)</f>
        <v>0</v>
      </c>
      <c r="H368" s="13">
        <f>IF(AND(C368&gt;='Amort. Sched.-BASE'!$I$8, C368&lt;= ($I$7+$I$8)), H367+F368, 0)</f>
        <v>0</v>
      </c>
      <c r="I368" s="24" t="str">
        <f>IF(AND(C368&gt;='Amort. Sched.-BASE'!$I$8, C368&lt;= ($I$7+$I$8)), E368/D368, " ")</f>
        <v xml:space="preserve"> </v>
      </c>
      <c r="J368" s="25" t="str">
        <f>IF(AND(C368&gt;='Amort. Sched.-BASE'!$I$8, C368&lt;= ($I$7+$I$8)), F368/D368, " ")</f>
        <v xml:space="preserve"> </v>
      </c>
      <c r="L368" s="20">
        <f t="shared" si="83"/>
        <v>357</v>
      </c>
      <c r="M368" s="5">
        <f>IF(AND(L368&gt;='Amort. Sched.-BASE'!$R$8, L368&lt;= ($R$7+$R$8)), PMT('Amort. Sched.-BASE'!$N$8/12, 'Amort. Sched.-BASE'!$R$7, 'Amort. Sched.-BASE'!$N$7), 0)</f>
        <v>0</v>
      </c>
      <c r="N368" s="5">
        <f>IF(AND(L368&gt;='Amort. Sched.-BASE'!$R$8, L368&lt;= ($R$7+$R$8)), (IPMT($N$8/12, (L368-$R$8), $R$7, $N$7)), 0)</f>
        <v>0</v>
      </c>
      <c r="O368" s="5">
        <f>IF(AND(L368&gt;='Amort. Sched.-BASE'!$R$8, L368&lt;= ($R$7+$R$8)), (PPMT($N$8/12, (L368-$R$8), $R$7, $N$7)), 0)</f>
        <v>0</v>
      </c>
      <c r="P368" s="5">
        <f>IF(CreditAmort1BASE[[#This Row],[Month]]=R$8,N$7,0)</f>
        <v>0</v>
      </c>
      <c r="Q368" s="13">
        <f>IF(AND(L368&gt;='Amort. Sched.-BASE'!$R$8, L368&lt;= ($R$7+$R$8)), Q367+O368, 0)</f>
        <v>0</v>
      </c>
      <c r="R368" s="6" t="str">
        <f>IF(AND(L368&gt;='Amort. Sched.-BASE'!$R$8, L368&lt;= ($R$7+$R$8)), N368/M368, " ")</f>
        <v xml:space="preserve"> </v>
      </c>
      <c r="S368" s="21" t="str">
        <f>IF(AND(L368&gt;='Amort. Sched.-BASE'!$R$8, L368&lt;= ($R$7+$R$8)), O368/M368, " ")</f>
        <v xml:space="preserve"> </v>
      </c>
      <c r="U368" s="22">
        <f t="shared" si="84"/>
        <v>357</v>
      </c>
      <c r="V368" s="23">
        <f>IF(AND(U368&gt;='Amort. Sched.-BASE'!$AA$8, U368&lt;= ($AA$7+$AA$8)), PMT('Amort. Sched.-BASE'!$W$8/12, 'Amort. Sched.-BASE'!$AA$7, 'Amort. Sched.-BASE'!$W$7), 0)</f>
        <v>0</v>
      </c>
      <c r="W368" s="5">
        <f>IF(AND(U368&gt;='Amort. Sched.-BASE'!$AA$8, U368&lt;= ($AA$7+$AA$8)), (IPMT($W$8/12, (U368-$AA$8), $AA$7, $W$7)), 0)</f>
        <v>0</v>
      </c>
      <c r="X368" s="23">
        <f>IF(AND(U368&gt;='Amort. Sched.-BASE'!$AA$8, U368&lt;= ($AA$7+$AA$8)), (PPMT($W$8/12, (U368-$AA$8), $AA$7, $W$7)), 0)</f>
        <v>0</v>
      </c>
      <c r="Y368" s="5">
        <f>IF(CreditAmort2BASE[[#This Row],[Month]]=AA$8,W$7,0)</f>
        <v>0</v>
      </c>
      <c r="Z368" s="13">
        <f>IF(AND(U368&gt;='Amort. Sched.-BASE'!$AA$8, U368&lt;= ($AA$7+$AA$8)), Z367+X368, 0)</f>
        <v>0</v>
      </c>
      <c r="AA368" s="24" t="str">
        <f>IF(AND(U368&gt;='Amort. Sched.-BASE'!$AA$8, U368&lt;= ($AA$7+$AA$8)), W368/V368, " ")</f>
        <v xml:space="preserve"> </v>
      </c>
      <c r="AB368" s="25" t="str">
        <f>IF(AND(U368&gt;='Amort. Sched.-BASE'!$AA$8, U368&lt;= ($AA$7+$AA$8)), X368/V368, " ")</f>
        <v xml:space="preserve"> </v>
      </c>
      <c r="AD368" s="20">
        <f t="shared" si="85"/>
        <v>357</v>
      </c>
      <c r="AE368" s="5">
        <f t="shared" si="86"/>
        <v>0</v>
      </c>
      <c r="AF368" s="5">
        <f t="shared" si="87"/>
        <v>0</v>
      </c>
      <c r="AG368" s="5">
        <f t="shared" si="88"/>
        <v>0</v>
      </c>
      <c r="AH368" s="5">
        <f>IF(CreditAmort3BASE[[#This Row],[Month]]=AJ$8,AF$7,0)</f>
        <v>0</v>
      </c>
      <c r="AI368" s="13">
        <f t="shared" si="89"/>
        <v>0</v>
      </c>
      <c r="AJ368" s="6" t="str">
        <f t="shared" si="90"/>
        <v xml:space="preserve"> </v>
      </c>
      <c r="AK368" s="21" t="str">
        <f t="shared" si="91"/>
        <v xml:space="preserve"> </v>
      </c>
      <c r="AM368" s="20">
        <f t="shared" si="92"/>
        <v>357</v>
      </c>
      <c r="AN368" s="5">
        <f t="shared" si="93"/>
        <v>0</v>
      </c>
      <c r="AO368" s="5">
        <f t="shared" si="94"/>
        <v>0</v>
      </c>
      <c r="AP368" s="5">
        <f t="shared" si="95"/>
        <v>0</v>
      </c>
      <c r="AQ368" s="5">
        <f>IF(CreditAmort4BASE[[#This Row],[Month]]=AS$8,AO$7,0)</f>
        <v>0</v>
      </c>
      <c r="AR368" s="13">
        <f t="shared" si="96"/>
        <v>0</v>
      </c>
      <c r="AS368" s="6" t="str">
        <f t="shared" si="97"/>
        <v xml:space="preserve"> </v>
      </c>
      <c r="AT368" s="21" t="str">
        <f t="shared" si="98"/>
        <v xml:space="preserve"> </v>
      </c>
    </row>
    <row r="369" spans="3:46">
      <c r="C369" s="22">
        <f t="shared" si="99"/>
        <v>358</v>
      </c>
      <c r="D369" s="23">
        <f>IF(AND(C369&gt;='Amort. Sched.-BASE'!$I$8, C369&lt;= ($I$7+$I$8)), PMT('Amort. Sched.-BASE'!$E$8/12, 'Amort. Sched.-BASE'!$I$7, 'Amort. Sched.-BASE'!$E$7), 0)</f>
        <v>0</v>
      </c>
      <c r="E369" s="5">
        <f>IF(AND(C369&gt;='Amort. Sched.-BASE'!$I$8, C369&lt;= ($I$7+$I$8)), (IPMT($E$8/12, (C369-$I$8), $I$7, $E$7)), 0)</f>
        <v>0</v>
      </c>
      <c r="F369" s="23">
        <f>IF(AND(C369&gt;='Amort. Sched.-BASE'!$I$8, C369&lt;= ($I$7+$I$8)), (PPMT($E$8/12, (C369-$I$8), $I$7, $E$7)), 0)</f>
        <v>0</v>
      </c>
      <c r="G369" s="5">
        <f>IF(MortgageAmortBASE[[#This Row],[Month]]=I$8,E$7,0)</f>
        <v>0</v>
      </c>
      <c r="H369" s="13">
        <f>IF(AND(C369&gt;='Amort. Sched.-BASE'!$I$8, C369&lt;= ($I$7+$I$8)), H368+F369, 0)</f>
        <v>0</v>
      </c>
      <c r="I369" s="24" t="str">
        <f>IF(AND(C369&gt;='Amort. Sched.-BASE'!$I$8, C369&lt;= ($I$7+$I$8)), E369/D369, " ")</f>
        <v xml:space="preserve"> </v>
      </c>
      <c r="J369" s="25" t="str">
        <f>IF(AND(C369&gt;='Amort. Sched.-BASE'!$I$8, C369&lt;= ($I$7+$I$8)), F369/D369, " ")</f>
        <v xml:space="preserve"> </v>
      </c>
      <c r="L369" s="20">
        <f t="shared" si="83"/>
        <v>358</v>
      </c>
      <c r="M369" s="5">
        <f>IF(AND(L369&gt;='Amort. Sched.-BASE'!$R$8, L369&lt;= ($R$7+$R$8)), PMT('Amort. Sched.-BASE'!$N$8/12, 'Amort. Sched.-BASE'!$R$7, 'Amort. Sched.-BASE'!$N$7), 0)</f>
        <v>0</v>
      </c>
      <c r="N369" s="5">
        <f>IF(AND(L369&gt;='Amort. Sched.-BASE'!$R$8, L369&lt;= ($R$7+$R$8)), (IPMT($N$8/12, (L369-$R$8), $R$7, $N$7)), 0)</f>
        <v>0</v>
      </c>
      <c r="O369" s="5">
        <f>IF(AND(L369&gt;='Amort. Sched.-BASE'!$R$8, L369&lt;= ($R$7+$R$8)), (PPMT($N$8/12, (L369-$R$8), $R$7, $N$7)), 0)</f>
        <v>0</v>
      </c>
      <c r="P369" s="5">
        <f>IF(CreditAmort1BASE[[#This Row],[Month]]=R$8,N$7,0)</f>
        <v>0</v>
      </c>
      <c r="Q369" s="13">
        <f>IF(AND(L369&gt;='Amort. Sched.-BASE'!$R$8, L369&lt;= ($R$7+$R$8)), Q368+O369, 0)</f>
        <v>0</v>
      </c>
      <c r="R369" s="6" t="str">
        <f>IF(AND(L369&gt;='Amort. Sched.-BASE'!$R$8, L369&lt;= ($R$7+$R$8)), N369/M369, " ")</f>
        <v xml:space="preserve"> </v>
      </c>
      <c r="S369" s="21" t="str">
        <f>IF(AND(L369&gt;='Amort. Sched.-BASE'!$R$8, L369&lt;= ($R$7+$R$8)), O369/M369, " ")</f>
        <v xml:space="preserve"> </v>
      </c>
      <c r="U369" s="22">
        <f t="shared" si="84"/>
        <v>358</v>
      </c>
      <c r="V369" s="23">
        <f>IF(AND(U369&gt;='Amort. Sched.-BASE'!$AA$8, U369&lt;= ($AA$7+$AA$8)), PMT('Amort. Sched.-BASE'!$W$8/12, 'Amort. Sched.-BASE'!$AA$7, 'Amort. Sched.-BASE'!$W$7), 0)</f>
        <v>0</v>
      </c>
      <c r="W369" s="5">
        <f>IF(AND(U369&gt;='Amort. Sched.-BASE'!$AA$8, U369&lt;= ($AA$7+$AA$8)), (IPMT($W$8/12, (U369-$AA$8), $AA$7, $W$7)), 0)</f>
        <v>0</v>
      </c>
      <c r="X369" s="23">
        <f>IF(AND(U369&gt;='Amort. Sched.-BASE'!$AA$8, U369&lt;= ($AA$7+$AA$8)), (PPMT($W$8/12, (U369-$AA$8), $AA$7, $W$7)), 0)</f>
        <v>0</v>
      </c>
      <c r="Y369" s="5">
        <f>IF(CreditAmort2BASE[[#This Row],[Month]]=AA$8,W$7,0)</f>
        <v>0</v>
      </c>
      <c r="Z369" s="13">
        <f>IF(AND(U369&gt;='Amort. Sched.-BASE'!$AA$8, U369&lt;= ($AA$7+$AA$8)), Z368+X369, 0)</f>
        <v>0</v>
      </c>
      <c r="AA369" s="24" t="str">
        <f>IF(AND(U369&gt;='Amort. Sched.-BASE'!$AA$8, U369&lt;= ($AA$7+$AA$8)), W369/V369, " ")</f>
        <v xml:space="preserve"> </v>
      </c>
      <c r="AB369" s="25" t="str">
        <f>IF(AND(U369&gt;='Amort. Sched.-BASE'!$AA$8, U369&lt;= ($AA$7+$AA$8)), X369/V369, " ")</f>
        <v xml:space="preserve"> </v>
      </c>
      <c r="AD369" s="20">
        <f t="shared" si="85"/>
        <v>358</v>
      </c>
      <c r="AE369" s="5">
        <f t="shared" si="86"/>
        <v>0</v>
      </c>
      <c r="AF369" s="5">
        <f t="shared" si="87"/>
        <v>0</v>
      </c>
      <c r="AG369" s="5">
        <f t="shared" si="88"/>
        <v>0</v>
      </c>
      <c r="AH369" s="5">
        <f>IF(CreditAmort3BASE[[#This Row],[Month]]=AJ$8,AF$7,0)</f>
        <v>0</v>
      </c>
      <c r="AI369" s="13">
        <f t="shared" si="89"/>
        <v>0</v>
      </c>
      <c r="AJ369" s="6" t="str">
        <f t="shared" si="90"/>
        <v xml:space="preserve"> </v>
      </c>
      <c r="AK369" s="21" t="str">
        <f t="shared" si="91"/>
        <v xml:space="preserve"> </v>
      </c>
      <c r="AM369" s="20">
        <f t="shared" si="92"/>
        <v>358</v>
      </c>
      <c r="AN369" s="5">
        <f t="shared" si="93"/>
        <v>0</v>
      </c>
      <c r="AO369" s="5">
        <f t="shared" si="94"/>
        <v>0</v>
      </c>
      <c r="AP369" s="5">
        <f t="shared" si="95"/>
        <v>0</v>
      </c>
      <c r="AQ369" s="5">
        <f>IF(CreditAmort4BASE[[#This Row],[Month]]=AS$8,AO$7,0)</f>
        <v>0</v>
      </c>
      <c r="AR369" s="13">
        <f t="shared" si="96"/>
        <v>0</v>
      </c>
      <c r="AS369" s="6" t="str">
        <f t="shared" si="97"/>
        <v xml:space="preserve"> </v>
      </c>
      <c r="AT369" s="21" t="str">
        <f t="shared" si="98"/>
        <v xml:space="preserve"> </v>
      </c>
    </row>
    <row r="370" spans="3:46">
      <c r="C370" s="22">
        <f t="shared" si="99"/>
        <v>359</v>
      </c>
      <c r="D370" s="23">
        <f>IF(AND(C370&gt;='Amort. Sched.-BASE'!$I$8, C370&lt;= ($I$7+$I$8)), PMT('Amort. Sched.-BASE'!$E$8/12, 'Amort. Sched.-BASE'!$I$7, 'Amort. Sched.-BASE'!$E$7), 0)</f>
        <v>0</v>
      </c>
      <c r="E370" s="5">
        <f>IF(AND(C370&gt;='Amort. Sched.-BASE'!$I$8, C370&lt;= ($I$7+$I$8)), (IPMT($E$8/12, (C370-$I$8), $I$7, $E$7)), 0)</f>
        <v>0</v>
      </c>
      <c r="F370" s="23">
        <f>IF(AND(C370&gt;='Amort. Sched.-BASE'!$I$8, C370&lt;= ($I$7+$I$8)), (PPMT($E$8/12, (C370-$I$8), $I$7, $E$7)), 0)</f>
        <v>0</v>
      </c>
      <c r="G370" s="5">
        <f>IF(MortgageAmortBASE[[#This Row],[Month]]=I$8,E$7,0)</f>
        <v>0</v>
      </c>
      <c r="H370" s="13">
        <f>IF(AND(C370&gt;='Amort. Sched.-BASE'!$I$8, C370&lt;= ($I$7+$I$8)), H369+F370, 0)</f>
        <v>0</v>
      </c>
      <c r="I370" s="24" t="str">
        <f>IF(AND(C370&gt;='Amort. Sched.-BASE'!$I$8, C370&lt;= ($I$7+$I$8)), E370/D370, " ")</f>
        <v xml:space="preserve"> </v>
      </c>
      <c r="J370" s="25" t="str">
        <f>IF(AND(C370&gt;='Amort. Sched.-BASE'!$I$8, C370&lt;= ($I$7+$I$8)), F370/D370, " ")</f>
        <v xml:space="preserve"> </v>
      </c>
      <c r="L370" s="20">
        <f t="shared" si="83"/>
        <v>359</v>
      </c>
      <c r="M370" s="5">
        <f>IF(AND(L370&gt;='Amort. Sched.-BASE'!$R$8, L370&lt;= ($R$7+$R$8)), PMT('Amort. Sched.-BASE'!$N$8/12, 'Amort. Sched.-BASE'!$R$7, 'Amort. Sched.-BASE'!$N$7), 0)</f>
        <v>0</v>
      </c>
      <c r="N370" s="5">
        <f>IF(AND(L370&gt;='Amort. Sched.-BASE'!$R$8, L370&lt;= ($R$7+$R$8)), (IPMT($N$8/12, (L370-$R$8), $R$7, $N$7)), 0)</f>
        <v>0</v>
      </c>
      <c r="O370" s="5">
        <f>IF(AND(L370&gt;='Amort. Sched.-BASE'!$R$8, L370&lt;= ($R$7+$R$8)), (PPMT($N$8/12, (L370-$R$8), $R$7, $N$7)), 0)</f>
        <v>0</v>
      </c>
      <c r="P370" s="5">
        <f>IF(CreditAmort1BASE[[#This Row],[Month]]=R$8,N$7,0)</f>
        <v>0</v>
      </c>
      <c r="Q370" s="13">
        <f>IF(AND(L370&gt;='Amort. Sched.-BASE'!$R$8, L370&lt;= ($R$7+$R$8)), Q369+O370, 0)</f>
        <v>0</v>
      </c>
      <c r="R370" s="6" t="str">
        <f>IF(AND(L370&gt;='Amort. Sched.-BASE'!$R$8, L370&lt;= ($R$7+$R$8)), N370/M370, " ")</f>
        <v xml:space="preserve"> </v>
      </c>
      <c r="S370" s="21" t="str">
        <f>IF(AND(L370&gt;='Amort. Sched.-BASE'!$R$8, L370&lt;= ($R$7+$R$8)), O370/M370, " ")</f>
        <v xml:space="preserve"> </v>
      </c>
      <c r="U370" s="22">
        <f t="shared" si="84"/>
        <v>359</v>
      </c>
      <c r="V370" s="23">
        <f>IF(AND(U370&gt;='Amort. Sched.-BASE'!$AA$8, U370&lt;= ($AA$7+$AA$8)), PMT('Amort. Sched.-BASE'!$W$8/12, 'Amort. Sched.-BASE'!$AA$7, 'Amort. Sched.-BASE'!$W$7), 0)</f>
        <v>0</v>
      </c>
      <c r="W370" s="5">
        <f>IF(AND(U370&gt;='Amort. Sched.-BASE'!$AA$8, U370&lt;= ($AA$7+$AA$8)), (IPMT($W$8/12, (U370-$AA$8), $AA$7, $W$7)), 0)</f>
        <v>0</v>
      </c>
      <c r="X370" s="23">
        <f>IF(AND(U370&gt;='Amort. Sched.-BASE'!$AA$8, U370&lt;= ($AA$7+$AA$8)), (PPMT($W$8/12, (U370-$AA$8), $AA$7, $W$7)), 0)</f>
        <v>0</v>
      </c>
      <c r="Y370" s="5">
        <f>IF(CreditAmort2BASE[[#This Row],[Month]]=AA$8,W$7,0)</f>
        <v>0</v>
      </c>
      <c r="Z370" s="13">
        <f>IF(AND(U370&gt;='Amort. Sched.-BASE'!$AA$8, U370&lt;= ($AA$7+$AA$8)), Z369+X370, 0)</f>
        <v>0</v>
      </c>
      <c r="AA370" s="24" t="str">
        <f>IF(AND(U370&gt;='Amort. Sched.-BASE'!$AA$8, U370&lt;= ($AA$7+$AA$8)), W370/V370, " ")</f>
        <v xml:space="preserve"> </v>
      </c>
      <c r="AB370" s="25" t="str">
        <f>IF(AND(U370&gt;='Amort. Sched.-BASE'!$AA$8, U370&lt;= ($AA$7+$AA$8)), X370/V370, " ")</f>
        <v xml:space="preserve"> </v>
      </c>
      <c r="AD370" s="20">
        <f t="shared" si="85"/>
        <v>359</v>
      </c>
      <c r="AE370" s="5">
        <f t="shared" si="86"/>
        <v>0</v>
      </c>
      <c r="AF370" s="5">
        <f t="shared" si="87"/>
        <v>0</v>
      </c>
      <c r="AG370" s="5">
        <f t="shared" si="88"/>
        <v>0</v>
      </c>
      <c r="AH370" s="5">
        <f>IF(CreditAmort3BASE[[#This Row],[Month]]=AJ$8,AF$7,0)</f>
        <v>0</v>
      </c>
      <c r="AI370" s="13">
        <f t="shared" si="89"/>
        <v>0</v>
      </c>
      <c r="AJ370" s="6" t="str">
        <f t="shared" si="90"/>
        <v xml:space="preserve"> </v>
      </c>
      <c r="AK370" s="21" t="str">
        <f t="shared" si="91"/>
        <v xml:space="preserve"> </v>
      </c>
      <c r="AM370" s="20">
        <f t="shared" si="92"/>
        <v>359</v>
      </c>
      <c r="AN370" s="5">
        <f t="shared" si="93"/>
        <v>0</v>
      </c>
      <c r="AO370" s="5">
        <f t="shared" si="94"/>
        <v>0</v>
      </c>
      <c r="AP370" s="5">
        <f t="shared" si="95"/>
        <v>0</v>
      </c>
      <c r="AQ370" s="5">
        <f>IF(CreditAmort4BASE[[#This Row],[Month]]=AS$8,AO$7,0)</f>
        <v>0</v>
      </c>
      <c r="AR370" s="13">
        <f t="shared" si="96"/>
        <v>0</v>
      </c>
      <c r="AS370" s="6" t="str">
        <f t="shared" si="97"/>
        <v xml:space="preserve"> </v>
      </c>
      <c r="AT370" s="21" t="str">
        <f t="shared" si="98"/>
        <v xml:space="preserve"> </v>
      </c>
    </row>
    <row r="371" spans="3:46">
      <c r="C371" s="22">
        <f t="shared" si="99"/>
        <v>360</v>
      </c>
      <c r="D371" s="23">
        <f>IF(AND(C371&gt;='Amort. Sched.-BASE'!$I$8, C371&lt;= ($I$7+$I$8)), PMT('Amort. Sched.-BASE'!$E$8/12, 'Amort. Sched.-BASE'!$I$7, 'Amort. Sched.-BASE'!$E$7), 0)</f>
        <v>0</v>
      </c>
      <c r="E371" s="5">
        <f>IF(AND(C371&gt;='Amort. Sched.-BASE'!$I$8, C371&lt;= ($I$7+$I$8)), (IPMT($E$8/12, (C371-$I$8), $I$7, $E$7)), 0)</f>
        <v>0</v>
      </c>
      <c r="F371" s="23">
        <f>IF(AND(C371&gt;='Amort. Sched.-BASE'!$I$8, C371&lt;= ($I$7+$I$8)), (PPMT($E$8/12, (C371-$I$8), $I$7, $E$7)), 0)</f>
        <v>0</v>
      </c>
      <c r="G371" s="5">
        <f>IF(MortgageAmortBASE[[#This Row],[Month]]=I$8,E$7,0)</f>
        <v>0</v>
      </c>
      <c r="H371" s="13">
        <f>IF(AND(C371&gt;='Amort. Sched.-BASE'!$I$8, C371&lt;= ($I$7+$I$8)), H370+F371, 0)</f>
        <v>0</v>
      </c>
      <c r="I371" s="24" t="str">
        <f>IF(AND(C371&gt;='Amort. Sched.-BASE'!$I$8, C371&lt;= ($I$7+$I$8)), E371/D371, " ")</f>
        <v xml:space="preserve"> </v>
      </c>
      <c r="J371" s="25" t="str">
        <f>IF(AND(C371&gt;='Amort. Sched.-BASE'!$I$8, C371&lt;= ($I$7+$I$8)), F371/D371, " ")</f>
        <v xml:space="preserve"> </v>
      </c>
      <c r="L371" s="20">
        <f t="shared" si="83"/>
        <v>360</v>
      </c>
      <c r="M371" s="5">
        <f>IF(AND(L371&gt;='Amort. Sched.-BASE'!$R$8, L371&lt;= ($R$7+$R$8)), PMT('Amort. Sched.-BASE'!$N$8/12, 'Amort. Sched.-BASE'!$R$7, 'Amort. Sched.-BASE'!$N$7), 0)</f>
        <v>0</v>
      </c>
      <c r="N371" s="5">
        <f>IF(AND(L371&gt;='Amort. Sched.-BASE'!$R$8, L371&lt;= ($R$7+$R$8)), (IPMT($N$8/12, (L371-$R$8), $R$7, $N$7)), 0)</f>
        <v>0</v>
      </c>
      <c r="O371" s="5">
        <f>IF(AND(L371&gt;='Amort. Sched.-BASE'!$R$8, L371&lt;= ($R$7+$R$8)), (PPMT($N$8/12, (L371-$R$8), $R$7, $N$7)), 0)</f>
        <v>0</v>
      </c>
      <c r="P371" s="5">
        <f>IF(CreditAmort1BASE[[#This Row],[Month]]=R$8,N$7,0)</f>
        <v>0</v>
      </c>
      <c r="Q371" s="13">
        <f>IF(AND(L371&gt;='Amort. Sched.-BASE'!$R$8, L371&lt;= ($R$7+$R$8)), Q370+O371, 0)</f>
        <v>0</v>
      </c>
      <c r="R371" s="6" t="str">
        <f>IF(AND(L371&gt;='Amort. Sched.-BASE'!$R$8, L371&lt;= ($R$7+$R$8)), N371/M371, " ")</f>
        <v xml:space="preserve"> </v>
      </c>
      <c r="S371" s="21" t="str">
        <f>IF(AND(L371&gt;='Amort. Sched.-BASE'!$R$8, L371&lt;= ($R$7+$R$8)), O371/M371, " ")</f>
        <v xml:space="preserve"> </v>
      </c>
      <c r="U371" s="22">
        <f t="shared" si="84"/>
        <v>360</v>
      </c>
      <c r="V371" s="23">
        <f>IF(AND(U371&gt;='Amort. Sched.-BASE'!$AA$8, U371&lt;= ($AA$7+$AA$8)), PMT('Amort. Sched.-BASE'!$W$8/12, 'Amort. Sched.-BASE'!$AA$7, 'Amort. Sched.-BASE'!$W$7), 0)</f>
        <v>0</v>
      </c>
      <c r="W371" s="5">
        <f>IF(AND(U371&gt;='Amort. Sched.-BASE'!$AA$8, U371&lt;= ($AA$7+$AA$8)), (IPMT($W$8/12, (U371-$AA$8), $AA$7, $W$7)), 0)</f>
        <v>0</v>
      </c>
      <c r="X371" s="23">
        <f>IF(AND(U371&gt;='Amort. Sched.-BASE'!$AA$8, U371&lt;= ($AA$7+$AA$8)), (PPMT($W$8/12, (U371-$AA$8), $AA$7, $W$7)), 0)</f>
        <v>0</v>
      </c>
      <c r="Y371" s="5">
        <f>IF(CreditAmort2BASE[[#This Row],[Month]]=AA$8,W$7,0)</f>
        <v>0</v>
      </c>
      <c r="Z371" s="13">
        <f>IF(AND(U371&gt;='Amort. Sched.-BASE'!$AA$8, U371&lt;= ($AA$7+$AA$8)), Z370+X371, 0)</f>
        <v>0</v>
      </c>
      <c r="AA371" s="24" t="str">
        <f>IF(AND(U371&gt;='Amort. Sched.-BASE'!$AA$8, U371&lt;= ($AA$7+$AA$8)), W371/V371, " ")</f>
        <v xml:space="preserve"> </v>
      </c>
      <c r="AB371" s="25" t="str">
        <f>IF(AND(U371&gt;='Amort. Sched.-BASE'!$AA$8, U371&lt;= ($AA$7+$AA$8)), X371/V371, " ")</f>
        <v xml:space="preserve"> </v>
      </c>
      <c r="AD371" s="20">
        <f t="shared" si="85"/>
        <v>360</v>
      </c>
      <c r="AE371" s="5">
        <f t="shared" si="86"/>
        <v>0</v>
      </c>
      <c r="AF371" s="5">
        <f t="shared" si="87"/>
        <v>0</v>
      </c>
      <c r="AG371" s="5">
        <f t="shared" si="88"/>
        <v>0</v>
      </c>
      <c r="AH371" s="5">
        <f>IF(CreditAmort3BASE[[#This Row],[Month]]=AJ$8,AF$7,0)</f>
        <v>0</v>
      </c>
      <c r="AI371" s="13">
        <f t="shared" si="89"/>
        <v>0</v>
      </c>
      <c r="AJ371" s="6" t="str">
        <f t="shared" si="90"/>
        <v xml:space="preserve"> </v>
      </c>
      <c r="AK371" s="21" t="str">
        <f t="shared" si="91"/>
        <v xml:space="preserve"> </v>
      </c>
      <c r="AM371" s="20">
        <f t="shared" si="92"/>
        <v>360</v>
      </c>
      <c r="AN371" s="5">
        <f t="shared" si="93"/>
        <v>0</v>
      </c>
      <c r="AO371" s="5">
        <f t="shared" si="94"/>
        <v>0</v>
      </c>
      <c r="AP371" s="5">
        <f t="shared" si="95"/>
        <v>0</v>
      </c>
      <c r="AQ371" s="5">
        <f>IF(CreditAmort4BASE[[#This Row],[Month]]=AS$8,AO$7,0)</f>
        <v>0</v>
      </c>
      <c r="AR371" s="13">
        <f t="shared" si="96"/>
        <v>0</v>
      </c>
      <c r="AS371" s="6" t="str">
        <f t="shared" si="97"/>
        <v xml:space="preserve"> </v>
      </c>
      <c r="AT371" s="21" t="str">
        <f t="shared" si="98"/>
        <v xml:space="preserve"> </v>
      </c>
    </row>
  </sheetData>
  <sheetProtection algorithmName="SHA-512" hashValue="Vyip3kmT6kyaE7wjMUeWBMzPgCwQk2I/L35POQNb0xFEfPP2By6c7epILhaQVmB0FDMCvzRsfkghZMokDK+oOA==" saltValue="8voXjTylRsdfeuY/2o4EwA==" spinCount="100000" sheet="1" objects="1" scenarios="1"/>
  <mergeCells count="5">
    <mergeCell ref="C6:J6"/>
    <mergeCell ref="L6:S6"/>
    <mergeCell ref="U6:AB6"/>
    <mergeCell ref="AD6:AK6"/>
    <mergeCell ref="AM6:AT6"/>
  </mergeCells>
  <pageMargins left="0.7" right="0.7" top="0.75" bottom="0.75" header="0.3" footer="0.3"/>
  <pageSetup orientation="portrait" r:id="rId1"/>
  <tableParts count="5">
    <tablePart r:id="rId2"/>
    <tablePart r:id="rId3"/>
    <tablePart r:id="rId4"/>
    <tablePart r:id="rId5"/>
    <tablePart r:id="rId6"/>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06CCB-237A-46D3-A0FE-86207BFB961C}">
  <sheetPr>
    <tabColor theme="1"/>
  </sheetPr>
  <dimension ref="A1:AT371"/>
  <sheetViews>
    <sheetView showGridLines="0" zoomScaleNormal="100" workbookViewId="0">
      <selection activeCell="G3" sqref="G3"/>
    </sheetView>
  </sheetViews>
  <sheetFormatPr defaultColWidth="8.86328125" defaultRowHeight="12.4"/>
  <cols>
    <col min="1" max="1" width="2.6640625" style="1" customWidth="1"/>
    <col min="2" max="3" width="8.86328125" style="1"/>
    <col min="4" max="4" width="17.6640625" style="1" customWidth="1"/>
    <col min="5" max="5" width="16.46484375" style="1" bestFit="1" customWidth="1"/>
    <col min="6" max="7" width="16.33203125" style="1" customWidth="1"/>
    <col min="8" max="8" width="13.33203125" style="1" customWidth="1"/>
    <col min="9" max="9" width="12.6640625" style="1" customWidth="1"/>
    <col min="10" max="10" width="12.86328125" style="1" customWidth="1"/>
    <col min="11" max="11" width="4.33203125" style="1" customWidth="1"/>
    <col min="12" max="12" width="8.86328125" style="1"/>
    <col min="13" max="13" width="14.33203125" style="1" customWidth="1"/>
    <col min="14" max="14" width="11.6640625" style="1" customWidth="1"/>
    <col min="15" max="16" width="14.33203125" style="1" customWidth="1"/>
    <col min="17" max="17" width="13.1328125" style="1" bestFit="1" customWidth="1"/>
    <col min="18" max="18" width="12.6640625" style="1" customWidth="1"/>
    <col min="19" max="19" width="12.86328125" style="1" customWidth="1"/>
    <col min="20" max="20" width="5.53125" style="1" customWidth="1"/>
    <col min="21" max="21" width="8.86328125" style="1"/>
    <col min="22" max="22" width="14.6640625" style="1" customWidth="1"/>
    <col min="23" max="23" width="10.6640625" style="1" bestFit="1" customWidth="1"/>
    <col min="24" max="25" width="11.6640625" style="1" customWidth="1"/>
    <col min="26" max="27" width="12.6640625" style="1" customWidth="1"/>
    <col min="28" max="28" width="12.86328125" style="1" customWidth="1"/>
    <col min="29" max="29" width="8.86328125" style="1"/>
    <col min="30" max="30" width="8.86328125" style="1" customWidth="1"/>
    <col min="31" max="31" width="14.6640625" style="1" customWidth="1"/>
    <col min="32" max="32" width="10.6640625" style="1" customWidth="1"/>
    <col min="33" max="34" width="11.6640625" style="1" customWidth="1"/>
    <col min="35" max="36" width="12.6640625" style="1" customWidth="1"/>
    <col min="37" max="37" width="12.86328125" style="1" customWidth="1"/>
    <col min="38" max="38" width="8.86328125" style="1" customWidth="1"/>
    <col min="39" max="39" width="8.86328125" style="1"/>
    <col min="40" max="40" width="14.6640625" style="1" customWidth="1"/>
    <col min="41" max="41" width="10.6640625" style="1" bestFit="1" customWidth="1"/>
    <col min="42" max="43" width="11.6640625" style="1" customWidth="1"/>
    <col min="44" max="45" width="12.6640625" style="1" customWidth="1"/>
    <col min="46" max="46" width="12.86328125" style="1" customWidth="1"/>
    <col min="47" max="16384" width="8.86328125" style="1"/>
  </cols>
  <sheetData>
    <row r="1" spans="1:46" s="232" customFormat="1" ht="18.75" customHeight="1">
      <c r="A1" s="232" t="s">
        <v>320</v>
      </c>
    </row>
    <row r="2" spans="1:46" s="232" customFormat="1" ht="18.75" customHeight="1"/>
    <row r="3" spans="1:46">
      <c r="C3" s="3"/>
    </row>
    <row r="4" spans="1:46">
      <c r="B4" s="2" t="s">
        <v>257</v>
      </c>
      <c r="C4" s="3"/>
    </row>
    <row r="5" spans="1:46">
      <c r="B5" s="1" t="s">
        <v>258</v>
      </c>
      <c r="C5" s="3"/>
    </row>
    <row r="6" spans="1:46">
      <c r="C6" s="278" t="s">
        <v>51</v>
      </c>
      <c r="D6" s="279"/>
      <c r="E6" s="279"/>
      <c r="F6" s="279"/>
      <c r="G6" s="279"/>
      <c r="H6" s="279"/>
      <c r="I6" s="279"/>
      <c r="J6" s="280"/>
      <c r="L6" s="278" t="s">
        <v>266</v>
      </c>
      <c r="M6" s="279"/>
      <c r="N6" s="279"/>
      <c r="O6" s="279"/>
      <c r="P6" s="279"/>
      <c r="Q6" s="279"/>
      <c r="R6" s="279"/>
      <c r="S6" s="280"/>
      <c r="U6" s="278" t="s">
        <v>267</v>
      </c>
      <c r="V6" s="279"/>
      <c r="W6" s="279"/>
      <c r="X6" s="279"/>
      <c r="Y6" s="279"/>
      <c r="Z6" s="279"/>
      <c r="AA6" s="279"/>
      <c r="AB6" s="280"/>
      <c r="AD6" s="278" t="s">
        <v>268</v>
      </c>
      <c r="AE6" s="279"/>
      <c r="AF6" s="279"/>
      <c r="AG6" s="279"/>
      <c r="AH6" s="279"/>
      <c r="AI6" s="279"/>
      <c r="AJ6" s="279"/>
      <c r="AK6" s="280"/>
      <c r="AM6" s="278" t="s">
        <v>269</v>
      </c>
      <c r="AN6" s="279"/>
      <c r="AO6" s="279"/>
      <c r="AP6" s="279"/>
      <c r="AQ6" s="279"/>
      <c r="AR6" s="279"/>
      <c r="AS6" s="279"/>
      <c r="AT6" s="280"/>
    </row>
    <row r="7" spans="1:46">
      <c r="C7" s="8" t="s">
        <v>14</v>
      </c>
      <c r="D7" s="10"/>
      <c r="E7" s="12">
        <f>Inputs!E163*(1-Inputs!E164)</f>
        <v>175000</v>
      </c>
      <c r="F7" s="9" t="s">
        <v>16</v>
      </c>
      <c r="G7" s="9"/>
      <c r="H7" s="10"/>
      <c r="I7" s="10">
        <f>Inputs!E167*12</f>
        <v>300</v>
      </c>
      <c r="J7" s="11"/>
      <c r="L7" s="8" t="s">
        <v>14</v>
      </c>
      <c r="M7" s="10"/>
      <c r="N7" s="12">
        <f>Inputs!$E$170</f>
        <v>0</v>
      </c>
      <c r="O7" s="9" t="s">
        <v>16</v>
      </c>
      <c r="P7" s="9"/>
      <c r="Q7" s="10"/>
      <c r="R7" s="10">
        <f>Inputs!$E$173*12</f>
        <v>0</v>
      </c>
      <c r="S7" s="11"/>
      <c r="U7" s="8" t="s">
        <v>14</v>
      </c>
      <c r="V7" s="10"/>
      <c r="W7" s="12">
        <f>Inputs!$E$176</f>
        <v>0</v>
      </c>
      <c r="X7" s="9" t="s">
        <v>16</v>
      </c>
      <c r="Y7" s="9"/>
      <c r="Z7" s="10"/>
      <c r="AA7" s="10">
        <f>Inputs!$E$179*12</f>
        <v>0</v>
      </c>
      <c r="AB7" s="11"/>
      <c r="AD7" s="8" t="s">
        <v>14</v>
      </c>
      <c r="AE7" s="10"/>
      <c r="AF7" s="12">
        <f>Inputs!$E$182</f>
        <v>0</v>
      </c>
      <c r="AG7" s="9" t="s">
        <v>16</v>
      </c>
      <c r="AH7" s="9"/>
      <c r="AI7" s="10"/>
      <c r="AJ7" s="10">
        <f>Inputs!$E$185*12</f>
        <v>0</v>
      </c>
      <c r="AK7" s="11"/>
      <c r="AM7" s="8" t="s">
        <v>14</v>
      </c>
      <c r="AN7" s="10"/>
      <c r="AO7" s="12">
        <f>Inputs!$E$188</f>
        <v>0</v>
      </c>
      <c r="AP7" s="9" t="s">
        <v>16</v>
      </c>
      <c r="AQ7" s="9"/>
      <c r="AR7" s="10"/>
      <c r="AS7" s="10">
        <f>Inputs!$E$191*12</f>
        <v>0</v>
      </c>
      <c r="AT7" s="11"/>
    </row>
    <row r="8" spans="1:46">
      <c r="C8" s="8" t="s">
        <v>15</v>
      </c>
      <c r="D8" s="10"/>
      <c r="E8" s="27">
        <f>Inputs!E166</f>
        <v>0.08</v>
      </c>
      <c r="F8" s="9" t="s">
        <v>17</v>
      </c>
      <c r="G8" s="9"/>
      <c r="H8" s="10"/>
      <c r="I8" s="10">
        <f>IF(Inputs!E18&lt;&gt;Inputs!E15,IF(AND(Inputs!E13="Existing Business",Inputs!E14="Purchase"),-DATEDIF(Inputs!E18,DATE(Inputs!E15,1,1),"M"),0),0)</f>
        <v>0</v>
      </c>
      <c r="J8" s="11"/>
      <c r="L8" s="8" t="s">
        <v>15</v>
      </c>
      <c r="M8" s="10"/>
      <c r="N8" s="27">
        <f>Inputs!$E$172</f>
        <v>0</v>
      </c>
      <c r="O8" s="9" t="s">
        <v>17</v>
      </c>
      <c r="P8" s="9"/>
      <c r="Q8" s="10"/>
      <c r="R8" s="53">
        <f>Inputs!$E$171</f>
        <v>0</v>
      </c>
      <c r="S8" s="11"/>
      <c r="U8" s="8" t="s">
        <v>15</v>
      </c>
      <c r="V8" s="10"/>
      <c r="W8" s="27">
        <f>Inputs!$E$178</f>
        <v>0</v>
      </c>
      <c r="X8" s="9" t="s">
        <v>17</v>
      </c>
      <c r="Y8" s="9"/>
      <c r="Z8" s="10"/>
      <c r="AA8" s="53">
        <f>Inputs!$E$177</f>
        <v>0</v>
      </c>
      <c r="AB8" s="11"/>
      <c r="AD8" s="8" t="s">
        <v>15</v>
      </c>
      <c r="AE8" s="10"/>
      <c r="AF8" s="27">
        <f>Inputs!$E$184</f>
        <v>0</v>
      </c>
      <c r="AG8" s="9" t="s">
        <v>17</v>
      </c>
      <c r="AH8" s="9"/>
      <c r="AI8" s="10"/>
      <c r="AJ8" s="53">
        <f>Inputs!$E$183</f>
        <v>0</v>
      </c>
      <c r="AK8" s="11"/>
      <c r="AM8" s="8" t="s">
        <v>15</v>
      </c>
      <c r="AN8" s="10"/>
      <c r="AO8" s="27">
        <f>Inputs!$E$190</f>
        <v>0</v>
      </c>
      <c r="AP8" s="9" t="s">
        <v>17</v>
      </c>
      <c r="AQ8" s="9"/>
      <c r="AR8" s="10"/>
      <c r="AS8" s="53">
        <f>Inputs!$E$189</f>
        <v>0</v>
      </c>
      <c r="AT8" s="11"/>
    </row>
    <row r="9" spans="1:46">
      <c r="C9" s="7"/>
      <c r="D9" s="10"/>
      <c r="E9" s="10"/>
      <c r="F9" s="10"/>
      <c r="G9" s="10"/>
      <c r="H9" s="10"/>
      <c r="I9" s="10"/>
      <c r="J9" s="11"/>
      <c r="L9" s="7"/>
      <c r="M9" s="10"/>
      <c r="N9" s="10"/>
      <c r="O9" s="10"/>
      <c r="P9" s="10"/>
      <c r="Q9" s="10"/>
      <c r="R9" s="10"/>
      <c r="S9" s="11"/>
      <c r="U9" s="7"/>
      <c r="V9" s="10"/>
      <c r="W9" s="10"/>
      <c r="X9" s="10"/>
      <c r="Y9" s="10"/>
      <c r="Z9" s="10"/>
      <c r="AA9" s="10"/>
      <c r="AB9" s="11"/>
      <c r="AD9" s="7"/>
      <c r="AE9" s="10"/>
      <c r="AF9" s="10"/>
      <c r="AG9" s="10"/>
      <c r="AH9" s="10"/>
      <c r="AI9" s="10"/>
      <c r="AJ9" s="10"/>
      <c r="AK9" s="11"/>
      <c r="AM9" s="7"/>
      <c r="AN9" s="10"/>
      <c r="AO9" s="10"/>
      <c r="AP9" s="10"/>
      <c r="AQ9" s="10"/>
      <c r="AR9" s="10"/>
      <c r="AS9" s="10"/>
      <c r="AT9" s="11"/>
    </row>
    <row r="10" spans="1:46">
      <c r="C10" s="4" t="s">
        <v>2</v>
      </c>
      <c r="D10" s="4" t="s">
        <v>3</v>
      </c>
      <c r="E10" s="4" t="s">
        <v>4</v>
      </c>
      <c r="F10" s="4" t="s">
        <v>5</v>
      </c>
      <c r="G10" s="4" t="s">
        <v>26</v>
      </c>
      <c r="H10" s="4" t="s">
        <v>6</v>
      </c>
      <c r="I10" s="4" t="s">
        <v>7</v>
      </c>
      <c r="J10" s="4" t="s">
        <v>8</v>
      </c>
      <c r="L10" s="4" t="s">
        <v>2</v>
      </c>
      <c r="M10" s="4" t="s">
        <v>3</v>
      </c>
      <c r="N10" s="4" t="s">
        <v>4</v>
      </c>
      <c r="O10" s="4" t="s">
        <v>5</v>
      </c>
      <c r="P10" s="4" t="s">
        <v>26</v>
      </c>
      <c r="Q10" s="4" t="s">
        <v>6</v>
      </c>
      <c r="R10" s="4" t="s">
        <v>7</v>
      </c>
      <c r="S10" s="4" t="s">
        <v>8</v>
      </c>
      <c r="U10" s="4" t="s">
        <v>2</v>
      </c>
      <c r="V10" s="4" t="s">
        <v>3</v>
      </c>
      <c r="W10" s="4" t="s">
        <v>4</v>
      </c>
      <c r="X10" s="4" t="s">
        <v>5</v>
      </c>
      <c r="Y10" s="4" t="s">
        <v>26</v>
      </c>
      <c r="Z10" s="4" t="s">
        <v>6</v>
      </c>
      <c r="AA10" s="4" t="s">
        <v>7</v>
      </c>
      <c r="AB10" s="4" t="s">
        <v>8</v>
      </c>
      <c r="AD10" s="4" t="s">
        <v>2</v>
      </c>
      <c r="AE10" s="4" t="s">
        <v>3</v>
      </c>
      <c r="AF10" s="4" t="s">
        <v>4</v>
      </c>
      <c r="AG10" s="4" t="s">
        <v>5</v>
      </c>
      <c r="AH10" s="4" t="s">
        <v>26</v>
      </c>
      <c r="AI10" s="4" t="s">
        <v>6</v>
      </c>
      <c r="AJ10" s="4" t="s">
        <v>7</v>
      </c>
      <c r="AK10" s="4" t="s">
        <v>8</v>
      </c>
      <c r="AM10" s="4" t="s">
        <v>2</v>
      </c>
      <c r="AN10" s="4" t="s">
        <v>3</v>
      </c>
      <c r="AO10" s="4" t="s">
        <v>4</v>
      </c>
      <c r="AP10" s="4" t="s">
        <v>5</v>
      </c>
      <c r="AQ10" s="4" t="s">
        <v>26</v>
      </c>
      <c r="AR10" s="4" t="s">
        <v>6</v>
      </c>
      <c r="AS10" s="4" t="s">
        <v>7</v>
      </c>
      <c r="AT10" s="4" t="s">
        <v>8</v>
      </c>
    </row>
    <row r="11" spans="1:46">
      <c r="C11" s="22">
        <f>I8</f>
        <v>0</v>
      </c>
      <c r="D11" s="23"/>
      <c r="E11" s="5"/>
      <c r="F11" s="23"/>
      <c r="G11" s="5">
        <f>IF(MortgageAmortBEST[[#This Row],[Month]]=I$8,E$7,0)</f>
        <v>175000</v>
      </c>
      <c r="H11" s="13">
        <f>E7</f>
        <v>175000</v>
      </c>
      <c r="I11" s="24"/>
      <c r="J11" s="25"/>
      <c r="L11" s="20">
        <f>R8</f>
        <v>0</v>
      </c>
      <c r="M11" s="5"/>
      <c r="N11" s="5"/>
      <c r="O11" s="5"/>
      <c r="P11" s="5">
        <f>IF(CreditAmort1BEST[[#This Row],[Month]]=R$8,N$7,0)</f>
        <v>0</v>
      </c>
      <c r="Q11" s="28">
        <f>N7</f>
        <v>0</v>
      </c>
      <c r="R11" s="6"/>
      <c r="S11" s="21"/>
      <c r="U11" s="20">
        <f>AA8</f>
        <v>0</v>
      </c>
      <c r="V11" s="5"/>
      <c r="W11" s="5"/>
      <c r="X11" s="5"/>
      <c r="Y11" s="5">
        <f>IF(CreditAmort2BEST[[#This Row],[Month]]=AA$8,W$7,0)</f>
        <v>0</v>
      </c>
      <c r="Z11" s="28">
        <f>W7</f>
        <v>0</v>
      </c>
      <c r="AA11" s="6"/>
      <c r="AB11" s="21"/>
      <c r="AD11" s="20">
        <f>AJ8</f>
        <v>0</v>
      </c>
      <c r="AE11" s="5"/>
      <c r="AF11" s="5"/>
      <c r="AG11" s="5"/>
      <c r="AH11" s="5">
        <f>IF(CreditAmort3BEST[[#This Row],[Month]]=AJ$8,AF$7,0)</f>
        <v>0</v>
      </c>
      <c r="AI11" s="28">
        <f>AF7</f>
        <v>0</v>
      </c>
      <c r="AJ11" s="6"/>
      <c r="AK11" s="21"/>
      <c r="AM11" s="20">
        <f>AS8</f>
        <v>0</v>
      </c>
      <c r="AN11" s="5"/>
      <c r="AO11" s="5"/>
      <c r="AP11" s="5"/>
      <c r="AQ11" s="5">
        <f>IF(CreditAmort4BEST[[#This Row],[Month]]=AS$8,AO$7,0)</f>
        <v>0</v>
      </c>
      <c r="AR11" s="28">
        <f>AO7</f>
        <v>0</v>
      </c>
      <c r="AS11" s="6"/>
      <c r="AT11" s="21"/>
    </row>
    <row r="12" spans="1:46">
      <c r="C12" s="22">
        <f>C11+1</f>
        <v>1</v>
      </c>
      <c r="D12" s="23">
        <f>IF(AND(C12&gt;='Amort. Sched.-BEST'!$I$8, C12&lt;= ($I$7+$I$8)),PMT('Amort. Sched.-BEST'!$E$8/12, 'Amort. Sched.-BEST'!$I$7, 'Amort. Sched.-BEST'!$E$7), 0)</f>
        <v>-1350.6783839027553</v>
      </c>
      <c r="E12" s="5">
        <f>IF(AND(C12&gt;='Amort. Sched.-BEST'!$I$8, C12&lt;= ($I$7+$I$8)), (IPMT($E$8/12, (C12-$I$8), $I$7, $E$7)), 0)</f>
        <v>-1166.6666666666667</v>
      </c>
      <c r="F12" s="23">
        <f>IF(AND(C12&gt;='Amort. Sched.-BEST'!$I$8, C12&lt;= ($I$7+$I$8)), (PPMT($E$8/12, (C12-$I$8), $I$7, $E$7)), 0)</f>
        <v>-184.01171723608857</v>
      </c>
      <c r="G12" s="5">
        <f>IF(MortgageAmortBEST[[#This Row],[Month]]=I$8,E$7,0)</f>
        <v>0</v>
      </c>
      <c r="H12" s="13">
        <f>IF(AND(C12&gt;='Amort. Sched.-BEST'!$I$8, C12&lt;= ($I$7+$I$8)), H11+F12, 0)</f>
        <v>174815.98828276392</v>
      </c>
      <c r="I12" s="24">
        <f>IF(AND(C12&gt;='Amort. Sched.-BEST'!$I$8, C12&lt;= ($I$7+$I$8)), E12/D12, " ")</f>
        <v>0.86376348401727521</v>
      </c>
      <c r="J12" s="25">
        <f>IF(AND(C12&gt;='Amort. Sched.-BEST'!$I$8, C12&lt;= ($I$7+$I$8)), F12/D12, " ")</f>
        <v>0.13623651598272477</v>
      </c>
      <c r="L12" s="20">
        <f t="shared" ref="L12:L75" si="0">L11+1</f>
        <v>1</v>
      </c>
      <c r="M12" s="5">
        <f>IF(AND(L12&gt;='Amort. Sched.-BEST'!$R$8, L12&lt;= ($R$7+$R$8)), PMT('Amort. Sched.-BEST'!$N$8/12, 'Amort. Sched.-BEST'!$R$7, 'Amort. Sched.-BEST'!$N$7), 0)</f>
        <v>0</v>
      </c>
      <c r="N12" s="5">
        <f>IF(AND(L12&gt;='Amort. Sched.-BEST'!$R$8, L12&lt;= ($R$7+$R$8)), (IPMT($N$8/12, (L12-$R$8), $R$7, $N$7)), 0)</f>
        <v>0</v>
      </c>
      <c r="O12" s="5">
        <f>IF(AND(L12&gt;='Amort. Sched.-BEST'!$R$8, L12&lt;= ($R$7+$R$8)), (PPMT($N$8/12, (L12-$R$8), $R$7, $N$7)), 0)</f>
        <v>0</v>
      </c>
      <c r="P12" s="5">
        <f>IF(CreditAmort1BEST[[#This Row],[Month]]=R$8,N$7,0)</f>
        <v>0</v>
      </c>
      <c r="Q12" s="13">
        <f>IF(AND(L12&gt;='Amort. Sched.-BEST'!$R$8, L12&lt;= ($R$7+$R$8)), Q11+O12, 0)</f>
        <v>0</v>
      </c>
      <c r="R12" s="6" t="str">
        <f>IF(AND(L12&gt;='Amort. Sched.-BEST'!$R$8, L12&lt;= ($R$7+$R$8)), N12/M12, " ")</f>
        <v xml:space="preserve"> </v>
      </c>
      <c r="S12" s="21" t="str">
        <f>IF(AND(L12&gt;='Amort. Sched.-BEST'!$R$8, L12&lt;= ($R$7+$R$8)), O12/M12, " ")</f>
        <v xml:space="preserve"> </v>
      </c>
      <c r="U12" s="20">
        <f>U11+1</f>
        <v>1</v>
      </c>
      <c r="V12" s="5">
        <f>IF(AND(U12&gt;='Amort. Sched.-BEST'!$AA$8, U12&lt;= ($AA$7+$AA$8)), PMT('Amort. Sched.-BEST'!$W$8/12, 'Amort. Sched.-BEST'!$AA$7, 'Amort. Sched.-BEST'!$W$7), 0)</f>
        <v>0</v>
      </c>
      <c r="W12" s="5">
        <f>IF(AND(U12&gt;='Amort. Sched.-BEST'!$AA$8, U12&lt;= ($AA$7+$AA$8)), (IPMT($W$8/12, (U12-$AA$8), $AA$7, $W$7)), 0)</f>
        <v>0</v>
      </c>
      <c r="X12" s="5">
        <f>IF(AND(U12&gt;='Amort. Sched.-BEST'!$AA$8, U12&lt;= ($AA$7+$AA$8)), (PPMT($W$8/12, (U12-$AA$8), $AA$7, $W$7)), 0)</f>
        <v>0</v>
      </c>
      <c r="Y12" s="5">
        <f>IF(CreditAmort2BEST[[#This Row],[Month]]=AA$8,W$7,0)</f>
        <v>0</v>
      </c>
      <c r="Z12" s="13">
        <f>IF(AND(U12&gt;='Amort. Sched.-BEST'!$AA$8, U12&lt;= ($AA$7+$AA$8)), Z11+X12, 0)</f>
        <v>0</v>
      </c>
      <c r="AA12" s="6" t="str">
        <f>IF(AND(U12&gt;='Amort. Sched.-BEST'!$AA$8, U12&lt;= ($AA$7+$AA$8)), W12/V12, " ")</f>
        <v xml:space="preserve"> </v>
      </c>
      <c r="AB12" s="21" t="str">
        <f>IF(AND(U12&gt;='Amort. Sched.-BEST'!$AA$8, U12&lt;= ($AA$7+$AA$8)), X12/V12, " ")</f>
        <v xml:space="preserve"> </v>
      </c>
      <c r="AD12" s="20">
        <f>AD11+1</f>
        <v>1</v>
      </c>
      <c r="AE12" s="5">
        <f>IF(AND(AD12&gt;=$AJ$8, AD12&lt;= ($AJ$7+$AJ$8)), PMT($AF$8/12, $AJ$7, $AF$7), 0)</f>
        <v>0</v>
      </c>
      <c r="AF12" s="5">
        <f>IF(AND(AD12&gt;=$AJ$8, AD12&lt;= ($AJ$7+$AJ$8)), (IPMT($AF$8/12, (AD12-$AJ$8), $AJ$7, $AF$7)), 0)</f>
        <v>0</v>
      </c>
      <c r="AG12" s="5">
        <f>IF(AND(AD12&gt;=$AJ$8, AD12&lt;= ($AJ$7+$AJ$8)), (PPMT($AF$8/12, (AD12-$AJ$8), $AJ$7, $AF$7)), 0)</f>
        <v>0</v>
      </c>
      <c r="AH12" s="5">
        <f>IF(CreditAmort3BEST[[#This Row],[Month]]=AJ$8,AF$7,0)</f>
        <v>0</v>
      </c>
      <c r="AI12" s="13">
        <f>IF(AND(AD12&gt;=$AJ$8, AD12&lt;= ($AJ$7+$AJ$8)), AI11+AG12, 0)</f>
        <v>0</v>
      </c>
      <c r="AJ12" s="6" t="str">
        <f>IF(AND(AD12&gt;=$AJ$8, AD12&lt;= ($AJ$7+$AJ$8)), AF12/AE12, " ")</f>
        <v xml:space="preserve"> </v>
      </c>
      <c r="AK12" s="21" t="str">
        <f>IF(AND(AD12&gt;=$AJ$8, AD12&lt;= ($AJ$7+$AJ$8)), AG12/AE12, " ")</f>
        <v xml:space="preserve"> </v>
      </c>
      <c r="AM12" s="20">
        <f>AM11+1</f>
        <v>1</v>
      </c>
      <c r="AN12" s="5">
        <f>IF(AND(AM12&gt;=$AS$8, AM12&lt;= ($AS$7+$AS$8)), PMT($AO$8/12, $AS$7, $AO$7), 0)</f>
        <v>0</v>
      </c>
      <c r="AO12" s="5">
        <f>IF(AND(AM12&gt;=$AS$8, AM12&lt;= ($AS$7+$AS$8)), (IPMT($AO$8/12, (AM12-$AS$8), $AS$7, $AO$7)), 0)</f>
        <v>0</v>
      </c>
      <c r="AP12" s="5">
        <f>IF(AND(AM12&gt;=$AS$8, AM12&lt;= ($AS$7+$AS$8)), (PPMT($AO$8/12, (AM12-$AS$8), $AS$7, $AO$7)), 0)</f>
        <v>0</v>
      </c>
      <c r="AQ12" s="5">
        <f>IF(CreditAmort4BEST[[#This Row],[Month]]=AS$8,AO$7,0)</f>
        <v>0</v>
      </c>
      <c r="AR12" s="13">
        <f>IF(AND(AM12&gt;=$AS$8, AM12&lt;= ($AS$7+$AS$8)), AR11+AP12, 0)</f>
        <v>0</v>
      </c>
      <c r="AS12" s="6" t="str">
        <f>IF(AND(AM12&gt;=$AS$8, AM12&lt;= ($AS$7+$AS$8)), AO12/AN12, " ")</f>
        <v xml:space="preserve"> </v>
      </c>
      <c r="AT12" s="21" t="str">
        <f>IF(AND(AM12&gt;=$AS$8, AM12&lt;= ($AS$7+$AS$8)), AP12/AN12, " ")</f>
        <v xml:space="preserve"> </v>
      </c>
    </row>
    <row r="13" spans="1:46">
      <c r="C13" s="22">
        <f t="shared" ref="C13:C76" si="1">C12+1</f>
        <v>2</v>
      </c>
      <c r="D13" s="23">
        <f>IF(AND(C13&gt;='Amort. Sched.-BEST'!$I$8, C13&lt;= ($I$7+$I$8)), PMT('Amort. Sched.-BEST'!$E$8/12, 'Amort. Sched.-BEST'!$I$7, 'Amort. Sched.-BEST'!$E$7), 0)</f>
        <v>-1350.6783839027553</v>
      </c>
      <c r="E13" s="5">
        <f>IF(AND(C13&gt;='Amort. Sched.-BEST'!$I$8, C13&lt;= ($I$7+$I$8)), (IPMT($E$8/12, (C13-$I$8), $I$7, $E$7)), 0)</f>
        <v>-1165.4399218850929</v>
      </c>
      <c r="F13" s="23">
        <f>IF(AND(C13&gt;='Amort. Sched.-BEST'!$I$8, C13&lt;= ($I$7+$I$8)), (PPMT($E$8/12, (C13-$I$8), $I$7, $E$7)), 0)</f>
        <v>-185.2384620176625</v>
      </c>
      <c r="G13" s="5">
        <f>IF(MortgageAmortBEST[[#This Row],[Month]]=I$8,E$7,0)</f>
        <v>0</v>
      </c>
      <c r="H13" s="13">
        <f>IF(AND(C13&gt;='Amort. Sched.-BEST'!$I$8, C13&lt;= ($I$7+$I$8)), H12+F13, 0)</f>
        <v>174630.74982074625</v>
      </c>
      <c r="I13" s="24">
        <f>IF(AND(C13&gt;='Amort. Sched.-BEST'!$I$8, C13&lt;= ($I$7+$I$8)), E13/D13, " ")</f>
        <v>0.86285524057739049</v>
      </c>
      <c r="J13" s="25">
        <f>IF(AND(C13&gt;='Amort. Sched.-BEST'!$I$8, C13&lt;= ($I$7+$I$8)), F13/D13, " ")</f>
        <v>0.13714475942260959</v>
      </c>
      <c r="L13" s="20">
        <f t="shared" si="0"/>
        <v>2</v>
      </c>
      <c r="M13" s="5">
        <f>IF(AND(L13&gt;='Amort. Sched.-BEST'!$R$8, L13&lt;= ($R$7+$R$8)), PMT('Amort. Sched.-BEST'!$N$8/12, 'Amort. Sched.-BEST'!$R$7, 'Amort. Sched.-BEST'!$N$7), 0)</f>
        <v>0</v>
      </c>
      <c r="N13" s="5">
        <f>IF(AND(L13&gt;='Amort. Sched.-BEST'!$R$8, L13&lt;= ($R$7+$R$8)), (IPMT($N$8/12, (L13-$R$8), $R$7, $N$7)), 0)</f>
        <v>0</v>
      </c>
      <c r="O13" s="5">
        <f>IF(AND(L13&gt;='Amort. Sched.-BEST'!$R$8, L13&lt;= ($R$7+$R$8)), (PPMT($N$8/12, (L13-$R$8), $R$7, $N$7)), 0)</f>
        <v>0</v>
      </c>
      <c r="P13" s="5">
        <f>IF(CreditAmort1BEST[[#This Row],[Month]]=R$8,N$7,0)</f>
        <v>0</v>
      </c>
      <c r="Q13" s="13">
        <f>IF(AND(L13&gt;='Amort. Sched.-BEST'!$R$8, L13&lt;= ($R$7+$R$8)), Q12+O13, 0)</f>
        <v>0</v>
      </c>
      <c r="R13" s="6" t="str">
        <f>IF(AND(L13&gt;='Amort. Sched.-BEST'!$R$8, L13&lt;= ($R$7+$R$8)), N13/M13, " ")</f>
        <v xml:space="preserve"> </v>
      </c>
      <c r="S13" s="21" t="str">
        <f>IF(AND(L13&gt;='Amort. Sched.-BEST'!$R$8, L13&lt;= ($R$7+$R$8)), O13/M13, " ")</f>
        <v xml:space="preserve"> </v>
      </c>
      <c r="U13" s="20">
        <f t="shared" ref="U13:U76" si="2">U12+1</f>
        <v>2</v>
      </c>
      <c r="V13" s="5">
        <f>IF(AND(U13&gt;='Amort. Sched.-BEST'!$AA$8, U13&lt;= ($AA$7+$AA$8)), PMT('Amort. Sched.-BEST'!$W$8/12, 'Amort. Sched.-BEST'!$AA$7, 'Amort. Sched.-BEST'!$W$7), 0)</f>
        <v>0</v>
      </c>
      <c r="W13" s="5">
        <f>IF(AND(U13&gt;='Amort. Sched.-BEST'!$AA$8, U13&lt;= ($AA$7+$AA$8)), (IPMT($W$8/12, (U13-$AA$8), $AA$7, $W$7)), 0)</f>
        <v>0</v>
      </c>
      <c r="X13" s="5">
        <f>IF(AND(U13&gt;='Amort. Sched.-BEST'!$AA$8, U13&lt;= ($AA$7+$AA$8)), (PPMT($W$8/12, (U13-$AA$8), $AA$7, $W$7)), 0)</f>
        <v>0</v>
      </c>
      <c r="Y13" s="5">
        <f>IF(CreditAmort2BEST[[#This Row],[Month]]=AA$8,W$7,0)</f>
        <v>0</v>
      </c>
      <c r="Z13" s="13">
        <f>IF(AND(U13&gt;='Amort. Sched.-BEST'!$AA$8, U13&lt;= ($AA$7+$AA$8)), Z12+X13, 0)</f>
        <v>0</v>
      </c>
      <c r="AA13" s="6" t="str">
        <f>IF(AND(U13&gt;='Amort. Sched.-BEST'!$AA$8, U13&lt;= ($AA$7+$AA$8)), W13/V13, " ")</f>
        <v xml:space="preserve"> </v>
      </c>
      <c r="AB13" s="21" t="str">
        <f>IF(AND(U13&gt;='Amort. Sched.-BEST'!$AA$8, U13&lt;= ($AA$7+$AA$8)), X13/V13, " ")</f>
        <v xml:space="preserve"> </v>
      </c>
      <c r="AD13" s="20">
        <f t="shared" ref="AD13:AD76" si="3">AD12+1</f>
        <v>2</v>
      </c>
      <c r="AE13" s="5">
        <f t="shared" ref="AE13:AE76" si="4">IF(AND(AD13&gt;=$AJ$8, AD13&lt;= ($AJ$7+$AJ$8)), PMT($AF$8/12, $AJ$7, $AF$7), 0)</f>
        <v>0</v>
      </c>
      <c r="AF13" s="5">
        <f t="shared" ref="AF13:AF76" si="5">IF(AND(AD13&gt;=$AJ$8, AD13&lt;= ($AJ$7+$AJ$8)), (IPMT($AF$8/12, (AD13-$AJ$8), $AJ$7, $AF$7)), 0)</f>
        <v>0</v>
      </c>
      <c r="AG13" s="5">
        <f t="shared" ref="AG13:AG76" si="6">IF(AND(AD13&gt;=$AJ$8, AD13&lt;= ($AJ$7+$AJ$8)), (PPMT($AF$8/12, (AD13-$AJ$8), $AJ$7, $AF$7)), 0)</f>
        <v>0</v>
      </c>
      <c r="AH13" s="5">
        <f>IF(CreditAmort3BEST[[#This Row],[Month]]=AJ$8,AF$7,0)</f>
        <v>0</v>
      </c>
      <c r="AI13" s="13">
        <f t="shared" ref="AI13:AI76" si="7">IF(AND(AD13&gt;=$AJ$8, AD13&lt;= ($AJ$7+$AJ$8)), AI12+AG13, 0)</f>
        <v>0</v>
      </c>
      <c r="AJ13" s="6" t="str">
        <f t="shared" ref="AJ13:AJ76" si="8">IF(AND(AD13&gt;=$AJ$8, AD13&lt;= ($AJ$7+$AJ$8)), AF13/AE13, " ")</f>
        <v xml:space="preserve"> </v>
      </c>
      <c r="AK13" s="21" t="str">
        <f t="shared" ref="AK13:AK76" si="9">IF(AND(AD13&gt;=$AJ$8, AD13&lt;= ($AJ$7+$AJ$8)), AG13/AE13, " ")</f>
        <v xml:space="preserve"> </v>
      </c>
      <c r="AM13" s="20">
        <f t="shared" ref="AM13:AM76" si="10">AM12+1</f>
        <v>2</v>
      </c>
      <c r="AN13" s="5">
        <f t="shared" ref="AN13:AN76" si="11">IF(AND(AM13&gt;=$AS$8, AM13&lt;= ($AS$7+$AS$8)), PMT($AO$8/12, $AS$7, $AO$7), 0)</f>
        <v>0</v>
      </c>
      <c r="AO13" s="5">
        <f t="shared" ref="AO13:AO76" si="12">IF(AND(AM13&gt;=$AS$8, AM13&lt;= ($AS$7+$AS$8)), (IPMT($AO$8/12, (AM13-$AS$8), $AS$7, $AO$7)), 0)</f>
        <v>0</v>
      </c>
      <c r="AP13" s="5">
        <f t="shared" ref="AP13:AP76" si="13">IF(AND(AM13&gt;=$AS$8, AM13&lt;= ($AS$7+$AS$8)), (PPMT($AO$8/12, (AM13-$AS$8), $AS$7, $AO$7)), 0)</f>
        <v>0</v>
      </c>
      <c r="AQ13" s="5">
        <f>IF(CreditAmort4BEST[[#This Row],[Month]]=AS$8,AO$7,0)</f>
        <v>0</v>
      </c>
      <c r="AR13" s="13">
        <f t="shared" ref="AR13:AR76" si="14">IF(AND(AM13&gt;=$AS$8, AM13&lt;= ($AS$7+$AS$8)), AR12+AP13, 0)</f>
        <v>0</v>
      </c>
      <c r="AS13" s="6" t="str">
        <f t="shared" ref="AS13:AS76" si="15">IF(AND(AM13&gt;=$AS$8, AM13&lt;= ($AS$7+$AS$8)), AO13/AN13, " ")</f>
        <v xml:space="preserve"> </v>
      </c>
      <c r="AT13" s="21" t="str">
        <f t="shared" ref="AT13:AT76" si="16">IF(AND(AM13&gt;=$AS$8, AM13&lt;= ($AS$7+$AS$8)), AP13/AN13, " ")</f>
        <v xml:space="preserve"> </v>
      </c>
    </row>
    <row r="14" spans="1:46">
      <c r="C14" s="22">
        <f t="shared" si="1"/>
        <v>3</v>
      </c>
      <c r="D14" s="23">
        <f>IF(AND(C14&gt;='Amort. Sched.-BEST'!$I$8, C14&lt;= ($I$7+$I$8)), PMT('Amort. Sched.-BEST'!$E$8/12, 'Amort. Sched.-BEST'!$I$7, 'Amort. Sched.-BEST'!$E$7), 0)</f>
        <v>-1350.6783839027553</v>
      </c>
      <c r="E14" s="5">
        <f>IF(AND(C14&gt;='Amort. Sched.-BEST'!$I$8, C14&lt;= ($I$7+$I$8)), (IPMT($E$8/12, (C14-$I$8), $I$7, $E$7)), 0)</f>
        <v>-1164.204998804975</v>
      </c>
      <c r="F14" s="23">
        <f>IF(AND(C14&gt;='Amort. Sched.-BEST'!$I$8, C14&lt;= ($I$7+$I$8)), (PPMT($E$8/12, (C14-$I$8), $I$7, $E$7)), 0)</f>
        <v>-186.47338509778027</v>
      </c>
      <c r="G14" s="5">
        <f>IF(MortgageAmortBEST[[#This Row],[Month]]=I$8,E$7,0)</f>
        <v>0</v>
      </c>
      <c r="H14" s="13">
        <f>IF(AND(C14&gt;='Amort. Sched.-BEST'!$I$8, C14&lt;= ($I$7+$I$8)), H13+F14, 0)</f>
        <v>174444.27643564847</v>
      </c>
      <c r="I14" s="24">
        <f>IF(AND(C14&gt;='Amort. Sched.-BEST'!$I$8, C14&lt;= ($I$7+$I$8)), E14/D14, " ")</f>
        <v>0.86194094218123973</v>
      </c>
      <c r="J14" s="25">
        <f>IF(AND(C14&gt;='Amort. Sched.-BEST'!$I$8, C14&lt;= ($I$7+$I$8)), F14/D14, " ")</f>
        <v>0.13805905781876035</v>
      </c>
      <c r="L14" s="20">
        <f t="shared" si="0"/>
        <v>3</v>
      </c>
      <c r="M14" s="5">
        <f>IF(AND(L14&gt;='Amort. Sched.-BEST'!$R$8, L14&lt;= ($R$7+$R$8)), PMT('Amort. Sched.-BEST'!$N$8/12, 'Amort. Sched.-BEST'!$R$7, 'Amort. Sched.-BEST'!$N$7), 0)</f>
        <v>0</v>
      </c>
      <c r="N14" s="5">
        <f>IF(AND(L14&gt;='Amort. Sched.-BEST'!$R$8, L14&lt;= ($R$7+$R$8)), (IPMT($N$8/12, (L14-$R$8), $R$7, $N$7)), 0)</f>
        <v>0</v>
      </c>
      <c r="O14" s="5">
        <f>IF(AND(L14&gt;='Amort. Sched.-BEST'!$R$8, L14&lt;= ($R$7+$R$8)), (PPMT($N$8/12, (L14-$R$8), $R$7, $N$7)), 0)</f>
        <v>0</v>
      </c>
      <c r="P14" s="5">
        <f>IF(CreditAmort1BEST[[#This Row],[Month]]=R$8,N$7,0)</f>
        <v>0</v>
      </c>
      <c r="Q14" s="13">
        <f>IF(AND(L14&gt;='Amort. Sched.-BEST'!$R$8, L14&lt;= ($R$7+$R$8)), Q13+O14, 0)</f>
        <v>0</v>
      </c>
      <c r="R14" s="6" t="str">
        <f>IF(AND(L14&gt;='Amort. Sched.-BEST'!$R$8, L14&lt;= ($R$7+$R$8)), N14/M14, " ")</f>
        <v xml:space="preserve"> </v>
      </c>
      <c r="S14" s="21" t="str">
        <f>IF(AND(L14&gt;='Amort. Sched.-BEST'!$R$8, L14&lt;= ($R$7+$R$8)), O14/M14, " ")</f>
        <v xml:space="preserve"> </v>
      </c>
      <c r="U14" s="20">
        <f t="shared" si="2"/>
        <v>3</v>
      </c>
      <c r="V14" s="5">
        <f>IF(AND(U14&gt;='Amort. Sched.-BEST'!$AA$8, U14&lt;= ($AA$7+$AA$8)), PMT('Amort. Sched.-BEST'!$W$8/12, 'Amort. Sched.-BEST'!$AA$7, 'Amort. Sched.-BEST'!$W$7), 0)</f>
        <v>0</v>
      </c>
      <c r="W14" s="5">
        <f>IF(AND(U14&gt;='Amort. Sched.-BEST'!$AA$8, U14&lt;= ($AA$7+$AA$8)), (IPMT($W$8/12, (U14-$AA$8), $AA$7, $W$7)), 0)</f>
        <v>0</v>
      </c>
      <c r="X14" s="5">
        <f>IF(AND(U14&gt;='Amort. Sched.-BEST'!$AA$8, U14&lt;= ($AA$7+$AA$8)), (PPMT($W$8/12, (U14-$AA$8), $AA$7, $W$7)), 0)</f>
        <v>0</v>
      </c>
      <c r="Y14" s="5">
        <f>IF(CreditAmort2BEST[[#This Row],[Month]]=AA$8,W$7,0)</f>
        <v>0</v>
      </c>
      <c r="Z14" s="13">
        <f>IF(AND(U14&gt;='Amort. Sched.-BEST'!$AA$8, U14&lt;= ($AA$7+$AA$8)), Z13+X14, 0)</f>
        <v>0</v>
      </c>
      <c r="AA14" s="6" t="str">
        <f>IF(AND(U14&gt;='Amort. Sched.-BEST'!$AA$8, U14&lt;= ($AA$7+$AA$8)), W14/V14, " ")</f>
        <v xml:space="preserve"> </v>
      </c>
      <c r="AB14" s="21" t="str">
        <f>IF(AND(U14&gt;='Amort. Sched.-BEST'!$AA$8, U14&lt;= ($AA$7+$AA$8)), X14/V14, " ")</f>
        <v xml:space="preserve"> </v>
      </c>
      <c r="AD14" s="20">
        <f t="shared" si="3"/>
        <v>3</v>
      </c>
      <c r="AE14" s="5">
        <f t="shared" si="4"/>
        <v>0</v>
      </c>
      <c r="AF14" s="5">
        <f t="shared" si="5"/>
        <v>0</v>
      </c>
      <c r="AG14" s="5">
        <f t="shared" si="6"/>
        <v>0</v>
      </c>
      <c r="AH14" s="5">
        <f>IF(CreditAmort3BEST[[#This Row],[Month]]=AJ$8,AF$7,0)</f>
        <v>0</v>
      </c>
      <c r="AI14" s="13">
        <f t="shared" si="7"/>
        <v>0</v>
      </c>
      <c r="AJ14" s="6" t="str">
        <f t="shared" si="8"/>
        <v xml:space="preserve"> </v>
      </c>
      <c r="AK14" s="21" t="str">
        <f t="shared" si="9"/>
        <v xml:space="preserve"> </v>
      </c>
      <c r="AM14" s="20">
        <f t="shared" si="10"/>
        <v>3</v>
      </c>
      <c r="AN14" s="5">
        <f t="shared" si="11"/>
        <v>0</v>
      </c>
      <c r="AO14" s="5">
        <f t="shared" si="12"/>
        <v>0</v>
      </c>
      <c r="AP14" s="5">
        <f t="shared" si="13"/>
        <v>0</v>
      </c>
      <c r="AQ14" s="5">
        <f>IF(CreditAmort4BEST[[#This Row],[Month]]=AS$8,AO$7,0)</f>
        <v>0</v>
      </c>
      <c r="AR14" s="13">
        <f t="shared" si="14"/>
        <v>0</v>
      </c>
      <c r="AS14" s="6" t="str">
        <f t="shared" si="15"/>
        <v xml:space="preserve"> </v>
      </c>
      <c r="AT14" s="21" t="str">
        <f t="shared" si="16"/>
        <v xml:space="preserve"> </v>
      </c>
    </row>
    <row r="15" spans="1:46">
      <c r="C15" s="22">
        <f t="shared" si="1"/>
        <v>4</v>
      </c>
      <c r="D15" s="23">
        <f>IF(AND(C15&gt;='Amort. Sched.-BEST'!$I$8, C15&lt;= ($I$7+$I$8)), PMT('Amort. Sched.-BEST'!$E$8/12, 'Amort. Sched.-BEST'!$I$7, 'Amort. Sched.-BEST'!$E$7), 0)</f>
        <v>-1350.6783839027553</v>
      </c>
      <c r="E15" s="5">
        <f>IF(AND(C15&gt;='Amort. Sched.-BEST'!$I$8, C15&lt;= ($I$7+$I$8)), (IPMT($E$8/12, (C15-$I$8), $I$7, $E$7)), 0)</f>
        <v>-1162.9618429043232</v>
      </c>
      <c r="F15" s="23">
        <f>IF(AND(C15&gt;='Amort. Sched.-BEST'!$I$8, C15&lt;= ($I$7+$I$8)), (PPMT($E$8/12, (C15-$I$8), $I$7, $E$7)), 0)</f>
        <v>-187.71654099843215</v>
      </c>
      <c r="G15" s="5">
        <f>IF(MortgageAmortBEST[[#This Row],[Month]]=I$8,E$7,0)</f>
        <v>0</v>
      </c>
      <c r="H15" s="13">
        <f>IF(AND(C15&gt;='Amort. Sched.-BEST'!$I$8, C15&lt;= ($I$7+$I$8)), H14+F15, 0)</f>
        <v>174256.55989465004</v>
      </c>
      <c r="I15" s="24">
        <f>IF(AND(C15&gt;='Amort. Sched.-BEST'!$I$8, C15&lt;= ($I$7+$I$8)), E15/D15, " ")</f>
        <v>0.86102054846244802</v>
      </c>
      <c r="J15" s="25">
        <f>IF(AND(C15&gt;='Amort. Sched.-BEST'!$I$8, C15&lt;= ($I$7+$I$8)), F15/D15, " ")</f>
        <v>0.13897945153755209</v>
      </c>
      <c r="L15" s="20">
        <f t="shared" si="0"/>
        <v>4</v>
      </c>
      <c r="M15" s="5">
        <f>IF(AND(L15&gt;='Amort. Sched.-BEST'!$R$8, L15&lt;= ($R$7+$R$8)), PMT('Amort. Sched.-BEST'!$N$8/12, 'Amort. Sched.-BEST'!$R$7, 'Amort. Sched.-BEST'!$N$7), 0)</f>
        <v>0</v>
      </c>
      <c r="N15" s="5">
        <f>IF(AND(L15&gt;='Amort. Sched.-BEST'!$R$8, L15&lt;= ($R$7+$R$8)), (IPMT($N$8/12, (L15-$R$8), $R$7, $N$7)), 0)</f>
        <v>0</v>
      </c>
      <c r="O15" s="5">
        <f>IF(AND(L15&gt;='Amort. Sched.-BEST'!$R$8, L15&lt;= ($R$7+$R$8)), (PPMT($N$8/12, (L15-$R$8), $R$7, $N$7)), 0)</f>
        <v>0</v>
      </c>
      <c r="P15" s="5">
        <f>IF(CreditAmort1BEST[[#This Row],[Month]]=R$8,N$7,0)</f>
        <v>0</v>
      </c>
      <c r="Q15" s="13">
        <f>IF(AND(L15&gt;='Amort. Sched.-BEST'!$R$8, L15&lt;= ($R$7+$R$8)), Q14+O15, 0)</f>
        <v>0</v>
      </c>
      <c r="R15" s="6" t="str">
        <f>IF(AND(L15&gt;='Amort. Sched.-BEST'!$R$8, L15&lt;= ($R$7+$R$8)), N15/M15, " ")</f>
        <v xml:space="preserve"> </v>
      </c>
      <c r="S15" s="21" t="str">
        <f>IF(AND(L15&gt;='Amort. Sched.-BEST'!$R$8, L15&lt;= ($R$7+$R$8)), O15/M15, " ")</f>
        <v xml:space="preserve"> </v>
      </c>
      <c r="U15" s="20">
        <f t="shared" si="2"/>
        <v>4</v>
      </c>
      <c r="V15" s="5">
        <f>IF(AND(U15&gt;='Amort. Sched.-BEST'!$AA$8, U15&lt;= ($AA$7+$AA$8)), PMT('Amort. Sched.-BEST'!$W$8/12, 'Amort. Sched.-BEST'!$AA$7, 'Amort. Sched.-BEST'!$W$7), 0)</f>
        <v>0</v>
      </c>
      <c r="W15" s="5">
        <f>IF(AND(U15&gt;='Amort. Sched.-BEST'!$AA$8, U15&lt;= ($AA$7+$AA$8)), (IPMT($W$8/12, (U15-$AA$8), $AA$7, $W$7)), 0)</f>
        <v>0</v>
      </c>
      <c r="X15" s="5">
        <f>IF(AND(U15&gt;='Amort. Sched.-BEST'!$AA$8, U15&lt;= ($AA$7+$AA$8)), (PPMT($W$8/12, (U15-$AA$8), $AA$7, $W$7)), 0)</f>
        <v>0</v>
      </c>
      <c r="Y15" s="5">
        <f>IF(CreditAmort2BEST[[#This Row],[Month]]=AA$8,W$7,0)</f>
        <v>0</v>
      </c>
      <c r="Z15" s="13">
        <f>IF(AND(U15&gt;='Amort. Sched.-BEST'!$AA$8, U15&lt;= ($AA$7+$AA$8)), Z14+X15, 0)</f>
        <v>0</v>
      </c>
      <c r="AA15" s="6" t="str">
        <f>IF(AND(U15&gt;='Amort. Sched.-BEST'!$AA$8, U15&lt;= ($AA$7+$AA$8)), W15/V15, " ")</f>
        <v xml:space="preserve"> </v>
      </c>
      <c r="AB15" s="21" t="str">
        <f>IF(AND(U15&gt;='Amort. Sched.-BEST'!$AA$8, U15&lt;= ($AA$7+$AA$8)), X15/V15, " ")</f>
        <v xml:space="preserve"> </v>
      </c>
      <c r="AD15" s="20">
        <f t="shared" si="3"/>
        <v>4</v>
      </c>
      <c r="AE15" s="5">
        <f t="shared" si="4"/>
        <v>0</v>
      </c>
      <c r="AF15" s="5">
        <f t="shared" si="5"/>
        <v>0</v>
      </c>
      <c r="AG15" s="5">
        <f t="shared" si="6"/>
        <v>0</v>
      </c>
      <c r="AH15" s="5">
        <f>IF(CreditAmort3BEST[[#This Row],[Month]]=AJ$8,AF$7,0)</f>
        <v>0</v>
      </c>
      <c r="AI15" s="13">
        <f t="shared" si="7"/>
        <v>0</v>
      </c>
      <c r="AJ15" s="6" t="str">
        <f t="shared" si="8"/>
        <v xml:space="preserve"> </v>
      </c>
      <c r="AK15" s="21" t="str">
        <f t="shared" si="9"/>
        <v xml:space="preserve"> </v>
      </c>
      <c r="AM15" s="20">
        <f t="shared" si="10"/>
        <v>4</v>
      </c>
      <c r="AN15" s="5">
        <f t="shared" si="11"/>
        <v>0</v>
      </c>
      <c r="AO15" s="5">
        <f t="shared" si="12"/>
        <v>0</v>
      </c>
      <c r="AP15" s="5">
        <f t="shared" si="13"/>
        <v>0</v>
      </c>
      <c r="AQ15" s="5">
        <f>IF(CreditAmort4BEST[[#This Row],[Month]]=AS$8,AO$7,0)</f>
        <v>0</v>
      </c>
      <c r="AR15" s="13">
        <f t="shared" si="14"/>
        <v>0</v>
      </c>
      <c r="AS15" s="6" t="str">
        <f t="shared" si="15"/>
        <v xml:space="preserve"> </v>
      </c>
      <c r="AT15" s="21" t="str">
        <f t="shared" si="16"/>
        <v xml:space="preserve"> </v>
      </c>
    </row>
    <row r="16" spans="1:46">
      <c r="C16" s="22">
        <f t="shared" si="1"/>
        <v>5</v>
      </c>
      <c r="D16" s="23">
        <f>IF(AND(C16&gt;='Amort. Sched.-BEST'!$I$8, C16&lt;= ($I$7+$I$8)), PMT('Amort. Sched.-BEST'!$E$8/12, 'Amort. Sched.-BEST'!$I$7, 'Amort. Sched.-BEST'!$E$7), 0)</f>
        <v>-1350.6783839027553</v>
      </c>
      <c r="E16" s="5">
        <f>IF(AND(C16&gt;='Amort. Sched.-BEST'!$I$8, C16&lt;= ($I$7+$I$8)), (IPMT($E$8/12, (C16-$I$8), $I$7, $E$7)), 0)</f>
        <v>-1161.710399297667</v>
      </c>
      <c r="F16" s="23">
        <f>IF(AND(C16&gt;='Amort. Sched.-BEST'!$I$8, C16&lt;= ($I$7+$I$8)), (PPMT($E$8/12, (C16-$I$8), $I$7, $E$7)), 0)</f>
        <v>-188.96798460508836</v>
      </c>
      <c r="G16" s="5">
        <f>IF(MortgageAmortBEST[[#This Row],[Month]]=I$8,E$7,0)</f>
        <v>0</v>
      </c>
      <c r="H16" s="13">
        <f>IF(AND(C16&gt;='Amort. Sched.-BEST'!$I$8, C16&lt;= ($I$7+$I$8)), H15+F16, 0)</f>
        <v>174067.59191004495</v>
      </c>
      <c r="I16" s="24">
        <f>IF(AND(C16&gt;='Amort. Sched.-BEST'!$I$8, C16&lt;= ($I$7+$I$8)), E16/D16, " ")</f>
        <v>0.86009401878553093</v>
      </c>
      <c r="J16" s="25">
        <f>IF(AND(C16&gt;='Amort. Sched.-BEST'!$I$8, C16&lt;= ($I$7+$I$8)), F16/D16, " ")</f>
        <v>0.13990598121446909</v>
      </c>
      <c r="L16" s="20">
        <f t="shared" si="0"/>
        <v>5</v>
      </c>
      <c r="M16" s="5">
        <f>IF(AND(L16&gt;='Amort. Sched.-BEST'!$R$8, L16&lt;= ($R$7+$R$8)), PMT('Amort. Sched.-BEST'!$N$8/12, 'Amort. Sched.-BEST'!$R$7, 'Amort. Sched.-BEST'!$N$7), 0)</f>
        <v>0</v>
      </c>
      <c r="N16" s="5">
        <f>IF(AND(L16&gt;='Amort. Sched.-BEST'!$R$8, L16&lt;= ($R$7+$R$8)), (IPMT($N$8/12, (L16-$R$8), $R$7, $N$7)), 0)</f>
        <v>0</v>
      </c>
      <c r="O16" s="5">
        <f>IF(AND(L16&gt;='Amort. Sched.-BEST'!$R$8, L16&lt;= ($R$7+$R$8)), (PPMT($N$8/12, (L16-$R$8), $R$7, $N$7)), 0)</f>
        <v>0</v>
      </c>
      <c r="P16" s="5">
        <f>IF(CreditAmort1BEST[[#This Row],[Month]]=R$8,N$7,0)</f>
        <v>0</v>
      </c>
      <c r="Q16" s="13">
        <f>IF(AND(L16&gt;='Amort. Sched.-BEST'!$R$8, L16&lt;= ($R$7+$R$8)), Q15+O16, 0)</f>
        <v>0</v>
      </c>
      <c r="R16" s="6" t="str">
        <f>IF(AND(L16&gt;='Amort. Sched.-BEST'!$R$8, L16&lt;= ($R$7+$R$8)), N16/M16, " ")</f>
        <v xml:space="preserve"> </v>
      </c>
      <c r="S16" s="21" t="str">
        <f>IF(AND(L16&gt;='Amort. Sched.-BEST'!$R$8, L16&lt;= ($R$7+$R$8)), O16/M16, " ")</f>
        <v xml:space="preserve"> </v>
      </c>
      <c r="U16" s="20">
        <f t="shared" si="2"/>
        <v>5</v>
      </c>
      <c r="V16" s="5">
        <f>IF(AND(U16&gt;='Amort. Sched.-BEST'!$AA$8, U16&lt;= ($AA$7+$AA$8)), PMT('Amort. Sched.-BEST'!$W$8/12, 'Amort. Sched.-BEST'!$AA$7, 'Amort. Sched.-BEST'!$W$7), 0)</f>
        <v>0</v>
      </c>
      <c r="W16" s="5">
        <f>IF(AND(U16&gt;='Amort. Sched.-BEST'!$AA$8, U16&lt;= ($AA$7+$AA$8)), (IPMT($W$8/12, (U16-$AA$8), $AA$7, $W$7)), 0)</f>
        <v>0</v>
      </c>
      <c r="X16" s="5">
        <f>IF(AND(U16&gt;='Amort. Sched.-BEST'!$AA$8, U16&lt;= ($AA$7+$AA$8)), (PPMT($W$8/12, (U16-$AA$8), $AA$7, $W$7)), 0)</f>
        <v>0</v>
      </c>
      <c r="Y16" s="5">
        <f>IF(CreditAmort2BEST[[#This Row],[Month]]=AA$8,W$7,0)</f>
        <v>0</v>
      </c>
      <c r="Z16" s="13">
        <f>IF(AND(U16&gt;='Amort. Sched.-BEST'!$AA$8, U16&lt;= ($AA$7+$AA$8)), Z15+X16, 0)</f>
        <v>0</v>
      </c>
      <c r="AA16" s="6" t="str">
        <f>IF(AND(U16&gt;='Amort. Sched.-BEST'!$AA$8, U16&lt;= ($AA$7+$AA$8)), W16/V16, " ")</f>
        <v xml:space="preserve"> </v>
      </c>
      <c r="AB16" s="21" t="str">
        <f>IF(AND(U16&gt;='Amort. Sched.-BEST'!$AA$8, U16&lt;= ($AA$7+$AA$8)), X16/V16, " ")</f>
        <v xml:space="preserve"> </v>
      </c>
      <c r="AD16" s="20">
        <f t="shared" si="3"/>
        <v>5</v>
      </c>
      <c r="AE16" s="5">
        <f t="shared" si="4"/>
        <v>0</v>
      </c>
      <c r="AF16" s="5">
        <f t="shared" si="5"/>
        <v>0</v>
      </c>
      <c r="AG16" s="5">
        <f>IF(AND(AD16&gt;=$AJ$8, AD16&lt;= ($AJ$7+$AJ$8)), (PPMT($AF$8/12, (AD16-$AJ$8), $AJ$7, $AF$7)), 0)</f>
        <v>0</v>
      </c>
      <c r="AH16" s="5">
        <f>IF(CreditAmort3BEST[[#This Row],[Month]]=AJ$8,AF$7,0)</f>
        <v>0</v>
      </c>
      <c r="AI16" s="13">
        <f t="shared" si="7"/>
        <v>0</v>
      </c>
      <c r="AJ16" s="6" t="str">
        <f t="shared" si="8"/>
        <v xml:space="preserve"> </v>
      </c>
      <c r="AK16" s="21" t="str">
        <f t="shared" si="9"/>
        <v xml:space="preserve"> </v>
      </c>
      <c r="AM16" s="20">
        <f t="shared" si="10"/>
        <v>5</v>
      </c>
      <c r="AN16" s="5">
        <f t="shared" si="11"/>
        <v>0</v>
      </c>
      <c r="AO16" s="5">
        <f t="shared" si="12"/>
        <v>0</v>
      </c>
      <c r="AP16" s="5">
        <f t="shared" si="13"/>
        <v>0</v>
      </c>
      <c r="AQ16" s="5">
        <f>IF(CreditAmort4BEST[[#This Row],[Month]]=AS$8,AO$7,0)</f>
        <v>0</v>
      </c>
      <c r="AR16" s="13">
        <f t="shared" si="14"/>
        <v>0</v>
      </c>
      <c r="AS16" s="6" t="str">
        <f t="shared" si="15"/>
        <v xml:space="preserve"> </v>
      </c>
      <c r="AT16" s="21" t="str">
        <f t="shared" si="16"/>
        <v xml:space="preserve"> </v>
      </c>
    </row>
    <row r="17" spans="3:46">
      <c r="C17" s="22">
        <f t="shared" si="1"/>
        <v>6</v>
      </c>
      <c r="D17" s="23">
        <f>IF(AND(C17&gt;='Amort. Sched.-BEST'!$I$8, C17&lt;= ($I$7+$I$8)), PMT('Amort. Sched.-BEST'!$E$8/12, 'Amort. Sched.-BEST'!$I$7, 'Amort. Sched.-BEST'!$E$7), 0)</f>
        <v>-1350.6783839027553</v>
      </c>
      <c r="E17" s="5">
        <f>IF(AND(C17&gt;='Amort. Sched.-BEST'!$I$8, C17&lt;= ($I$7+$I$8)), (IPMT($E$8/12, (C17-$I$8), $I$7, $E$7)), 0)</f>
        <v>-1160.4506127336331</v>
      </c>
      <c r="F17" s="23">
        <f>IF(AND(C17&gt;='Amort. Sched.-BEST'!$I$8, C17&lt;= ($I$7+$I$8)), (PPMT($E$8/12, (C17-$I$8), $I$7, $E$7)), 0)</f>
        <v>-190.22777116912229</v>
      </c>
      <c r="G17" s="5">
        <f>IF(MortgageAmortBEST[[#This Row],[Month]]=I$8,E$7,0)</f>
        <v>0</v>
      </c>
      <c r="H17" s="13">
        <f>IF(AND(C17&gt;='Amort. Sched.-BEST'!$I$8, C17&lt;= ($I$7+$I$8)), H16+F17, 0)</f>
        <v>173877.36413887583</v>
      </c>
      <c r="I17" s="24">
        <f>IF(AND(C17&gt;='Amort. Sched.-BEST'!$I$8, C17&lt;= ($I$7+$I$8)), E17/D17, " ")</f>
        <v>0.85916131224410119</v>
      </c>
      <c r="J17" s="25">
        <f>IF(AND(C17&gt;='Amort. Sched.-BEST'!$I$8, C17&lt;= ($I$7+$I$8)), F17/D17, " ")</f>
        <v>0.14083868775589889</v>
      </c>
      <c r="L17" s="20">
        <f t="shared" si="0"/>
        <v>6</v>
      </c>
      <c r="M17" s="5">
        <f>IF(AND(L17&gt;='Amort. Sched.-BEST'!$R$8, L17&lt;= ($R$7+$R$8)), PMT('Amort. Sched.-BEST'!$N$8/12, 'Amort. Sched.-BEST'!$R$7, 'Amort. Sched.-BEST'!$N$7), 0)</f>
        <v>0</v>
      </c>
      <c r="N17" s="5">
        <f>IF(AND(L17&gt;='Amort. Sched.-BEST'!$R$8, L17&lt;= ($R$7+$R$8)), (IPMT($N$8/12, (L17-$R$8), $R$7, $N$7)), 0)</f>
        <v>0</v>
      </c>
      <c r="O17" s="5">
        <f>IF(AND(L17&gt;='Amort. Sched.-BEST'!$R$8, L17&lt;= ($R$7+$R$8)), (PPMT($N$8/12, (L17-$R$8), $R$7, $N$7)), 0)</f>
        <v>0</v>
      </c>
      <c r="P17" s="5">
        <f>IF(CreditAmort1BEST[[#This Row],[Month]]=R$8,N$7,0)</f>
        <v>0</v>
      </c>
      <c r="Q17" s="13">
        <f>IF(AND(L17&gt;='Amort. Sched.-BEST'!$R$8, L17&lt;= ($R$7+$R$8)), Q16+O17, 0)</f>
        <v>0</v>
      </c>
      <c r="R17" s="6" t="str">
        <f>IF(AND(L17&gt;='Amort. Sched.-BEST'!$R$8, L17&lt;= ($R$7+$R$8)), N17/M17, " ")</f>
        <v xml:space="preserve"> </v>
      </c>
      <c r="S17" s="21" t="str">
        <f>IF(AND(L17&gt;='Amort. Sched.-BEST'!$R$8, L17&lt;= ($R$7+$R$8)), O17/M17, " ")</f>
        <v xml:space="preserve"> </v>
      </c>
      <c r="U17" s="20">
        <f t="shared" si="2"/>
        <v>6</v>
      </c>
      <c r="V17" s="5">
        <f>IF(AND(U17&gt;='Amort. Sched.-BEST'!$AA$8, U17&lt;= ($AA$7+$AA$8)), PMT('Amort. Sched.-BEST'!$W$8/12, 'Amort. Sched.-BEST'!$AA$7, 'Amort. Sched.-BEST'!$W$7), 0)</f>
        <v>0</v>
      </c>
      <c r="W17" s="5">
        <f>IF(AND(U17&gt;='Amort. Sched.-BEST'!$AA$8, U17&lt;= ($AA$7+$AA$8)), (IPMT($W$8/12, (U17-$AA$8), $AA$7, $W$7)), 0)</f>
        <v>0</v>
      </c>
      <c r="X17" s="5">
        <f>IF(AND(U17&gt;='Amort. Sched.-BEST'!$AA$8, U17&lt;= ($AA$7+$AA$8)), (PPMT($W$8/12, (U17-$AA$8), $AA$7, $W$7)), 0)</f>
        <v>0</v>
      </c>
      <c r="Y17" s="5">
        <f>IF(CreditAmort2BEST[[#This Row],[Month]]=AA$8,W$7,0)</f>
        <v>0</v>
      </c>
      <c r="Z17" s="13">
        <f>IF(AND(U17&gt;='Amort. Sched.-BEST'!$AA$8, U17&lt;= ($AA$7+$AA$8)), Z16+X17, 0)</f>
        <v>0</v>
      </c>
      <c r="AA17" s="6" t="str">
        <f>IF(AND(U17&gt;='Amort. Sched.-BEST'!$AA$8, U17&lt;= ($AA$7+$AA$8)), W17/V17, " ")</f>
        <v xml:space="preserve"> </v>
      </c>
      <c r="AB17" s="21" t="str">
        <f>IF(AND(U17&gt;='Amort. Sched.-BEST'!$AA$8, U17&lt;= ($AA$7+$AA$8)), X17/V17, " ")</f>
        <v xml:space="preserve"> </v>
      </c>
      <c r="AD17" s="20">
        <f t="shared" si="3"/>
        <v>6</v>
      </c>
      <c r="AE17" s="5">
        <f t="shared" si="4"/>
        <v>0</v>
      </c>
      <c r="AF17" s="5">
        <f t="shared" si="5"/>
        <v>0</v>
      </c>
      <c r="AG17" s="5">
        <f t="shared" si="6"/>
        <v>0</v>
      </c>
      <c r="AH17" s="5">
        <f>IF(CreditAmort3BEST[[#This Row],[Month]]=AJ$8,AF$7,0)</f>
        <v>0</v>
      </c>
      <c r="AI17" s="13">
        <f t="shared" si="7"/>
        <v>0</v>
      </c>
      <c r="AJ17" s="6" t="str">
        <f t="shared" si="8"/>
        <v xml:space="preserve"> </v>
      </c>
      <c r="AK17" s="21" t="str">
        <f t="shared" si="9"/>
        <v xml:space="preserve"> </v>
      </c>
      <c r="AM17" s="20">
        <f t="shared" si="10"/>
        <v>6</v>
      </c>
      <c r="AN17" s="5">
        <f t="shared" si="11"/>
        <v>0</v>
      </c>
      <c r="AO17" s="5">
        <f t="shared" si="12"/>
        <v>0</v>
      </c>
      <c r="AP17" s="5">
        <f t="shared" si="13"/>
        <v>0</v>
      </c>
      <c r="AQ17" s="5">
        <f>IF(CreditAmort4BEST[[#This Row],[Month]]=AS$8,AO$7,0)</f>
        <v>0</v>
      </c>
      <c r="AR17" s="13">
        <f t="shared" si="14"/>
        <v>0</v>
      </c>
      <c r="AS17" s="6" t="str">
        <f t="shared" si="15"/>
        <v xml:space="preserve"> </v>
      </c>
      <c r="AT17" s="21" t="str">
        <f t="shared" si="16"/>
        <v xml:space="preserve"> </v>
      </c>
    </row>
    <row r="18" spans="3:46">
      <c r="C18" s="22">
        <f t="shared" si="1"/>
        <v>7</v>
      </c>
      <c r="D18" s="23">
        <f>IF(AND(C18&gt;='Amort. Sched.-BEST'!$I$8, C18&lt;= ($I$7+$I$8)), PMT('Amort. Sched.-BEST'!$E$8/12, 'Amort. Sched.-BEST'!$I$7, 'Amort. Sched.-BEST'!$E$7), 0)</f>
        <v>-1350.6783839027553</v>
      </c>
      <c r="E18" s="5">
        <f>IF(AND(C18&gt;='Amort. Sched.-BEST'!$I$8, C18&lt;= ($I$7+$I$8)), (IPMT($E$8/12, (C18-$I$8), $I$7, $E$7)), 0)</f>
        <v>-1159.1824275925055</v>
      </c>
      <c r="F18" s="23">
        <f>IF(AND(C18&gt;='Amort. Sched.-BEST'!$I$8, C18&lt;= ($I$7+$I$8)), (PPMT($E$8/12, (C18-$I$8), $I$7, $E$7)), 0)</f>
        <v>-191.4959563102498</v>
      </c>
      <c r="G18" s="5">
        <f>IF(MortgageAmortBEST[[#This Row],[Month]]=I$8,E$7,0)</f>
        <v>0</v>
      </c>
      <c r="H18" s="13">
        <f>IF(AND(C18&gt;='Amort. Sched.-BEST'!$I$8, C18&lt;= ($I$7+$I$8)), H17+F18, 0)</f>
        <v>173685.86818256558</v>
      </c>
      <c r="I18" s="24">
        <f>IF(AND(C18&gt;='Amort. Sched.-BEST'!$I$8, C18&lt;= ($I$7+$I$8)), E18/D18, " ")</f>
        <v>0.85822238765906178</v>
      </c>
      <c r="J18" s="25">
        <f>IF(AND(C18&gt;='Amort. Sched.-BEST'!$I$8, C18&lt;= ($I$7+$I$8)), F18/D18, " ")</f>
        <v>0.14177761234093825</v>
      </c>
      <c r="L18" s="20">
        <f t="shared" si="0"/>
        <v>7</v>
      </c>
      <c r="M18" s="5">
        <f>IF(AND(L18&gt;='Amort. Sched.-BEST'!$R$8, L18&lt;= ($R$7+$R$8)), PMT('Amort. Sched.-BEST'!$N$8/12, 'Amort. Sched.-BEST'!$R$7, 'Amort. Sched.-BEST'!$N$7), 0)</f>
        <v>0</v>
      </c>
      <c r="N18" s="5">
        <f>IF(AND(L18&gt;='Amort. Sched.-BEST'!$R$8, L18&lt;= ($R$7+$R$8)), (IPMT($N$8/12, (L18-$R$8), $R$7, $N$7)), 0)</f>
        <v>0</v>
      </c>
      <c r="O18" s="5">
        <f>IF(AND(L18&gt;='Amort. Sched.-BEST'!$R$8, L18&lt;= ($R$7+$R$8)), (PPMT($N$8/12, (L18-$R$8), $R$7, $N$7)), 0)</f>
        <v>0</v>
      </c>
      <c r="P18" s="5">
        <f>IF(CreditAmort1BEST[[#This Row],[Month]]=R$8,N$7,0)</f>
        <v>0</v>
      </c>
      <c r="Q18" s="13">
        <f>IF(AND(L18&gt;='Amort. Sched.-BEST'!$R$8, L18&lt;= ($R$7+$R$8)), Q17+O18, 0)</f>
        <v>0</v>
      </c>
      <c r="R18" s="6" t="str">
        <f>IF(AND(L18&gt;='Amort. Sched.-BEST'!$R$8, L18&lt;= ($R$7+$R$8)), N18/M18, " ")</f>
        <v xml:space="preserve"> </v>
      </c>
      <c r="S18" s="21" t="str">
        <f>IF(AND(L18&gt;='Amort. Sched.-BEST'!$R$8, L18&lt;= ($R$7+$R$8)), O18/M18, " ")</f>
        <v xml:space="preserve"> </v>
      </c>
      <c r="U18" s="20">
        <f t="shared" si="2"/>
        <v>7</v>
      </c>
      <c r="V18" s="5">
        <f>IF(AND(U18&gt;='Amort. Sched.-BEST'!$AA$8, U18&lt;= ($AA$7+$AA$8)), PMT('Amort. Sched.-BEST'!$W$8/12, 'Amort. Sched.-BEST'!$AA$7, 'Amort. Sched.-BEST'!$W$7), 0)</f>
        <v>0</v>
      </c>
      <c r="W18" s="5">
        <f>IF(AND(U18&gt;='Amort. Sched.-BEST'!$AA$8, U18&lt;= ($AA$7+$AA$8)), (IPMT($W$8/12, (U18-$AA$8), $AA$7, $W$7)), 0)</f>
        <v>0</v>
      </c>
      <c r="X18" s="5">
        <f>IF(AND(U18&gt;='Amort. Sched.-BEST'!$AA$8, U18&lt;= ($AA$7+$AA$8)), (PPMT($W$8/12, (U18-$AA$8), $AA$7, $W$7)), 0)</f>
        <v>0</v>
      </c>
      <c r="Y18" s="5">
        <f>IF(CreditAmort2BEST[[#This Row],[Month]]=AA$8,W$7,0)</f>
        <v>0</v>
      </c>
      <c r="Z18" s="13">
        <f>IF(AND(U18&gt;='Amort. Sched.-BEST'!$AA$8, U18&lt;= ($AA$7+$AA$8)), Z17+X18, 0)</f>
        <v>0</v>
      </c>
      <c r="AA18" s="6" t="str">
        <f>IF(AND(U18&gt;='Amort. Sched.-BEST'!$AA$8, U18&lt;= ($AA$7+$AA$8)), W18/V18, " ")</f>
        <v xml:space="preserve"> </v>
      </c>
      <c r="AB18" s="21" t="str">
        <f>IF(AND(U18&gt;='Amort. Sched.-BEST'!$AA$8, U18&lt;= ($AA$7+$AA$8)), X18/V18, " ")</f>
        <v xml:space="preserve"> </v>
      </c>
      <c r="AD18" s="20">
        <f t="shared" si="3"/>
        <v>7</v>
      </c>
      <c r="AE18" s="5">
        <f t="shared" si="4"/>
        <v>0</v>
      </c>
      <c r="AF18" s="5">
        <f t="shared" si="5"/>
        <v>0</v>
      </c>
      <c r="AG18" s="5">
        <f t="shared" si="6"/>
        <v>0</v>
      </c>
      <c r="AH18" s="5">
        <f>IF(CreditAmort3BEST[[#This Row],[Month]]=AJ$8,AF$7,0)</f>
        <v>0</v>
      </c>
      <c r="AI18" s="13">
        <f t="shared" si="7"/>
        <v>0</v>
      </c>
      <c r="AJ18" s="6" t="str">
        <f t="shared" si="8"/>
        <v xml:space="preserve"> </v>
      </c>
      <c r="AK18" s="21" t="str">
        <f t="shared" si="9"/>
        <v xml:space="preserve"> </v>
      </c>
      <c r="AM18" s="20">
        <f t="shared" si="10"/>
        <v>7</v>
      </c>
      <c r="AN18" s="5">
        <f t="shared" si="11"/>
        <v>0</v>
      </c>
      <c r="AO18" s="5">
        <f t="shared" si="12"/>
        <v>0</v>
      </c>
      <c r="AP18" s="5">
        <f t="shared" si="13"/>
        <v>0</v>
      </c>
      <c r="AQ18" s="5">
        <f>IF(CreditAmort4BEST[[#This Row],[Month]]=AS$8,AO$7,0)</f>
        <v>0</v>
      </c>
      <c r="AR18" s="13">
        <f t="shared" si="14"/>
        <v>0</v>
      </c>
      <c r="AS18" s="6" t="str">
        <f t="shared" si="15"/>
        <v xml:space="preserve"> </v>
      </c>
      <c r="AT18" s="21" t="str">
        <f t="shared" si="16"/>
        <v xml:space="preserve"> </v>
      </c>
    </row>
    <row r="19" spans="3:46">
      <c r="C19" s="22">
        <f t="shared" si="1"/>
        <v>8</v>
      </c>
      <c r="D19" s="23">
        <f>IF(AND(C19&gt;='Amort. Sched.-BEST'!$I$8, C19&lt;= ($I$7+$I$8)), PMT('Amort. Sched.-BEST'!$E$8/12, 'Amort. Sched.-BEST'!$I$7, 'Amort. Sched.-BEST'!$E$7), 0)</f>
        <v>-1350.6783839027553</v>
      </c>
      <c r="E19" s="5">
        <f>IF(AND(C19&gt;='Amort. Sched.-BEST'!$I$8, C19&lt;= ($I$7+$I$8)), (IPMT($E$8/12, (C19-$I$8), $I$7, $E$7)), 0)</f>
        <v>-1157.9057878837707</v>
      </c>
      <c r="F19" s="23">
        <f>IF(AND(C19&gt;='Amort. Sched.-BEST'!$I$8, C19&lt;= ($I$7+$I$8)), (PPMT($E$8/12, (C19-$I$8), $I$7, $E$7)), 0)</f>
        <v>-192.77259601898473</v>
      </c>
      <c r="G19" s="5">
        <f>IF(MortgageAmortBEST[[#This Row],[Month]]=I$8,E$7,0)</f>
        <v>0</v>
      </c>
      <c r="H19" s="13">
        <f>IF(AND(C19&gt;='Amort. Sched.-BEST'!$I$8, C19&lt;= ($I$7+$I$8)), H18+F19, 0)</f>
        <v>173493.09558654661</v>
      </c>
      <c r="I19" s="24">
        <f>IF(AND(C19&gt;='Amort. Sched.-BEST'!$I$8, C19&lt;= ($I$7+$I$8)), E19/D19, " ")</f>
        <v>0.85727720357678894</v>
      </c>
      <c r="J19" s="25">
        <f>IF(AND(C19&gt;='Amort. Sched.-BEST'!$I$8, C19&lt;= ($I$7+$I$8)), F19/D19, " ")</f>
        <v>0.14272279642321112</v>
      </c>
      <c r="L19" s="20">
        <f t="shared" si="0"/>
        <v>8</v>
      </c>
      <c r="M19" s="5">
        <f>IF(AND(L19&gt;='Amort. Sched.-BEST'!$R$8, L19&lt;= ($R$7+$R$8)), PMT('Amort. Sched.-BEST'!$N$8/12, 'Amort. Sched.-BEST'!$R$7, 'Amort. Sched.-BEST'!$N$7), 0)</f>
        <v>0</v>
      </c>
      <c r="N19" s="5">
        <f>IF(AND(L19&gt;='Amort. Sched.-BEST'!$R$8, L19&lt;= ($R$7+$R$8)), (IPMT($N$8/12, (L19-$R$8), $R$7, $N$7)), 0)</f>
        <v>0</v>
      </c>
      <c r="O19" s="5">
        <f>IF(AND(L19&gt;='Amort. Sched.-BEST'!$R$8, L19&lt;= ($R$7+$R$8)), (PPMT($N$8/12, (L19-$R$8), $R$7, $N$7)), 0)</f>
        <v>0</v>
      </c>
      <c r="P19" s="5">
        <f>IF(CreditAmort1BEST[[#This Row],[Month]]=R$8,N$7,0)</f>
        <v>0</v>
      </c>
      <c r="Q19" s="13">
        <f>IF(AND(L19&gt;='Amort. Sched.-BEST'!$R$8, L19&lt;= ($R$7+$R$8)), Q18+O19, 0)</f>
        <v>0</v>
      </c>
      <c r="R19" s="6" t="str">
        <f>IF(AND(L19&gt;='Amort. Sched.-BEST'!$R$8, L19&lt;= ($R$7+$R$8)), N19/M19, " ")</f>
        <v xml:space="preserve"> </v>
      </c>
      <c r="S19" s="21" t="str">
        <f>IF(AND(L19&gt;='Amort. Sched.-BEST'!$R$8, L19&lt;= ($R$7+$R$8)), O19/M19, " ")</f>
        <v xml:space="preserve"> </v>
      </c>
      <c r="U19" s="20">
        <f t="shared" si="2"/>
        <v>8</v>
      </c>
      <c r="V19" s="5">
        <f>IF(AND(U19&gt;='Amort. Sched.-BEST'!$AA$8, U19&lt;= ($AA$7+$AA$8)), PMT('Amort. Sched.-BEST'!$W$8/12, 'Amort. Sched.-BEST'!$AA$7, 'Amort. Sched.-BEST'!$W$7), 0)</f>
        <v>0</v>
      </c>
      <c r="W19" s="5">
        <f>IF(AND(U19&gt;='Amort. Sched.-BEST'!$AA$8, U19&lt;= ($AA$7+$AA$8)), (IPMT($W$8/12, (U19-$AA$8), $AA$7, $W$7)), 0)</f>
        <v>0</v>
      </c>
      <c r="X19" s="5">
        <f>IF(AND(U19&gt;='Amort. Sched.-BEST'!$AA$8, U19&lt;= ($AA$7+$AA$8)), (PPMT($W$8/12, (U19-$AA$8), $AA$7, $W$7)), 0)</f>
        <v>0</v>
      </c>
      <c r="Y19" s="5">
        <f>IF(CreditAmort2BEST[[#This Row],[Month]]=AA$8,W$7,0)</f>
        <v>0</v>
      </c>
      <c r="Z19" s="13">
        <f>IF(AND(U19&gt;='Amort. Sched.-BEST'!$AA$8, U19&lt;= ($AA$7+$AA$8)), Z18+X19, 0)</f>
        <v>0</v>
      </c>
      <c r="AA19" s="6" t="str">
        <f>IF(AND(U19&gt;='Amort. Sched.-BEST'!$AA$8, U19&lt;= ($AA$7+$AA$8)), W19/V19, " ")</f>
        <v xml:space="preserve"> </v>
      </c>
      <c r="AB19" s="21" t="str">
        <f>IF(AND(U19&gt;='Amort. Sched.-BEST'!$AA$8, U19&lt;= ($AA$7+$AA$8)), X19/V19, " ")</f>
        <v xml:space="preserve"> </v>
      </c>
      <c r="AD19" s="20">
        <f t="shared" si="3"/>
        <v>8</v>
      </c>
      <c r="AE19" s="5">
        <f t="shared" si="4"/>
        <v>0</v>
      </c>
      <c r="AF19" s="5">
        <f t="shared" si="5"/>
        <v>0</v>
      </c>
      <c r="AG19" s="5">
        <f t="shared" si="6"/>
        <v>0</v>
      </c>
      <c r="AH19" s="5">
        <f>IF(CreditAmort3BEST[[#This Row],[Month]]=AJ$8,AF$7,0)</f>
        <v>0</v>
      </c>
      <c r="AI19" s="13">
        <f t="shared" si="7"/>
        <v>0</v>
      </c>
      <c r="AJ19" s="6" t="str">
        <f t="shared" si="8"/>
        <v xml:space="preserve"> </v>
      </c>
      <c r="AK19" s="21" t="str">
        <f t="shared" si="9"/>
        <v xml:space="preserve"> </v>
      </c>
      <c r="AM19" s="20">
        <f t="shared" si="10"/>
        <v>8</v>
      </c>
      <c r="AN19" s="5">
        <f t="shared" si="11"/>
        <v>0</v>
      </c>
      <c r="AO19" s="5">
        <f t="shared" si="12"/>
        <v>0</v>
      </c>
      <c r="AP19" s="5">
        <f t="shared" si="13"/>
        <v>0</v>
      </c>
      <c r="AQ19" s="5">
        <f>IF(CreditAmort4BEST[[#This Row],[Month]]=AS$8,AO$7,0)</f>
        <v>0</v>
      </c>
      <c r="AR19" s="13">
        <f t="shared" si="14"/>
        <v>0</v>
      </c>
      <c r="AS19" s="6" t="str">
        <f t="shared" si="15"/>
        <v xml:space="preserve"> </v>
      </c>
      <c r="AT19" s="21" t="str">
        <f t="shared" si="16"/>
        <v xml:space="preserve"> </v>
      </c>
    </row>
    <row r="20" spans="3:46">
      <c r="C20" s="22">
        <f t="shared" si="1"/>
        <v>9</v>
      </c>
      <c r="D20" s="23">
        <f>IF(AND(C20&gt;='Amort. Sched.-BEST'!$I$8, C20&lt;= ($I$7+$I$8)), PMT('Amort. Sched.-BEST'!$E$8/12, 'Amort. Sched.-BEST'!$I$7, 'Amort. Sched.-BEST'!$E$7), 0)</f>
        <v>-1350.6783839027553</v>
      </c>
      <c r="E20" s="5">
        <f>IF(AND(C20&gt;='Amort. Sched.-BEST'!$I$8, C20&lt;= ($I$7+$I$8)), (IPMT($E$8/12, (C20-$I$8), $I$7, $E$7)), 0)</f>
        <v>-1156.6206372436438</v>
      </c>
      <c r="F20" s="23">
        <f>IF(AND(C20&gt;='Amort. Sched.-BEST'!$I$8, C20&lt;= ($I$7+$I$8)), (PPMT($E$8/12, (C20-$I$8), $I$7, $E$7)), 0)</f>
        <v>-194.0577466591113</v>
      </c>
      <c r="G20" s="5">
        <f>IF(MortgageAmortBEST[[#This Row],[Month]]=I$8,E$7,0)</f>
        <v>0</v>
      </c>
      <c r="H20" s="13">
        <f>IF(AND(C20&gt;='Amort. Sched.-BEST'!$I$8, C20&lt;= ($I$7+$I$8)), H19+F20, 0)</f>
        <v>173299.03783988749</v>
      </c>
      <c r="I20" s="24">
        <f>IF(AND(C20&gt;='Amort. Sched.-BEST'!$I$8, C20&lt;= ($I$7+$I$8)), E20/D20, " ")</f>
        <v>0.85632571826730075</v>
      </c>
      <c r="J20" s="25">
        <f>IF(AND(C20&gt;='Amort. Sched.-BEST'!$I$8, C20&lt;= ($I$7+$I$8)), F20/D20, " ")</f>
        <v>0.14367428173269919</v>
      </c>
      <c r="L20" s="20">
        <f t="shared" si="0"/>
        <v>9</v>
      </c>
      <c r="M20" s="5">
        <f>IF(AND(L20&gt;='Amort. Sched.-BEST'!$R$8, L20&lt;= ($R$7+$R$8)), PMT('Amort. Sched.-BEST'!$N$8/12, 'Amort. Sched.-BEST'!$R$7, 'Amort. Sched.-BEST'!$N$7), 0)</f>
        <v>0</v>
      </c>
      <c r="N20" s="5">
        <f>IF(AND(L20&gt;='Amort. Sched.-BEST'!$R$8, L20&lt;= ($R$7+$R$8)), (IPMT($N$8/12, (L20-$R$8), $R$7, $N$7)), 0)</f>
        <v>0</v>
      </c>
      <c r="O20" s="5">
        <f>IF(AND(L20&gt;='Amort. Sched.-BEST'!$R$8, L20&lt;= ($R$7+$R$8)), (PPMT($N$8/12, (L20-$R$8), $R$7, $N$7)), 0)</f>
        <v>0</v>
      </c>
      <c r="P20" s="5">
        <f>IF(CreditAmort1BEST[[#This Row],[Month]]=R$8,N$7,0)</f>
        <v>0</v>
      </c>
      <c r="Q20" s="13">
        <f>IF(AND(L20&gt;='Amort. Sched.-BEST'!$R$8, L20&lt;= ($R$7+$R$8)), Q19+O20, 0)</f>
        <v>0</v>
      </c>
      <c r="R20" s="6" t="str">
        <f>IF(AND(L20&gt;='Amort. Sched.-BEST'!$R$8, L20&lt;= ($R$7+$R$8)), N20/M20, " ")</f>
        <v xml:space="preserve"> </v>
      </c>
      <c r="S20" s="21" t="str">
        <f>IF(AND(L20&gt;='Amort. Sched.-BEST'!$R$8, L20&lt;= ($R$7+$R$8)), O20/M20, " ")</f>
        <v xml:space="preserve"> </v>
      </c>
      <c r="U20" s="20">
        <f t="shared" si="2"/>
        <v>9</v>
      </c>
      <c r="V20" s="5">
        <f>IF(AND(U20&gt;='Amort. Sched.-BEST'!$AA$8, U20&lt;= ($AA$7+$AA$8)), PMT('Amort. Sched.-BEST'!$W$8/12, 'Amort. Sched.-BEST'!$AA$7, 'Amort. Sched.-BEST'!$W$7), 0)</f>
        <v>0</v>
      </c>
      <c r="W20" s="5">
        <f>IF(AND(U20&gt;='Amort. Sched.-BEST'!$AA$8, U20&lt;= ($AA$7+$AA$8)), (IPMT($W$8/12, (U20-$AA$8), $AA$7, $W$7)), 0)</f>
        <v>0</v>
      </c>
      <c r="X20" s="5">
        <f>IF(AND(U20&gt;='Amort. Sched.-BEST'!$AA$8, U20&lt;= ($AA$7+$AA$8)), (PPMT($W$8/12, (U20-$AA$8), $AA$7, $W$7)), 0)</f>
        <v>0</v>
      </c>
      <c r="Y20" s="5">
        <f>IF(CreditAmort2BEST[[#This Row],[Month]]=AA$8,W$7,0)</f>
        <v>0</v>
      </c>
      <c r="Z20" s="13">
        <f>IF(AND(U20&gt;='Amort. Sched.-BEST'!$AA$8, U20&lt;= ($AA$7+$AA$8)), Z19+X20, 0)</f>
        <v>0</v>
      </c>
      <c r="AA20" s="6" t="str">
        <f>IF(AND(U20&gt;='Amort. Sched.-BEST'!$AA$8, U20&lt;= ($AA$7+$AA$8)), W20/V20, " ")</f>
        <v xml:space="preserve"> </v>
      </c>
      <c r="AB20" s="21" t="str">
        <f>IF(AND(U20&gt;='Amort. Sched.-BEST'!$AA$8, U20&lt;= ($AA$7+$AA$8)), X20/V20, " ")</f>
        <v xml:space="preserve"> </v>
      </c>
      <c r="AD20" s="20">
        <f t="shared" si="3"/>
        <v>9</v>
      </c>
      <c r="AE20" s="5">
        <f t="shared" si="4"/>
        <v>0</v>
      </c>
      <c r="AF20" s="5">
        <f t="shared" si="5"/>
        <v>0</v>
      </c>
      <c r="AG20" s="5">
        <f t="shared" si="6"/>
        <v>0</v>
      </c>
      <c r="AH20" s="5">
        <f>IF(CreditAmort3BEST[[#This Row],[Month]]=AJ$8,AF$7,0)</f>
        <v>0</v>
      </c>
      <c r="AI20" s="13">
        <f t="shared" si="7"/>
        <v>0</v>
      </c>
      <c r="AJ20" s="6" t="str">
        <f t="shared" si="8"/>
        <v xml:space="preserve"> </v>
      </c>
      <c r="AK20" s="21" t="str">
        <f t="shared" si="9"/>
        <v xml:space="preserve"> </v>
      </c>
      <c r="AM20" s="20">
        <f t="shared" si="10"/>
        <v>9</v>
      </c>
      <c r="AN20" s="5">
        <f t="shared" si="11"/>
        <v>0</v>
      </c>
      <c r="AO20" s="5">
        <f t="shared" si="12"/>
        <v>0</v>
      </c>
      <c r="AP20" s="5">
        <f t="shared" si="13"/>
        <v>0</v>
      </c>
      <c r="AQ20" s="5">
        <f>IF(CreditAmort4BEST[[#This Row],[Month]]=AS$8,AO$7,0)</f>
        <v>0</v>
      </c>
      <c r="AR20" s="13">
        <f t="shared" si="14"/>
        <v>0</v>
      </c>
      <c r="AS20" s="6" t="str">
        <f t="shared" si="15"/>
        <v xml:space="preserve"> </v>
      </c>
      <c r="AT20" s="21" t="str">
        <f t="shared" si="16"/>
        <v xml:space="preserve"> </v>
      </c>
    </row>
    <row r="21" spans="3:46">
      <c r="C21" s="22">
        <f t="shared" si="1"/>
        <v>10</v>
      </c>
      <c r="D21" s="23">
        <f>IF(AND(C21&gt;='Amort. Sched.-BEST'!$I$8, C21&lt;= ($I$7+$I$8)), PMT('Amort. Sched.-BEST'!$E$8/12, 'Amort. Sched.-BEST'!$I$7, 'Amort. Sched.-BEST'!$E$7), 0)</f>
        <v>-1350.6783839027553</v>
      </c>
      <c r="E21" s="5">
        <f>IF(AND(C21&gt;='Amort. Sched.-BEST'!$I$8, C21&lt;= ($I$7+$I$8)), (IPMT($E$8/12, (C21-$I$8), $I$7, $E$7)), 0)</f>
        <v>-1155.3269189325833</v>
      </c>
      <c r="F21" s="23">
        <f>IF(AND(C21&gt;='Amort. Sched.-BEST'!$I$8, C21&lt;= ($I$7+$I$8)), (PPMT($E$8/12, (C21-$I$8), $I$7, $E$7)), 0)</f>
        <v>-195.35146497017209</v>
      </c>
      <c r="G21" s="5">
        <f>IF(MortgageAmortBEST[[#This Row],[Month]]=I$8,E$7,0)</f>
        <v>0</v>
      </c>
      <c r="H21" s="13">
        <f>IF(AND(C21&gt;='Amort. Sched.-BEST'!$I$8, C21&lt;= ($I$7+$I$8)), H20+F21, 0)</f>
        <v>173103.68637491731</v>
      </c>
      <c r="I21" s="24">
        <f>IF(AND(C21&gt;='Amort. Sched.-BEST'!$I$8, C21&lt;= ($I$7+$I$8)), E21/D21, " ")</f>
        <v>0.85536788972241617</v>
      </c>
      <c r="J21" s="25">
        <f>IF(AND(C21&gt;='Amort. Sched.-BEST'!$I$8, C21&lt;= ($I$7+$I$8)), F21/D21, " ")</f>
        <v>0.14463211027758388</v>
      </c>
      <c r="L21" s="20">
        <f t="shared" si="0"/>
        <v>10</v>
      </c>
      <c r="M21" s="5">
        <f>IF(AND(L21&gt;='Amort. Sched.-BEST'!$R$8, L21&lt;= ($R$7+$R$8)), PMT('Amort. Sched.-BEST'!$N$8/12, 'Amort. Sched.-BEST'!$R$7, 'Amort. Sched.-BEST'!$N$7), 0)</f>
        <v>0</v>
      </c>
      <c r="N21" s="5">
        <f>IF(AND(L21&gt;='Amort. Sched.-BEST'!$R$8, L21&lt;= ($R$7+$R$8)), (IPMT($N$8/12, (L21-$R$8), $R$7, $N$7)), 0)</f>
        <v>0</v>
      </c>
      <c r="O21" s="5">
        <f>IF(AND(L21&gt;='Amort. Sched.-BEST'!$R$8, L21&lt;= ($R$7+$R$8)), (PPMT($N$8/12, (L21-$R$8), $R$7, $N$7)), 0)</f>
        <v>0</v>
      </c>
      <c r="P21" s="5">
        <f>IF(CreditAmort1BEST[[#This Row],[Month]]=R$8,N$7,0)</f>
        <v>0</v>
      </c>
      <c r="Q21" s="13">
        <f>IF(AND(L21&gt;='Amort. Sched.-BEST'!$R$8, L21&lt;= ($R$7+$R$8)), Q20+O21, 0)</f>
        <v>0</v>
      </c>
      <c r="R21" s="6" t="str">
        <f>IF(AND(L21&gt;='Amort. Sched.-BEST'!$R$8, L21&lt;= ($R$7+$R$8)), N21/M21, " ")</f>
        <v xml:space="preserve"> </v>
      </c>
      <c r="S21" s="21" t="str">
        <f>IF(AND(L21&gt;='Amort. Sched.-BEST'!$R$8, L21&lt;= ($R$7+$R$8)), O21/M21, " ")</f>
        <v xml:space="preserve"> </v>
      </c>
      <c r="U21" s="20">
        <f t="shared" si="2"/>
        <v>10</v>
      </c>
      <c r="V21" s="5">
        <f>IF(AND(U21&gt;='Amort. Sched.-BEST'!$AA$8, U21&lt;= ($AA$7+$AA$8)), PMT('Amort. Sched.-BEST'!$W$8/12, 'Amort. Sched.-BEST'!$AA$7, 'Amort. Sched.-BEST'!$W$7), 0)</f>
        <v>0</v>
      </c>
      <c r="W21" s="5">
        <f>IF(AND(U21&gt;='Amort. Sched.-BEST'!$AA$8, U21&lt;= ($AA$7+$AA$8)), (IPMT($W$8/12, (U21-$AA$8), $AA$7, $W$7)), 0)</f>
        <v>0</v>
      </c>
      <c r="X21" s="5">
        <f>IF(AND(U21&gt;='Amort. Sched.-BEST'!$AA$8, U21&lt;= ($AA$7+$AA$8)), (PPMT($W$8/12, (U21-$AA$8), $AA$7, $W$7)), 0)</f>
        <v>0</v>
      </c>
      <c r="Y21" s="5">
        <f>IF(CreditAmort2BEST[[#This Row],[Month]]=AA$8,W$7,0)</f>
        <v>0</v>
      </c>
      <c r="Z21" s="13">
        <f>IF(AND(U21&gt;='Amort. Sched.-BEST'!$AA$8, U21&lt;= ($AA$7+$AA$8)), Z20+X21, 0)</f>
        <v>0</v>
      </c>
      <c r="AA21" s="6" t="str">
        <f>IF(AND(U21&gt;='Amort. Sched.-BEST'!$AA$8, U21&lt;= ($AA$7+$AA$8)), W21/V21, " ")</f>
        <v xml:space="preserve"> </v>
      </c>
      <c r="AB21" s="21" t="str">
        <f>IF(AND(U21&gt;='Amort. Sched.-BEST'!$AA$8, U21&lt;= ($AA$7+$AA$8)), X21/V21, " ")</f>
        <v xml:space="preserve"> </v>
      </c>
      <c r="AD21" s="20">
        <f t="shared" si="3"/>
        <v>10</v>
      </c>
      <c r="AE21" s="5">
        <f t="shared" si="4"/>
        <v>0</v>
      </c>
      <c r="AF21" s="5">
        <f t="shared" si="5"/>
        <v>0</v>
      </c>
      <c r="AG21" s="5">
        <f t="shared" si="6"/>
        <v>0</v>
      </c>
      <c r="AH21" s="5">
        <f>IF(CreditAmort3BEST[[#This Row],[Month]]=AJ$8,AF$7,0)</f>
        <v>0</v>
      </c>
      <c r="AI21" s="13">
        <f t="shared" si="7"/>
        <v>0</v>
      </c>
      <c r="AJ21" s="6" t="str">
        <f t="shared" si="8"/>
        <v xml:space="preserve"> </v>
      </c>
      <c r="AK21" s="21" t="str">
        <f t="shared" si="9"/>
        <v xml:space="preserve"> </v>
      </c>
      <c r="AM21" s="20">
        <f t="shared" si="10"/>
        <v>10</v>
      </c>
      <c r="AN21" s="5">
        <f t="shared" si="11"/>
        <v>0</v>
      </c>
      <c r="AO21" s="5">
        <f t="shared" si="12"/>
        <v>0</v>
      </c>
      <c r="AP21" s="5">
        <f t="shared" si="13"/>
        <v>0</v>
      </c>
      <c r="AQ21" s="5">
        <f>IF(CreditAmort4BEST[[#This Row],[Month]]=AS$8,AO$7,0)</f>
        <v>0</v>
      </c>
      <c r="AR21" s="13">
        <f t="shared" si="14"/>
        <v>0</v>
      </c>
      <c r="AS21" s="6" t="str">
        <f t="shared" si="15"/>
        <v xml:space="preserve"> </v>
      </c>
      <c r="AT21" s="21" t="str">
        <f t="shared" si="16"/>
        <v xml:space="preserve"> </v>
      </c>
    </row>
    <row r="22" spans="3:46">
      <c r="C22" s="22">
        <f t="shared" si="1"/>
        <v>11</v>
      </c>
      <c r="D22" s="23">
        <f>IF(AND(C22&gt;='Amort. Sched.-BEST'!$I$8, C22&lt;= ($I$7+$I$8)), PMT('Amort. Sched.-BEST'!$E$8/12, 'Amort. Sched.-BEST'!$I$7, 'Amort. Sched.-BEST'!$E$7), 0)</f>
        <v>-1350.6783839027553</v>
      </c>
      <c r="E22" s="5">
        <f>IF(AND(C22&gt;='Amort. Sched.-BEST'!$I$8, C22&lt;= ($I$7+$I$8)), (IPMT($E$8/12, (C22-$I$8), $I$7, $E$7)), 0)</f>
        <v>-1154.0245758327821</v>
      </c>
      <c r="F22" s="23">
        <f>IF(AND(C22&gt;='Amort. Sched.-BEST'!$I$8, C22&lt;= ($I$7+$I$8)), (PPMT($E$8/12, (C22-$I$8), $I$7, $E$7)), 0)</f>
        <v>-196.65380806997319</v>
      </c>
      <c r="G22" s="5">
        <f>IF(MortgageAmortBEST[[#This Row],[Month]]=I$8,E$7,0)</f>
        <v>0</v>
      </c>
      <c r="H22" s="13">
        <f>IF(AND(C22&gt;='Amort. Sched.-BEST'!$I$8, C22&lt;= ($I$7+$I$8)), H21+F22, 0)</f>
        <v>172907.03256684734</v>
      </c>
      <c r="I22" s="24">
        <f>IF(AND(C22&gt;='Amort. Sched.-BEST'!$I$8, C22&lt;= ($I$7+$I$8)), E22/D22, " ")</f>
        <v>0.85440367565389896</v>
      </c>
      <c r="J22" s="25">
        <f>IF(AND(C22&gt;='Amort. Sched.-BEST'!$I$8, C22&lt;= ($I$7+$I$8)), F22/D22, " ")</f>
        <v>0.14559632434610109</v>
      </c>
      <c r="L22" s="20">
        <f t="shared" si="0"/>
        <v>11</v>
      </c>
      <c r="M22" s="5">
        <f>IF(AND(L22&gt;='Amort. Sched.-BEST'!$R$8, L22&lt;= ($R$7+$R$8)), PMT('Amort. Sched.-BEST'!$N$8/12, 'Amort. Sched.-BEST'!$R$7, 'Amort. Sched.-BEST'!$N$7), 0)</f>
        <v>0</v>
      </c>
      <c r="N22" s="5">
        <f>IF(AND(L22&gt;='Amort. Sched.-BEST'!$R$8, L22&lt;= ($R$7+$R$8)), (IPMT($N$8/12, (L22-$R$8), $R$7, $N$7)), 0)</f>
        <v>0</v>
      </c>
      <c r="O22" s="5">
        <f>IF(AND(L22&gt;='Amort. Sched.-BEST'!$R$8, L22&lt;= ($R$7+$R$8)), (PPMT($N$8/12, (L22-$R$8), $R$7, $N$7)), 0)</f>
        <v>0</v>
      </c>
      <c r="P22" s="5">
        <f>IF(CreditAmort1BEST[[#This Row],[Month]]=R$8,N$7,0)</f>
        <v>0</v>
      </c>
      <c r="Q22" s="13">
        <f>IF(AND(L22&gt;='Amort. Sched.-BEST'!$R$8, L22&lt;= ($R$7+$R$8)), Q21+O22, 0)</f>
        <v>0</v>
      </c>
      <c r="R22" s="6" t="str">
        <f>IF(AND(L22&gt;='Amort. Sched.-BEST'!$R$8, L22&lt;= ($R$7+$R$8)), N22/M22, " ")</f>
        <v xml:space="preserve"> </v>
      </c>
      <c r="S22" s="21" t="str">
        <f>IF(AND(L22&gt;='Amort. Sched.-BEST'!$R$8, L22&lt;= ($R$7+$R$8)), O22/M22, " ")</f>
        <v xml:space="preserve"> </v>
      </c>
      <c r="U22" s="20">
        <f t="shared" si="2"/>
        <v>11</v>
      </c>
      <c r="V22" s="5">
        <f>IF(AND(U22&gt;='Amort. Sched.-BEST'!$AA$8, U22&lt;= ($AA$7+$AA$8)), PMT('Amort. Sched.-BEST'!$W$8/12, 'Amort. Sched.-BEST'!$AA$7, 'Amort. Sched.-BEST'!$W$7), 0)</f>
        <v>0</v>
      </c>
      <c r="W22" s="5">
        <f>IF(AND(U22&gt;='Amort. Sched.-BEST'!$AA$8, U22&lt;= ($AA$7+$AA$8)), (IPMT($W$8/12, (U22-$AA$8), $AA$7, $W$7)), 0)</f>
        <v>0</v>
      </c>
      <c r="X22" s="5">
        <f>IF(AND(U22&gt;='Amort. Sched.-BEST'!$AA$8, U22&lt;= ($AA$7+$AA$8)), (PPMT($W$8/12, (U22-$AA$8), $AA$7, $W$7)), 0)</f>
        <v>0</v>
      </c>
      <c r="Y22" s="5">
        <f>IF(CreditAmort2BEST[[#This Row],[Month]]=AA$8,W$7,0)</f>
        <v>0</v>
      </c>
      <c r="Z22" s="13">
        <f>IF(AND(U22&gt;='Amort. Sched.-BEST'!$AA$8, U22&lt;= ($AA$7+$AA$8)), Z21+X22, 0)</f>
        <v>0</v>
      </c>
      <c r="AA22" s="6" t="str">
        <f>IF(AND(U22&gt;='Amort. Sched.-BEST'!$AA$8, U22&lt;= ($AA$7+$AA$8)), W22/V22, " ")</f>
        <v xml:space="preserve"> </v>
      </c>
      <c r="AB22" s="21" t="str">
        <f>IF(AND(U22&gt;='Amort. Sched.-BEST'!$AA$8, U22&lt;= ($AA$7+$AA$8)), X22/V22, " ")</f>
        <v xml:space="preserve"> </v>
      </c>
      <c r="AD22" s="20">
        <f t="shared" si="3"/>
        <v>11</v>
      </c>
      <c r="AE22" s="5">
        <f t="shared" si="4"/>
        <v>0</v>
      </c>
      <c r="AF22" s="5">
        <f t="shared" si="5"/>
        <v>0</v>
      </c>
      <c r="AG22" s="5">
        <f t="shared" si="6"/>
        <v>0</v>
      </c>
      <c r="AH22" s="5">
        <f>IF(CreditAmort3BEST[[#This Row],[Month]]=AJ$8,AF$7,0)</f>
        <v>0</v>
      </c>
      <c r="AI22" s="13">
        <f t="shared" si="7"/>
        <v>0</v>
      </c>
      <c r="AJ22" s="6" t="str">
        <f t="shared" si="8"/>
        <v xml:space="preserve"> </v>
      </c>
      <c r="AK22" s="21" t="str">
        <f t="shared" si="9"/>
        <v xml:space="preserve"> </v>
      </c>
      <c r="AM22" s="20">
        <f t="shared" si="10"/>
        <v>11</v>
      </c>
      <c r="AN22" s="5">
        <f t="shared" si="11"/>
        <v>0</v>
      </c>
      <c r="AO22" s="5">
        <f t="shared" si="12"/>
        <v>0</v>
      </c>
      <c r="AP22" s="5">
        <f t="shared" si="13"/>
        <v>0</v>
      </c>
      <c r="AQ22" s="5">
        <f>IF(CreditAmort4BEST[[#This Row],[Month]]=AS$8,AO$7,0)</f>
        <v>0</v>
      </c>
      <c r="AR22" s="13">
        <f t="shared" si="14"/>
        <v>0</v>
      </c>
      <c r="AS22" s="6" t="str">
        <f t="shared" si="15"/>
        <v xml:space="preserve"> </v>
      </c>
      <c r="AT22" s="21" t="str">
        <f t="shared" si="16"/>
        <v xml:space="preserve"> </v>
      </c>
    </row>
    <row r="23" spans="3:46">
      <c r="C23" s="22">
        <f t="shared" si="1"/>
        <v>12</v>
      </c>
      <c r="D23" s="23">
        <f>IF(AND(C23&gt;='Amort. Sched.-BEST'!$I$8, C23&lt;= ($I$7+$I$8)), PMT('Amort. Sched.-BEST'!$E$8/12, 'Amort. Sched.-BEST'!$I$7, 'Amort. Sched.-BEST'!$E$7), 0)</f>
        <v>-1350.6783839027553</v>
      </c>
      <c r="E23" s="5">
        <f>IF(AND(C23&gt;='Amort. Sched.-BEST'!$I$8, C23&lt;= ($I$7+$I$8)), (IPMT($E$8/12, (C23-$I$8), $I$7, $E$7)), 0)</f>
        <v>-1152.7135504456489</v>
      </c>
      <c r="F23" s="23">
        <f>IF(AND(C23&gt;='Amort. Sched.-BEST'!$I$8, C23&lt;= ($I$7+$I$8)), (PPMT($E$8/12, (C23-$I$8), $I$7, $E$7)), 0)</f>
        <v>-197.96483345710641</v>
      </c>
      <c r="G23" s="5">
        <f>IF(MortgageAmortBEST[[#This Row],[Month]]=I$8,E$7,0)</f>
        <v>0</v>
      </c>
      <c r="H23" s="13">
        <f>IF(AND(C23&gt;='Amort. Sched.-BEST'!$I$8, C23&lt;= ($I$7+$I$8)), H22+F23, 0)</f>
        <v>172709.06773339023</v>
      </c>
      <c r="I23" s="24">
        <f>IF(AND(C23&gt;='Amort. Sched.-BEST'!$I$8, C23&lt;= ($I$7+$I$8)), E23/D23, " ")</f>
        <v>0.85343303349159161</v>
      </c>
      <c r="J23" s="25">
        <f>IF(AND(C23&gt;='Amort. Sched.-BEST'!$I$8, C23&lt;= ($I$7+$I$8)), F23/D23, " ")</f>
        <v>0.14656696650840847</v>
      </c>
      <c r="L23" s="20">
        <f t="shared" si="0"/>
        <v>12</v>
      </c>
      <c r="M23" s="5">
        <f>IF(AND(L23&gt;='Amort. Sched.-BEST'!$R$8, L23&lt;= ($R$7+$R$8)), PMT('Amort. Sched.-BEST'!$N$8/12, 'Amort. Sched.-BEST'!$R$7, 'Amort. Sched.-BEST'!$N$7), 0)</f>
        <v>0</v>
      </c>
      <c r="N23" s="5">
        <f>IF(AND(L23&gt;='Amort. Sched.-BEST'!$R$8, L23&lt;= ($R$7+$R$8)), (IPMT($N$8/12, (L23-$R$8), $R$7, $N$7)), 0)</f>
        <v>0</v>
      </c>
      <c r="O23" s="5">
        <f>IF(AND(L23&gt;='Amort. Sched.-BEST'!$R$8, L23&lt;= ($R$7+$R$8)), (PPMT($N$8/12, (L23-$R$8), $R$7, $N$7)), 0)</f>
        <v>0</v>
      </c>
      <c r="P23" s="5">
        <f>IF(CreditAmort1BEST[[#This Row],[Month]]=R$8,N$7,0)</f>
        <v>0</v>
      </c>
      <c r="Q23" s="13">
        <f>IF(AND(L23&gt;='Amort. Sched.-BEST'!$R$8, L23&lt;= ($R$7+$R$8)), Q22+O23, 0)</f>
        <v>0</v>
      </c>
      <c r="R23" s="6" t="str">
        <f>IF(AND(L23&gt;='Amort. Sched.-BEST'!$R$8, L23&lt;= ($R$7+$R$8)), N23/M23, " ")</f>
        <v xml:space="preserve"> </v>
      </c>
      <c r="S23" s="21" t="str">
        <f>IF(AND(L23&gt;='Amort. Sched.-BEST'!$R$8, L23&lt;= ($R$7+$R$8)), O23/M23, " ")</f>
        <v xml:space="preserve"> </v>
      </c>
      <c r="U23" s="20">
        <f t="shared" si="2"/>
        <v>12</v>
      </c>
      <c r="V23" s="5">
        <f>IF(AND(U23&gt;='Amort. Sched.-BEST'!$AA$8, U23&lt;= ($AA$7+$AA$8)), PMT('Amort. Sched.-BEST'!$W$8/12, 'Amort. Sched.-BEST'!$AA$7, 'Amort. Sched.-BEST'!$W$7), 0)</f>
        <v>0</v>
      </c>
      <c r="W23" s="5">
        <f>IF(AND(U23&gt;='Amort. Sched.-BEST'!$AA$8, U23&lt;= ($AA$7+$AA$8)), (IPMT($W$8/12, (U23-$AA$8), $AA$7, $W$7)), 0)</f>
        <v>0</v>
      </c>
      <c r="X23" s="5">
        <f>IF(AND(U23&gt;='Amort. Sched.-BEST'!$AA$8, U23&lt;= ($AA$7+$AA$8)), (PPMT($W$8/12, (U23-$AA$8), $AA$7, $W$7)), 0)</f>
        <v>0</v>
      </c>
      <c r="Y23" s="5">
        <f>IF(CreditAmort2BEST[[#This Row],[Month]]=AA$8,W$7,0)</f>
        <v>0</v>
      </c>
      <c r="Z23" s="13">
        <f>IF(AND(U23&gt;='Amort. Sched.-BEST'!$AA$8, U23&lt;= ($AA$7+$AA$8)), Z22+X23, 0)</f>
        <v>0</v>
      </c>
      <c r="AA23" s="6" t="str">
        <f>IF(AND(U23&gt;='Amort. Sched.-BEST'!$AA$8, U23&lt;= ($AA$7+$AA$8)), W23/V23, " ")</f>
        <v xml:space="preserve"> </v>
      </c>
      <c r="AB23" s="21" t="str">
        <f>IF(AND(U23&gt;='Amort. Sched.-BEST'!$AA$8, U23&lt;= ($AA$7+$AA$8)), X23/V23, " ")</f>
        <v xml:space="preserve"> </v>
      </c>
      <c r="AD23" s="20">
        <f t="shared" si="3"/>
        <v>12</v>
      </c>
      <c r="AE23" s="5">
        <f t="shared" si="4"/>
        <v>0</v>
      </c>
      <c r="AF23" s="5">
        <f t="shared" si="5"/>
        <v>0</v>
      </c>
      <c r="AG23" s="5">
        <f t="shared" si="6"/>
        <v>0</v>
      </c>
      <c r="AH23" s="5">
        <f>IF(CreditAmort3BEST[[#This Row],[Month]]=AJ$8,AF$7,0)</f>
        <v>0</v>
      </c>
      <c r="AI23" s="13">
        <f t="shared" si="7"/>
        <v>0</v>
      </c>
      <c r="AJ23" s="6" t="str">
        <f t="shared" si="8"/>
        <v xml:space="preserve"> </v>
      </c>
      <c r="AK23" s="21" t="str">
        <f t="shared" si="9"/>
        <v xml:space="preserve"> </v>
      </c>
      <c r="AM23" s="20">
        <f t="shared" si="10"/>
        <v>12</v>
      </c>
      <c r="AN23" s="5">
        <f t="shared" si="11"/>
        <v>0</v>
      </c>
      <c r="AO23" s="5">
        <f t="shared" si="12"/>
        <v>0</v>
      </c>
      <c r="AP23" s="5">
        <f t="shared" si="13"/>
        <v>0</v>
      </c>
      <c r="AQ23" s="5">
        <f>IF(CreditAmort4BEST[[#This Row],[Month]]=AS$8,AO$7,0)</f>
        <v>0</v>
      </c>
      <c r="AR23" s="13">
        <f t="shared" si="14"/>
        <v>0</v>
      </c>
      <c r="AS23" s="6" t="str">
        <f t="shared" si="15"/>
        <v xml:space="preserve"> </v>
      </c>
      <c r="AT23" s="21" t="str">
        <f t="shared" si="16"/>
        <v xml:space="preserve"> </v>
      </c>
    </row>
    <row r="24" spans="3:46">
      <c r="C24" s="22">
        <f t="shared" si="1"/>
        <v>13</v>
      </c>
      <c r="D24" s="23">
        <f>IF(AND(C24&gt;='Amort. Sched.-BEST'!$I$8, C24&lt;= ($I$7+$I$8)), PMT('Amort. Sched.-BEST'!$E$8/12, 'Amort. Sched.-BEST'!$I$7, 'Amort. Sched.-BEST'!$E$7), 0)</f>
        <v>-1350.6783839027553</v>
      </c>
      <c r="E24" s="5">
        <f>IF(AND(C24&gt;='Amort. Sched.-BEST'!$I$8, C24&lt;= ($I$7+$I$8)), (IPMT($E$8/12, (C24-$I$8), $I$7, $E$7)), 0)</f>
        <v>-1151.3937848892683</v>
      </c>
      <c r="F24" s="23">
        <f>IF(AND(C24&gt;='Amort. Sched.-BEST'!$I$8, C24&lt;= ($I$7+$I$8)), (PPMT($E$8/12, (C24-$I$8), $I$7, $E$7)), 0)</f>
        <v>-199.28459901348708</v>
      </c>
      <c r="G24" s="5">
        <f>IF(MortgageAmortBEST[[#This Row],[Month]]=I$8,E$7,0)</f>
        <v>0</v>
      </c>
      <c r="H24" s="13">
        <f>IF(AND(C24&gt;='Amort. Sched.-BEST'!$I$8, C24&lt;= ($I$7+$I$8)), H23+F24, 0)</f>
        <v>172509.78313437675</v>
      </c>
      <c r="I24" s="24">
        <f>IF(AND(C24&gt;='Amort. Sched.-BEST'!$I$8, C24&lt;= ($I$7+$I$8)), E24/D24, " ")</f>
        <v>0.85245592038153561</v>
      </c>
      <c r="J24" s="25">
        <f>IF(AND(C24&gt;='Amort. Sched.-BEST'!$I$8, C24&lt;= ($I$7+$I$8)), F24/D24, " ")</f>
        <v>0.1475440796184645</v>
      </c>
      <c r="L24" s="20">
        <f t="shared" si="0"/>
        <v>13</v>
      </c>
      <c r="M24" s="5">
        <f>IF(AND(L24&gt;='Amort. Sched.-BEST'!$R$8, L24&lt;= ($R$7+$R$8)), PMT('Amort. Sched.-BEST'!$N$8/12, 'Amort. Sched.-BEST'!$R$7, 'Amort. Sched.-BEST'!$N$7), 0)</f>
        <v>0</v>
      </c>
      <c r="N24" s="5">
        <f>IF(AND(L24&gt;='Amort. Sched.-BEST'!$R$8, L24&lt;= ($R$7+$R$8)), (IPMT($N$8/12, (L24-$R$8), $R$7, $N$7)), 0)</f>
        <v>0</v>
      </c>
      <c r="O24" s="5">
        <f>IF(AND(L24&gt;='Amort. Sched.-BEST'!$R$8, L24&lt;= ($R$7+$R$8)), (PPMT($N$8/12, (L24-$R$8), $R$7, $N$7)), 0)</f>
        <v>0</v>
      </c>
      <c r="P24" s="5">
        <f>IF(CreditAmort1BEST[[#This Row],[Month]]=R$8,N$7,0)</f>
        <v>0</v>
      </c>
      <c r="Q24" s="13">
        <f>IF(AND(L24&gt;='Amort. Sched.-BEST'!$R$8, L24&lt;= ($R$7+$R$8)), Q23+O24, 0)</f>
        <v>0</v>
      </c>
      <c r="R24" s="6" t="str">
        <f>IF(AND(L24&gt;='Amort. Sched.-BEST'!$R$8, L24&lt;= ($R$7+$R$8)), N24/M24, " ")</f>
        <v xml:space="preserve"> </v>
      </c>
      <c r="S24" s="21" t="str">
        <f>IF(AND(L24&gt;='Amort. Sched.-BEST'!$R$8, L24&lt;= ($R$7+$R$8)), O24/M24, " ")</f>
        <v xml:space="preserve"> </v>
      </c>
      <c r="U24" s="20">
        <f t="shared" si="2"/>
        <v>13</v>
      </c>
      <c r="V24" s="5">
        <f>IF(AND(U24&gt;='Amort. Sched.-BEST'!$AA$8, U24&lt;= ($AA$7+$AA$8)), PMT('Amort. Sched.-BEST'!$W$8/12, 'Amort. Sched.-BEST'!$AA$7, 'Amort. Sched.-BEST'!$W$7), 0)</f>
        <v>0</v>
      </c>
      <c r="W24" s="5">
        <f>IF(AND(U24&gt;='Amort. Sched.-BEST'!$AA$8, U24&lt;= ($AA$7+$AA$8)), (IPMT($W$8/12, (U24-$AA$8), $AA$7, $W$7)), 0)</f>
        <v>0</v>
      </c>
      <c r="X24" s="5">
        <f>IF(AND(U24&gt;='Amort. Sched.-BEST'!$AA$8, U24&lt;= ($AA$7+$AA$8)), (PPMT($W$8/12, (U24-$AA$8), $AA$7, $W$7)), 0)</f>
        <v>0</v>
      </c>
      <c r="Y24" s="5">
        <f>IF(CreditAmort2BEST[[#This Row],[Month]]=AA$8,W$7,0)</f>
        <v>0</v>
      </c>
      <c r="Z24" s="13">
        <f>IF(AND(U24&gt;='Amort. Sched.-BEST'!$AA$8, U24&lt;= ($AA$7+$AA$8)), Z23+X24, 0)</f>
        <v>0</v>
      </c>
      <c r="AA24" s="6" t="str">
        <f>IF(AND(U24&gt;='Amort. Sched.-BEST'!$AA$8, U24&lt;= ($AA$7+$AA$8)), W24/V24, " ")</f>
        <v xml:space="preserve"> </v>
      </c>
      <c r="AB24" s="21" t="str">
        <f>IF(AND(U24&gt;='Amort. Sched.-BEST'!$AA$8, U24&lt;= ($AA$7+$AA$8)), X24/V24, " ")</f>
        <v xml:space="preserve"> </v>
      </c>
      <c r="AD24" s="20">
        <f t="shared" si="3"/>
        <v>13</v>
      </c>
      <c r="AE24" s="5">
        <f t="shared" si="4"/>
        <v>0</v>
      </c>
      <c r="AF24" s="5">
        <f t="shared" si="5"/>
        <v>0</v>
      </c>
      <c r="AG24" s="5">
        <f t="shared" si="6"/>
        <v>0</v>
      </c>
      <c r="AH24" s="5">
        <f>IF(CreditAmort3BEST[[#This Row],[Month]]=AJ$8,AF$7,0)</f>
        <v>0</v>
      </c>
      <c r="AI24" s="13">
        <f t="shared" si="7"/>
        <v>0</v>
      </c>
      <c r="AJ24" s="6" t="str">
        <f t="shared" si="8"/>
        <v xml:space="preserve"> </v>
      </c>
      <c r="AK24" s="21" t="str">
        <f t="shared" si="9"/>
        <v xml:space="preserve"> </v>
      </c>
      <c r="AM24" s="20">
        <f t="shared" si="10"/>
        <v>13</v>
      </c>
      <c r="AN24" s="5">
        <f t="shared" si="11"/>
        <v>0</v>
      </c>
      <c r="AO24" s="5">
        <f t="shared" si="12"/>
        <v>0</v>
      </c>
      <c r="AP24" s="5">
        <f t="shared" si="13"/>
        <v>0</v>
      </c>
      <c r="AQ24" s="5">
        <f>IF(CreditAmort4BEST[[#This Row],[Month]]=AS$8,AO$7,0)</f>
        <v>0</v>
      </c>
      <c r="AR24" s="13">
        <f t="shared" si="14"/>
        <v>0</v>
      </c>
      <c r="AS24" s="6" t="str">
        <f t="shared" si="15"/>
        <v xml:space="preserve"> </v>
      </c>
      <c r="AT24" s="21" t="str">
        <f t="shared" si="16"/>
        <v xml:space="preserve"> </v>
      </c>
    </row>
    <row r="25" spans="3:46">
      <c r="C25" s="22">
        <f t="shared" si="1"/>
        <v>14</v>
      </c>
      <c r="D25" s="23">
        <f>IF(AND(C25&gt;='Amort. Sched.-BEST'!$I$8, C25&lt;= ($I$7+$I$8)), PMT('Amort. Sched.-BEST'!$E$8/12, 'Amort. Sched.-BEST'!$I$7, 'Amort. Sched.-BEST'!$E$7), 0)</f>
        <v>-1350.6783839027553</v>
      </c>
      <c r="E25" s="5">
        <f>IF(AND(C25&gt;='Amort. Sched.-BEST'!$I$8, C25&lt;= ($I$7+$I$8)), (IPMT($E$8/12, (C25-$I$8), $I$7, $E$7)), 0)</f>
        <v>-1150.065220895845</v>
      </c>
      <c r="F25" s="23">
        <f>IF(AND(C25&gt;='Amort. Sched.-BEST'!$I$8, C25&lt;= ($I$7+$I$8)), (PPMT($E$8/12, (C25-$I$8), $I$7, $E$7)), 0)</f>
        <v>-200.61316300691033</v>
      </c>
      <c r="G25" s="5">
        <f>IF(MortgageAmortBEST[[#This Row],[Month]]=I$8,E$7,0)</f>
        <v>0</v>
      </c>
      <c r="H25" s="13">
        <f>IF(AND(C25&gt;='Amort. Sched.-BEST'!$I$8, C25&lt;= ($I$7+$I$8)), H24+F25, 0)</f>
        <v>172309.16997136985</v>
      </c>
      <c r="I25" s="24">
        <f>IF(AND(C25&gt;='Amort. Sched.-BEST'!$I$8, C25&lt;= ($I$7+$I$8)), E25/D25, " ")</f>
        <v>0.85147229318407902</v>
      </c>
      <c r="J25" s="25">
        <f>IF(AND(C25&gt;='Amort. Sched.-BEST'!$I$8, C25&lt;= ($I$7+$I$8)), F25/D25, " ")</f>
        <v>0.14852770681592092</v>
      </c>
      <c r="L25" s="20">
        <f t="shared" si="0"/>
        <v>14</v>
      </c>
      <c r="M25" s="5">
        <f>IF(AND(L25&gt;='Amort. Sched.-BEST'!$R$8, L25&lt;= ($R$7+$R$8)), PMT('Amort. Sched.-BEST'!$N$8/12, 'Amort. Sched.-BEST'!$R$7, 'Amort. Sched.-BEST'!$N$7), 0)</f>
        <v>0</v>
      </c>
      <c r="N25" s="5">
        <f>IF(AND(L25&gt;='Amort. Sched.-BEST'!$R$8, L25&lt;= ($R$7+$R$8)), (IPMT($N$8/12, (L25-$R$8), $R$7, $N$7)), 0)</f>
        <v>0</v>
      </c>
      <c r="O25" s="5">
        <f>IF(AND(L25&gt;='Amort. Sched.-BEST'!$R$8, L25&lt;= ($R$7+$R$8)), (PPMT($N$8/12, (L25-$R$8), $R$7, $N$7)), 0)</f>
        <v>0</v>
      </c>
      <c r="P25" s="5">
        <f>IF(CreditAmort1BEST[[#This Row],[Month]]=R$8,N$7,0)</f>
        <v>0</v>
      </c>
      <c r="Q25" s="13">
        <f>IF(AND(L25&gt;='Amort. Sched.-BEST'!$R$8, L25&lt;= ($R$7+$R$8)), Q24+O25, 0)</f>
        <v>0</v>
      </c>
      <c r="R25" s="6" t="str">
        <f>IF(AND(L25&gt;='Amort. Sched.-BEST'!$R$8, L25&lt;= ($R$7+$R$8)), N25/M25, " ")</f>
        <v xml:space="preserve"> </v>
      </c>
      <c r="S25" s="21" t="str">
        <f>IF(AND(L25&gt;='Amort. Sched.-BEST'!$R$8, L25&lt;= ($R$7+$R$8)), O25/M25, " ")</f>
        <v xml:space="preserve"> </v>
      </c>
      <c r="U25" s="20">
        <f t="shared" si="2"/>
        <v>14</v>
      </c>
      <c r="V25" s="5">
        <f>IF(AND(U25&gt;='Amort. Sched.-BEST'!$AA$8, U25&lt;= ($AA$7+$AA$8)), PMT('Amort. Sched.-BEST'!$W$8/12, 'Amort. Sched.-BEST'!$AA$7, 'Amort. Sched.-BEST'!$W$7), 0)</f>
        <v>0</v>
      </c>
      <c r="W25" s="5">
        <f>IF(AND(U25&gt;='Amort. Sched.-BEST'!$AA$8, U25&lt;= ($AA$7+$AA$8)), (IPMT($W$8/12, (U25-$AA$8), $AA$7, $W$7)), 0)</f>
        <v>0</v>
      </c>
      <c r="X25" s="5">
        <f>IF(AND(U25&gt;='Amort. Sched.-BEST'!$AA$8, U25&lt;= ($AA$7+$AA$8)), (PPMT($W$8/12, (U25-$AA$8), $AA$7, $W$7)), 0)</f>
        <v>0</v>
      </c>
      <c r="Y25" s="5">
        <f>IF(CreditAmort2BEST[[#This Row],[Month]]=AA$8,W$7,0)</f>
        <v>0</v>
      </c>
      <c r="Z25" s="13">
        <f>IF(AND(U25&gt;='Amort. Sched.-BEST'!$AA$8, U25&lt;= ($AA$7+$AA$8)), Z24+X25, 0)</f>
        <v>0</v>
      </c>
      <c r="AA25" s="6" t="str">
        <f>IF(AND(U25&gt;='Amort. Sched.-BEST'!$AA$8, U25&lt;= ($AA$7+$AA$8)), W25/V25, " ")</f>
        <v xml:space="preserve"> </v>
      </c>
      <c r="AB25" s="21" t="str">
        <f>IF(AND(U25&gt;='Amort. Sched.-BEST'!$AA$8, U25&lt;= ($AA$7+$AA$8)), X25/V25, " ")</f>
        <v xml:space="preserve"> </v>
      </c>
      <c r="AD25" s="20">
        <f t="shared" si="3"/>
        <v>14</v>
      </c>
      <c r="AE25" s="5">
        <f t="shared" si="4"/>
        <v>0</v>
      </c>
      <c r="AF25" s="5">
        <f t="shared" si="5"/>
        <v>0</v>
      </c>
      <c r="AG25" s="5">
        <f t="shared" si="6"/>
        <v>0</v>
      </c>
      <c r="AH25" s="5">
        <f>IF(CreditAmort3BEST[[#This Row],[Month]]=AJ$8,AF$7,0)</f>
        <v>0</v>
      </c>
      <c r="AI25" s="13">
        <f t="shared" si="7"/>
        <v>0</v>
      </c>
      <c r="AJ25" s="6" t="str">
        <f t="shared" si="8"/>
        <v xml:space="preserve"> </v>
      </c>
      <c r="AK25" s="21" t="str">
        <f t="shared" si="9"/>
        <v xml:space="preserve"> </v>
      </c>
      <c r="AM25" s="20">
        <f t="shared" si="10"/>
        <v>14</v>
      </c>
      <c r="AN25" s="5">
        <f t="shared" si="11"/>
        <v>0</v>
      </c>
      <c r="AO25" s="5">
        <f t="shared" si="12"/>
        <v>0</v>
      </c>
      <c r="AP25" s="5">
        <f t="shared" si="13"/>
        <v>0</v>
      </c>
      <c r="AQ25" s="5">
        <f>IF(CreditAmort4BEST[[#This Row],[Month]]=AS$8,AO$7,0)</f>
        <v>0</v>
      </c>
      <c r="AR25" s="13">
        <f t="shared" si="14"/>
        <v>0</v>
      </c>
      <c r="AS25" s="6" t="str">
        <f t="shared" si="15"/>
        <v xml:space="preserve"> </v>
      </c>
      <c r="AT25" s="21" t="str">
        <f t="shared" si="16"/>
        <v xml:space="preserve"> </v>
      </c>
    </row>
    <row r="26" spans="3:46">
      <c r="C26" s="22">
        <f t="shared" si="1"/>
        <v>15</v>
      </c>
      <c r="D26" s="23">
        <f>IF(AND(C26&gt;='Amort. Sched.-BEST'!$I$8, C26&lt;= ($I$7+$I$8)), PMT('Amort. Sched.-BEST'!$E$8/12, 'Amort. Sched.-BEST'!$I$7, 'Amort. Sched.-BEST'!$E$7), 0)</f>
        <v>-1350.6783839027553</v>
      </c>
      <c r="E26" s="5">
        <f>IF(AND(C26&gt;='Amort. Sched.-BEST'!$I$8, C26&lt;= ($I$7+$I$8)), (IPMT($E$8/12, (C26-$I$8), $I$7, $E$7)), 0)</f>
        <v>-1148.7277998091322</v>
      </c>
      <c r="F26" s="23">
        <f>IF(AND(C26&gt;='Amort. Sched.-BEST'!$I$8, C26&lt;= ($I$7+$I$8)), (PPMT($E$8/12, (C26-$I$8), $I$7, $E$7)), 0)</f>
        <v>-201.95058409362306</v>
      </c>
      <c r="G26" s="5">
        <f>IF(MortgageAmortBEST[[#This Row],[Month]]=I$8,E$7,0)</f>
        <v>0</v>
      </c>
      <c r="H26" s="13">
        <f>IF(AND(C26&gt;='Amort. Sched.-BEST'!$I$8, C26&lt;= ($I$7+$I$8)), H25+F26, 0)</f>
        <v>172107.21938727621</v>
      </c>
      <c r="I26" s="24">
        <f>IF(AND(C26&gt;='Amort. Sched.-BEST'!$I$8, C26&lt;= ($I$7+$I$8)), E26/D26, " ")</f>
        <v>0.85048210847197292</v>
      </c>
      <c r="J26" s="25">
        <f>IF(AND(C26&gt;='Amort. Sched.-BEST'!$I$8, C26&lt;= ($I$7+$I$8)), F26/D26, " ")</f>
        <v>0.14951789152802705</v>
      </c>
      <c r="L26" s="20">
        <f t="shared" si="0"/>
        <v>15</v>
      </c>
      <c r="M26" s="5">
        <f>IF(AND(L26&gt;='Amort. Sched.-BEST'!$R$8, L26&lt;= ($R$7+$R$8)), PMT('Amort. Sched.-BEST'!$N$8/12, 'Amort. Sched.-BEST'!$R$7, 'Amort. Sched.-BEST'!$N$7), 0)</f>
        <v>0</v>
      </c>
      <c r="N26" s="5">
        <f>IF(AND(L26&gt;='Amort. Sched.-BEST'!$R$8, L26&lt;= ($R$7+$R$8)), (IPMT($N$8/12, (L26-$R$8), $R$7, $N$7)), 0)</f>
        <v>0</v>
      </c>
      <c r="O26" s="5">
        <f>IF(AND(L26&gt;='Amort. Sched.-BEST'!$R$8, L26&lt;= ($R$7+$R$8)), (PPMT($N$8/12, (L26-$R$8), $R$7, $N$7)), 0)</f>
        <v>0</v>
      </c>
      <c r="P26" s="5">
        <f>IF(CreditAmort1BEST[[#This Row],[Month]]=R$8,N$7,0)</f>
        <v>0</v>
      </c>
      <c r="Q26" s="13">
        <f>IF(AND(L26&gt;='Amort. Sched.-BEST'!$R$8, L26&lt;= ($R$7+$R$8)), Q25+O26, 0)</f>
        <v>0</v>
      </c>
      <c r="R26" s="6" t="str">
        <f>IF(AND(L26&gt;='Amort. Sched.-BEST'!$R$8, L26&lt;= ($R$7+$R$8)), N26/M26, " ")</f>
        <v xml:space="preserve"> </v>
      </c>
      <c r="S26" s="21" t="str">
        <f>IF(AND(L26&gt;='Amort. Sched.-BEST'!$R$8, L26&lt;= ($R$7+$R$8)), O26/M26, " ")</f>
        <v xml:space="preserve"> </v>
      </c>
      <c r="U26" s="20">
        <f t="shared" si="2"/>
        <v>15</v>
      </c>
      <c r="V26" s="5">
        <f>IF(AND(U26&gt;='Amort. Sched.-BEST'!$AA$8, U26&lt;= ($AA$7+$AA$8)), PMT('Amort. Sched.-BEST'!$W$8/12, 'Amort. Sched.-BEST'!$AA$7, 'Amort. Sched.-BEST'!$W$7), 0)</f>
        <v>0</v>
      </c>
      <c r="W26" s="5">
        <f>IF(AND(U26&gt;='Amort. Sched.-BEST'!$AA$8, U26&lt;= ($AA$7+$AA$8)), (IPMT($W$8/12, (U26-$AA$8), $AA$7, $W$7)), 0)</f>
        <v>0</v>
      </c>
      <c r="X26" s="5">
        <f>IF(AND(U26&gt;='Amort. Sched.-BEST'!$AA$8, U26&lt;= ($AA$7+$AA$8)), (PPMT($W$8/12, (U26-$AA$8), $AA$7, $W$7)), 0)</f>
        <v>0</v>
      </c>
      <c r="Y26" s="5">
        <f>IF(CreditAmort2BEST[[#This Row],[Month]]=AA$8,W$7,0)</f>
        <v>0</v>
      </c>
      <c r="Z26" s="13">
        <f>IF(AND(U26&gt;='Amort. Sched.-BEST'!$AA$8, U26&lt;= ($AA$7+$AA$8)), Z25+X26, 0)</f>
        <v>0</v>
      </c>
      <c r="AA26" s="6" t="str">
        <f>IF(AND(U26&gt;='Amort. Sched.-BEST'!$AA$8, U26&lt;= ($AA$7+$AA$8)), W26/V26, " ")</f>
        <v xml:space="preserve"> </v>
      </c>
      <c r="AB26" s="21" t="str">
        <f>IF(AND(U26&gt;='Amort. Sched.-BEST'!$AA$8, U26&lt;= ($AA$7+$AA$8)), X26/V26, " ")</f>
        <v xml:space="preserve"> </v>
      </c>
      <c r="AD26" s="20">
        <f t="shared" si="3"/>
        <v>15</v>
      </c>
      <c r="AE26" s="5">
        <f t="shared" si="4"/>
        <v>0</v>
      </c>
      <c r="AF26" s="5">
        <f t="shared" si="5"/>
        <v>0</v>
      </c>
      <c r="AG26" s="5">
        <f t="shared" si="6"/>
        <v>0</v>
      </c>
      <c r="AH26" s="5">
        <f>IF(CreditAmort3BEST[[#This Row],[Month]]=AJ$8,AF$7,0)</f>
        <v>0</v>
      </c>
      <c r="AI26" s="13">
        <f t="shared" si="7"/>
        <v>0</v>
      </c>
      <c r="AJ26" s="6" t="str">
        <f t="shared" si="8"/>
        <v xml:space="preserve"> </v>
      </c>
      <c r="AK26" s="21" t="str">
        <f t="shared" si="9"/>
        <v xml:space="preserve"> </v>
      </c>
      <c r="AM26" s="20">
        <f t="shared" si="10"/>
        <v>15</v>
      </c>
      <c r="AN26" s="5">
        <f t="shared" si="11"/>
        <v>0</v>
      </c>
      <c r="AO26" s="5">
        <f t="shared" si="12"/>
        <v>0</v>
      </c>
      <c r="AP26" s="5">
        <f t="shared" si="13"/>
        <v>0</v>
      </c>
      <c r="AQ26" s="5">
        <f>IF(CreditAmort4BEST[[#This Row],[Month]]=AS$8,AO$7,0)</f>
        <v>0</v>
      </c>
      <c r="AR26" s="13">
        <f t="shared" si="14"/>
        <v>0</v>
      </c>
      <c r="AS26" s="6" t="str">
        <f t="shared" si="15"/>
        <v xml:space="preserve"> </v>
      </c>
      <c r="AT26" s="21" t="str">
        <f t="shared" si="16"/>
        <v xml:space="preserve"> </v>
      </c>
    </row>
    <row r="27" spans="3:46">
      <c r="C27" s="22">
        <f t="shared" si="1"/>
        <v>16</v>
      </c>
      <c r="D27" s="23">
        <f>IF(AND(C27&gt;='Amort. Sched.-BEST'!$I$8, C27&lt;= ($I$7+$I$8)), PMT('Amort. Sched.-BEST'!$E$8/12, 'Amort. Sched.-BEST'!$I$7, 'Amort. Sched.-BEST'!$E$7), 0)</f>
        <v>-1350.6783839027553</v>
      </c>
      <c r="E27" s="5">
        <f>IF(AND(C27&gt;='Amort. Sched.-BEST'!$I$8, C27&lt;= ($I$7+$I$8)), (IPMT($E$8/12, (C27-$I$8), $I$7, $E$7)), 0)</f>
        <v>-1147.3814625818416</v>
      </c>
      <c r="F27" s="23">
        <f>IF(AND(C27&gt;='Amort. Sched.-BEST'!$I$8, C27&lt;= ($I$7+$I$8)), (PPMT($E$8/12, (C27-$I$8), $I$7, $E$7)), 0)</f>
        <v>-203.29692132091387</v>
      </c>
      <c r="G27" s="5">
        <f>IF(MortgageAmortBEST[[#This Row],[Month]]=I$8,E$7,0)</f>
        <v>0</v>
      </c>
      <c r="H27" s="13">
        <f>IF(AND(C27&gt;='Amort. Sched.-BEST'!$I$8, C27&lt;= ($I$7+$I$8)), H26+F27, 0)</f>
        <v>171903.92246595531</v>
      </c>
      <c r="I27" s="24">
        <f>IF(AND(C27&gt;='Amort. Sched.-BEST'!$I$8, C27&lt;= ($I$7+$I$8)), E27/D27, " ")</f>
        <v>0.84948532252845288</v>
      </c>
      <c r="J27" s="25">
        <f>IF(AND(C27&gt;='Amort. Sched.-BEST'!$I$8, C27&lt;= ($I$7+$I$8)), F27/D27, " ")</f>
        <v>0.15051467747154723</v>
      </c>
      <c r="L27" s="20">
        <f t="shared" si="0"/>
        <v>16</v>
      </c>
      <c r="M27" s="5">
        <f>IF(AND(L27&gt;='Amort. Sched.-BEST'!$R$8, L27&lt;= ($R$7+$R$8)), PMT('Amort. Sched.-BEST'!$N$8/12, 'Amort. Sched.-BEST'!$R$7, 'Amort. Sched.-BEST'!$N$7), 0)</f>
        <v>0</v>
      </c>
      <c r="N27" s="5">
        <f>IF(AND(L27&gt;='Amort. Sched.-BEST'!$R$8, L27&lt;= ($R$7+$R$8)), (IPMT($N$8/12, (L27-$R$8), $R$7, $N$7)), 0)</f>
        <v>0</v>
      </c>
      <c r="O27" s="5">
        <f>IF(AND(L27&gt;='Amort. Sched.-BEST'!$R$8, L27&lt;= ($R$7+$R$8)), (PPMT($N$8/12, (L27-$R$8), $R$7, $N$7)), 0)</f>
        <v>0</v>
      </c>
      <c r="P27" s="5">
        <f>IF(CreditAmort1BEST[[#This Row],[Month]]=R$8,N$7,0)</f>
        <v>0</v>
      </c>
      <c r="Q27" s="13">
        <f>IF(AND(L27&gt;='Amort. Sched.-BEST'!$R$8, L27&lt;= ($R$7+$R$8)), Q26+O27, 0)</f>
        <v>0</v>
      </c>
      <c r="R27" s="6" t="str">
        <f>IF(AND(L27&gt;='Amort. Sched.-BEST'!$R$8, L27&lt;= ($R$7+$R$8)), N27/M27, " ")</f>
        <v xml:space="preserve"> </v>
      </c>
      <c r="S27" s="21" t="str">
        <f>IF(AND(L27&gt;='Amort. Sched.-BEST'!$R$8, L27&lt;= ($R$7+$R$8)), O27/M27, " ")</f>
        <v xml:space="preserve"> </v>
      </c>
      <c r="U27" s="20">
        <f t="shared" si="2"/>
        <v>16</v>
      </c>
      <c r="V27" s="5">
        <f>IF(AND(U27&gt;='Amort. Sched.-BEST'!$AA$8, U27&lt;= ($AA$7+$AA$8)), PMT('Amort. Sched.-BEST'!$W$8/12, 'Amort. Sched.-BEST'!$AA$7, 'Amort. Sched.-BEST'!$W$7), 0)</f>
        <v>0</v>
      </c>
      <c r="W27" s="5">
        <f>IF(AND(U27&gt;='Amort. Sched.-BEST'!$AA$8, U27&lt;= ($AA$7+$AA$8)), (IPMT($W$8/12, (U27-$AA$8), $AA$7, $W$7)), 0)</f>
        <v>0</v>
      </c>
      <c r="X27" s="5">
        <f>IF(AND(U27&gt;='Amort. Sched.-BEST'!$AA$8, U27&lt;= ($AA$7+$AA$8)), (PPMT($W$8/12, (U27-$AA$8), $AA$7, $W$7)), 0)</f>
        <v>0</v>
      </c>
      <c r="Y27" s="5">
        <f>IF(CreditAmort2BEST[[#This Row],[Month]]=AA$8,W$7,0)</f>
        <v>0</v>
      </c>
      <c r="Z27" s="13">
        <f>IF(AND(U27&gt;='Amort. Sched.-BEST'!$AA$8, U27&lt;= ($AA$7+$AA$8)), Z26+X27, 0)</f>
        <v>0</v>
      </c>
      <c r="AA27" s="6" t="str">
        <f>IF(AND(U27&gt;='Amort. Sched.-BEST'!$AA$8, U27&lt;= ($AA$7+$AA$8)), W27/V27, " ")</f>
        <v xml:space="preserve"> </v>
      </c>
      <c r="AB27" s="21" t="str">
        <f>IF(AND(U27&gt;='Amort. Sched.-BEST'!$AA$8, U27&lt;= ($AA$7+$AA$8)), X27/V27, " ")</f>
        <v xml:space="preserve"> </v>
      </c>
      <c r="AD27" s="20">
        <f t="shared" si="3"/>
        <v>16</v>
      </c>
      <c r="AE27" s="5">
        <f t="shared" si="4"/>
        <v>0</v>
      </c>
      <c r="AF27" s="5">
        <f t="shared" si="5"/>
        <v>0</v>
      </c>
      <c r="AG27" s="5">
        <f t="shared" si="6"/>
        <v>0</v>
      </c>
      <c r="AH27" s="5">
        <f>IF(CreditAmort3BEST[[#This Row],[Month]]=AJ$8,AF$7,0)</f>
        <v>0</v>
      </c>
      <c r="AI27" s="13">
        <f t="shared" si="7"/>
        <v>0</v>
      </c>
      <c r="AJ27" s="6" t="str">
        <f t="shared" si="8"/>
        <v xml:space="preserve"> </v>
      </c>
      <c r="AK27" s="21" t="str">
        <f t="shared" si="9"/>
        <v xml:space="preserve"> </v>
      </c>
      <c r="AM27" s="20">
        <f t="shared" si="10"/>
        <v>16</v>
      </c>
      <c r="AN27" s="5">
        <f t="shared" si="11"/>
        <v>0</v>
      </c>
      <c r="AO27" s="5">
        <f t="shared" si="12"/>
        <v>0</v>
      </c>
      <c r="AP27" s="5">
        <f t="shared" si="13"/>
        <v>0</v>
      </c>
      <c r="AQ27" s="5">
        <f>IF(CreditAmort4BEST[[#This Row],[Month]]=AS$8,AO$7,0)</f>
        <v>0</v>
      </c>
      <c r="AR27" s="13">
        <f t="shared" si="14"/>
        <v>0</v>
      </c>
      <c r="AS27" s="6" t="str">
        <f t="shared" si="15"/>
        <v xml:space="preserve"> </v>
      </c>
      <c r="AT27" s="21" t="str">
        <f t="shared" si="16"/>
        <v xml:space="preserve"> </v>
      </c>
    </row>
    <row r="28" spans="3:46">
      <c r="C28" s="22">
        <f t="shared" si="1"/>
        <v>17</v>
      </c>
      <c r="D28" s="23">
        <f>IF(AND(C28&gt;='Amort. Sched.-BEST'!$I$8, C28&lt;= ($I$7+$I$8)), PMT('Amort. Sched.-BEST'!$E$8/12, 'Amort. Sched.-BEST'!$I$7, 'Amort. Sched.-BEST'!$E$7), 0)</f>
        <v>-1350.6783839027553</v>
      </c>
      <c r="E28" s="5">
        <f>IF(AND(C28&gt;='Amort. Sched.-BEST'!$I$8, C28&lt;= ($I$7+$I$8)), (IPMT($E$8/12, (C28-$I$8), $I$7, $E$7)), 0)</f>
        <v>-1146.0261497730355</v>
      </c>
      <c r="F28" s="23">
        <f>IF(AND(C28&gt;='Amort. Sched.-BEST'!$I$8, C28&lt;= ($I$7+$I$8)), (PPMT($E$8/12, (C28-$I$8), $I$7, $E$7)), 0)</f>
        <v>-204.65223412971997</v>
      </c>
      <c r="G28" s="5">
        <f>IF(MortgageAmortBEST[[#This Row],[Month]]=I$8,E$7,0)</f>
        <v>0</v>
      </c>
      <c r="H28" s="13">
        <f>IF(AND(C28&gt;='Amort. Sched.-BEST'!$I$8, C28&lt;= ($I$7+$I$8)), H27+F28, 0)</f>
        <v>171699.27023182559</v>
      </c>
      <c r="I28" s="24">
        <f>IF(AND(C28&gt;='Amort. Sched.-BEST'!$I$8, C28&lt;= ($I$7+$I$8)), E28/D28, " ")</f>
        <v>0.84848189134530927</v>
      </c>
      <c r="J28" s="25">
        <f>IF(AND(C28&gt;='Amort. Sched.-BEST'!$I$8, C28&lt;= ($I$7+$I$8)), F28/D28, " ")</f>
        <v>0.1515181086546909</v>
      </c>
      <c r="L28" s="20">
        <f t="shared" si="0"/>
        <v>17</v>
      </c>
      <c r="M28" s="5">
        <f>IF(AND(L28&gt;='Amort. Sched.-BEST'!$R$8, L28&lt;= ($R$7+$R$8)), PMT('Amort. Sched.-BEST'!$N$8/12, 'Amort. Sched.-BEST'!$R$7, 'Amort. Sched.-BEST'!$N$7), 0)</f>
        <v>0</v>
      </c>
      <c r="N28" s="5">
        <f>IF(AND(L28&gt;='Amort. Sched.-BEST'!$R$8, L28&lt;= ($R$7+$R$8)), (IPMT($N$8/12, (L28-$R$8), $R$7, $N$7)), 0)</f>
        <v>0</v>
      </c>
      <c r="O28" s="5">
        <f>IF(AND(L28&gt;='Amort. Sched.-BEST'!$R$8, L28&lt;= ($R$7+$R$8)), (PPMT($N$8/12, (L28-$R$8), $R$7, $N$7)), 0)</f>
        <v>0</v>
      </c>
      <c r="P28" s="5">
        <f>IF(CreditAmort1BEST[[#This Row],[Month]]=R$8,N$7,0)</f>
        <v>0</v>
      </c>
      <c r="Q28" s="13">
        <f>IF(AND(L28&gt;='Amort. Sched.-BEST'!$R$8, L28&lt;= ($R$7+$R$8)), Q27+O28, 0)</f>
        <v>0</v>
      </c>
      <c r="R28" s="6" t="str">
        <f>IF(AND(L28&gt;='Amort. Sched.-BEST'!$R$8, L28&lt;= ($R$7+$R$8)), N28/M28, " ")</f>
        <v xml:space="preserve"> </v>
      </c>
      <c r="S28" s="21" t="str">
        <f>IF(AND(L28&gt;='Amort. Sched.-BEST'!$R$8, L28&lt;= ($R$7+$R$8)), O28/M28, " ")</f>
        <v xml:space="preserve"> </v>
      </c>
      <c r="U28" s="20">
        <f t="shared" si="2"/>
        <v>17</v>
      </c>
      <c r="V28" s="5">
        <f>IF(AND(U28&gt;='Amort. Sched.-BEST'!$AA$8, U28&lt;= ($AA$7+$AA$8)), PMT('Amort. Sched.-BEST'!$W$8/12, 'Amort. Sched.-BEST'!$AA$7, 'Amort. Sched.-BEST'!$W$7), 0)</f>
        <v>0</v>
      </c>
      <c r="W28" s="5">
        <f>IF(AND(U28&gt;='Amort. Sched.-BEST'!$AA$8, U28&lt;= ($AA$7+$AA$8)), (IPMT($W$8/12, (U28-$AA$8), $AA$7, $W$7)), 0)</f>
        <v>0</v>
      </c>
      <c r="X28" s="5">
        <f>IF(AND(U28&gt;='Amort. Sched.-BEST'!$AA$8, U28&lt;= ($AA$7+$AA$8)), (PPMT($W$8/12, (U28-$AA$8), $AA$7, $W$7)), 0)</f>
        <v>0</v>
      </c>
      <c r="Y28" s="5">
        <f>IF(CreditAmort2BEST[[#This Row],[Month]]=AA$8,W$7,0)</f>
        <v>0</v>
      </c>
      <c r="Z28" s="13">
        <f>IF(AND(U28&gt;='Amort. Sched.-BEST'!$AA$8, U28&lt;= ($AA$7+$AA$8)), Z27+X28, 0)</f>
        <v>0</v>
      </c>
      <c r="AA28" s="6" t="str">
        <f>IF(AND(U28&gt;='Amort. Sched.-BEST'!$AA$8, U28&lt;= ($AA$7+$AA$8)), W28/V28, " ")</f>
        <v xml:space="preserve"> </v>
      </c>
      <c r="AB28" s="21" t="str">
        <f>IF(AND(U28&gt;='Amort. Sched.-BEST'!$AA$8, U28&lt;= ($AA$7+$AA$8)), X28/V28, " ")</f>
        <v xml:space="preserve"> </v>
      </c>
      <c r="AD28" s="20">
        <f t="shared" si="3"/>
        <v>17</v>
      </c>
      <c r="AE28" s="5">
        <f t="shared" si="4"/>
        <v>0</v>
      </c>
      <c r="AF28" s="5">
        <f t="shared" si="5"/>
        <v>0</v>
      </c>
      <c r="AG28" s="5">
        <f t="shared" si="6"/>
        <v>0</v>
      </c>
      <c r="AH28" s="5">
        <f>IF(CreditAmort3BEST[[#This Row],[Month]]=AJ$8,AF$7,0)</f>
        <v>0</v>
      </c>
      <c r="AI28" s="13">
        <f t="shared" si="7"/>
        <v>0</v>
      </c>
      <c r="AJ28" s="6" t="str">
        <f t="shared" si="8"/>
        <v xml:space="preserve"> </v>
      </c>
      <c r="AK28" s="21" t="str">
        <f t="shared" si="9"/>
        <v xml:space="preserve"> </v>
      </c>
      <c r="AM28" s="20">
        <f t="shared" si="10"/>
        <v>17</v>
      </c>
      <c r="AN28" s="5">
        <f t="shared" si="11"/>
        <v>0</v>
      </c>
      <c r="AO28" s="5">
        <f t="shared" si="12"/>
        <v>0</v>
      </c>
      <c r="AP28" s="5">
        <f t="shared" si="13"/>
        <v>0</v>
      </c>
      <c r="AQ28" s="5">
        <f>IF(CreditAmort4BEST[[#This Row],[Month]]=AS$8,AO$7,0)</f>
        <v>0</v>
      </c>
      <c r="AR28" s="13">
        <f t="shared" si="14"/>
        <v>0</v>
      </c>
      <c r="AS28" s="6" t="str">
        <f t="shared" si="15"/>
        <v xml:space="preserve"> </v>
      </c>
      <c r="AT28" s="21" t="str">
        <f t="shared" si="16"/>
        <v xml:space="preserve"> </v>
      </c>
    </row>
    <row r="29" spans="3:46">
      <c r="C29" s="22">
        <f t="shared" si="1"/>
        <v>18</v>
      </c>
      <c r="D29" s="23">
        <f>IF(AND(C29&gt;='Amort. Sched.-BEST'!$I$8, C29&lt;= ($I$7+$I$8)), PMT('Amort. Sched.-BEST'!$E$8/12, 'Amort. Sched.-BEST'!$I$7, 'Amort. Sched.-BEST'!$E$7), 0)</f>
        <v>-1350.6783839027553</v>
      </c>
      <c r="E29" s="5">
        <f>IF(AND(C29&gt;='Amort. Sched.-BEST'!$I$8, C29&lt;= ($I$7+$I$8)), (IPMT($E$8/12, (C29-$I$8), $I$7, $E$7)), 0)</f>
        <v>-1144.6618015455037</v>
      </c>
      <c r="F29" s="23">
        <f>IF(AND(C29&gt;='Amort. Sched.-BEST'!$I$8, C29&lt;= ($I$7+$I$8)), (PPMT($E$8/12, (C29-$I$8), $I$7, $E$7)), 0)</f>
        <v>-206.01658235725145</v>
      </c>
      <c r="G29" s="5">
        <f>IF(MortgageAmortBEST[[#This Row],[Month]]=I$8,E$7,0)</f>
        <v>0</v>
      </c>
      <c r="H29" s="13">
        <f>IF(AND(C29&gt;='Amort. Sched.-BEST'!$I$8, C29&lt;= ($I$7+$I$8)), H28+F29, 0)</f>
        <v>171493.25364946833</v>
      </c>
      <c r="I29" s="24">
        <f>IF(AND(C29&gt;='Amort. Sched.-BEST'!$I$8, C29&lt;= ($I$7+$I$8)), E29/D29, " ")</f>
        <v>0.84747177062094448</v>
      </c>
      <c r="J29" s="25">
        <f>IF(AND(C29&gt;='Amort. Sched.-BEST'!$I$8, C29&lt;= ($I$7+$I$8)), F29/D29, " ")</f>
        <v>0.1525282293790555</v>
      </c>
      <c r="L29" s="20">
        <f t="shared" si="0"/>
        <v>18</v>
      </c>
      <c r="M29" s="5">
        <f>IF(AND(L29&gt;='Amort. Sched.-BEST'!$R$8, L29&lt;= ($R$7+$R$8)), PMT('Amort. Sched.-BEST'!$N$8/12, 'Amort. Sched.-BEST'!$R$7, 'Amort. Sched.-BEST'!$N$7), 0)</f>
        <v>0</v>
      </c>
      <c r="N29" s="5">
        <f>IF(AND(L29&gt;='Amort. Sched.-BEST'!$R$8, L29&lt;= ($R$7+$R$8)), (IPMT($N$8/12, (L29-$R$8), $R$7, $N$7)), 0)</f>
        <v>0</v>
      </c>
      <c r="O29" s="5">
        <f>IF(AND(L29&gt;='Amort. Sched.-BEST'!$R$8, L29&lt;= ($R$7+$R$8)), (PPMT($N$8/12, (L29-$R$8), $R$7, $N$7)), 0)</f>
        <v>0</v>
      </c>
      <c r="P29" s="5">
        <f>IF(CreditAmort1BEST[[#This Row],[Month]]=R$8,N$7,0)</f>
        <v>0</v>
      </c>
      <c r="Q29" s="13">
        <f>IF(AND(L29&gt;='Amort. Sched.-BEST'!$R$8, L29&lt;= ($R$7+$R$8)), Q28+O29, 0)</f>
        <v>0</v>
      </c>
      <c r="R29" s="6" t="str">
        <f>IF(AND(L29&gt;='Amort. Sched.-BEST'!$R$8, L29&lt;= ($R$7+$R$8)), N29/M29, " ")</f>
        <v xml:space="preserve"> </v>
      </c>
      <c r="S29" s="21" t="str">
        <f>IF(AND(L29&gt;='Amort. Sched.-BEST'!$R$8, L29&lt;= ($R$7+$R$8)), O29/M29, " ")</f>
        <v xml:space="preserve"> </v>
      </c>
      <c r="U29" s="20">
        <f t="shared" si="2"/>
        <v>18</v>
      </c>
      <c r="V29" s="5">
        <f>IF(AND(U29&gt;='Amort. Sched.-BEST'!$AA$8, U29&lt;= ($AA$7+$AA$8)), PMT('Amort. Sched.-BEST'!$W$8/12, 'Amort. Sched.-BEST'!$AA$7, 'Amort. Sched.-BEST'!$W$7), 0)</f>
        <v>0</v>
      </c>
      <c r="W29" s="5">
        <f>IF(AND(U29&gt;='Amort. Sched.-BEST'!$AA$8, U29&lt;= ($AA$7+$AA$8)), (IPMT($W$8/12, (U29-$AA$8), $AA$7, $W$7)), 0)</f>
        <v>0</v>
      </c>
      <c r="X29" s="5">
        <f>IF(AND(U29&gt;='Amort. Sched.-BEST'!$AA$8, U29&lt;= ($AA$7+$AA$8)), (PPMT($W$8/12, (U29-$AA$8), $AA$7, $W$7)), 0)</f>
        <v>0</v>
      </c>
      <c r="Y29" s="5">
        <f>IF(CreditAmort2BEST[[#This Row],[Month]]=AA$8,W$7,0)</f>
        <v>0</v>
      </c>
      <c r="Z29" s="13">
        <f>IF(AND(U29&gt;='Amort. Sched.-BEST'!$AA$8, U29&lt;= ($AA$7+$AA$8)), Z28+X29, 0)</f>
        <v>0</v>
      </c>
      <c r="AA29" s="6" t="str">
        <f>IF(AND(U29&gt;='Amort. Sched.-BEST'!$AA$8, U29&lt;= ($AA$7+$AA$8)), W29/V29, " ")</f>
        <v xml:space="preserve"> </v>
      </c>
      <c r="AB29" s="21" t="str">
        <f>IF(AND(U29&gt;='Amort. Sched.-BEST'!$AA$8, U29&lt;= ($AA$7+$AA$8)), X29/V29, " ")</f>
        <v xml:space="preserve"> </v>
      </c>
      <c r="AD29" s="20">
        <f t="shared" si="3"/>
        <v>18</v>
      </c>
      <c r="AE29" s="5">
        <f t="shared" si="4"/>
        <v>0</v>
      </c>
      <c r="AF29" s="5">
        <f t="shared" si="5"/>
        <v>0</v>
      </c>
      <c r="AG29" s="5">
        <f t="shared" si="6"/>
        <v>0</v>
      </c>
      <c r="AH29" s="5">
        <f>IF(CreditAmort3BEST[[#This Row],[Month]]=AJ$8,AF$7,0)</f>
        <v>0</v>
      </c>
      <c r="AI29" s="13">
        <f t="shared" si="7"/>
        <v>0</v>
      </c>
      <c r="AJ29" s="6" t="str">
        <f t="shared" si="8"/>
        <v xml:space="preserve"> </v>
      </c>
      <c r="AK29" s="21" t="str">
        <f t="shared" si="9"/>
        <v xml:space="preserve"> </v>
      </c>
      <c r="AM29" s="20">
        <f t="shared" si="10"/>
        <v>18</v>
      </c>
      <c r="AN29" s="5">
        <f t="shared" si="11"/>
        <v>0</v>
      </c>
      <c r="AO29" s="5">
        <f t="shared" si="12"/>
        <v>0</v>
      </c>
      <c r="AP29" s="5">
        <f t="shared" si="13"/>
        <v>0</v>
      </c>
      <c r="AQ29" s="5">
        <f>IF(CreditAmort4BEST[[#This Row],[Month]]=AS$8,AO$7,0)</f>
        <v>0</v>
      </c>
      <c r="AR29" s="13">
        <f t="shared" si="14"/>
        <v>0</v>
      </c>
      <c r="AS29" s="6" t="str">
        <f t="shared" si="15"/>
        <v xml:space="preserve"> </v>
      </c>
      <c r="AT29" s="21" t="str">
        <f t="shared" si="16"/>
        <v xml:space="preserve"> </v>
      </c>
    </row>
    <row r="30" spans="3:46">
      <c r="C30" s="22">
        <f t="shared" si="1"/>
        <v>19</v>
      </c>
      <c r="D30" s="23">
        <f>IF(AND(C30&gt;='Amort. Sched.-BEST'!$I$8, C30&lt;= ($I$7+$I$8)), PMT('Amort. Sched.-BEST'!$E$8/12, 'Amort. Sched.-BEST'!$I$7, 'Amort. Sched.-BEST'!$E$7), 0)</f>
        <v>-1350.6783839027553</v>
      </c>
      <c r="E30" s="5">
        <f>IF(AND(C30&gt;='Amort. Sched.-BEST'!$I$8, C30&lt;= ($I$7+$I$8)), (IPMT($E$8/12, (C30-$I$8), $I$7, $E$7)), 0)</f>
        <v>-1143.2883576631223</v>
      </c>
      <c r="F30" s="23">
        <f>IF(AND(C30&gt;='Amort. Sched.-BEST'!$I$8, C30&lt;= ($I$7+$I$8)), (PPMT($E$8/12, (C30-$I$8), $I$7, $E$7)), 0)</f>
        <v>-207.39002623963313</v>
      </c>
      <c r="G30" s="5">
        <f>IF(MortgageAmortBEST[[#This Row],[Month]]=I$8,E$7,0)</f>
        <v>0</v>
      </c>
      <c r="H30" s="13">
        <f>IF(AND(C30&gt;='Amort. Sched.-BEST'!$I$8, C30&lt;= ($I$7+$I$8)), H29+F30, 0)</f>
        <v>171285.86362322871</v>
      </c>
      <c r="I30" s="24">
        <f>IF(AND(C30&gt;='Amort. Sched.-BEST'!$I$8, C30&lt;= ($I$7+$I$8)), E30/D30, " ")</f>
        <v>0.84645491575841758</v>
      </c>
      <c r="J30" s="25">
        <f>IF(AND(C30&gt;='Amort. Sched.-BEST'!$I$8, C30&lt;= ($I$7+$I$8)), F30/D30, " ")</f>
        <v>0.15354508424158256</v>
      </c>
      <c r="L30" s="20">
        <f t="shared" si="0"/>
        <v>19</v>
      </c>
      <c r="M30" s="5">
        <f>IF(AND(L30&gt;='Amort. Sched.-BEST'!$R$8, L30&lt;= ($R$7+$R$8)), PMT('Amort. Sched.-BEST'!$N$8/12, 'Amort. Sched.-BEST'!$R$7, 'Amort. Sched.-BEST'!$N$7), 0)</f>
        <v>0</v>
      </c>
      <c r="N30" s="5">
        <f>IF(AND(L30&gt;='Amort. Sched.-BEST'!$R$8, L30&lt;= ($R$7+$R$8)), (IPMT($N$8/12, (L30-$R$8), $R$7, $N$7)), 0)</f>
        <v>0</v>
      </c>
      <c r="O30" s="5">
        <f>IF(AND(L30&gt;='Amort. Sched.-BEST'!$R$8, L30&lt;= ($R$7+$R$8)), (PPMT($N$8/12, (L30-$R$8), $R$7, $N$7)), 0)</f>
        <v>0</v>
      </c>
      <c r="P30" s="5">
        <f>IF(CreditAmort1BEST[[#This Row],[Month]]=R$8,N$7,0)</f>
        <v>0</v>
      </c>
      <c r="Q30" s="13">
        <f>IF(AND(L30&gt;='Amort. Sched.-BEST'!$R$8, L30&lt;= ($R$7+$R$8)), Q29+O30, 0)</f>
        <v>0</v>
      </c>
      <c r="R30" s="6" t="str">
        <f>IF(AND(L30&gt;='Amort. Sched.-BEST'!$R$8, L30&lt;= ($R$7+$R$8)), N30/M30, " ")</f>
        <v xml:space="preserve"> </v>
      </c>
      <c r="S30" s="21" t="str">
        <f>IF(AND(L30&gt;='Amort. Sched.-BEST'!$R$8, L30&lt;= ($R$7+$R$8)), O30/M30, " ")</f>
        <v xml:space="preserve"> </v>
      </c>
      <c r="U30" s="20">
        <f t="shared" si="2"/>
        <v>19</v>
      </c>
      <c r="V30" s="5">
        <f>IF(AND(U30&gt;='Amort. Sched.-BEST'!$AA$8, U30&lt;= ($AA$7+$AA$8)), PMT('Amort. Sched.-BEST'!$W$8/12, 'Amort. Sched.-BEST'!$AA$7, 'Amort. Sched.-BEST'!$W$7), 0)</f>
        <v>0</v>
      </c>
      <c r="W30" s="5">
        <f>IF(AND(U30&gt;='Amort. Sched.-BEST'!$AA$8, U30&lt;= ($AA$7+$AA$8)), (IPMT($W$8/12, (U30-$AA$8), $AA$7, $W$7)), 0)</f>
        <v>0</v>
      </c>
      <c r="X30" s="5">
        <f>IF(AND(U30&gt;='Amort. Sched.-BEST'!$AA$8, U30&lt;= ($AA$7+$AA$8)), (PPMT($W$8/12, (U30-$AA$8), $AA$7, $W$7)), 0)</f>
        <v>0</v>
      </c>
      <c r="Y30" s="5">
        <f>IF(CreditAmort2BEST[[#This Row],[Month]]=AA$8,W$7,0)</f>
        <v>0</v>
      </c>
      <c r="Z30" s="13">
        <f>IF(AND(U30&gt;='Amort. Sched.-BEST'!$AA$8, U30&lt;= ($AA$7+$AA$8)), Z29+X30, 0)</f>
        <v>0</v>
      </c>
      <c r="AA30" s="6" t="str">
        <f>IF(AND(U30&gt;='Amort. Sched.-BEST'!$AA$8, U30&lt;= ($AA$7+$AA$8)), W30/V30, " ")</f>
        <v xml:space="preserve"> </v>
      </c>
      <c r="AB30" s="21" t="str">
        <f>IF(AND(U30&gt;='Amort. Sched.-BEST'!$AA$8, U30&lt;= ($AA$7+$AA$8)), X30/V30, " ")</f>
        <v xml:space="preserve"> </v>
      </c>
      <c r="AD30" s="20">
        <f t="shared" si="3"/>
        <v>19</v>
      </c>
      <c r="AE30" s="5">
        <f t="shared" si="4"/>
        <v>0</v>
      </c>
      <c r="AF30" s="5">
        <f t="shared" si="5"/>
        <v>0</v>
      </c>
      <c r="AG30" s="5">
        <f t="shared" si="6"/>
        <v>0</v>
      </c>
      <c r="AH30" s="5">
        <f>IF(CreditAmort3BEST[[#This Row],[Month]]=AJ$8,AF$7,0)</f>
        <v>0</v>
      </c>
      <c r="AI30" s="13">
        <f t="shared" si="7"/>
        <v>0</v>
      </c>
      <c r="AJ30" s="6" t="str">
        <f t="shared" si="8"/>
        <v xml:space="preserve"> </v>
      </c>
      <c r="AK30" s="21" t="str">
        <f t="shared" si="9"/>
        <v xml:space="preserve"> </v>
      </c>
      <c r="AM30" s="20">
        <f t="shared" si="10"/>
        <v>19</v>
      </c>
      <c r="AN30" s="5">
        <f t="shared" si="11"/>
        <v>0</v>
      </c>
      <c r="AO30" s="5">
        <f t="shared" si="12"/>
        <v>0</v>
      </c>
      <c r="AP30" s="5">
        <f t="shared" si="13"/>
        <v>0</v>
      </c>
      <c r="AQ30" s="5">
        <f>IF(CreditAmort4BEST[[#This Row],[Month]]=AS$8,AO$7,0)</f>
        <v>0</v>
      </c>
      <c r="AR30" s="13">
        <f t="shared" si="14"/>
        <v>0</v>
      </c>
      <c r="AS30" s="6" t="str">
        <f t="shared" si="15"/>
        <v xml:space="preserve"> </v>
      </c>
      <c r="AT30" s="21" t="str">
        <f t="shared" si="16"/>
        <v xml:space="preserve"> </v>
      </c>
    </row>
    <row r="31" spans="3:46">
      <c r="C31" s="22">
        <f t="shared" si="1"/>
        <v>20</v>
      </c>
      <c r="D31" s="23">
        <f>IF(AND(C31&gt;='Amort. Sched.-BEST'!$I$8, C31&lt;= ($I$7+$I$8)), PMT('Amort. Sched.-BEST'!$E$8/12, 'Amort. Sched.-BEST'!$I$7, 'Amort. Sched.-BEST'!$E$7), 0)</f>
        <v>-1350.6783839027553</v>
      </c>
      <c r="E31" s="5">
        <f>IF(AND(C31&gt;='Amort. Sched.-BEST'!$I$8, C31&lt;= ($I$7+$I$8)), (IPMT($E$8/12, (C31-$I$8), $I$7, $E$7)), 0)</f>
        <v>-1141.9057574881913</v>
      </c>
      <c r="F31" s="23">
        <f>IF(AND(C31&gt;='Amort. Sched.-BEST'!$I$8, C31&lt;= ($I$7+$I$8)), (PPMT($E$8/12, (C31-$I$8), $I$7, $E$7)), 0)</f>
        <v>-208.772626414564</v>
      </c>
      <c r="G31" s="5">
        <f>IF(MortgageAmortBEST[[#This Row],[Month]]=I$8,E$7,0)</f>
        <v>0</v>
      </c>
      <c r="H31" s="13">
        <f>IF(AND(C31&gt;='Amort. Sched.-BEST'!$I$8, C31&lt;= ($I$7+$I$8)), H30+F31, 0)</f>
        <v>171077.09099681413</v>
      </c>
      <c r="I31" s="24">
        <f>IF(AND(C31&gt;='Amort. Sched.-BEST'!$I$8, C31&lt;= ($I$7+$I$8)), E31/D31, " ")</f>
        <v>0.8454312818634736</v>
      </c>
      <c r="J31" s="25">
        <f>IF(AND(C31&gt;='Amort. Sched.-BEST'!$I$8, C31&lt;= ($I$7+$I$8)), F31/D31, " ")</f>
        <v>0.15456871813652642</v>
      </c>
      <c r="L31" s="20">
        <f t="shared" si="0"/>
        <v>20</v>
      </c>
      <c r="M31" s="5">
        <f>IF(AND(L31&gt;='Amort. Sched.-BEST'!$R$8, L31&lt;= ($R$7+$R$8)), PMT('Amort. Sched.-BEST'!$N$8/12, 'Amort. Sched.-BEST'!$R$7, 'Amort. Sched.-BEST'!$N$7), 0)</f>
        <v>0</v>
      </c>
      <c r="N31" s="5">
        <f>IF(AND(L31&gt;='Amort. Sched.-BEST'!$R$8, L31&lt;= ($R$7+$R$8)), (IPMT($N$8/12, (L31-$R$8), $R$7, $N$7)), 0)</f>
        <v>0</v>
      </c>
      <c r="O31" s="5">
        <f>IF(AND(L31&gt;='Amort. Sched.-BEST'!$R$8, L31&lt;= ($R$7+$R$8)), (PPMT($N$8/12, (L31-$R$8), $R$7, $N$7)), 0)</f>
        <v>0</v>
      </c>
      <c r="P31" s="5">
        <f>IF(CreditAmort1BEST[[#This Row],[Month]]=R$8,N$7,0)</f>
        <v>0</v>
      </c>
      <c r="Q31" s="13">
        <f>IF(AND(L31&gt;='Amort. Sched.-BEST'!$R$8, L31&lt;= ($R$7+$R$8)), Q30+O31, 0)</f>
        <v>0</v>
      </c>
      <c r="R31" s="6" t="str">
        <f>IF(AND(L31&gt;='Amort. Sched.-BEST'!$R$8, L31&lt;= ($R$7+$R$8)), N31/M31, " ")</f>
        <v xml:space="preserve"> </v>
      </c>
      <c r="S31" s="21" t="str">
        <f>IF(AND(L31&gt;='Amort. Sched.-BEST'!$R$8, L31&lt;= ($R$7+$R$8)), O31/M31, " ")</f>
        <v xml:space="preserve"> </v>
      </c>
      <c r="U31" s="20">
        <f t="shared" si="2"/>
        <v>20</v>
      </c>
      <c r="V31" s="5">
        <f>IF(AND(U31&gt;='Amort. Sched.-BEST'!$AA$8, U31&lt;= ($AA$7+$AA$8)), PMT('Amort. Sched.-BEST'!$W$8/12, 'Amort. Sched.-BEST'!$AA$7, 'Amort. Sched.-BEST'!$W$7), 0)</f>
        <v>0</v>
      </c>
      <c r="W31" s="5">
        <f>IF(AND(U31&gt;='Amort. Sched.-BEST'!$AA$8, U31&lt;= ($AA$7+$AA$8)), (IPMT($W$8/12, (U31-$AA$8), $AA$7, $W$7)), 0)</f>
        <v>0</v>
      </c>
      <c r="X31" s="5">
        <f>IF(AND(U31&gt;='Amort. Sched.-BEST'!$AA$8, U31&lt;= ($AA$7+$AA$8)), (PPMT($W$8/12, (U31-$AA$8), $AA$7, $W$7)), 0)</f>
        <v>0</v>
      </c>
      <c r="Y31" s="5">
        <f>IF(CreditAmort2BEST[[#This Row],[Month]]=AA$8,W$7,0)</f>
        <v>0</v>
      </c>
      <c r="Z31" s="13">
        <f>IF(AND(U31&gt;='Amort. Sched.-BEST'!$AA$8, U31&lt;= ($AA$7+$AA$8)), Z30+X31, 0)</f>
        <v>0</v>
      </c>
      <c r="AA31" s="6" t="str">
        <f>IF(AND(U31&gt;='Amort. Sched.-BEST'!$AA$8, U31&lt;= ($AA$7+$AA$8)), W31/V31, " ")</f>
        <v xml:space="preserve"> </v>
      </c>
      <c r="AB31" s="21" t="str">
        <f>IF(AND(U31&gt;='Amort. Sched.-BEST'!$AA$8, U31&lt;= ($AA$7+$AA$8)), X31/V31, " ")</f>
        <v xml:space="preserve"> </v>
      </c>
      <c r="AD31" s="20">
        <f t="shared" si="3"/>
        <v>20</v>
      </c>
      <c r="AE31" s="5">
        <f t="shared" si="4"/>
        <v>0</v>
      </c>
      <c r="AF31" s="5">
        <f t="shared" si="5"/>
        <v>0</v>
      </c>
      <c r="AG31" s="5">
        <f t="shared" si="6"/>
        <v>0</v>
      </c>
      <c r="AH31" s="5">
        <f>IF(CreditAmort3BEST[[#This Row],[Month]]=AJ$8,AF$7,0)</f>
        <v>0</v>
      </c>
      <c r="AI31" s="13">
        <f t="shared" si="7"/>
        <v>0</v>
      </c>
      <c r="AJ31" s="6" t="str">
        <f t="shared" si="8"/>
        <v xml:space="preserve"> </v>
      </c>
      <c r="AK31" s="21" t="str">
        <f t="shared" si="9"/>
        <v xml:space="preserve"> </v>
      </c>
      <c r="AM31" s="20">
        <f t="shared" si="10"/>
        <v>20</v>
      </c>
      <c r="AN31" s="5">
        <f t="shared" si="11"/>
        <v>0</v>
      </c>
      <c r="AO31" s="5">
        <f t="shared" si="12"/>
        <v>0</v>
      </c>
      <c r="AP31" s="5">
        <f t="shared" si="13"/>
        <v>0</v>
      </c>
      <c r="AQ31" s="5">
        <f>IF(CreditAmort4BEST[[#This Row],[Month]]=AS$8,AO$7,0)</f>
        <v>0</v>
      </c>
      <c r="AR31" s="13">
        <f t="shared" si="14"/>
        <v>0</v>
      </c>
      <c r="AS31" s="6" t="str">
        <f t="shared" si="15"/>
        <v xml:space="preserve"> </v>
      </c>
      <c r="AT31" s="21" t="str">
        <f t="shared" si="16"/>
        <v xml:space="preserve"> </v>
      </c>
    </row>
    <row r="32" spans="3:46">
      <c r="C32" s="22">
        <f t="shared" si="1"/>
        <v>21</v>
      </c>
      <c r="D32" s="23">
        <f>IF(AND(C32&gt;='Amort. Sched.-BEST'!$I$8, C32&lt;= ($I$7+$I$8)), PMT('Amort. Sched.-BEST'!$E$8/12, 'Amort. Sched.-BEST'!$I$7, 'Amort. Sched.-BEST'!$E$7), 0)</f>
        <v>-1350.6783839027553</v>
      </c>
      <c r="E32" s="5">
        <f>IF(AND(C32&gt;='Amort. Sched.-BEST'!$I$8, C32&lt;= ($I$7+$I$8)), (IPMT($E$8/12, (C32-$I$8), $I$7, $E$7)), 0)</f>
        <v>-1140.5139399787611</v>
      </c>
      <c r="F32" s="23">
        <f>IF(AND(C32&gt;='Amort. Sched.-BEST'!$I$8, C32&lt;= ($I$7+$I$8)), (PPMT($E$8/12, (C32-$I$8), $I$7, $E$7)), 0)</f>
        <v>-210.16444392399441</v>
      </c>
      <c r="G32" s="5">
        <f>IF(MortgageAmortBEST[[#This Row],[Month]]=I$8,E$7,0)</f>
        <v>0</v>
      </c>
      <c r="H32" s="13">
        <f>IF(AND(C32&gt;='Amort. Sched.-BEST'!$I$8, C32&lt;= ($I$7+$I$8)), H31+F32, 0)</f>
        <v>170866.92655289013</v>
      </c>
      <c r="I32" s="24">
        <f>IF(AND(C32&gt;='Amort. Sched.-BEST'!$I$8, C32&lt;= ($I$7+$I$8)), E32/D32, " ")</f>
        <v>0.84440082374256353</v>
      </c>
      <c r="J32" s="25">
        <f>IF(AND(C32&gt;='Amort. Sched.-BEST'!$I$8, C32&lt;= ($I$7+$I$8)), F32/D32, " ")</f>
        <v>0.15559917625743658</v>
      </c>
      <c r="L32" s="20">
        <f t="shared" si="0"/>
        <v>21</v>
      </c>
      <c r="M32" s="5">
        <f>IF(AND(L32&gt;='Amort. Sched.-BEST'!$R$8, L32&lt;= ($R$7+$R$8)), PMT('Amort. Sched.-BEST'!$N$8/12, 'Amort. Sched.-BEST'!$R$7, 'Amort. Sched.-BEST'!$N$7), 0)</f>
        <v>0</v>
      </c>
      <c r="N32" s="5">
        <f>IF(AND(L32&gt;='Amort. Sched.-BEST'!$R$8, L32&lt;= ($R$7+$R$8)), (IPMT($N$8/12, (L32-$R$8), $R$7, $N$7)), 0)</f>
        <v>0</v>
      </c>
      <c r="O32" s="5">
        <f>IF(AND(L32&gt;='Amort. Sched.-BEST'!$R$8, L32&lt;= ($R$7+$R$8)), (PPMT($N$8/12, (L32-$R$8), $R$7, $N$7)), 0)</f>
        <v>0</v>
      </c>
      <c r="P32" s="5">
        <f>IF(CreditAmort1BEST[[#This Row],[Month]]=R$8,N$7,0)</f>
        <v>0</v>
      </c>
      <c r="Q32" s="13">
        <f>IF(AND(L32&gt;='Amort. Sched.-BEST'!$R$8, L32&lt;= ($R$7+$R$8)), Q31+O32, 0)</f>
        <v>0</v>
      </c>
      <c r="R32" s="6" t="str">
        <f>IF(AND(L32&gt;='Amort. Sched.-BEST'!$R$8, L32&lt;= ($R$7+$R$8)), N32/M32, " ")</f>
        <v xml:space="preserve"> </v>
      </c>
      <c r="S32" s="21" t="str">
        <f>IF(AND(L32&gt;='Amort. Sched.-BEST'!$R$8, L32&lt;= ($R$7+$R$8)), O32/M32, " ")</f>
        <v xml:space="preserve"> </v>
      </c>
      <c r="U32" s="20">
        <f t="shared" si="2"/>
        <v>21</v>
      </c>
      <c r="V32" s="5">
        <f>IF(AND(U32&gt;='Amort. Sched.-BEST'!$AA$8, U32&lt;= ($AA$7+$AA$8)), PMT('Amort. Sched.-BEST'!$W$8/12, 'Amort. Sched.-BEST'!$AA$7, 'Amort. Sched.-BEST'!$W$7), 0)</f>
        <v>0</v>
      </c>
      <c r="W32" s="5">
        <f>IF(AND(U32&gt;='Amort. Sched.-BEST'!$AA$8, U32&lt;= ($AA$7+$AA$8)), (IPMT($W$8/12, (U32-$AA$8), $AA$7, $W$7)), 0)</f>
        <v>0</v>
      </c>
      <c r="X32" s="5">
        <f>IF(AND(U32&gt;='Amort. Sched.-BEST'!$AA$8, U32&lt;= ($AA$7+$AA$8)), (PPMT($W$8/12, (U32-$AA$8), $AA$7, $W$7)), 0)</f>
        <v>0</v>
      </c>
      <c r="Y32" s="5">
        <f>IF(CreditAmort2BEST[[#This Row],[Month]]=AA$8,W$7,0)</f>
        <v>0</v>
      </c>
      <c r="Z32" s="13">
        <f>IF(AND(U32&gt;='Amort. Sched.-BEST'!$AA$8, U32&lt;= ($AA$7+$AA$8)), Z31+X32, 0)</f>
        <v>0</v>
      </c>
      <c r="AA32" s="6" t="str">
        <f>IF(AND(U32&gt;='Amort. Sched.-BEST'!$AA$8, U32&lt;= ($AA$7+$AA$8)), W32/V32, " ")</f>
        <v xml:space="preserve"> </v>
      </c>
      <c r="AB32" s="21" t="str">
        <f>IF(AND(U32&gt;='Amort. Sched.-BEST'!$AA$8, U32&lt;= ($AA$7+$AA$8)), X32/V32, " ")</f>
        <v xml:space="preserve"> </v>
      </c>
      <c r="AD32" s="20">
        <f t="shared" si="3"/>
        <v>21</v>
      </c>
      <c r="AE32" s="5">
        <f t="shared" si="4"/>
        <v>0</v>
      </c>
      <c r="AF32" s="5">
        <f t="shared" si="5"/>
        <v>0</v>
      </c>
      <c r="AG32" s="5">
        <f t="shared" si="6"/>
        <v>0</v>
      </c>
      <c r="AH32" s="5">
        <f>IF(CreditAmort3BEST[[#This Row],[Month]]=AJ$8,AF$7,0)</f>
        <v>0</v>
      </c>
      <c r="AI32" s="13">
        <f t="shared" si="7"/>
        <v>0</v>
      </c>
      <c r="AJ32" s="6" t="str">
        <f t="shared" si="8"/>
        <v xml:space="preserve"> </v>
      </c>
      <c r="AK32" s="21" t="str">
        <f t="shared" si="9"/>
        <v xml:space="preserve"> </v>
      </c>
      <c r="AM32" s="20">
        <f t="shared" si="10"/>
        <v>21</v>
      </c>
      <c r="AN32" s="5">
        <f t="shared" si="11"/>
        <v>0</v>
      </c>
      <c r="AO32" s="5">
        <f t="shared" si="12"/>
        <v>0</v>
      </c>
      <c r="AP32" s="5">
        <f t="shared" si="13"/>
        <v>0</v>
      </c>
      <c r="AQ32" s="5">
        <f>IF(CreditAmort4BEST[[#This Row],[Month]]=AS$8,AO$7,0)</f>
        <v>0</v>
      </c>
      <c r="AR32" s="13">
        <f t="shared" si="14"/>
        <v>0</v>
      </c>
      <c r="AS32" s="6" t="str">
        <f t="shared" si="15"/>
        <v xml:space="preserve"> </v>
      </c>
      <c r="AT32" s="21" t="str">
        <f t="shared" si="16"/>
        <v xml:space="preserve"> </v>
      </c>
    </row>
    <row r="33" spans="3:46">
      <c r="C33" s="22">
        <f t="shared" si="1"/>
        <v>22</v>
      </c>
      <c r="D33" s="23">
        <f>IF(AND(C33&gt;='Amort. Sched.-BEST'!$I$8, C33&lt;= ($I$7+$I$8)), PMT('Amort. Sched.-BEST'!$E$8/12, 'Amort. Sched.-BEST'!$I$7, 'Amort. Sched.-BEST'!$E$7), 0)</f>
        <v>-1350.6783839027553</v>
      </c>
      <c r="E33" s="5">
        <f>IF(AND(C33&gt;='Amort. Sched.-BEST'!$I$8, C33&lt;= ($I$7+$I$8)), (IPMT($E$8/12, (C33-$I$8), $I$7, $E$7)), 0)</f>
        <v>-1139.1128436859342</v>
      </c>
      <c r="F33" s="23">
        <f>IF(AND(C33&gt;='Amort. Sched.-BEST'!$I$8, C33&lt;= ($I$7+$I$8)), (PPMT($E$8/12, (C33-$I$8), $I$7, $E$7)), 0)</f>
        <v>-211.56554021682101</v>
      </c>
      <c r="G33" s="5">
        <f>IF(MortgageAmortBEST[[#This Row],[Month]]=I$8,E$7,0)</f>
        <v>0</v>
      </c>
      <c r="H33" s="13">
        <f>IF(AND(C33&gt;='Amort. Sched.-BEST'!$I$8, C33&lt;= ($I$7+$I$8)), H32+F33, 0)</f>
        <v>170655.3610126733</v>
      </c>
      <c r="I33" s="24">
        <f>IF(AND(C33&gt;='Amort. Sched.-BEST'!$I$8, C33&lt;= ($I$7+$I$8)), E33/D33, " ")</f>
        <v>0.84336349590084714</v>
      </c>
      <c r="J33" s="25">
        <f>IF(AND(C33&gt;='Amort. Sched.-BEST'!$I$8, C33&lt;= ($I$7+$I$8)), F33/D33, " ")</f>
        <v>0.15663650409915281</v>
      </c>
      <c r="L33" s="20">
        <f t="shared" si="0"/>
        <v>22</v>
      </c>
      <c r="M33" s="5">
        <f>IF(AND(L33&gt;='Amort. Sched.-BEST'!$R$8, L33&lt;= ($R$7+$R$8)), PMT('Amort. Sched.-BEST'!$N$8/12, 'Amort. Sched.-BEST'!$R$7, 'Amort. Sched.-BEST'!$N$7), 0)</f>
        <v>0</v>
      </c>
      <c r="N33" s="5">
        <f>IF(AND(L33&gt;='Amort. Sched.-BEST'!$R$8, L33&lt;= ($R$7+$R$8)), (IPMT($N$8/12, (L33-$R$8), $R$7, $N$7)), 0)</f>
        <v>0</v>
      </c>
      <c r="O33" s="5">
        <f>IF(AND(L33&gt;='Amort. Sched.-BEST'!$R$8, L33&lt;= ($R$7+$R$8)), (PPMT($N$8/12, (L33-$R$8), $R$7, $N$7)), 0)</f>
        <v>0</v>
      </c>
      <c r="P33" s="5">
        <f>IF(CreditAmort1BEST[[#This Row],[Month]]=R$8,N$7,0)</f>
        <v>0</v>
      </c>
      <c r="Q33" s="13">
        <f>IF(AND(L33&gt;='Amort. Sched.-BEST'!$R$8, L33&lt;= ($R$7+$R$8)), Q32+O33, 0)</f>
        <v>0</v>
      </c>
      <c r="R33" s="6" t="str">
        <f>IF(AND(L33&gt;='Amort. Sched.-BEST'!$R$8, L33&lt;= ($R$7+$R$8)), N33/M33, " ")</f>
        <v xml:space="preserve"> </v>
      </c>
      <c r="S33" s="21" t="str">
        <f>IF(AND(L33&gt;='Amort. Sched.-BEST'!$R$8, L33&lt;= ($R$7+$R$8)), O33/M33, " ")</f>
        <v xml:space="preserve"> </v>
      </c>
      <c r="U33" s="20">
        <f t="shared" si="2"/>
        <v>22</v>
      </c>
      <c r="V33" s="5">
        <f>IF(AND(U33&gt;='Amort. Sched.-BEST'!$AA$8, U33&lt;= ($AA$7+$AA$8)), PMT('Amort. Sched.-BEST'!$W$8/12, 'Amort. Sched.-BEST'!$AA$7, 'Amort. Sched.-BEST'!$W$7), 0)</f>
        <v>0</v>
      </c>
      <c r="W33" s="5">
        <f>IF(AND(U33&gt;='Amort. Sched.-BEST'!$AA$8, U33&lt;= ($AA$7+$AA$8)), (IPMT($W$8/12, (U33-$AA$8), $AA$7, $W$7)), 0)</f>
        <v>0</v>
      </c>
      <c r="X33" s="5">
        <f>IF(AND(U33&gt;='Amort. Sched.-BEST'!$AA$8, U33&lt;= ($AA$7+$AA$8)), (PPMT($W$8/12, (U33-$AA$8), $AA$7, $W$7)), 0)</f>
        <v>0</v>
      </c>
      <c r="Y33" s="5">
        <f>IF(CreditAmort2BEST[[#This Row],[Month]]=AA$8,W$7,0)</f>
        <v>0</v>
      </c>
      <c r="Z33" s="13">
        <f>IF(AND(U33&gt;='Amort. Sched.-BEST'!$AA$8, U33&lt;= ($AA$7+$AA$8)), Z32+X33, 0)</f>
        <v>0</v>
      </c>
      <c r="AA33" s="6" t="str">
        <f>IF(AND(U33&gt;='Amort. Sched.-BEST'!$AA$8, U33&lt;= ($AA$7+$AA$8)), W33/V33, " ")</f>
        <v xml:space="preserve"> </v>
      </c>
      <c r="AB33" s="21" t="str">
        <f>IF(AND(U33&gt;='Amort. Sched.-BEST'!$AA$8, U33&lt;= ($AA$7+$AA$8)), X33/V33, " ")</f>
        <v xml:space="preserve"> </v>
      </c>
      <c r="AD33" s="20">
        <f t="shared" si="3"/>
        <v>22</v>
      </c>
      <c r="AE33" s="5">
        <f t="shared" si="4"/>
        <v>0</v>
      </c>
      <c r="AF33" s="5">
        <f t="shared" si="5"/>
        <v>0</v>
      </c>
      <c r="AG33" s="5">
        <f t="shared" si="6"/>
        <v>0</v>
      </c>
      <c r="AH33" s="5">
        <f>IF(CreditAmort3BEST[[#This Row],[Month]]=AJ$8,AF$7,0)</f>
        <v>0</v>
      </c>
      <c r="AI33" s="13">
        <f t="shared" si="7"/>
        <v>0</v>
      </c>
      <c r="AJ33" s="6" t="str">
        <f t="shared" si="8"/>
        <v xml:space="preserve"> </v>
      </c>
      <c r="AK33" s="21" t="str">
        <f t="shared" si="9"/>
        <v xml:space="preserve"> </v>
      </c>
      <c r="AM33" s="20">
        <f t="shared" si="10"/>
        <v>22</v>
      </c>
      <c r="AN33" s="5">
        <f t="shared" si="11"/>
        <v>0</v>
      </c>
      <c r="AO33" s="5">
        <f t="shared" si="12"/>
        <v>0</v>
      </c>
      <c r="AP33" s="5">
        <f t="shared" si="13"/>
        <v>0</v>
      </c>
      <c r="AQ33" s="5">
        <f>IF(CreditAmort4BEST[[#This Row],[Month]]=AS$8,AO$7,0)</f>
        <v>0</v>
      </c>
      <c r="AR33" s="13">
        <f t="shared" si="14"/>
        <v>0</v>
      </c>
      <c r="AS33" s="6" t="str">
        <f t="shared" si="15"/>
        <v xml:space="preserve"> </v>
      </c>
      <c r="AT33" s="21" t="str">
        <f t="shared" si="16"/>
        <v xml:space="preserve"> </v>
      </c>
    </row>
    <row r="34" spans="3:46">
      <c r="C34" s="22">
        <f t="shared" si="1"/>
        <v>23</v>
      </c>
      <c r="D34" s="23">
        <f>IF(AND(C34&gt;='Amort. Sched.-BEST'!$I$8, C34&lt;= ($I$7+$I$8)), PMT('Amort. Sched.-BEST'!$E$8/12, 'Amort. Sched.-BEST'!$I$7, 'Amort. Sched.-BEST'!$E$7), 0)</f>
        <v>-1350.6783839027553</v>
      </c>
      <c r="E34" s="5">
        <f>IF(AND(C34&gt;='Amort. Sched.-BEST'!$I$8, C34&lt;= ($I$7+$I$8)), (IPMT($E$8/12, (C34-$I$8), $I$7, $E$7)), 0)</f>
        <v>-1137.7024067511554</v>
      </c>
      <c r="F34" s="23">
        <f>IF(AND(C34&gt;='Amort. Sched.-BEST'!$I$8, C34&lt;= ($I$7+$I$8)), (PPMT($E$8/12, (C34-$I$8), $I$7, $E$7)), 0)</f>
        <v>-212.97597715159989</v>
      </c>
      <c r="G34" s="5">
        <f>IF(MortgageAmortBEST[[#This Row],[Month]]=I$8,E$7,0)</f>
        <v>0</v>
      </c>
      <c r="H34" s="13">
        <f>IF(AND(C34&gt;='Amort. Sched.-BEST'!$I$8, C34&lt;= ($I$7+$I$8)), H33+F34, 0)</f>
        <v>170442.3850355217</v>
      </c>
      <c r="I34" s="24">
        <f>IF(AND(C34&gt;='Amort. Sched.-BEST'!$I$8, C34&lt;= ($I$7+$I$8)), E34/D34, " ")</f>
        <v>0.84231925254018614</v>
      </c>
      <c r="J34" s="25">
        <f>IF(AND(C34&gt;='Amort. Sched.-BEST'!$I$8, C34&lt;= ($I$7+$I$8)), F34/D34, " ")</f>
        <v>0.15768074745981386</v>
      </c>
      <c r="L34" s="20">
        <f t="shared" si="0"/>
        <v>23</v>
      </c>
      <c r="M34" s="5">
        <f>IF(AND(L34&gt;='Amort. Sched.-BEST'!$R$8, L34&lt;= ($R$7+$R$8)), PMT('Amort. Sched.-BEST'!$N$8/12, 'Amort. Sched.-BEST'!$R$7, 'Amort. Sched.-BEST'!$N$7), 0)</f>
        <v>0</v>
      </c>
      <c r="N34" s="5">
        <f>IF(AND(L34&gt;='Amort. Sched.-BEST'!$R$8, L34&lt;= ($R$7+$R$8)), (IPMT($N$8/12, (L34-$R$8), $R$7, $N$7)), 0)</f>
        <v>0</v>
      </c>
      <c r="O34" s="5">
        <f>IF(AND(L34&gt;='Amort. Sched.-BEST'!$R$8, L34&lt;= ($R$7+$R$8)), (PPMT($N$8/12, (L34-$R$8), $R$7, $N$7)), 0)</f>
        <v>0</v>
      </c>
      <c r="P34" s="5">
        <f>IF(CreditAmort1BEST[[#This Row],[Month]]=R$8,N$7,0)</f>
        <v>0</v>
      </c>
      <c r="Q34" s="13">
        <f>IF(AND(L34&gt;='Amort. Sched.-BEST'!$R$8, L34&lt;= ($R$7+$R$8)), Q33+O34, 0)</f>
        <v>0</v>
      </c>
      <c r="R34" s="6" t="str">
        <f>IF(AND(L34&gt;='Amort. Sched.-BEST'!$R$8, L34&lt;= ($R$7+$R$8)), N34/M34, " ")</f>
        <v xml:space="preserve"> </v>
      </c>
      <c r="S34" s="21" t="str">
        <f>IF(AND(L34&gt;='Amort. Sched.-BEST'!$R$8, L34&lt;= ($R$7+$R$8)), O34/M34, " ")</f>
        <v xml:space="preserve"> </v>
      </c>
      <c r="U34" s="20">
        <f t="shared" si="2"/>
        <v>23</v>
      </c>
      <c r="V34" s="5">
        <f>IF(AND(U34&gt;='Amort. Sched.-BEST'!$AA$8, U34&lt;= ($AA$7+$AA$8)), PMT('Amort. Sched.-BEST'!$W$8/12, 'Amort. Sched.-BEST'!$AA$7, 'Amort. Sched.-BEST'!$W$7), 0)</f>
        <v>0</v>
      </c>
      <c r="W34" s="5">
        <f>IF(AND(U34&gt;='Amort. Sched.-BEST'!$AA$8, U34&lt;= ($AA$7+$AA$8)), (IPMT($W$8/12, (U34-$AA$8), $AA$7, $W$7)), 0)</f>
        <v>0</v>
      </c>
      <c r="X34" s="5">
        <f>IF(AND(U34&gt;='Amort. Sched.-BEST'!$AA$8, U34&lt;= ($AA$7+$AA$8)), (PPMT($W$8/12, (U34-$AA$8), $AA$7, $W$7)), 0)</f>
        <v>0</v>
      </c>
      <c r="Y34" s="5">
        <f>IF(CreditAmort2BEST[[#This Row],[Month]]=AA$8,W$7,0)</f>
        <v>0</v>
      </c>
      <c r="Z34" s="13">
        <f>IF(AND(U34&gt;='Amort. Sched.-BEST'!$AA$8, U34&lt;= ($AA$7+$AA$8)), Z33+X34, 0)</f>
        <v>0</v>
      </c>
      <c r="AA34" s="6" t="str">
        <f>IF(AND(U34&gt;='Amort. Sched.-BEST'!$AA$8, U34&lt;= ($AA$7+$AA$8)), W34/V34, " ")</f>
        <v xml:space="preserve"> </v>
      </c>
      <c r="AB34" s="21" t="str">
        <f>IF(AND(U34&gt;='Amort. Sched.-BEST'!$AA$8, U34&lt;= ($AA$7+$AA$8)), X34/V34, " ")</f>
        <v xml:space="preserve"> </v>
      </c>
      <c r="AD34" s="20">
        <f t="shared" si="3"/>
        <v>23</v>
      </c>
      <c r="AE34" s="5">
        <f t="shared" si="4"/>
        <v>0</v>
      </c>
      <c r="AF34" s="5">
        <f t="shared" si="5"/>
        <v>0</v>
      </c>
      <c r="AG34" s="5">
        <f t="shared" si="6"/>
        <v>0</v>
      </c>
      <c r="AH34" s="5">
        <f>IF(CreditAmort3BEST[[#This Row],[Month]]=AJ$8,AF$7,0)</f>
        <v>0</v>
      </c>
      <c r="AI34" s="13">
        <f t="shared" si="7"/>
        <v>0</v>
      </c>
      <c r="AJ34" s="6" t="str">
        <f t="shared" si="8"/>
        <v xml:space="preserve"> </v>
      </c>
      <c r="AK34" s="21" t="str">
        <f t="shared" si="9"/>
        <v xml:space="preserve"> </v>
      </c>
      <c r="AM34" s="20">
        <f t="shared" si="10"/>
        <v>23</v>
      </c>
      <c r="AN34" s="5">
        <f t="shared" si="11"/>
        <v>0</v>
      </c>
      <c r="AO34" s="5">
        <f t="shared" si="12"/>
        <v>0</v>
      </c>
      <c r="AP34" s="5">
        <f t="shared" si="13"/>
        <v>0</v>
      </c>
      <c r="AQ34" s="5">
        <f>IF(CreditAmort4BEST[[#This Row],[Month]]=AS$8,AO$7,0)</f>
        <v>0</v>
      </c>
      <c r="AR34" s="13">
        <f t="shared" si="14"/>
        <v>0</v>
      </c>
      <c r="AS34" s="6" t="str">
        <f t="shared" si="15"/>
        <v xml:space="preserve"> </v>
      </c>
      <c r="AT34" s="21" t="str">
        <f t="shared" si="16"/>
        <v xml:space="preserve"> </v>
      </c>
    </row>
    <row r="35" spans="3:46">
      <c r="C35" s="22">
        <f t="shared" si="1"/>
        <v>24</v>
      </c>
      <c r="D35" s="23">
        <f>IF(AND(C35&gt;='Amort. Sched.-BEST'!$I$8, C35&lt;= ($I$7+$I$8)), PMT('Amort. Sched.-BEST'!$E$8/12, 'Amort. Sched.-BEST'!$I$7, 'Amort. Sched.-BEST'!$E$7), 0)</f>
        <v>-1350.6783839027553</v>
      </c>
      <c r="E35" s="5">
        <f>IF(AND(C35&gt;='Amort. Sched.-BEST'!$I$8, C35&lt;= ($I$7+$I$8)), (IPMT($E$8/12, (C35-$I$8), $I$7, $E$7)), 0)</f>
        <v>-1136.282566903478</v>
      </c>
      <c r="F35" s="23">
        <f>IF(AND(C35&gt;='Amort. Sched.-BEST'!$I$8, C35&lt;= ($I$7+$I$8)), (PPMT($E$8/12, (C35-$I$8), $I$7, $E$7)), 0)</f>
        <v>-214.39581699927723</v>
      </c>
      <c r="G35" s="5">
        <f>IF(MortgageAmortBEST[[#This Row],[Month]]=I$8,E$7,0)</f>
        <v>0</v>
      </c>
      <c r="H35" s="13">
        <f>IF(AND(C35&gt;='Amort. Sched.-BEST'!$I$8, C35&lt;= ($I$7+$I$8)), H34+F35, 0)</f>
        <v>170227.98921852242</v>
      </c>
      <c r="I35" s="24">
        <f>IF(AND(C35&gt;='Amort. Sched.-BEST'!$I$8, C35&lt;= ($I$7+$I$8)), E35/D35, " ")</f>
        <v>0.8412680475571207</v>
      </c>
      <c r="J35" s="25">
        <f>IF(AND(C35&gt;='Amort. Sched.-BEST'!$I$8, C35&lt;= ($I$7+$I$8)), F35/D35, " ")</f>
        <v>0.1587319524428793</v>
      </c>
      <c r="L35" s="20">
        <f t="shared" si="0"/>
        <v>24</v>
      </c>
      <c r="M35" s="5">
        <f>IF(AND(L35&gt;='Amort. Sched.-BEST'!$R$8, L35&lt;= ($R$7+$R$8)), PMT('Amort. Sched.-BEST'!$N$8/12, 'Amort. Sched.-BEST'!$R$7, 'Amort. Sched.-BEST'!$N$7), 0)</f>
        <v>0</v>
      </c>
      <c r="N35" s="5">
        <f>IF(AND(L35&gt;='Amort. Sched.-BEST'!$R$8, L35&lt;= ($R$7+$R$8)), (IPMT($N$8/12, (L35-$R$8), $R$7, $N$7)), 0)</f>
        <v>0</v>
      </c>
      <c r="O35" s="5">
        <f>IF(AND(L35&gt;='Amort. Sched.-BEST'!$R$8, L35&lt;= ($R$7+$R$8)), (PPMT($N$8/12, (L35-$R$8), $R$7, $N$7)), 0)</f>
        <v>0</v>
      </c>
      <c r="P35" s="5">
        <f>IF(CreditAmort1BEST[[#This Row],[Month]]=R$8,N$7,0)</f>
        <v>0</v>
      </c>
      <c r="Q35" s="13">
        <f>IF(AND(L35&gt;='Amort. Sched.-BEST'!$R$8, L35&lt;= ($R$7+$R$8)), Q34+O35, 0)</f>
        <v>0</v>
      </c>
      <c r="R35" s="6" t="str">
        <f>IF(AND(L35&gt;='Amort. Sched.-BEST'!$R$8, L35&lt;= ($R$7+$R$8)), N35/M35, " ")</f>
        <v xml:space="preserve"> </v>
      </c>
      <c r="S35" s="21" t="str">
        <f>IF(AND(L35&gt;='Amort. Sched.-BEST'!$R$8, L35&lt;= ($R$7+$R$8)), O35/M35, " ")</f>
        <v xml:space="preserve"> </v>
      </c>
      <c r="U35" s="20">
        <f t="shared" si="2"/>
        <v>24</v>
      </c>
      <c r="V35" s="5">
        <f>IF(AND(U35&gt;='Amort. Sched.-BEST'!$AA$8, U35&lt;= ($AA$7+$AA$8)), PMT('Amort. Sched.-BEST'!$W$8/12, 'Amort. Sched.-BEST'!$AA$7, 'Amort. Sched.-BEST'!$W$7), 0)</f>
        <v>0</v>
      </c>
      <c r="W35" s="5">
        <f>IF(AND(U35&gt;='Amort. Sched.-BEST'!$AA$8, U35&lt;= ($AA$7+$AA$8)), (IPMT($W$8/12, (U35-$AA$8), $AA$7, $W$7)), 0)</f>
        <v>0</v>
      </c>
      <c r="X35" s="5">
        <f>IF(AND(U35&gt;='Amort. Sched.-BEST'!$AA$8, U35&lt;= ($AA$7+$AA$8)), (PPMT($W$8/12, (U35-$AA$8), $AA$7, $W$7)), 0)</f>
        <v>0</v>
      </c>
      <c r="Y35" s="5">
        <f>IF(CreditAmort2BEST[[#This Row],[Month]]=AA$8,W$7,0)</f>
        <v>0</v>
      </c>
      <c r="Z35" s="13">
        <f>IF(AND(U35&gt;='Amort. Sched.-BEST'!$AA$8, U35&lt;= ($AA$7+$AA$8)), Z34+X35, 0)</f>
        <v>0</v>
      </c>
      <c r="AA35" s="6" t="str">
        <f>IF(AND(U35&gt;='Amort. Sched.-BEST'!$AA$8, U35&lt;= ($AA$7+$AA$8)), W35/V35, " ")</f>
        <v xml:space="preserve"> </v>
      </c>
      <c r="AB35" s="21" t="str">
        <f>IF(AND(U35&gt;='Amort. Sched.-BEST'!$AA$8, U35&lt;= ($AA$7+$AA$8)), X35/V35, " ")</f>
        <v xml:space="preserve"> </v>
      </c>
      <c r="AD35" s="20">
        <f t="shared" si="3"/>
        <v>24</v>
      </c>
      <c r="AE35" s="5">
        <f t="shared" si="4"/>
        <v>0</v>
      </c>
      <c r="AF35" s="5">
        <f t="shared" si="5"/>
        <v>0</v>
      </c>
      <c r="AG35" s="5">
        <f t="shared" si="6"/>
        <v>0</v>
      </c>
      <c r="AH35" s="5">
        <f>IF(CreditAmort3BEST[[#This Row],[Month]]=AJ$8,AF$7,0)</f>
        <v>0</v>
      </c>
      <c r="AI35" s="13">
        <f t="shared" si="7"/>
        <v>0</v>
      </c>
      <c r="AJ35" s="6" t="str">
        <f t="shared" si="8"/>
        <v xml:space="preserve"> </v>
      </c>
      <c r="AK35" s="21" t="str">
        <f t="shared" si="9"/>
        <v xml:space="preserve"> </v>
      </c>
      <c r="AM35" s="20">
        <f t="shared" si="10"/>
        <v>24</v>
      </c>
      <c r="AN35" s="5">
        <f t="shared" si="11"/>
        <v>0</v>
      </c>
      <c r="AO35" s="5">
        <f t="shared" si="12"/>
        <v>0</v>
      </c>
      <c r="AP35" s="5">
        <f t="shared" si="13"/>
        <v>0</v>
      </c>
      <c r="AQ35" s="5">
        <f>IF(CreditAmort4BEST[[#This Row],[Month]]=AS$8,AO$7,0)</f>
        <v>0</v>
      </c>
      <c r="AR35" s="13">
        <f t="shared" si="14"/>
        <v>0</v>
      </c>
      <c r="AS35" s="6" t="str">
        <f t="shared" si="15"/>
        <v xml:space="preserve"> </v>
      </c>
      <c r="AT35" s="21" t="str">
        <f t="shared" si="16"/>
        <v xml:space="preserve"> </v>
      </c>
    </row>
    <row r="36" spans="3:46">
      <c r="C36" s="22">
        <f t="shared" si="1"/>
        <v>25</v>
      </c>
      <c r="D36" s="23">
        <f>IF(AND(C36&gt;='Amort. Sched.-BEST'!$I$8, C36&lt;= ($I$7+$I$8)), PMT('Amort. Sched.-BEST'!$E$8/12, 'Amort. Sched.-BEST'!$I$7, 'Amort. Sched.-BEST'!$E$7), 0)</f>
        <v>-1350.6783839027553</v>
      </c>
      <c r="E36" s="5">
        <f>IF(AND(C36&gt;='Amort. Sched.-BEST'!$I$8, C36&lt;= ($I$7+$I$8)), (IPMT($E$8/12, (C36-$I$8), $I$7, $E$7)), 0)</f>
        <v>-1134.8532614568164</v>
      </c>
      <c r="F36" s="23">
        <f>IF(AND(C36&gt;='Amort. Sched.-BEST'!$I$8, C36&lt;= ($I$7+$I$8)), (PPMT($E$8/12, (C36-$I$8), $I$7, $E$7)), 0)</f>
        <v>-215.82512244593903</v>
      </c>
      <c r="G36" s="5">
        <f>IF(MortgageAmortBEST[[#This Row],[Month]]=I$8,E$7,0)</f>
        <v>0</v>
      </c>
      <c r="H36" s="13">
        <f>IF(AND(C36&gt;='Amort. Sched.-BEST'!$I$8, C36&lt;= ($I$7+$I$8)), H35+F36, 0)</f>
        <v>170012.16409607648</v>
      </c>
      <c r="I36" s="24">
        <f>IF(AND(C36&gt;='Amort. Sched.-BEST'!$I$8, C36&lt;= ($I$7+$I$8)), E36/D36, " ")</f>
        <v>0.84020983454083498</v>
      </c>
      <c r="J36" s="25">
        <f>IF(AND(C36&gt;='Amort. Sched.-BEST'!$I$8, C36&lt;= ($I$7+$I$8)), F36/D36, " ")</f>
        <v>0.15979016545916513</v>
      </c>
      <c r="L36" s="20">
        <f t="shared" si="0"/>
        <v>25</v>
      </c>
      <c r="M36" s="5">
        <f>IF(AND(L36&gt;='Amort. Sched.-BEST'!$R$8, L36&lt;= ($R$7+$R$8)), PMT('Amort. Sched.-BEST'!$N$8/12, 'Amort. Sched.-BEST'!$R$7, 'Amort. Sched.-BEST'!$N$7), 0)</f>
        <v>0</v>
      </c>
      <c r="N36" s="5">
        <f>IF(AND(L36&gt;='Amort. Sched.-BEST'!$R$8, L36&lt;= ($R$7+$R$8)), (IPMT($N$8/12, (L36-$R$8), $R$7, $N$7)), 0)</f>
        <v>0</v>
      </c>
      <c r="O36" s="5">
        <f>IF(AND(L36&gt;='Amort. Sched.-BEST'!$R$8, L36&lt;= ($R$7+$R$8)), (PPMT($N$8/12, (L36-$R$8), $R$7, $N$7)), 0)</f>
        <v>0</v>
      </c>
      <c r="P36" s="5">
        <f>IF(CreditAmort1BEST[[#This Row],[Month]]=R$8,N$7,0)</f>
        <v>0</v>
      </c>
      <c r="Q36" s="13">
        <f>IF(AND(L36&gt;='Amort. Sched.-BEST'!$R$8, L36&lt;= ($R$7+$R$8)), Q35+O36, 0)</f>
        <v>0</v>
      </c>
      <c r="R36" s="6" t="str">
        <f>IF(AND(L36&gt;='Amort. Sched.-BEST'!$R$8, L36&lt;= ($R$7+$R$8)), N36/M36, " ")</f>
        <v xml:space="preserve"> </v>
      </c>
      <c r="S36" s="21" t="str">
        <f>IF(AND(L36&gt;='Amort. Sched.-BEST'!$R$8, L36&lt;= ($R$7+$R$8)), O36/M36, " ")</f>
        <v xml:space="preserve"> </v>
      </c>
      <c r="U36" s="20">
        <f t="shared" si="2"/>
        <v>25</v>
      </c>
      <c r="V36" s="5">
        <f>IF(AND(U36&gt;='Amort. Sched.-BEST'!$AA$8, U36&lt;= ($AA$7+$AA$8)), PMT('Amort. Sched.-BEST'!$W$8/12, 'Amort. Sched.-BEST'!$AA$7, 'Amort. Sched.-BEST'!$W$7), 0)</f>
        <v>0</v>
      </c>
      <c r="W36" s="5">
        <f>IF(AND(U36&gt;='Amort. Sched.-BEST'!$AA$8, U36&lt;= ($AA$7+$AA$8)), (IPMT($W$8/12, (U36-$AA$8), $AA$7, $W$7)), 0)</f>
        <v>0</v>
      </c>
      <c r="X36" s="5">
        <f>IF(AND(U36&gt;='Amort. Sched.-BEST'!$AA$8, U36&lt;= ($AA$7+$AA$8)), (PPMT($W$8/12, (U36-$AA$8), $AA$7, $W$7)), 0)</f>
        <v>0</v>
      </c>
      <c r="Y36" s="5">
        <f>IF(CreditAmort2BEST[[#This Row],[Month]]=AA$8,W$7,0)</f>
        <v>0</v>
      </c>
      <c r="Z36" s="13">
        <f>IF(AND(U36&gt;='Amort. Sched.-BEST'!$AA$8, U36&lt;= ($AA$7+$AA$8)), Z35+X36, 0)</f>
        <v>0</v>
      </c>
      <c r="AA36" s="6" t="str">
        <f>IF(AND(U36&gt;='Amort. Sched.-BEST'!$AA$8, U36&lt;= ($AA$7+$AA$8)), W36/V36, " ")</f>
        <v xml:space="preserve"> </v>
      </c>
      <c r="AB36" s="21" t="str">
        <f>IF(AND(U36&gt;='Amort. Sched.-BEST'!$AA$8, U36&lt;= ($AA$7+$AA$8)), X36/V36, " ")</f>
        <v xml:space="preserve"> </v>
      </c>
      <c r="AD36" s="20">
        <f t="shared" si="3"/>
        <v>25</v>
      </c>
      <c r="AE36" s="5">
        <f t="shared" si="4"/>
        <v>0</v>
      </c>
      <c r="AF36" s="5">
        <f t="shared" si="5"/>
        <v>0</v>
      </c>
      <c r="AG36" s="5">
        <f t="shared" si="6"/>
        <v>0</v>
      </c>
      <c r="AH36" s="5">
        <f>IF(CreditAmort3BEST[[#This Row],[Month]]=AJ$8,AF$7,0)</f>
        <v>0</v>
      </c>
      <c r="AI36" s="13">
        <f t="shared" si="7"/>
        <v>0</v>
      </c>
      <c r="AJ36" s="6" t="str">
        <f t="shared" si="8"/>
        <v xml:space="preserve"> </v>
      </c>
      <c r="AK36" s="21" t="str">
        <f t="shared" si="9"/>
        <v xml:space="preserve"> </v>
      </c>
      <c r="AM36" s="20">
        <f t="shared" si="10"/>
        <v>25</v>
      </c>
      <c r="AN36" s="5">
        <f t="shared" si="11"/>
        <v>0</v>
      </c>
      <c r="AO36" s="5">
        <f t="shared" si="12"/>
        <v>0</v>
      </c>
      <c r="AP36" s="5">
        <f t="shared" si="13"/>
        <v>0</v>
      </c>
      <c r="AQ36" s="5">
        <f>IF(CreditAmort4BEST[[#This Row],[Month]]=AS$8,AO$7,0)</f>
        <v>0</v>
      </c>
      <c r="AR36" s="13">
        <f t="shared" si="14"/>
        <v>0</v>
      </c>
      <c r="AS36" s="6" t="str">
        <f t="shared" si="15"/>
        <v xml:space="preserve"> </v>
      </c>
      <c r="AT36" s="21" t="str">
        <f t="shared" si="16"/>
        <v xml:space="preserve"> </v>
      </c>
    </row>
    <row r="37" spans="3:46">
      <c r="C37" s="22">
        <f t="shared" si="1"/>
        <v>26</v>
      </c>
      <c r="D37" s="23">
        <f>IF(AND(C37&gt;='Amort. Sched.-BEST'!$I$8, C37&lt;= ($I$7+$I$8)), PMT('Amort. Sched.-BEST'!$E$8/12, 'Amort. Sched.-BEST'!$I$7, 'Amort. Sched.-BEST'!$E$7), 0)</f>
        <v>-1350.6783839027553</v>
      </c>
      <c r="E37" s="5">
        <f>IF(AND(C37&gt;='Amort. Sched.-BEST'!$I$8, C37&lt;= ($I$7+$I$8)), (IPMT($E$8/12, (C37-$I$8), $I$7, $E$7)), 0)</f>
        <v>-1133.4144273071765</v>
      </c>
      <c r="F37" s="23">
        <f>IF(AND(C37&gt;='Amort. Sched.-BEST'!$I$8, C37&lt;= ($I$7+$I$8)), (PPMT($E$8/12, (C37-$I$8), $I$7, $E$7)), 0)</f>
        <v>-217.26395659557863</v>
      </c>
      <c r="G37" s="5">
        <f>IF(MortgageAmortBEST[[#This Row],[Month]]=I$8,E$7,0)</f>
        <v>0</v>
      </c>
      <c r="H37" s="13">
        <f>IF(AND(C37&gt;='Amort. Sched.-BEST'!$I$8, C37&lt;= ($I$7+$I$8)), H36+F37, 0)</f>
        <v>169794.90013948089</v>
      </c>
      <c r="I37" s="24">
        <f>IF(AND(C37&gt;='Amort. Sched.-BEST'!$I$8, C37&lt;= ($I$7+$I$8)), E37/D37, " ")</f>
        <v>0.83914456677110705</v>
      </c>
      <c r="J37" s="25">
        <f>IF(AND(C37&gt;='Amort. Sched.-BEST'!$I$8, C37&lt;= ($I$7+$I$8)), F37/D37, " ")</f>
        <v>0.1608554332288929</v>
      </c>
      <c r="L37" s="20">
        <f t="shared" si="0"/>
        <v>26</v>
      </c>
      <c r="M37" s="5">
        <f>IF(AND(L37&gt;='Amort. Sched.-BEST'!$R$8, L37&lt;= ($R$7+$R$8)), PMT('Amort. Sched.-BEST'!$N$8/12, 'Amort. Sched.-BEST'!$R$7, 'Amort. Sched.-BEST'!$N$7), 0)</f>
        <v>0</v>
      </c>
      <c r="N37" s="5">
        <f>IF(AND(L37&gt;='Amort. Sched.-BEST'!$R$8, L37&lt;= ($R$7+$R$8)), (IPMT($N$8/12, (L37-$R$8), $R$7, $N$7)), 0)</f>
        <v>0</v>
      </c>
      <c r="O37" s="5">
        <f>IF(AND(L37&gt;='Amort. Sched.-BEST'!$R$8, L37&lt;= ($R$7+$R$8)), (PPMT($N$8/12, (L37-$R$8), $R$7, $N$7)), 0)</f>
        <v>0</v>
      </c>
      <c r="P37" s="5">
        <f>IF(CreditAmort1BEST[[#This Row],[Month]]=R$8,N$7,0)</f>
        <v>0</v>
      </c>
      <c r="Q37" s="13">
        <f>IF(AND(L37&gt;='Amort. Sched.-BEST'!$R$8, L37&lt;= ($R$7+$R$8)), Q36+O37, 0)</f>
        <v>0</v>
      </c>
      <c r="R37" s="6" t="str">
        <f>IF(AND(L37&gt;='Amort. Sched.-BEST'!$R$8, L37&lt;= ($R$7+$R$8)), N37/M37, " ")</f>
        <v xml:space="preserve"> </v>
      </c>
      <c r="S37" s="21" t="str">
        <f>IF(AND(L37&gt;='Amort. Sched.-BEST'!$R$8, L37&lt;= ($R$7+$R$8)), O37/M37, " ")</f>
        <v xml:space="preserve"> </v>
      </c>
      <c r="U37" s="20">
        <f t="shared" si="2"/>
        <v>26</v>
      </c>
      <c r="V37" s="5">
        <f>IF(AND(U37&gt;='Amort. Sched.-BEST'!$AA$8, U37&lt;= ($AA$7+$AA$8)), PMT('Amort. Sched.-BEST'!$W$8/12, 'Amort. Sched.-BEST'!$AA$7, 'Amort. Sched.-BEST'!$W$7), 0)</f>
        <v>0</v>
      </c>
      <c r="W37" s="5">
        <f>IF(AND(U37&gt;='Amort. Sched.-BEST'!$AA$8, U37&lt;= ($AA$7+$AA$8)), (IPMT($W$8/12, (U37-$AA$8), $AA$7, $W$7)), 0)</f>
        <v>0</v>
      </c>
      <c r="X37" s="5">
        <f>IF(AND(U37&gt;='Amort. Sched.-BEST'!$AA$8, U37&lt;= ($AA$7+$AA$8)), (PPMT($W$8/12, (U37-$AA$8), $AA$7, $W$7)), 0)</f>
        <v>0</v>
      </c>
      <c r="Y37" s="5">
        <f>IF(CreditAmort2BEST[[#This Row],[Month]]=AA$8,W$7,0)</f>
        <v>0</v>
      </c>
      <c r="Z37" s="13">
        <f>IF(AND(U37&gt;='Amort. Sched.-BEST'!$AA$8, U37&lt;= ($AA$7+$AA$8)), Z36+X37, 0)</f>
        <v>0</v>
      </c>
      <c r="AA37" s="6" t="str">
        <f>IF(AND(U37&gt;='Amort. Sched.-BEST'!$AA$8, U37&lt;= ($AA$7+$AA$8)), W37/V37, " ")</f>
        <v xml:space="preserve"> </v>
      </c>
      <c r="AB37" s="21" t="str">
        <f>IF(AND(U37&gt;='Amort. Sched.-BEST'!$AA$8, U37&lt;= ($AA$7+$AA$8)), X37/V37, " ")</f>
        <v xml:space="preserve"> </v>
      </c>
      <c r="AD37" s="20">
        <f t="shared" si="3"/>
        <v>26</v>
      </c>
      <c r="AE37" s="5">
        <f t="shared" si="4"/>
        <v>0</v>
      </c>
      <c r="AF37" s="5">
        <f t="shared" si="5"/>
        <v>0</v>
      </c>
      <c r="AG37" s="5">
        <f t="shared" si="6"/>
        <v>0</v>
      </c>
      <c r="AH37" s="5">
        <f>IF(CreditAmort3BEST[[#This Row],[Month]]=AJ$8,AF$7,0)</f>
        <v>0</v>
      </c>
      <c r="AI37" s="13">
        <f t="shared" si="7"/>
        <v>0</v>
      </c>
      <c r="AJ37" s="6" t="str">
        <f t="shared" si="8"/>
        <v xml:space="preserve"> </v>
      </c>
      <c r="AK37" s="21" t="str">
        <f t="shared" si="9"/>
        <v xml:space="preserve"> </v>
      </c>
      <c r="AM37" s="20">
        <f t="shared" si="10"/>
        <v>26</v>
      </c>
      <c r="AN37" s="5">
        <f t="shared" si="11"/>
        <v>0</v>
      </c>
      <c r="AO37" s="5">
        <f t="shared" si="12"/>
        <v>0</v>
      </c>
      <c r="AP37" s="5">
        <f t="shared" si="13"/>
        <v>0</v>
      </c>
      <c r="AQ37" s="5">
        <f>IF(CreditAmort4BEST[[#This Row],[Month]]=AS$8,AO$7,0)</f>
        <v>0</v>
      </c>
      <c r="AR37" s="13">
        <f t="shared" si="14"/>
        <v>0</v>
      </c>
      <c r="AS37" s="6" t="str">
        <f t="shared" si="15"/>
        <v xml:space="preserve"> </v>
      </c>
      <c r="AT37" s="21" t="str">
        <f t="shared" si="16"/>
        <v xml:space="preserve"> </v>
      </c>
    </row>
    <row r="38" spans="3:46">
      <c r="C38" s="22">
        <f t="shared" si="1"/>
        <v>27</v>
      </c>
      <c r="D38" s="23">
        <f>IF(AND(C38&gt;='Amort. Sched.-BEST'!$I$8, C38&lt;= ($I$7+$I$8)), PMT('Amort. Sched.-BEST'!$E$8/12, 'Amort. Sched.-BEST'!$I$7, 'Amort. Sched.-BEST'!$E$7), 0)</f>
        <v>-1350.6783839027553</v>
      </c>
      <c r="E38" s="5">
        <f>IF(AND(C38&gt;='Amort. Sched.-BEST'!$I$8, C38&lt;= ($I$7+$I$8)), (IPMT($E$8/12, (C38-$I$8), $I$7, $E$7)), 0)</f>
        <v>-1131.966000929873</v>
      </c>
      <c r="F38" s="23">
        <f>IF(AND(C38&gt;='Amort. Sched.-BEST'!$I$8, C38&lt;= ($I$7+$I$8)), (PPMT($E$8/12, (C38-$I$8), $I$7, $E$7)), 0)</f>
        <v>-218.71238297288249</v>
      </c>
      <c r="G38" s="5">
        <f>IF(MortgageAmortBEST[[#This Row],[Month]]=I$8,E$7,0)</f>
        <v>0</v>
      </c>
      <c r="H38" s="13">
        <f>IF(AND(C38&gt;='Amort. Sched.-BEST'!$I$8, C38&lt;= ($I$7+$I$8)), H37+F38, 0)</f>
        <v>169576.18775650801</v>
      </c>
      <c r="I38" s="24">
        <f>IF(AND(C38&gt;='Amort. Sched.-BEST'!$I$8, C38&lt;= ($I$7+$I$8)), E38/D38, " ")</f>
        <v>0.83807219721624793</v>
      </c>
      <c r="J38" s="25">
        <f>IF(AND(C38&gt;='Amort. Sched.-BEST'!$I$8, C38&lt;= ($I$7+$I$8)), F38/D38, " ")</f>
        <v>0.16192780278375218</v>
      </c>
      <c r="L38" s="20">
        <f t="shared" si="0"/>
        <v>27</v>
      </c>
      <c r="M38" s="5">
        <f>IF(AND(L38&gt;='Amort. Sched.-BEST'!$R$8, L38&lt;= ($R$7+$R$8)), PMT('Amort. Sched.-BEST'!$N$8/12, 'Amort. Sched.-BEST'!$R$7, 'Amort. Sched.-BEST'!$N$7), 0)</f>
        <v>0</v>
      </c>
      <c r="N38" s="5">
        <f>IF(AND(L38&gt;='Amort. Sched.-BEST'!$R$8, L38&lt;= ($R$7+$R$8)), (IPMT($N$8/12, (L38-$R$8), $R$7, $N$7)), 0)</f>
        <v>0</v>
      </c>
      <c r="O38" s="5">
        <f>IF(AND(L38&gt;='Amort. Sched.-BEST'!$R$8, L38&lt;= ($R$7+$R$8)), (PPMT($N$8/12, (L38-$R$8), $R$7, $N$7)), 0)</f>
        <v>0</v>
      </c>
      <c r="P38" s="5">
        <f>IF(CreditAmort1BEST[[#This Row],[Month]]=R$8,N$7,0)</f>
        <v>0</v>
      </c>
      <c r="Q38" s="13">
        <f>IF(AND(L38&gt;='Amort. Sched.-BEST'!$R$8, L38&lt;= ($R$7+$R$8)), Q37+O38, 0)</f>
        <v>0</v>
      </c>
      <c r="R38" s="6" t="str">
        <f>IF(AND(L38&gt;='Amort. Sched.-BEST'!$R$8, L38&lt;= ($R$7+$R$8)), N38/M38, " ")</f>
        <v xml:space="preserve"> </v>
      </c>
      <c r="S38" s="21" t="str">
        <f>IF(AND(L38&gt;='Amort. Sched.-BEST'!$R$8, L38&lt;= ($R$7+$R$8)), O38/M38, " ")</f>
        <v xml:space="preserve"> </v>
      </c>
      <c r="U38" s="20">
        <f t="shared" si="2"/>
        <v>27</v>
      </c>
      <c r="V38" s="5">
        <f>IF(AND(U38&gt;='Amort. Sched.-BEST'!$AA$8, U38&lt;= ($AA$7+$AA$8)), PMT('Amort. Sched.-BEST'!$W$8/12, 'Amort. Sched.-BEST'!$AA$7, 'Amort. Sched.-BEST'!$W$7), 0)</f>
        <v>0</v>
      </c>
      <c r="W38" s="5">
        <f>IF(AND(U38&gt;='Amort. Sched.-BEST'!$AA$8, U38&lt;= ($AA$7+$AA$8)), (IPMT($W$8/12, (U38-$AA$8), $AA$7, $W$7)), 0)</f>
        <v>0</v>
      </c>
      <c r="X38" s="5">
        <f>IF(AND(U38&gt;='Amort. Sched.-BEST'!$AA$8, U38&lt;= ($AA$7+$AA$8)), (PPMT($W$8/12, (U38-$AA$8), $AA$7, $W$7)), 0)</f>
        <v>0</v>
      </c>
      <c r="Y38" s="5">
        <f>IF(CreditAmort2BEST[[#This Row],[Month]]=AA$8,W$7,0)</f>
        <v>0</v>
      </c>
      <c r="Z38" s="13">
        <f>IF(AND(U38&gt;='Amort. Sched.-BEST'!$AA$8, U38&lt;= ($AA$7+$AA$8)), Z37+X38, 0)</f>
        <v>0</v>
      </c>
      <c r="AA38" s="6" t="str">
        <f>IF(AND(U38&gt;='Amort. Sched.-BEST'!$AA$8, U38&lt;= ($AA$7+$AA$8)), W38/V38, " ")</f>
        <v xml:space="preserve"> </v>
      </c>
      <c r="AB38" s="21" t="str">
        <f>IF(AND(U38&gt;='Amort. Sched.-BEST'!$AA$8, U38&lt;= ($AA$7+$AA$8)), X38/V38, " ")</f>
        <v xml:space="preserve"> </v>
      </c>
      <c r="AD38" s="20">
        <f t="shared" si="3"/>
        <v>27</v>
      </c>
      <c r="AE38" s="5">
        <f t="shared" si="4"/>
        <v>0</v>
      </c>
      <c r="AF38" s="5">
        <f t="shared" si="5"/>
        <v>0</v>
      </c>
      <c r="AG38" s="5">
        <f t="shared" si="6"/>
        <v>0</v>
      </c>
      <c r="AH38" s="5">
        <f>IF(CreditAmort3BEST[[#This Row],[Month]]=AJ$8,AF$7,0)</f>
        <v>0</v>
      </c>
      <c r="AI38" s="13">
        <f t="shared" si="7"/>
        <v>0</v>
      </c>
      <c r="AJ38" s="6" t="str">
        <f t="shared" si="8"/>
        <v xml:space="preserve"> </v>
      </c>
      <c r="AK38" s="21" t="str">
        <f t="shared" si="9"/>
        <v xml:space="preserve"> </v>
      </c>
      <c r="AM38" s="20">
        <f t="shared" si="10"/>
        <v>27</v>
      </c>
      <c r="AN38" s="5">
        <f t="shared" si="11"/>
        <v>0</v>
      </c>
      <c r="AO38" s="5">
        <f t="shared" si="12"/>
        <v>0</v>
      </c>
      <c r="AP38" s="5">
        <f t="shared" si="13"/>
        <v>0</v>
      </c>
      <c r="AQ38" s="5">
        <f>IF(CreditAmort4BEST[[#This Row],[Month]]=AS$8,AO$7,0)</f>
        <v>0</v>
      </c>
      <c r="AR38" s="13">
        <f t="shared" si="14"/>
        <v>0</v>
      </c>
      <c r="AS38" s="6" t="str">
        <f t="shared" si="15"/>
        <v xml:space="preserve"> </v>
      </c>
      <c r="AT38" s="21" t="str">
        <f t="shared" si="16"/>
        <v xml:space="preserve"> </v>
      </c>
    </row>
    <row r="39" spans="3:46">
      <c r="C39" s="22">
        <f t="shared" si="1"/>
        <v>28</v>
      </c>
      <c r="D39" s="23">
        <f>IF(AND(C39&gt;='Amort. Sched.-BEST'!$I$8, C39&lt;= ($I$7+$I$8)), PMT('Amort. Sched.-BEST'!$E$8/12, 'Amort. Sched.-BEST'!$I$7, 'Amort. Sched.-BEST'!$E$7), 0)</f>
        <v>-1350.6783839027553</v>
      </c>
      <c r="E39" s="5">
        <f>IF(AND(C39&gt;='Amort. Sched.-BEST'!$I$8, C39&lt;= ($I$7+$I$8)), (IPMT($E$8/12, (C39-$I$8), $I$7, $E$7)), 0)</f>
        <v>-1130.5079183767202</v>
      </c>
      <c r="F39" s="23">
        <f>IF(AND(C39&gt;='Amort. Sched.-BEST'!$I$8, C39&lt;= ($I$7+$I$8)), (PPMT($E$8/12, (C39-$I$8), $I$7, $E$7)), 0)</f>
        <v>-220.17046552603503</v>
      </c>
      <c r="G39" s="5">
        <f>IF(MortgageAmortBEST[[#This Row],[Month]]=I$8,E$7,0)</f>
        <v>0</v>
      </c>
      <c r="H39" s="13">
        <f>IF(AND(C39&gt;='Amort. Sched.-BEST'!$I$8, C39&lt;= ($I$7+$I$8)), H38+F39, 0)</f>
        <v>169356.01729098198</v>
      </c>
      <c r="I39" s="24">
        <f>IF(AND(C39&gt;='Amort. Sched.-BEST'!$I$8, C39&lt;= ($I$7+$I$8)), E39/D39, " ")</f>
        <v>0.83699267853102277</v>
      </c>
      <c r="J39" s="25">
        <f>IF(AND(C39&gt;='Amort. Sched.-BEST'!$I$8, C39&lt;= ($I$7+$I$8)), F39/D39, " ")</f>
        <v>0.1630073214689772</v>
      </c>
      <c r="L39" s="20">
        <f t="shared" si="0"/>
        <v>28</v>
      </c>
      <c r="M39" s="5">
        <f>IF(AND(L39&gt;='Amort. Sched.-BEST'!$R$8, L39&lt;= ($R$7+$R$8)), PMT('Amort. Sched.-BEST'!$N$8/12, 'Amort. Sched.-BEST'!$R$7, 'Amort. Sched.-BEST'!$N$7), 0)</f>
        <v>0</v>
      </c>
      <c r="N39" s="5">
        <f>IF(AND(L39&gt;='Amort. Sched.-BEST'!$R$8, L39&lt;= ($R$7+$R$8)), (IPMT($N$8/12, (L39-$R$8), $R$7, $N$7)), 0)</f>
        <v>0</v>
      </c>
      <c r="O39" s="5">
        <f>IF(AND(L39&gt;='Amort. Sched.-BEST'!$R$8, L39&lt;= ($R$7+$R$8)), (PPMT($N$8/12, (L39-$R$8), $R$7, $N$7)), 0)</f>
        <v>0</v>
      </c>
      <c r="P39" s="5">
        <f>IF(CreditAmort1BEST[[#This Row],[Month]]=R$8,N$7,0)</f>
        <v>0</v>
      </c>
      <c r="Q39" s="13">
        <f>IF(AND(L39&gt;='Amort. Sched.-BEST'!$R$8, L39&lt;= ($R$7+$R$8)), Q38+O39, 0)</f>
        <v>0</v>
      </c>
      <c r="R39" s="6" t="str">
        <f>IF(AND(L39&gt;='Amort. Sched.-BEST'!$R$8, L39&lt;= ($R$7+$R$8)), N39/M39, " ")</f>
        <v xml:space="preserve"> </v>
      </c>
      <c r="S39" s="21" t="str">
        <f>IF(AND(L39&gt;='Amort. Sched.-BEST'!$R$8, L39&lt;= ($R$7+$R$8)), O39/M39, " ")</f>
        <v xml:space="preserve"> </v>
      </c>
      <c r="U39" s="20">
        <f t="shared" si="2"/>
        <v>28</v>
      </c>
      <c r="V39" s="5">
        <f>IF(AND(U39&gt;='Amort. Sched.-BEST'!$AA$8, U39&lt;= ($AA$7+$AA$8)), PMT('Amort. Sched.-BEST'!$W$8/12, 'Amort. Sched.-BEST'!$AA$7, 'Amort. Sched.-BEST'!$W$7), 0)</f>
        <v>0</v>
      </c>
      <c r="W39" s="5">
        <f>IF(AND(U39&gt;='Amort. Sched.-BEST'!$AA$8, U39&lt;= ($AA$7+$AA$8)), (IPMT($W$8/12, (U39-$AA$8), $AA$7, $W$7)), 0)</f>
        <v>0</v>
      </c>
      <c r="X39" s="5">
        <f>IF(AND(U39&gt;='Amort. Sched.-BEST'!$AA$8, U39&lt;= ($AA$7+$AA$8)), (PPMT($W$8/12, (U39-$AA$8), $AA$7, $W$7)), 0)</f>
        <v>0</v>
      </c>
      <c r="Y39" s="5">
        <f>IF(CreditAmort2BEST[[#This Row],[Month]]=AA$8,W$7,0)</f>
        <v>0</v>
      </c>
      <c r="Z39" s="13">
        <f>IF(AND(U39&gt;='Amort. Sched.-BEST'!$AA$8, U39&lt;= ($AA$7+$AA$8)), Z38+X39, 0)</f>
        <v>0</v>
      </c>
      <c r="AA39" s="6" t="str">
        <f>IF(AND(U39&gt;='Amort. Sched.-BEST'!$AA$8, U39&lt;= ($AA$7+$AA$8)), W39/V39, " ")</f>
        <v xml:space="preserve"> </v>
      </c>
      <c r="AB39" s="21" t="str">
        <f>IF(AND(U39&gt;='Amort. Sched.-BEST'!$AA$8, U39&lt;= ($AA$7+$AA$8)), X39/V39, " ")</f>
        <v xml:space="preserve"> </v>
      </c>
      <c r="AD39" s="20">
        <f t="shared" si="3"/>
        <v>28</v>
      </c>
      <c r="AE39" s="5">
        <f t="shared" si="4"/>
        <v>0</v>
      </c>
      <c r="AF39" s="5">
        <f t="shared" si="5"/>
        <v>0</v>
      </c>
      <c r="AG39" s="5">
        <f t="shared" si="6"/>
        <v>0</v>
      </c>
      <c r="AH39" s="5">
        <f>IF(CreditAmort3BEST[[#This Row],[Month]]=AJ$8,AF$7,0)</f>
        <v>0</v>
      </c>
      <c r="AI39" s="13">
        <f t="shared" si="7"/>
        <v>0</v>
      </c>
      <c r="AJ39" s="6" t="str">
        <f t="shared" si="8"/>
        <v xml:space="preserve"> </v>
      </c>
      <c r="AK39" s="21" t="str">
        <f t="shared" si="9"/>
        <v xml:space="preserve"> </v>
      </c>
      <c r="AM39" s="20">
        <f t="shared" si="10"/>
        <v>28</v>
      </c>
      <c r="AN39" s="5">
        <f t="shared" si="11"/>
        <v>0</v>
      </c>
      <c r="AO39" s="5">
        <f t="shared" si="12"/>
        <v>0</v>
      </c>
      <c r="AP39" s="5">
        <f t="shared" si="13"/>
        <v>0</v>
      </c>
      <c r="AQ39" s="5">
        <f>IF(CreditAmort4BEST[[#This Row],[Month]]=AS$8,AO$7,0)</f>
        <v>0</v>
      </c>
      <c r="AR39" s="13">
        <f t="shared" si="14"/>
        <v>0</v>
      </c>
      <c r="AS39" s="6" t="str">
        <f t="shared" si="15"/>
        <v xml:space="preserve"> </v>
      </c>
      <c r="AT39" s="21" t="str">
        <f t="shared" si="16"/>
        <v xml:space="preserve"> </v>
      </c>
    </row>
    <row r="40" spans="3:46">
      <c r="C40" s="22">
        <f t="shared" si="1"/>
        <v>29</v>
      </c>
      <c r="D40" s="23">
        <f>IF(AND(C40&gt;='Amort. Sched.-BEST'!$I$8, C40&lt;= ($I$7+$I$8)), PMT('Amort. Sched.-BEST'!$E$8/12, 'Amort. Sched.-BEST'!$I$7, 'Amort. Sched.-BEST'!$E$7), 0)</f>
        <v>-1350.6783839027553</v>
      </c>
      <c r="E40" s="5">
        <f>IF(AND(C40&gt;='Amort. Sched.-BEST'!$I$8, C40&lt;= ($I$7+$I$8)), (IPMT($E$8/12, (C40-$I$8), $I$7, $E$7)), 0)</f>
        <v>-1129.0401152732134</v>
      </c>
      <c r="F40" s="23">
        <f>IF(AND(C40&gt;='Amort. Sched.-BEST'!$I$8, C40&lt;= ($I$7+$I$8)), (PPMT($E$8/12, (C40-$I$8), $I$7, $E$7)), 0)</f>
        <v>-221.63826862954201</v>
      </c>
      <c r="G40" s="5">
        <f>IF(MortgageAmortBEST[[#This Row],[Month]]=I$8,E$7,0)</f>
        <v>0</v>
      </c>
      <c r="H40" s="13">
        <f>IF(AND(C40&gt;='Amort. Sched.-BEST'!$I$8, C40&lt;= ($I$7+$I$8)), H39+F40, 0)</f>
        <v>169134.37902235243</v>
      </c>
      <c r="I40" s="24">
        <f>IF(AND(C40&gt;='Amort. Sched.-BEST'!$I$8, C40&lt;= ($I$7+$I$8)), E40/D40, " ")</f>
        <v>0.83590596305456299</v>
      </c>
      <c r="J40" s="25">
        <f>IF(AND(C40&gt;='Amort. Sched.-BEST'!$I$8, C40&lt;= ($I$7+$I$8)), F40/D40, " ")</f>
        <v>0.16409403694543712</v>
      </c>
      <c r="L40" s="20">
        <f t="shared" si="0"/>
        <v>29</v>
      </c>
      <c r="M40" s="5">
        <f>IF(AND(L40&gt;='Amort. Sched.-BEST'!$R$8, L40&lt;= ($R$7+$R$8)), PMT('Amort. Sched.-BEST'!$N$8/12, 'Amort. Sched.-BEST'!$R$7, 'Amort. Sched.-BEST'!$N$7), 0)</f>
        <v>0</v>
      </c>
      <c r="N40" s="5">
        <f>IF(AND(L40&gt;='Amort. Sched.-BEST'!$R$8, L40&lt;= ($R$7+$R$8)), (IPMT($N$8/12, (L40-$R$8), $R$7, $N$7)), 0)</f>
        <v>0</v>
      </c>
      <c r="O40" s="5">
        <f>IF(AND(L40&gt;='Amort. Sched.-BEST'!$R$8, L40&lt;= ($R$7+$R$8)), (PPMT($N$8/12, (L40-$R$8), $R$7, $N$7)), 0)</f>
        <v>0</v>
      </c>
      <c r="P40" s="5">
        <f>IF(CreditAmort1BEST[[#This Row],[Month]]=R$8,N$7,0)</f>
        <v>0</v>
      </c>
      <c r="Q40" s="13">
        <f>IF(AND(L40&gt;='Amort. Sched.-BEST'!$R$8, L40&lt;= ($R$7+$R$8)), Q39+O40, 0)</f>
        <v>0</v>
      </c>
      <c r="R40" s="6" t="str">
        <f>IF(AND(L40&gt;='Amort. Sched.-BEST'!$R$8, L40&lt;= ($R$7+$R$8)), N40/M40, " ")</f>
        <v xml:space="preserve"> </v>
      </c>
      <c r="S40" s="21" t="str">
        <f>IF(AND(L40&gt;='Amort. Sched.-BEST'!$R$8, L40&lt;= ($R$7+$R$8)), O40/M40, " ")</f>
        <v xml:space="preserve"> </v>
      </c>
      <c r="U40" s="20">
        <f t="shared" si="2"/>
        <v>29</v>
      </c>
      <c r="V40" s="5">
        <f>IF(AND(U40&gt;='Amort. Sched.-BEST'!$AA$8, U40&lt;= ($AA$7+$AA$8)), PMT('Amort. Sched.-BEST'!$W$8/12, 'Amort. Sched.-BEST'!$AA$7, 'Amort. Sched.-BEST'!$W$7), 0)</f>
        <v>0</v>
      </c>
      <c r="W40" s="5">
        <f>IF(AND(U40&gt;='Amort. Sched.-BEST'!$AA$8, U40&lt;= ($AA$7+$AA$8)), (IPMT($W$8/12, (U40-$AA$8), $AA$7, $W$7)), 0)</f>
        <v>0</v>
      </c>
      <c r="X40" s="5">
        <f>IF(AND(U40&gt;='Amort. Sched.-BEST'!$AA$8, U40&lt;= ($AA$7+$AA$8)), (PPMT($W$8/12, (U40-$AA$8), $AA$7, $W$7)), 0)</f>
        <v>0</v>
      </c>
      <c r="Y40" s="5">
        <f>IF(CreditAmort2BEST[[#This Row],[Month]]=AA$8,W$7,0)</f>
        <v>0</v>
      </c>
      <c r="Z40" s="13">
        <f>IF(AND(U40&gt;='Amort. Sched.-BEST'!$AA$8, U40&lt;= ($AA$7+$AA$8)), Z39+X40, 0)</f>
        <v>0</v>
      </c>
      <c r="AA40" s="6" t="str">
        <f>IF(AND(U40&gt;='Amort. Sched.-BEST'!$AA$8, U40&lt;= ($AA$7+$AA$8)), W40/V40, " ")</f>
        <v xml:space="preserve"> </v>
      </c>
      <c r="AB40" s="21" t="str">
        <f>IF(AND(U40&gt;='Amort. Sched.-BEST'!$AA$8, U40&lt;= ($AA$7+$AA$8)), X40/V40, " ")</f>
        <v xml:space="preserve"> </v>
      </c>
      <c r="AD40" s="20">
        <f t="shared" si="3"/>
        <v>29</v>
      </c>
      <c r="AE40" s="5">
        <f t="shared" si="4"/>
        <v>0</v>
      </c>
      <c r="AF40" s="5">
        <f t="shared" si="5"/>
        <v>0</v>
      </c>
      <c r="AG40" s="5">
        <f t="shared" si="6"/>
        <v>0</v>
      </c>
      <c r="AH40" s="5">
        <f>IF(CreditAmort3BEST[[#This Row],[Month]]=AJ$8,AF$7,0)</f>
        <v>0</v>
      </c>
      <c r="AI40" s="13">
        <f t="shared" si="7"/>
        <v>0</v>
      </c>
      <c r="AJ40" s="6" t="str">
        <f t="shared" si="8"/>
        <v xml:space="preserve"> </v>
      </c>
      <c r="AK40" s="21" t="str">
        <f t="shared" si="9"/>
        <v xml:space="preserve"> </v>
      </c>
      <c r="AM40" s="20">
        <f t="shared" si="10"/>
        <v>29</v>
      </c>
      <c r="AN40" s="5">
        <f t="shared" si="11"/>
        <v>0</v>
      </c>
      <c r="AO40" s="5">
        <f t="shared" si="12"/>
        <v>0</v>
      </c>
      <c r="AP40" s="5">
        <f t="shared" si="13"/>
        <v>0</v>
      </c>
      <c r="AQ40" s="5">
        <f>IF(CreditAmort4BEST[[#This Row],[Month]]=AS$8,AO$7,0)</f>
        <v>0</v>
      </c>
      <c r="AR40" s="13">
        <f t="shared" si="14"/>
        <v>0</v>
      </c>
      <c r="AS40" s="6" t="str">
        <f t="shared" si="15"/>
        <v xml:space="preserve"> </v>
      </c>
      <c r="AT40" s="21" t="str">
        <f t="shared" si="16"/>
        <v xml:space="preserve"> </v>
      </c>
    </row>
    <row r="41" spans="3:46">
      <c r="C41" s="22">
        <f t="shared" si="1"/>
        <v>30</v>
      </c>
      <c r="D41" s="23">
        <f>IF(AND(C41&gt;='Amort. Sched.-BEST'!$I$8, C41&lt;= ($I$7+$I$8)), PMT('Amort. Sched.-BEST'!$E$8/12, 'Amort. Sched.-BEST'!$I$7, 'Amort. Sched.-BEST'!$E$7), 0)</f>
        <v>-1350.6783839027553</v>
      </c>
      <c r="E41" s="5">
        <f>IF(AND(C41&gt;='Amort. Sched.-BEST'!$I$8, C41&lt;= ($I$7+$I$8)), (IPMT($E$8/12, (C41-$I$8), $I$7, $E$7)), 0)</f>
        <v>-1127.562526815683</v>
      </c>
      <c r="F41" s="23">
        <f>IF(AND(C41&gt;='Amort. Sched.-BEST'!$I$8, C41&lt;= ($I$7+$I$8)), (PPMT($E$8/12, (C41-$I$8), $I$7, $E$7)), 0)</f>
        <v>-223.11585708707224</v>
      </c>
      <c r="G41" s="5">
        <f>IF(MortgageAmortBEST[[#This Row],[Month]]=I$8,E$7,0)</f>
        <v>0</v>
      </c>
      <c r="H41" s="13">
        <f>IF(AND(C41&gt;='Amort. Sched.-BEST'!$I$8, C41&lt;= ($I$7+$I$8)), H40+F41, 0)</f>
        <v>168911.26316526535</v>
      </c>
      <c r="I41" s="24">
        <f>IF(AND(C41&gt;='Amort. Sched.-BEST'!$I$8, C41&lt;= ($I$7+$I$8)), E41/D41, " ")</f>
        <v>0.83481200280825996</v>
      </c>
      <c r="J41" s="25">
        <f>IF(AND(C41&gt;='Amort. Sched.-BEST'!$I$8, C41&lt;= ($I$7+$I$8)), F41/D41, " ")</f>
        <v>0.16518799719173999</v>
      </c>
      <c r="L41" s="20">
        <f t="shared" si="0"/>
        <v>30</v>
      </c>
      <c r="M41" s="5">
        <f>IF(AND(L41&gt;='Amort. Sched.-BEST'!$R$8, L41&lt;= ($R$7+$R$8)), PMT('Amort. Sched.-BEST'!$N$8/12, 'Amort. Sched.-BEST'!$R$7, 'Amort. Sched.-BEST'!$N$7), 0)</f>
        <v>0</v>
      </c>
      <c r="N41" s="5">
        <f>IF(AND(L41&gt;='Amort. Sched.-BEST'!$R$8, L41&lt;= ($R$7+$R$8)), (IPMT($N$8/12, (L41-$R$8), $R$7, $N$7)), 0)</f>
        <v>0</v>
      </c>
      <c r="O41" s="5">
        <f>IF(AND(L41&gt;='Amort. Sched.-BEST'!$R$8, L41&lt;= ($R$7+$R$8)), (PPMT($N$8/12, (L41-$R$8), $R$7, $N$7)), 0)</f>
        <v>0</v>
      </c>
      <c r="P41" s="5">
        <f>IF(CreditAmort1BEST[[#This Row],[Month]]=R$8,N$7,0)</f>
        <v>0</v>
      </c>
      <c r="Q41" s="13">
        <f>IF(AND(L41&gt;='Amort. Sched.-BEST'!$R$8, L41&lt;= ($R$7+$R$8)), Q40+O41, 0)</f>
        <v>0</v>
      </c>
      <c r="R41" s="6" t="str">
        <f>IF(AND(L41&gt;='Amort. Sched.-BEST'!$R$8, L41&lt;= ($R$7+$R$8)), N41/M41, " ")</f>
        <v xml:space="preserve"> </v>
      </c>
      <c r="S41" s="21" t="str">
        <f>IF(AND(L41&gt;='Amort. Sched.-BEST'!$R$8, L41&lt;= ($R$7+$R$8)), O41/M41, " ")</f>
        <v xml:space="preserve"> </v>
      </c>
      <c r="U41" s="20">
        <f t="shared" si="2"/>
        <v>30</v>
      </c>
      <c r="V41" s="5">
        <f>IF(AND(U41&gt;='Amort. Sched.-BEST'!$AA$8, U41&lt;= ($AA$7+$AA$8)), PMT('Amort. Sched.-BEST'!$W$8/12, 'Amort. Sched.-BEST'!$AA$7, 'Amort. Sched.-BEST'!$W$7), 0)</f>
        <v>0</v>
      </c>
      <c r="W41" s="5">
        <f>IF(AND(U41&gt;='Amort. Sched.-BEST'!$AA$8, U41&lt;= ($AA$7+$AA$8)), (IPMT($W$8/12, (U41-$AA$8), $AA$7, $W$7)), 0)</f>
        <v>0</v>
      </c>
      <c r="X41" s="5">
        <f>IF(AND(U41&gt;='Amort. Sched.-BEST'!$AA$8, U41&lt;= ($AA$7+$AA$8)), (PPMT($W$8/12, (U41-$AA$8), $AA$7, $W$7)), 0)</f>
        <v>0</v>
      </c>
      <c r="Y41" s="5">
        <f>IF(CreditAmort2BEST[[#This Row],[Month]]=AA$8,W$7,0)</f>
        <v>0</v>
      </c>
      <c r="Z41" s="13">
        <f>IF(AND(U41&gt;='Amort. Sched.-BEST'!$AA$8, U41&lt;= ($AA$7+$AA$8)), Z40+X41, 0)</f>
        <v>0</v>
      </c>
      <c r="AA41" s="6" t="str">
        <f>IF(AND(U41&gt;='Amort. Sched.-BEST'!$AA$8, U41&lt;= ($AA$7+$AA$8)), W41/V41, " ")</f>
        <v xml:space="preserve"> </v>
      </c>
      <c r="AB41" s="21" t="str">
        <f>IF(AND(U41&gt;='Amort. Sched.-BEST'!$AA$8, U41&lt;= ($AA$7+$AA$8)), X41/V41, " ")</f>
        <v xml:space="preserve"> </v>
      </c>
      <c r="AD41" s="20">
        <f t="shared" si="3"/>
        <v>30</v>
      </c>
      <c r="AE41" s="5">
        <f t="shared" si="4"/>
        <v>0</v>
      </c>
      <c r="AF41" s="5">
        <f t="shared" si="5"/>
        <v>0</v>
      </c>
      <c r="AG41" s="5">
        <f t="shared" si="6"/>
        <v>0</v>
      </c>
      <c r="AH41" s="5">
        <f>IF(CreditAmort3BEST[[#This Row],[Month]]=AJ$8,AF$7,0)</f>
        <v>0</v>
      </c>
      <c r="AI41" s="13">
        <f t="shared" si="7"/>
        <v>0</v>
      </c>
      <c r="AJ41" s="6" t="str">
        <f t="shared" si="8"/>
        <v xml:space="preserve"> </v>
      </c>
      <c r="AK41" s="21" t="str">
        <f t="shared" si="9"/>
        <v xml:space="preserve"> </v>
      </c>
      <c r="AM41" s="20">
        <f t="shared" si="10"/>
        <v>30</v>
      </c>
      <c r="AN41" s="5">
        <f t="shared" si="11"/>
        <v>0</v>
      </c>
      <c r="AO41" s="5">
        <f t="shared" si="12"/>
        <v>0</v>
      </c>
      <c r="AP41" s="5">
        <f t="shared" si="13"/>
        <v>0</v>
      </c>
      <c r="AQ41" s="5">
        <f>IF(CreditAmort4BEST[[#This Row],[Month]]=AS$8,AO$7,0)</f>
        <v>0</v>
      </c>
      <c r="AR41" s="13">
        <f t="shared" si="14"/>
        <v>0</v>
      </c>
      <c r="AS41" s="6" t="str">
        <f t="shared" si="15"/>
        <v xml:space="preserve"> </v>
      </c>
      <c r="AT41" s="21" t="str">
        <f t="shared" si="16"/>
        <v xml:space="preserve"> </v>
      </c>
    </row>
    <row r="42" spans="3:46">
      <c r="C42" s="22">
        <f t="shared" si="1"/>
        <v>31</v>
      </c>
      <c r="D42" s="23">
        <f>IF(AND(C42&gt;='Amort. Sched.-BEST'!$I$8, C42&lt;= ($I$7+$I$8)), PMT('Amort. Sched.-BEST'!$E$8/12, 'Amort. Sched.-BEST'!$I$7, 'Amort. Sched.-BEST'!$E$7), 0)</f>
        <v>-1350.6783839027553</v>
      </c>
      <c r="E42" s="5">
        <f>IF(AND(C42&gt;='Amort. Sched.-BEST'!$I$8, C42&lt;= ($I$7+$I$8)), (IPMT($E$8/12, (C42-$I$8), $I$7, $E$7)), 0)</f>
        <v>-1126.0750877684359</v>
      </c>
      <c r="F42" s="23">
        <f>IF(AND(C42&gt;='Amort. Sched.-BEST'!$I$8, C42&lt;= ($I$7+$I$8)), (PPMT($E$8/12, (C42-$I$8), $I$7, $E$7)), 0)</f>
        <v>-224.60329613431941</v>
      </c>
      <c r="G42" s="5">
        <f>IF(MortgageAmortBEST[[#This Row],[Month]]=I$8,E$7,0)</f>
        <v>0</v>
      </c>
      <c r="H42" s="13">
        <f>IF(AND(C42&gt;='Amort. Sched.-BEST'!$I$8, C42&lt;= ($I$7+$I$8)), H41+F42, 0)</f>
        <v>168686.65986913102</v>
      </c>
      <c r="I42" s="24">
        <f>IF(AND(C42&gt;='Amort. Sched.-BEST'!$I$8, C42&lt;= ($I$7+$I$8)), E42/D42, " ")</f>
        <v>0.83371074949364843</v>
      </c>
      <c r="J42" s="25">
        <f>IF(AND(C42&gt;='Amort. Sched.-BEST'!$I$8, C42&lt;= ($I$7+$I$8)), F42/D42, " ")</f>
        <v>0.1662892505063516</v>
      </c>
      <c r="L42" s="20">
        <f t="shared" si="0"/>
        <v>31</v>
      </c>
      <c r="M42" s="5">
        <f>IF(AND(L42&gt;='Amort. Sched.-BEST'!$R$8, L42&lt;= ($R$7+$R$8)), PMT('Amort. Sched.-BEST'!$N$8/12, 'Amort. Sched.-BEST'!$R$7, 'Amort. Sched.-BEST'!$N$7), 0)</f>
        <v>0</v>
      </c>
      <c r="N42" s="5">
        <f>IF(AND(L42&gt;='Amort. Sched.-BEST'!$R$8, L42&lt;= ($R$7+$R$8)), (IPMT($N$8/12, (L42-$R$8), $R$7, $N$7)), 0)</f>
        <v>0</v>
      </c>
      <c r="O42" s="5">
        <f>IF(AND(L42&gt;='Amort. Sched.-BEST'!$R$8, L42&lt;= ($R$7+$R$8)), (PPMT($N$8/12, (L42-$R$8), $R$7, $N$7)), 0)</f>
        <v>0</v>
      </c>
      <c r="P42" s="5">
        <f>IF(CreditAmort1BEST[[#This Row],[Month]]=R$8,N$7,0)</f>
        <v>0</v>
      </c>
      <c r="Q42" s="13">
        <f>IF(AND(L42&gt;='Amort. Sched.-BEST'!$R$8, L42&lt;= ($R$7+$R$8)), Q41+O42, 0)</f>
        <v>0</v>
      </c>
      <c r="R42" s="6" t="str">
        <f>IF(AND(L42&gt;='Amort. Sched.-BEST'!$R$8, L42&lt;= ($R$7+$R$8)), N42/M42, " ")</f>
        <v xml:space="preserve"> </v>
      </c>
      <c r="S42" s="21" t="str">
        <f>IF(AND(L42&gt;='Amort. Sched.-BEST'!$R$8, L42&lt;= ($R$7+$R$8)), O42/M42, " ")</f>
        <v xml:space="preserve"> </v>
      </c>
      <c r="U42" s="20">
        <f t="shared" si="2"/>
        <v>31</v>
      </c>
      <c r="V42" s="5">
        <f>IF(AND(U42&gt;='Amort. Sched.-BEST'!$AA$8, U42&lt;= ($AA$7+$AA$8)), PMT('Amort. Sched.-BEST'!$W$8/12, 'Amort. Sched.-BEST'!$AA$7, 'Amort. Sched.-BEST'!$W$7), 0)</f>
        <v>0</v>
      </c>
      <c r="W42" s="5">
        <f>IF(AND(U42&gt;='Amort. Sched.-BEST'!$AA$8, U42&lt;= ($AA$7+$AA$8)), (IPMT($W$8/12, (U42-$AA$8), $AA$7, $W$7)), 0)</f>
        <v>0</v>
      </c>
      <c r="X42" s="5">
        <f>IF(AND(U42&gt;='Amort. Sched.-BEST'!$AA$8, U42&lt;= ($AA$7+$AA$8)), (PPMT($W$8/12, (U42-$AA$8), $AA$7, $W$7)), 0)</f>
        <v>0</v>
      </c>
      <c r="Y42" s="5">
        <f>IF(CreditAmort2BEST[[#This Row],[Month]]=AA$8,W$7,0)</f>
        <v>0</v>
      </c>
      <c r="Z42" s="13">
        <f>IF(AND(U42&gt;='Amort. Sched.-BEST'!$AA$8, U42&lt;= ($AA$7+$AA$8)), Z41+X42, 0)</f>
        <v>0</v>
      </c>
      <c r="AA42" s="6" t="str">
        <f>IF(AND(U42&gt;='Amort. Sched.-BEST'!$AA$8, U42&lt;= ($AA$7+$AA$8)), W42/V42, " ")</f>
        <v xml:space="preserve"> </v>
      </c>
      <c r="AB42" s="21" t="str">
        <f>IF(AND(U42&gt;='Amort. Sched.-BEST'!$AA$8, U42&lt;= ($AA$7+$AA$8)), X42/V42, " ")</f>
        <v xml:space="preserve"> </v>
      </c>
      <c r="AD42" s="20">
        <f t="shared" si="3"/>
        <v>31</v>
      </c>
      <c r="AE42" s="5">
        <f t="shared" si="4"/>
        <v>0</v>
      </c>
      <c r="AF42" s="5">
        <f t="shared" si="5"/>
        <v>0</v>
      </c>
      <c r="AG42" s="5">
        <f t="shared" si="6"/>
        <v>0</v>
      </c>
      <c r="AH42" s="5">
        <f>IF(CreditAmort3BEST[[#This Row],[Month]]=AJ$8,AF$7,0)</f>
        <v>0</v>
      </c>
      <c r="AI42" s="13">
        <f t="shared" si="7"/>
        <v>0</v>
      </c>
      <c r="AJ42" s="6" t="str">
        <f t="shared" si="8"/>
        <v xml:space="preserve"> </v>
      </c>
      <c r="AK42" s="21" t="str">
        <f t="shared" si="9"/>
        <v xml:space="preserve"> </v>
      </c>
      <c r="AM42" s="20">
        <f t="shared" si="10"/>
        <v>31</v>
      </c>
      <c r="AN42" s="5">
        <f t="shared" si="11"/>
        <v>0</v>
      </c>
      <c r="AO42" s="5">
        <f t="shared" si="12"/>
        <v>0</v>
      </c>
      <c r="AP42" s="5">
        <f t="shared" si="13"/>
        <v>0</v>
      </c>
      <c r="AQ42" s="5">
        <f>IF(CreditAmort4BEST[[#This Row],[Month]]=AS$8,AO$7,0)</f>
        <v>0</v>
      </c>
      <c r="AR42" s="13">
        <f t="shared" si="14"/>
        <v>0</v>
      </c>
      <c r="AS42" s="6" t="str">
        <f t="shared" si="15"/>
        <v xml:space="preserve"> </v>
      </c>
      <c r="AT42" s="21" t="str">
        <f t="shared" si="16"/>
        <v xml:space="preserve"> </v>
      </c>
    </row>
    <row r="43" spans="3:46">
      <c r="C43" s="22">
        <f t="shared" si="1"/>
        <v>32</v>
      </c>
      <c r="D43" s="23">
        <f>IF(AND(C43&gt;='Amort. Sched.-BEST'!$I$8, C43&lt;= ($I$7+$I$8)), PMT('Amort. Sched.-BEST'!$E$8/12, 'Amort. Sched.-BEST'!$I$7, 'Amort. Sched.-BEST'!$E$7), 0)</f>
        <v>-1350.6783839027553</v>
      </c>
      <c r="E43" s="5">
        <f>IF(AND(C43&gt;='Amort. Sched.-BEST'!$I$8, C43&lt;= ($I$7+$I$8)), (IPMT($E$8/12, (C43-$I$8), $I$7, $E$7)), 0)</f>
        <v>-1124.5777324608737</v>
      </c>
      <c r="F43" s="23">
        <f>IF(AND(C43&gt;='Amort. Sched.-BEST'!$I$8, C43&lt;= ($I$7+$I$8)), (PPMT($E$8/12, (C43-$I$8), $I$7, $E$7)), 0)</f>
        <v>-226.1006514418815</v>
      </c>
      <c r="G43" s="5">
        <f>IF(MortgageAmortBEST[[#This Row],[Month]]=I$8,E$7,0)</f>
        <v>0</v>
      </c>
      <c r="H43" s="13">
        <f>IF(AND(C43&gt;='Amort. Sched.-BEST'!$I$8, C43&lt;= ($I$7+$I$8)), H42+F43, 0)</f>
        <v>168460.55921768915</v>
      </c>
      <c r="I43" s="24">
        <f>IF(AND(C43&gt;='Amort. Sched.-BEST'!$I$8, C43&lt;= ($I$7+$I$8)), E43/D43, " ")</f>
        <v>0.83260215449027264</v>
      </c>
      <c r="J43" s="25">
        <f>IF(AND(C43&gt;='Amort. Sched.-BEST'!$I$8, C43&lt;= ($I$7+$I$8)), F43/D43, " ")</f>
        <v>0.16739784550972725</v>
      </c>
      <c r="L43" s="20">
        <f t="shared" si="0"/>
        <v>32</v>
      </c>
      <c r="M43" s="5">
        <f>IF(AND(L43&gt;='Amort. Sched.-BEST'!$R$8, L43&lt;= ($R$7+$R$8)), PMT('Amort. Sched.-BEST'!$N$8/12, 'Amort. Sched.-BEST'!$R$7, 'Amort. Sched.-BEST'!$N$7), 0)</f>
        <v>0</v>
      </c>
      <c r="N43" s="5">
        <f>IF(AND(L43&gt;='Amort. Sched.-BEST'!$R$8, L43&lt;= ($R$7+$R$8)), (IPMT($N$8/12, (L43-$R$8), $R$7, $N$7)), 0)</f>
        <v>0</v>
      </c>
      <c r="O43" s="5">
        <f>IF(AND(L43&gt;='Amort. Sched.-BEST'!$R$8, L43&lt;= ($R$7+$R$8)), (PPMT($N$8/12, (L43-$R$8), $R$7, $N$7)), 0)</f>
        <v>0</v>
      </c>
      <c r="P43" s="5">
        <f>IF(CreditAmort1BEST[[#This Row],[Month]]=R$8,N$7,0)</f>
        <v>0</v>
      </c>
      <c r="Q43" s="13">
        <f>IF(AND(L43&gt;='Amort. Sched.-BEST'!$R$8, L43&lt;= ($R$7+$R$8)), Q42+O43, 0)</f>
        <v>0</v>
      </c>
      <c r="R43" s="6" t="str">
        <f>IF(AND(L43&gt;='Amort. Sched.-BEST'!$R$8, L43&lt;= ($R$7+$R$8)), N43/M43, " ")</f>
        <v xml:space="preserve"> </v>
      </c>
      <c r="S43" s="21" t="str">
        <f>IF(AND(L43&gt;='Amort. Sched.-BEST'!$R$8, L43&lt;= ($R$7+$R$8)), O43/M43, " ")</f>
        <v xml:space="preserve"> </v>
      </c>
      <c r="U43" s="20">
        <f t="shared" si="2"/>
        <v>32</v>
      </c>
      <c r="V43" s="5">
        <f>IF(AND(U43&gt;='Amort. Sched.-BEST'!$AA$8, U43&lt;= ($AA$7+$AA$8)), PMT('Amort. Sched.-BEST'!$W$8/12, 'Amort. Sched.-BEST'!$AA$7, 'Amort. Sched.-BEST'!$W$7), 0)</f>
        <v>0</v>
      </c>
      <c r="W43" s="5">
        <f>IF(AND(U43&gt;='Amort. Sched.-BEST'!$AA$8, U43&lt;= ($AA$7+$AA$8)), (IPMT($W$8/12, (U43-$AA$8), $AA$7, $W$7)), 0)</f>
        <v>0</v>
      </c>
      <c r="X43" s="5">
        <f>IF(AND(U43&gt;='Amort. Sched.-BEST'!$AA$8, U43&lt;= ($AA$7+$AA$8)), (PPMT($W$8/12, (U43-$AA$8), $AA$7, $W$7)), 0)</f>
        <v>0</v>
      </c>
      <c r="Y43" s="5">
        <f>IF(CreditAmort2BEST[[#This Row],[Month]]=AA$8,W$7,0)</f>
        <v>0</v>
      </c>
      <c r="Z43" s="13">
        <f>IF(AND(U43&gt;='Amort. Sched.-BEST'!$AA$8, U43&lt;= ($AA$7+$AA$8)), Z42+X43, 0)</f>
        <v>0</v>
      </c>
      <c r="AA43" s="6" t="str">
        <f>IF(AND(U43&gt;='Amort. Sched.-BEST'!$AA$8, U43&lt;= ($AA$7+$AA$8)), W43/V43, " ")</f>
        <v xml:space="preserve"> </v>
      </c>
      <c r="AB43" s="21" t="str">
        <f>IF(AND(U43&gt;='Amort. Sched.-BEST'!$AA$8, U43&lt;= ($AA$7+$AA$8)), X43/V43, " ")</f>
        <v xml:space="preserve"> </v>
      </c>
      <c r="AD43" s="20">
        <f t="shared" si="3"/>
        <v>32</v>
      </c>
      <c r="AE43" s="5">
        <f t="shared" si="4"/>
        <v>0</v>
      </c>
      <c r="AF43" s="5">
        <f t="shared" si="5"/>
        <v>0</v>
      </c>
      <c r="AG43" s="5">
        <f t="shared" si="6"/>
        <v>0</v>
      </c>
      <c r="AH43" s="5">
        <f>IF(CreditAmort3BEST[[#This Row],[Month]]=AJ$8,AF$7,0)</f>
        <v>0</v>
      </c>
      <c r="AI43" s="13">
        <f t="shared" si="7"/>
        <v>0</v>
      </c>
      <c r="AJ43" s="6" t="str">
        <f t="shared" si="8"/>
        <v xml:space="preserve"> </v>
      </c>
      <c r="AK43" s="21" t="str">
        <f t="shared" si="9"/>
        <v xml:space="preserve"> </v>
      </c>
      <c r="AM43" s="20">
        <f t="shared" si="10"/>
        <v>32</v>
      </c>
      <c r="AN43" s="5">
        <f t="shared" si="11"/>
        <v>0</v>
      </c>
      <c r="AO43" s="5">
        <f t="shared" si="12"/>
        <v>0</v>
      </c>
      <c r="AP43" s="5">
        <f t="shared" si="13"/>
        <v>0</v>
      </c>
      <c r="AQ43" s="5">
        <f>IF(CreditAmort4BEST[[#This Row],[Month]]=AS$8,AO$7,0)</f>
        <v>0</v>
      </c>
      <c r="AR43" s="13">
        <f t="shared" si="14"/>
        <v>0</v>
      </c>
      <c r="AS43" s="6" t="str">
        <f t="shared" si="15"/>
        <v xml:space="preserve"> </v>
      </c>
      <c r="AT43" s="21" t="str">
        <f t="shared" si="16"/>
        <v xml:space="preserve"> </v>
      </c>
    </row>
    <row r="44" spans="3:46">
      <c r="C44" s="22">
        <f t="shared" si="1"/>
        <v>33</v>
      </c>
      <c r="D44" s="23">
        <f>IF(AND(C44&gt;='Amort. Sched.-BEST'!$I$8, C44&lt;= ($I$7+$I$8)), PMT('Amort. Sched.-BEST'!$E$8/12, 'Amort. Sched.-BEST'!$I$7, 'Amort. Sched.-BEST'!$E$7), 0)</f>
        <v>-1350.6783839027553</v>
      </c>
      <c r="E44" s="5">
        <f>IF(AND(C44&gt;='Amort. Sched.-BEST'!$I$8, C44&lt;= ($I$7+$I$8)), (IPMT($E$8/12, (C44-$I$8), $I$7, $E$7)), 0)</f>
        <v>-1123.0703947845946</v>
      </c>
      <c r="F44" s="23">
        <f>IF(AND(C44&gt;='Amort. Sched.-BEST'!$I$8, C44&lt;= ($I$7+$I$8)), (PPMT($E$8/12, (C44-$I$8), $I$7, $E$7)), 0)</f>
        <v>-227.60798911816073</v>
      </c>
      <c r="G44" s="5">
        <f>IF(MortgageAmortBEST[[#This Row],[Month]]=I$8,E$7,0)</f>
        <v>0</v>
      </c>
      <c r="H44" s="13">
        <f>IF(AND(C44&gt;='Amort. Sched.-BEST'!$I$8, C44&lt;= ($I$7+$I$8)), H43+F44, 0)</f>
        <v>168232.95122857098</v>
      </c>
      <c r="I44" s="24">
        <f>IF(AND(C44&gt;='Amort. Sched.-BEST'!$I$8, C44&lt;= ($I$7+$I$8)), E44/D44, " ")</f>
        <v>0.83148616885354121</v>
      </c>
      <c r="J44" s="25">
        <f>IF(AND(C44&gt;='Amort. Sched.-BEST'!$I$8, C44&lt;= ($I$7+$I$8)), F44/D44, " ")</f>
        <v>0.16851383114645876</v>
      </c>
      <c r="L44" s="20">
        <f t="shared" si="0"/>
        <v>33</v>
      </c>
      <c r="M44" s="5">
        <f>IF(AND(L44&gt;='Amort. Sched.-BEST'!$R$8, L44&lt;= ($R$7+$R$8)), PMT('Amort. Sched.-BEST'!$N$8/12, 'Amort. Sched.-BEST'!$R$7, 'Amort. Sched.-BEST'!$N$7), 0)</f>
        <v>0</v>
      </c>
      <c r="N44" s="5">
        <f>IF(AND(L44&gt;='Amort. Sched.-BEST'!$R$8, L44&lt;= ($R$7+$R$8)), (IPMT($N$8/12, (L44-$R$8), $R$7, $N$7)), 0)</f>
        <v>0</v>
      </c>
      <c r="O44" s="5">
        <f>IF(AND(L44&gt;='Amort. Sched.-BEST'!$R$8, L44&lt;= ($R$7+$R$8)), (PPMT($N$8/12, (L44-$R$8), $R$7, $N$7)), 0)</f>
        <v>0</v>
      </c>
      <c r="P44" s="5">
        <f>IF(CreditAmort1BEST[[#This Row],[Month]]=R$8,N$7,0)</f>
        <v>0</v>
      </c>
      <c r="Q44" s="13">
        <f>IF(AND(L44&gt;='Amort. Sched.-BEST'!$R$8, L44&lt;= ($R$7+$R$8)), Q43+O44, 0)</f>
        <v>0</v>
      </c>
      <c r="R44" s="6" t="str">
        <f>IF(AND(L44&gt;='Amort. Sched.-BEST'!$R$8, L44&lt;= ($R$7+$R$8)), N44/M44, " ")</f>
        <v xml:space="preserve"> </v>
      </c>
      <c r="S44" s="21" t="str">
        <f>IF(AND(L44&gt;='Amort. Sched.-BEST'!$R$8, L44&lt;= ($R$7+$R$8)), O44/M44, " ")</f>
        <v xml:space="preserve"> </v>
      </c>
      <c r="U44" s="20">
        <f t="shared" si="2"/>
        <v>33</v>
      </c>
      <c r="V44" s="5">
        <f>IF(AND(U44&gt;='Amort. Sched.-BEST'!$AA$8, U44&lt;= ($AA$7+$AA$8)), PMT('Amort. Sched.-BEST'!$W$8/12, 'Amort. Sched.-BEST'!$AA$7, 'Amort. Sched.-BEST'!$W$7), 0)</f>
        <v>0</v>
      </c>
      <c r="W44" s="5">
        <f>IF(AND(U44&gt;='Amort. Sched.-BEST'!$AA$8, U44&lt;= ($AA$7+$AA$8)), (IPMT($W$8/12, (U44-$AA$8), $AA$7, $W$7)), 0)</f>
        <v>0</v>
      </c>
      <c r="X44" s="5">
        <f>IF(AND(U44&gt;='Amort. Sched.-BEST'!$AA$8, U44&lt;= ($AA$7+$AA$8)), (PPMT($W$8/12, (U44-$AA$8), $AA$7, $W$7)), 0)</f>
        <v>0</v>
      </c>
      <c r="Y44" s="5">
        <f>IF(CreditAmort2BEST[[#This Row],[Month]]=AA$8,W$7,0)</f>
        <v>0</v>
      </c>
      <c r="Z44" s="13">
        <f>IF(AND(U44&gt;='Amort. Sched.-BEST'!$AA$8, U44&lt;= ($AA$7+$AA$8)), Z43+X44, 0)</f>
        <v>0</v>
      </c>
      <c r="AA44" s="6" t="str">
        <f>IF(AND(U44&gt;='Amort. Sched.-BEST'!$AA$8, U44&lt;= ($AA$7+$AA$8)), W44/V44, " ")</f>
        <v xml:space="preserve"> </v>
      </c>
      <c r="AB44" s="21" t="str">
        <f>IF(AND(U44&gt;='Amort. Sched.-BEST'!$AA$8, U44&lt;= ($AA$7+$AA$8)), X44/V44, " ")</f>
        <v xml:space="preserve"> </v>
      </c>
      <c r="AD44" s="20">
        <f t="shared" si="3"/>
        <v>33</v>
      </c>
      <c r="AE44" s="5">
        <f t="shared" si="4"/>
        <v>0</v>
      </c>
      <c r="AF44" s="5">
        <f t="shared" si="5"/>
        <v>0</v>
      </c>
      <c r="AG44" s="5">
        <f t="shared" si="6"/>
        <v>0</v>
      </c>
      <c r="AH44" s="5">
        <f>IF(CreditAmort3BEST[[#This Row],[Month]]=AJ$8,AF$7,0)</f>
        <v>0</v>
      </c>
      <c r="AI44" s="13">
        <f t="shared" si="7"/>
        <v>0</v>
      </c>
      <c r="AJ44" s="6" t="str">
        <f t="shared" si="8"/>
        <v xml:space="preserve"> </v>
      </c>
      <c r="AK44" s="21" t="str">
        <f t="shared" si="9"/>
        <v xml:space="preserve"> </v>
      </c>
      <c r="AM44" s="20">
        <f t="shared" si="10"/>
        <v>33</v>
      </c>
      <c r="AN44" s="5">
        <f t="shared" si="11"/>
        <v>0</v>
      </c>
      <c r="AO44" s="5">
        <f t="shared" si="12"/>
        <v>0</v>
      </c>
      <c r="AP44" s="5">
        <f t="shared" si="13"/>
        <v>0</v>
      </c>
      <c r="AQ44" s="5">
        <f>IF(CreditAmort4BEST[[#This Row],[Month]]=AS$8,AO$7,0)</f>
        <v>0</v>
      </c>
      <c r="AR44" s="13">
        <f t="shared" si="14"/>
        <v>0</v>
      </c>
      <c r="AS44" s="6" t="str">
        <f t="shared" si="15"/>
        <v xml:space="preserve"> </v>
      </c>
      <c r="AT44" s="21" t="str">
        <f t="shared" si="16"/>
        <v xml:space="preserve"> </v>
      </c>
    </row>
    <row r="45" spans="3:46">
      <c r="C45" s="22">
        <f t="shared" si="1"/>
        <v>34</v>
      </c>
      <c r="D45" s="23">
        <f>IF(AND(C45&gt;='Amort. Sched.-BEST'!$I$8, C45&lt;= ($I$7+$I$8)), PMT('Amort. Sched.-BEST'!$E$8/12, 'Amort. Sched.-BEST'!$I$7, 'Amort. Sched.-BEST'!$E$7), 0)</f>
        <v>-1350.6783839027553</v>
      </c>
      <c r="E45" s="5">
        <f>IF(AND(C45&gt;='Amort. Sched.-BEST'!$I$8, C45&lt;= ($I$7+$I$8)), (IPMT($E$8/12, (C45-$I$8), $I$7, $E$7)), 0)</f>
        <v>-1121.5530081904737</v>
      </c>
      <c r="F45" s="23">
        <f>IF(AND(C45&gt;='Amort. Sched.-BEST'!$I$8, C45&lt;= ($I$7+$I$8)), (PPMT($E$8/12, (C45-$I$8), $I$7, $E$7)), 0)</f>
        <v>-229.12537571228179</v>
      </c>
      <c r="G45" s="5">
        <f>IF(MortgageAmortBEST[[#This Row],[Month]]=I$8,E$7,0)</f>
        <v>0</v>
      </c>
      <c r="H45" s="13">
        <f>IF(AND(C45&gt;='Amort. Sched.-BEST'!$I$8, C45&lt;= ($I$7+$I$8)), H44+F45, 0)</f>
        <v>168003.82585285869</v>
      </c>
      <c r="I45" s="24">
        <f>IF(AND(C45&gt;='Amort. Sched.-BEST'!$I$8, C45&lt;= ($I$7+$I$8)), E45/D45, " ")</f>
        <v>0.83036274331256499</v>
      </c>
      <c r="J45" s="25">
        <f>IF(AND(C45&gt;='Amort. Sched.-BEST'!$I$8, C45&lt;= ($I$7+$I$8)), F45/D45, " ")</f>
        <v>0.16963725668743515</v>
      </c>
      <c r="L45" s="20">
        <f t="shared" si="0"/>
        <v>34</v>
      </c>
      <c r="M45" s="5">
        <f>IF(AND(L45&gt;='Amort. Sched.-BEST'!$R$8, L45&lt;= ($R$7+$R$8)), PMT('Amort. Sched.-BEST'!$N$8/12, 'Amort. Sched.-BEST'!$R$7, 'Amort. Sched.-BEST'!$N$7), 0)</f>
        <v>0</v>
      </c>
      <c r="N45" s="5">
        <f>IF(AND(L45&gt;='Amort. Sched.-BEST'!$R$8, L45&lt;= ($R$7+$R$8)), (IPMT($N$8/12, (L45-$R$8), $R$7, $N$7)), 0)</f>
        <v>0</v>
      </c>
      <c r="O45" s="5">
        <f>IF(AND(L45&gt;='Amort. Sched.-BEST'!$R$8, L45&lt;= ($R$7+$R$8)), (PPMT($N$8/12, (L45-$R$8), $R$7, $N$7)), 0)</f>
        <v>0</v>
      </c>
      <c r="P45" s="5">
        <f>IF(CreditAmort1BEST[[#This Row],[Month]]=R$8,N$7,0)</f>
        <v>0</v>
      </c>
      <c r="Q45" s="13">
        <f>IF(AND(L45&gt;='Amort. Sched.-BEST'!$R$8, L45&lt;= ($R$7+$R$8)), Q44+O45, 0)</f>
        <v>0</v>
      </c>
      <c r="R45" s="6" t="str">
        <f>IF(AND(L45&gt;='Amort. Sched.-BEST'!$R$8, L45&lt;= ($R$7+$R$8)), N45/M45, " ")</f>
        <v xml:space="preserve"> </v>
      </c>
      <c r="S45" s="21" t="str">
        <f>IF(AND(L45&gt;='Amort. Sched.-BEST'!$R$8, L45&lt;= ($R$7+$R$8)), O45/M45, " ")</f>
        <v xml:space="preserve"> </v>
      </c>
      <c r="U45" s="20">
        <f t="shared" si="2"/>
        <v>34</v>
      </c>
      <c r="V45" s="5">
        <f>IF(AND(U45&gt;='Amort. Sched.-BEST'!$AA$8, U45&lt;= ($AA$7+$AA$8)), PMT('Amort. Sched.-BEST'!$W$8/12, 'Amort. Sched.-BEST'!$AA$7, 'Amort. Sched.-BEST'!$W$7), 0)</f>
        <v>0</v>
      </c>
      <c r="W45" s="5">
        <f>IF(AND(U45&gt;='Amort. Sched.-BEST'!$AA$8, U45&lt;= ($AA$7+$AA$8)), (IPMT($W$8/12, (U45-$AA$8), $AA$7, $W$7)), 0)</f>
        <v>0</v>
      </c>
      <c r="X45" s="5">
        <f>IF(AND(U45&gt;='Amort. Sched.-BEST'!$AA$8, U45&lt;= ($AA$7+$AA$8)), (PPMT($W$8/12, (U45-$AA$8), $AA$7, $W$7)), 0)</f>
        <v>0</v>
      </c>
      <c r="Y45" s="5">
        <f>IF(CreditAmort2BEST[[#This Row],[Month]]=AA$8,W$7,0)</f>
        <v>0</v>
      </c>
      <c r="Z45" s="13">
        <f>IF(AND(U45&gt;='Amort. Sched.-BEST'!$AA$8, U45&lt;= ($AA$7+$AA$8)), Z44+X45, 0)</f>
        <v>0</v>
      </c>
      <c r="AA45" s="6" t="str">
        <f>IF(AND(U45&gt;='Amort. Sched.-BEST'!$AA$8, U45&lt;= ($AA$7+$AA$8)), W45/V45, " ")</f>
        <v xml:space="preserve"> </v>
      </c>
      <c r="AB45" s="21" t="str">
        <f>IF(AND(U45&gt;='Amort. Sched.-BEST'!$AA$8, U45&lt;= ($AA$7+$AA$8)), X45/V45, " ")</f>
        <v xml:space="preserve"> </v>
      </c>
      <c r="AD45" s="20">
        <f t="shared" si="3"/>
        <v>34</v>
      </c>
      <c r="AE45" s="5">
        <f t="shared" si="4"/>
        <v>0</v>
      </c>
      <c r="AF45" s="5">
        <f t="shared" si="5"/>
        <v>0</v>
      </c>
      <c r="AG45" s="5">
        <f t="shared" si="6"/>
        <v>0</v>
      </c>
      <c r="AH45" s="5">
        <f>IF(CreditAmort3BEST[[#This Row],[Month]]=AJ$8,AF$7,0)</f>
        <v>0</v>
      </c>
      <c r="AI45" s="13">
        <f t="shared" si="7"/>
        <v>0</v>
      </c>
      <c r="AJ45" s="6" t="str">
        <f t="shared" si="8"/>
        <v xml:space="preserve"> </v>
      </c>
      <c r="AK45" s="21" t="str">
        <f t="shared" si="9"/>
        <v xml:space="preserve"> </v>
      </c>
      <c r="AM45" s="20">
        <f t="shared" si="10"/>
        <v>34</v>
      </c>
      <c r="AN45" s="5">
        <f t="shared" si="11"/>
        <v>0</v>
      </c>
      <c r="AO45" s="5">
        <f t="shared" si="12"/>
        <v>0</v>
      </c>
      <c r="AP45" s="5">
        <f t="shared" si="13"/>
        <v>0</v>
      </c>
      <c r="AQ45" s="5">
        <f>IF(CreditAmort4BEST[[#This Row],[Month]]=AS$8,AO$7,0)</f>
        <v>0</v>
      </c>
      <c r="AR45" s="13">
        <f t="shared" si="14"/>
        <v>0</v>
      </c>
      <c r="AS45" s="6" t="str">
        <f t="shared" si="15"/>
        <v xml:space="preserve"> </v>
      </c>
      <c r="AT45" s="21" t="str">
        <f t="shared" si="16"/>
        <v xml:space="preserve"> </v>
      </c>
    </row>
    <row r="46" spans="3:46">
      <c r="C46" s="22">
        <f t="shared" si="1"/>
        <v>35</v>
      </c>
      <c r="D46" s="23">
        <f>IF(AND(C46&gt;='Amort. Sched.-BEST'!$I$8, C46&lt;= ($I$7+$I$8)), PMT('Amort. Sched.-BEST'!$E$8/12, 'Amort. Sched.-BEST'!$I$7, 'Amort. Sched.-BEST'!$E$7), 0)</f>
        <v>-1350.6783839027553</v>
      </c>
      <c r="E46" s="5">
        <f>IF(AND(C46&gt;='Amort. Sched.-BEST'!$I$8, C46&lt;= ($I$7+$I$8)), (IPMT($E$8/12, (C46-$I$8), $I$7, $E$7)), 0)</f>
        <v>-1120.025505685725</v>
      </c>
      <c r="F46" s="23">
        <f>IF(AND(C46&gt;='Amort. Sched.-BEST'!$I$8, C46&lt;= ($I$7+$I$8)), (PPMT($E$8/12, (C46-$I$8), $I$7, $E$7)), 0)</f>
        <v>-230.65287821703035</v>
      </c>
      <c r="G46" s="5">
        <f>IF(MortgageAmortBEST[[#This Row],[Month]]=I$8,E$7,0)</f>
        <v>0</v>
      </c>
      <c r="H46" s="13">
        <f>IF(AND(C46&gt;='Amort. Sched.-BEST'!$I$8, C46&lt;= ($I$7+$I$8)), H45+F46, 0)</f>
        <v>167773.17297464167</v>
      </c>
      <c r="I46" s="24">
        <f>IF(AND(C46&gt;='Amort. Sched.-BEST'!$I$8, C46&lt;= ($I$7+$I$8)), E46/D46, " ")</f>
        <v>0.82923182826798192</v>
      </c>
      <c r="J46" s="25">
        <f>IF(AND(C46&gt;='Amort. Sched.-BEST'!$I$8, C46&lt;= ($I$7+$I$8)), F46/D46, " ")</f>
        <v>0.17076817173201808</v>
      </c>
      <c r="L46" s="20">
        <f t="shared" si="0"/>
        <v>35</v>
      </c>
      <c r="M46" s="5">
        <f>IF(AND(L46&gt;='Amort. Sched.-BEST'!$R$8, L46&lt;= ($R$7+$R$8)), PMT('Amort. Sched.-BEST'!$N$8/12, 'Amort. Sched.-BEST'!$R$7, 'Amort. Sched.-BEST'!$N$7), 0)</f>
        <v>0</v>
      </c>
      <c r="N46" s="5">
        <f>IF(AND(L46&gt;='Amort. Sched.-BEST'!$R$8, L46&lt;= ($R$7+$R$8)), (IPMT($N$8/12, (L46-$R$8), $R$7, $N$7)), 0)</f>
        <v>0</v>
      </c>
      <c r="O46" s="5">
        <f>IF(AND(L46&gt;='Amort. Sched.-BEST'!$R$8, L46&lt;= ($R$7+$R$8)), (PPMT($N$8/12, (L46-$R$8), $R$7, $N$7)), 0)</f>
        <v>0</v>
      </c>
      <c r="P46" s="5">
        <f>IF(CreditAmort1BEST[[#This Row],[Month]]=R$8,N$7,0)</f>
        <v>0</v>
      </c>
      <c r="Q46" s="13">
        <f>IF(AND(L46&gt;='Amort. Sched.-BEST'!$R$8, L46&lt;= ($R$7+$R$8)), Q45+O46, 0)</f>
        <v>0</v>
      </c>
      <c r="R46" s="6" t="str">
        <f>IF(AND(L46&gt;='Amort. Sched.-BEST'!$R$8, L46&lt;= ($R$7+$R$8)), N46/M46, " ")</f>
        <v xml:space="preserve"> </v>
      </c>
      <c r="S46" s="21" t="str">
        <f>IF(AND(L46&gt;='Amort. Sched.-BEST'!$R$8, L46&lt;= ($R$7+$R$8)), O46/M46, " ")</f>
        <v xml:space="preserve"> </v>
      </c>
      <c r="U46" s="20">
        <f t="shared" si="2"/>
        <v>35</v>
      </c>
      <c r="V46" s="5">
        <f>IF(AND(U46&gt;='Amort. Sched.-BEST'!$AA$8, U46&lt;= ($AA$7+$AA$8)), PMT('Amort. Sched.-BEST'!$W$8/12, 'Amort. Sched.-BEST'!$AA$7, 'Amort. Sched.-BEST'!$W$7), 0)</f>
        <v>0</v>
      </c>
      <c r="W46" s="5">
        <f>IF(AND(U46&gt;='Amort. Sched.-BEST'!$AA$8, U46&lt;= ($AA$7+$AA$8)), (IPMT($W$8/12, (U46-$AA$8), $AA$7, $W$7)), 0)</f>
        <v>0</v>
      </c>
      <c r="X46" s="5">
        <f>IF(AND(U46&gt;='Amort. Sched.-BEST'!$AA$8, U46&lt;= ($AA$7+$AA$8)), (PPMT($W$8/12, (U46-$AA$8), $AA$7, $W$7)), 0)</f>
        <v>0</v>
      </c>
      <c r="Y46" s="5">
        <f>IF(CreditAmort2BEST[[#This Row],[Month]]=AA$8,W$7,0)</f>
        <v>0</v>
      </c>
      <c r="Z46" s="13">
        <f>IF(AND(U46&gt;='Amort. Sched.-BEST'!$AA$8, U46&lt;= ($AA$7+$AA$8)), Z45+X46, 0)</f>
        <v>0</v>
      </c>
      <c r="AA46" s="6" t="str">
        <f>IF(AND(U46&gt;='Amort. Sched.-BEST'!$AA$8, U46&lt;= ($AA$7+$AA$8)), W46/V46, " ")</f>
        <v xml:space="preserve"> </v>
      </c>
      <c r="AB46" s="21" t="str">
        <f>IF(AND(U46&gt;='Amort. Sched.-BEST'!$AA$8, U46&lt;= ($AA$7+$AA$8)), X46/V46, " ")</f>
        <v xml:space="preserve"> </v>
      </c>
      <c r="AD46" s="20">
        <f t="shared" si="3"/>
        <v>35</v>
      </c>
      <c r="AE46" s="5">
        <f t="shared" si="4"/>
        <v>0</v>
      </c>
      <c r="AF46" s="5">
        <f t="shared" si="5"/>
        <v>0</v>
      </c>
      <c r="AG46" s="5">
        <f t="shared" si="6"/>
        <v>0</v>
      </c>
      <c r="AH46" s="5">
        <f>IF(CreditAmort3BEST[[#This Row],[Month]]=AJ$8,AF$7,0)</f>
        <v>0</v>
      </c>
      <c r="AI46" s="13">
        <f t="shared" si="7"/>
        <v>0</v>
      </c>
      <c r="AJ46" s="6" t="str">
        <f t="shared" si="8"/>
        <v xml:space="preserve"> </v>
      </c>
      <c r="AK46" s="21" t="str">
        <f t="shared" si="9"/>
        <v xml:space="preserve"> </v>
      </c>
      <c r="AM46" s="20">
        <f t="shared" si="10"/>
        <v>35</v>
      </c>
      <c r="AN46" s="5">
        <f t="shared" si="11"/>
        <v>0</v>
      </c>
      <c r="AO46" s="5">
        <f t="shared" si="12"/>
        <v>0</v>
      </c>
      <c r="AP46" s="5">
        <f t="shared" si="13"/>
        <v>0</v>
      </c>
      <c r="AQ46" s="5">
        <f>IF(CreditAmort4BEST[[#This Row],[Month]]=AS$8,AO$7,0)</f>
        <v>0</v>
      </c>
      <c r="AR46" s="13">
        <f t="shared" si="14"/>
        <v>0</v>
      </c>
      <c r="AS46" s="6" t="str">
        <f t="shared" si="15"/>
        <v xml:space="preserve"> </v>
      </c>
      <c r="AT46" s="21" t="str">
        <f t="shared" si="16"/>
        <v xml:space="preserve"> </v>
      </c>
    </row>
    <row r="47" spans="3:46">
      <c r="C47" s="22">
        <f t="shared" si="1"/>
        <v>36</v>
      </c>
      <c r="D47" s="23">
        <f>IF(AND(C47&gt;='Amort. Sched.-BEST'!$I$8, C47&lt;= ($I$7+$I$8)), PMT('Amort. Sched.-BEST'!$E$8/12, 'Amort. Sched.-BEST'!$I$7, 'Amort. Sched.-BEST'!$E$7), 0)</f>
        <v>-1350.6783839027553</v>
      </c>
      <c r="E47" s="5">
        <f>IF(AND(C47&gt;='Amort. Sched.-BEST'!$I$8, C47&lt;= ($I$7+$I$8)), (IPMT($E$8/12, (C47-$I$8), $I$7, $E$7)), 0)</f>
        <v>-1118.4878198309448</v>
      </c>
      <c r="F47" s="23">
        <f>IF(AND(C47&gt;='Amort. Sched.-BEST'!$I$8, C47&lt;= ($I$7+$I$8)), (PPMT($E$8/12, (C47-$I$8), $I$7, $E$7)), 0)</f>
        <v>-232.19056407181057</v>
      </c>
      <c r="G47" s="5">
        <f>IF(MortgageAmortBEST[[#This Row],[Month]]=I$8,E$7,0)</f>
        <v>0</v>
      </c>
      <c r="H47" s="13">
        <f>IF(AND(C47&gt;='Amort. Sched.-BEST'!$I$8, C47&lt;= ($I$7+$I$8)), H46+F47, 0)</f>
        <v>167540.98241056985</v>
      </c>
      <c r="I47" s="24">
        <f>IF(AND(C47&gt;='Amort. Sched.-BEST'!$I$8, C47&lt;= ($I$7+$I$8)), E47/D47, " ")</f>
        <v>0.82809337378976855</v>
      </c>
      <c r="J47" s="25">
        <f>IF(AND(C47&gt;='Amort. Sched.-BEST'!$I$8, C47&lt;= ($I$7+$I$8)), F47/D47, " ")</f>
        <v>0.17190662621023153</v>
      </c>
      <c r="L47" s="20">
        <f t="shared" si="0"/>
        <v>36</v>
      </c>
      <c r="M47" s="5">
        <f>IF(AND(L47&gt;='Amort. Sched.-BEST'!$R$8, L47&lt;= ($R$7+$R$8)), PMT('Amort. Sched.-BEST'!$N$8/12, 'Amort. Sched.-BEST'!$R$7, 'Amort. Sched.-BEST'!$N$7), 0)</f>
        <v>0</v>
      </c>
      <c r="N47" s="5">
        <f>IF(AND(L47&gt;='Amort. Sched.-BEST'!$R$8, L47&lt;= ($R$7+$R$8)), (IPMT($N$8/12, (L47-$R$8), $R$7, $N$7)), 0)</f>
        <v>0</v>
      </c>
      <c r="O47" s="5">
        <f>IF(AND(L47&gt;='Amort. Sched.-BEST'!$R$8, L47&lt;= ($R$7+$R$8)), (PPMT($N$8/12, (L47-$R$8), $R$7, $N$7)), 0)</f>
        <v>0</v>
      </c>
      <c r="P47" s="5">
        <f>IF(CreditAmort1BEST[[#This Row],[Month]]=R$8,N$7,0)</f>
        <v>0</v>
      </c>
      <c r="Q47" s="13">
        <f>IF(AND(L47&gt;='Amort. Sched.-BEST'!$R$8, L47&lt;= ($R$7+$R$8)), Q46+O47, 0)</f>
        <v>0</v>
      </c>
      <c r="R47" s="6" t="str">
        <f>IF(AND(L47&gt;='Amort. Sched.-BEST'!$R$8, L47&lt;= ($R$7+$R$8)), N47/M47, " ")</f>
        <v xml:space="preserve"> </v>
      </c>
      <c r="S47" s="21" t="str">
        <f>IF(AND(L47&gt;='Amort. Sched.-BEST'!$R$8, L47&lt;= ($R$7+$R$8)), O47/M47, " ")</f>
        <v xml:space="preserve"> </v>
      </c>
      <c r="U47" s="20">
        <f t="shared" si="2"/>
        <v>36</v>
      </c>
      <c r="V47" s="5">
        <f>IF(AND(U47&gt;='Amort. Sched.-BEST'!$AA$8, U47&lt;= ($AA$7+$AA$8)), PMT('Amort. Sched.-BEST'!$W$8/12, 'Amort. Sched.-BEST'!$AA$7, 'Amort. Sched.-BEST'!$W$7), 0)</f>
        <v>0</v>
      </c>
      <c r="W47" s="5">
        <f>IF(AND(U47&gt;='Amort. Sched.-BEST'!$AA$8, U47&lt;= ($AA$7+$AA$8)), (IPMT($W$8/12, (U47-$AA$8), $AA$7, $W$7)), 0)</f>
        <v>0</v>
      </c>
      <c r="X47" s="5">
        <f>IF(AND(U47&gt;='Amort. Sched.-BEST'!$AA$8, U47&lt;= ($AA$7+$AA$8)), (PPMT($W$8/12, (U47-$AA$8), $AA$7, $W$7)), 0)</f>
        <v>0</v>
      </c>
      <c r="Y47" s="5">
        <f>IF(CreditAmort2BEST[[#This Row],[Month]]=AA$8,W$7,0)</f>
        <v>0</v>
      </c>
      <c r="Z47" s="13">
        <f>IF(AND(U47&gt;='Amort. Sched.-BEST'!$AA$8, U47&lt;= ($AA$7+$AA$8)), Z46+X47, 0)</f>
        <v>0</v>
      </c>
      <c r="AA47" s="6" t="str">
        <f>IF(AND(U47&gt;='Amort. Sched.-BEST'!$AA$8, U47&lt;= ($AA$7+$AA$8)), W47/V47, " ")</f>
        <v xml:space="preserve"> </v>
      </c>
      <c r="AB47" s="21" t="str">
        <f>IF(AND(U47&gt;='Amort. Sched.-BEST'!$AA$8, U47&lt;= ($AA$7+$AA$8)), X47/V47, " ")</f>
        <v xml:space="preserve"> </v>
      </c>
      <c r="AD47" s="20">
        <f t="shared" si="3"/>
        <v>36</v>
      </c>
      <c r="AE47" s="5">
        <f t="shared" si="4"/>
        <v>0</v>
      </c>
      <c r="AF47" s="5">
        <f t="shared" si="5"/>
        <v>0</v>
      </c>
      <c r="AG47" s="5">
        <f t="shared" si="6"/>
        <v>0</v>
      </c>
      <c r="AH47" s="5">
        <f>IF(CreditAmort3BEST[[#This Row],[Month]]=AJ$8,AF$7,0)</f>
        <v>0</v>
      </c>
      <c r="AI47" s="13">
        <f t="shared" si="7"/>
        <v>0</v>
      </c>
      <c r="AJ47" s="6" t="str">
        <f t="shared" si="8"/>
        <v xml:space="preserve"> </v>
      </c>
      <c r="AK47" s="21" t="str">
        <f t="shared" si="9"/>
        <v xml:space="preserve"> </v>
      </c>
      <c r="AM47" s="20">
        <f t="shared" si="10"/>
        <v>36</v>
      </c>
      <c r="AN47" s="5">
        <f t="shared" si="11"/>
        <v>0</v>
      </c>
      <c r="AO47" s="5">
        <f t="shared" si="12"/>
        <v>0</v>
      </c>
      <c r="AP47" s="5">
        <f t="shared" si="13"/>
        <v>0</v>
      </c>
      <c r="AQ47" s="5">
        <f>IF(CreditAmort4BEST[[#This Row],[Month]]=AS$8,AO$7,0)</f>
        <v>0</v>
      </c>
      <c r="AR47" s="13">
        <f t="shared" si="14"/>
        <v>0</v>
      </c>
      <c r="AS47" s="6" t="str">
        <f t="shared" si="15"/>
        <v xml:space="preserve"> </v>
      </c>
      <c r="AT47" s="21" t="str">
        <f t="shared" si="16"/>
        <v xml:space="preserve"> </v>
      </c>
    </row>
    <row r="48" spans="3:46">
      <c r="C48" s="22">
        <f t="shared" si="1"/>
        <v>37</v>
      </c>
      <c r="D48" s="23">
        <f>IF(AND(C48&gt;='Amort. Sched.-BEST'!$I$8, C48&lt;= ($I$7+$I$8)), PMT('Amort. Sched.-BEST'!$E$8/12, 'Amort. Sched.-BEST'!$I$7, 'Amort. Sched.-BEST'!$E$7), 0)</f>
        <v>-1350.6783839027553</v>
      </c>
      <c r="E48" s="5">
        <f>IF(AND(C48&gt;='Amort. Sched.-BEST'!$I$8, C48&lt;= ($I$7+$I$8)), (IPMT($E$8/12, (C48-$I$8), $I$7, $E$7)), 0)</f>
        <v>-1116.9398827371328</v>
      </c>
      <c r="F48" s="23">
        <f>IF(AND(C48&gt;='Amort. Sched.-BEST'!$I$8, C48&lt;= ($I$7+$I$8)), (PPMT($E$8/12, (C48-$I$8), $I$7, $E$7)), 0)</f>
        <v>-233.73850116562261</v>
      </c>
      <c r="G48" s="5">
        <f>IF(MortgageAmortBEST[[#This Row],[Month]]=I$8,E$7,0)</f>
        <v>0</v>
      </c>
      <c r="H48" s="13">
        <f>IF(AND(C48&gt;='Amort. Sched.-BEST'!$I$8, C48&lt;= ($I$7+$I$8)), H47+F48, 0)</f>
        <v>167307.24390940423</v>
      </c>
      <c r="I48" s="24">
        <f>IF(AND(C48&gt;='Amort. Sched.-BEST'!$I$8, C48&lt;= ($I$7+$I$8)), E48/D48, " ")</f>
        <v>0.8269473296150337</v>
      </c>
      <c r="J48" s="25">
        <f>IF(AND(C48&gt;='Amort. Sched.-BEST'!$I$8, C48&lt;= ($I$7+$I$8)), F48/D48, " ")</f>
        <v>0.17305267038496638</v>
      </c>
      <c r="L48" s="20">
        <f t="shared" si="0"/>
        <v>37</v>
      </c>
      <c r="M48" s="5">
        <f>IF(AND(L48&gt;='Amort. Sched.-BEST'!$R$8, L48&lt;= ($R$7+$R$8)), PMT('Amort. Sched.-BEST'!$N$8/12, 'Amort. Sched.-BEST'!$R$7, 'Amort. Sched.-BEST'!$N$7), 0)</f>
        <v>0</v>
      </c>
      <c r="N48" s="5">
        <f>IF(AND(L48&gt;='Amort. Sched.-BEST'!$R$8, L48&lt;= ($R$7+$R$8)), (IPMT($N$8/12, (L48-$R$8), $R$7, $N$7)), 0)</f>
        <v>0</v>
      </c>
      <c r="O48" s="5">
        <f>IF(AND(L48&gt;='Amort. Sched.-BEST'!$R$8, L48&lt;= ($R$7+$R$8)), (PPMT($N$8/12, (L48-$R$8), $R$7, $N$7)), 0)</f>
        <v>0</v>
      </c>
      <c r="P48" s="5">
        <f>IF(CreditAmort1BEST[[#This Row],[Month]]=R$8,N$7,0)</f>
        <v>0</v>
      </c>
      <c r="Q48" s="13">
        <f>IF(AND(L48&gt;='Amort. Sched.-BEST'!$R$8, L48&lt;= ($R$7+$R$8)), Q47+O48, 0)</f>
        <v>0</v>
      </c>
      <c r="R48" s="6" t="str">
        <f>IF(AND(L48&gt;='Amort. Sched.-BEST'!$R$8, L48&lt;= ($R$7+$R$8)), N48/M48, " ")</f>
        <v xml:space="preserve"> </v>
      </c>
      <c r="S48" s="21" t="str">
        <f>IF(AND(L48&gt;='Amort. Sched.-BEST'!$R$8, L48&lt;= ($R$7+$R$8)), O48/M48, " ")</f>
        <v xml:space="preserve"> </v>
      </c>
      <c r="U48" s="20">
        <f t="shared" si="2"/>
        <v>37</v>
      </c>
      <c r="V48" s="5">
        <f>IF(AND(U48&gt;='Amort. Sched.-BEST'!$AA$8, U48&lt;= ($AA$7+$AA$8)), PMT('Amort. Sched.-BEST'!$W$8/12, 'Amort. Sched.-BEST'!$AA$7, 'Amort. Sched.-BEST'!$W$7), 0)</f>
        <v>0</v>
      </c>
      <c r="W48" s="5">
        <f>IF(AND(U48&gt;='Amort. Sched.-BEST'!$AA$8, U48&lt;= ($AA$7+$AA$8)), (IPMT($W$8/12, (U48-$AA$8), $AA$7, $W$7)), 0)</f>
        <v>0</v>
      </c>
      <c r="X48" s="5">
        <f>IF(AND(U48&gt;='Amort. Sched.-BEST'!$AA$8, U48&lt;= ($AA$7+$AA$8)), (PPMT($W$8/12, (U48-$AA$8), $AA$7, $W$7)), 0)</f>
        <v>0</v>
      </c>
      <c r="Y48" s="5">
        <f>IF(CreditAmort2BEST[[#This Row],[Month]]=AA$8,W$7,0)</f>
        <v>0</v>
      </c>
      <c r="Z48" s="13">
        <f>IF(AND(U48&gt;='Amort. Sched.-BEST'!$AA$8, U48&lt;= ($AA$7+$AA$8)), Z47+X48, 0)</f>
        <v>0</v>
      </c>
      <c r="AA48" s="6" t="str">
        <f>IF(AND(U48&gt;='Amort. Sched.-BEST'!$AA$8, U48&lt;= ($AA$7+$AA$8)), W48/V48, " ")</f>
        <v xml:space="preserve"> </v>
      </c>
      <c r="AB48" s="21" t="str">
        <f>IF(AND(U48&gt;='Amort. Sched.-BEST'!$AA$8, U48&lt;= ($AA$7+$AA$8)), X48/V48, " ")</f>
        <v xml:space="preserve"> </v>
      </c>
      <c r="AD48" s="20">
        <f t="shared" si="3"/>
        <v>37</v>
      </c>
      <c r="AE48" s="5">
        <f t="shared" si="4"/>
        <v>0</v>
      </c>
      <c r="AF48" s="5">
        <f t="shared" si="5"/>
        <v>0</v>
      </c>
      <c r="AG48" s="5">
        <f t="shared" si="6"/>
        <v>0</v>
      </c>
      <c r="AH48" s="5">
        <f>IF(CreditAmort3BEST[[#This Row],[Month]]=AJ$8,AF$7,0)</f>
        <v>0</v>
      </c>
      <c r="AI48" s="13">
        <f t="shared" si="7"/>
        <v>0</v>
      </c>
      <c r="AJ48" s="6" t="str">
        <f t="shared" si="8"/>
        <v xml:space="preserve"> </v>
      </c>
      <c r="AK48" s="21" t="str">
        <f t="shared" si="9"/>
        <v xml:space="preserve"> </v>
      </c>
      <c r="AM48" s="20">
        <f t="shared" si="10"/>
        <v>37</v>
      </c>
      <c r="AN48" s="5">
        <f t="shared" si="11"/>
        <v>0</v>
      </c>
      <c r="AO48" s="5">
        <f t="shared" si="12"/>
        <v>0</v>
      </c>
      <c r="AP48" s="5">
        <f t="shared" si="13"/>
        <v>0</v>
      </c>
      <c r="AQ48" s="5">
        <f>IF(CreditAmort4BEST[[#This Row],[Month]]=AS$8,AO$7,0)</f>
        <v>0</v>
      </c>
      <c r="AR48" s="13">
        <f t="shared" si="14"/>
        <v>0</v>
      </c>
      <c r="AS48" s="6" t="str">
        <f t="shared" si="15"/>
        <v xml:space="preserve"> </v>
      </c>
      <c r="AT48" s="21" t="str">
        <f t="shared" si="16"/>
        <v xml:space="preserve"> </v>
      </c>
    </row>
    <row r="49" spans="3:46">
      <c r="C49" s="22">
        <f t="shared" si="1"/>
        <v>38</v>
      </c>
      <c r="D49" s="23">
        <f>IF(AND(C49&gt;='Amort. Sched.-BEST'!$I$8, C49&lt;= ($I$7+$I$8)), PMT('Amort. Sched.-BEST'!$E$8/12, 'Amort. Sched.-BEST'!$I$7, 'Amort. Sched.-BEST'!$E$7), 0)</f>
        <v>-1350.6783839027553</v>
      </c>
      <c r="E49" s="5">
        <f>IF(AND(C49&gt;='Amort. Sched.-BEST'!$I$8, C49&lt;= ($I$7+$I$8)), (IPMT($E$8/12, (C49-$I$8), $I$7, $E$7)), 0)</f>
        <v>-1115.3816260626954</v>
      </c>
      <c r="F49" s="23">
        <f>IF(AND(C49&gt;='Amort. Sched.-BEST'!$I$8, C49&lt;= ($I$7+$I$8)), (PPMT($E$8/12, (C49-$I$8), $I$7, $E$7)), 0)</f>
        <v>-235.29675784006008</v>
      </c>
      <c r="G49" s="5">
        <f>IF(MortgageAmortBEST[[#This Row],[Month]]=I$8,E$7,0)</f>
        <v>0</v>
      </c>
      <c r="H49" s="13">
        <f>IF(AND(C49&gt;='Amort. Sched.-BEST'!$I$8, C49&lt;= ($I$7+$I$8)), H48+F49, 0)</f>
        <v>167071.94715156418</v>
      </c>
      <c r="I49" s="24">
        <f>IF(AND(C49&gt;='Amort. Sched.-BEST'!$I$8, C49&lt;= ($I$7+$I$8)), E49/D49, " ")</f>
        <v>0.82579364514580067</v>
      </c>
      <c r="J49" s="25">
        <f>IF(AND(C49&gt;='Amort. Sched.-BEST'!$I$8, C49&lt;= ($I$7+$I$8)), F49/D49, " ")</f>
        <v>0.1742063548541995</v>
      </c>
      <c r="L49" s="20">
        <f t="shared" si="0"/>
        <v>38</v>
      </c>
      <c r="M49" s="5">
        <f>IF(AND(L49&gt;='Amort. Sched.-BEST'!$R$8, L49&lt;= ($R$7+$R$8)), PMT('Amort. Sched.-BEST'!$N$8/12, 'Amort. Sched.-BEST'!$R$7, 'Amort. Sched.-BEST'!$N$7), 0)</f>
        <v>0</v>
      </c>
      <c r="N49" s="5">
        <f>IF(AND(L49&gt;='Amort. Sched.-BEST'!$R$8, L49&lt;= ($R$7+$R$8)), (IPMT($N$8/12, (L49-$R$8), $R$7, $N$7)), 0)</f>
        <v>0</v>
      </c>
      <c r="O49" s="5">
        <f>IF(AND(L49&gt;='Amort. Sched.-BEST'!$R$8, L49&lt;= ($R$7+$R$8)), (PPMT($N$8/12, (L49-$R$8), $R$7, $N$7)), 0)</f>
        <v>0</v>
      </c>
      <c r="P49" s="5">
        <f>IF(CreditAmort1BEST[[#This Row],[Month]]=R$8,N$7,0)</f>
        <v>0</v>
      </c>
      <c r="Q49" s="13">
        <f>IF(AND(L49&gt;='Amort. Sched.-BEST'!$R$8, L49&lt;= ($R$7+$R$8)), Q48+O49, 0)</f>
        <v>0</v>
      </c>
      <c r="R49" s="6" t="str">
        <f>IF(AND(L49&gt;='Amort. Sched.-BEST'!$R$8, L49&lt;= ($R$7+$R$8)), N49/M49, " ")</f>
        <v xml:space="preserve"> </v>
      </c>
      <c r="S49" s="21" t="str">
        <f>IF(AND(L49&gt;='Amort. Sched.-BEST'!$R$8, L49&lt;= ($R$7+$R$8)), O49/M49, " ")</f>
        <v xml:space="preserve"> </v>
      </c>
      <c r="U49" s="20">
        <f t="shared" si="2"/>
        <v>38</v>
      </c>
      <c r="V49" s="5">
        <f>IF(AND(U49&gt;='Amort. Sched.-BEST'!$AA$8, U49&lt;= ($AA$7+$AA$8)), PMT('Amort. Sched.-BEST'!$W$8/12, 'Amort. Sched.-BEST'!$AA$7, 'Amort. Sched.-BEST'!$W$7), 0)</f>
        <v>0</v>
      </c>
      <c r="W49" s="5">
        <f>IF(AND(U49&gt;='Amort. Sched.-BEST'!$AA$8, U49&lt;= ($AA$7+$AA$8)), (IPMT($W$8/12, (U49-$AA$8), $AA$7, $W$7)), 0)</f>
        <v>0</v>
      </c>
      <c r="X49" s="5">
        <f>IF(AND(U49&gt;='Amort. Sched.-BEST'!$AA$8, U49&lt;= ($AA$7+$AA$8)), (PPMT($W$8/12, (U49-$AA$8), $AA$7, $W$7)), 0)</f>
        <v>0</v>
      </c>
      <c r="Y49" s="5">
        <f>IF(CreditAmort2BEST[[#This Row],[Month]]=AA$8,W$7,0)</f>
        <v>0</v>
      </c>
      <c r="Z49" s="13">
        <f>IF(AND(U49&gt;='Amort. Sched.-BEST'!$AA$8, U49&lt;= ($AA$7+$AA$8)), Z48+X49, 0)</f>
        <v>0</v>
      </c>
      <c r="AA49" s="6" t="str">
        <f>IF(AND(U49&gt;='Amort. Sched.-BEST'!$AA$8, U49&lt;= ($AA$7+$AA$8)), W49/V49, " ")</f>
        <v xml:space="preserve"> </v>
      </c>
      <c r="AB49" s="21" t="str">
        <f>IF(AND(U49&gt;='Amort. Sched.-BEST'!$AA$8, U49&lt;= ($AA$7+$AA$8)), X49/V49, " ")</f>
        <v xml:space="preserve"> </v>
      </c>
      <c r="AD49" s="20">
        <f t="shared" si="3"/>
        <v>38</v>
      </c>
      <c r="AE49" s="5">
        <f t="shared" si="4"/>
        <v>0</v>
      </c>
      <c r="AF49" s="5">
        <f t="shared" si="5"/>
        <v>0</v>
      </c>
      <c r="AG49" s="5">
        <f t="shared" si="6"/>
        <v>0</v>
      </c>
      <c r="AH49" s="5">
        <f>IF(CreditAmort3BEST[[#This Row],[Month]]=AJ$8,AF$7,0)</f>
        <v>0</v>
      </c>
      <c r="AI49" s="13">
        <f t="shared" si="7"/>
        <v>0</v>
      </c>
      <c r="AJ49" s="6" t="str">
        <f t="shared" si="8"/>
        <v xml:space="preserve"> </v>
      </c>
      <c r="AK49" s="21" t="str">
        <f t="shared" si="9"/>
        <v xml:space="preserve"> </v>
      </c>
      <c r="AM49" s="20">
        <f t="shared" si="10"/>
        <v>38</v>
      </c>
      <c r="AN49" s="5">
        <f t="shared" si="11"/>
        <v>0</v>
      </c>
      <c r="AO49" s="5">
        <f t="shared" si="12"/>
        <v>0</v>
      </c>
      <c r="AP49" s="5">
        <f t="shared" si="13"/>
        <v>0</v>
      </c>
      <c r="AQ49" s="5">
        <f>IF(CreditAmort4BEST[[#This Row],[Month]]=AS$8,AO$7,0)</f>
        <v>0</v>
      </c>
      <c r="AR49" s="13">
        <f t="shared" si="14"/>
        <v>0</v>
      </c>
      <c r="AS49" s="6" t="str">
        <f t="shared" si="15"/>
        <v xml:space="preserve"> </v>
      </c>
      <c r="AT49" s="21" t="str">
        <f t="shared" si="16"/>
        <v xml:space="preserve"> </v>
      </c>
    </row>
    <row r="50" spans="3:46">
      <c r="C50" s="22">
        <f t="shared" si="1"/>
        <v>39</v>
      </c>
      <c r="D50" s="23">
        <f>IF(AND(C50&gt;='Amort. Sched.-BEST'!$I$8, C50&lt;= ($I$7+$I$8)), PMT('Amort. Sched.-BEST'!$E$8/12, 'Amort. Sched.-BEST'!$I$7, 'Amort. Sched.-BEST'!$E$7), 0)</f>
        <v>-1350.6783839027553</v>
      </c>
      <c r="E50" s="5">
        <f>IF(AND(C50&gt;='Amort. Sched.-BEST'!$I$8, C50&lt;= ($I$7+$I$8)), (IPMT($E$8/12, (C50-$I$8), $I$7, $E$7)), 0)</f>
        <v>-1113.8129810104281</v>
      </c>
      <c r="F50" s="23">
        <f>IF(AND(C50&gt;='Amort. Sched.-BEST'!$I$8, C50&lt;= ($I$7+$I$8)), (PPMT($E$8/12, (C50-$I$8), $I$7, $E$7)), 0)</f>
        <v>-236.86540289232718</v>
      </c>
      <c r="G50" s="5">
        <f>IF(MortgageAmortBEST[[#This Row],[Month]]=I$8,E$7,0)</f>
        <v>0</v>
      </c>
      <c r="H50" s="13">
        <f>IF(AND(C50&gt;='Amort. Sched.-BEST'!$I$8, C50&lt;= ($I$7+$I$8)), H49+F50, 0)</f>
        <v>166835.08174867186</v>
      </c>
      <c r="I50" s="24">
        <f>IF(AND(C50&gt;='Amort. Sched.-BEST'!$I$8, C50&lt;= ($I$7+$I$8)), E50/D50, " ")</f>
        <v>0.82463226944677248</v>
      </c>
      <c r="J50" s="25">
        <f>IF(AND(C50&gt;='Amort. Sched.-BEST'!$I$8, C50&lt;= ($I$7+$I$8)), F50/D50, " ")</f>
        <v>0.17536773055322752</v>
      </c>
      <c r="L50" s="20">
        <f t="shared" si="0"/>
        <v>39</v>
      </c>
      <c r="M50" s="5">
        <f>IF(AND(L50&gt;='Amort. Sched.-BEST'!$R$8, L50&lt;= ($R$7+$R$8)), PMT('Amort. Sched.-BEST'!$N$8/12, 'Amort. Sched.-BEST'!$R$7, 'Amort. Sched.-BEST'!$N$7), 0)</f>
        <v>0</v>
      </c>
      <c r="N50" s="5">
        <f>IF(AND(L50&gt;='Amort. Sched.-BEST'!$R$8, L50&lt;= ($R$7+$R$8)), (IPMT($N$8/12, (L50-$R$8), $R$7, $N$7)), 0)</f>
        <v>0</v>
      </c>
      <c r="O50" s="5">
        <f>IF(AND(L50&gt;='Amort. Sched.-BEST'!$R$8, L50&lt;= ($R$7+$R$8)), (PPMT($N$8/12, (L50-$R$8), $R$7, $N$7)), 0)</f>
        <v>0</v>
      </c>
      <c r="P50" s="5">
        <f>IF(CreditAmort1BEST[[#This Row],[Month]]=R$8,N$7,0)</f>
        <v>0</v>
      </c>
      <c r="Q50" s="13">
        <f>IF(AND(L50&gt;='Amort. Sched.-BEST'!$R$8, L50&lt;= ($R$7+$R$8)), Q49+O50, 0)</f>
        <v>0</v>
      </c>
      <c r="R50" s="6" t="str">
        <f>IF(AND(L50&gt;='Amort. Sched.-BEST'!$R$8, L50&lt;= ($R$7+$R$8)), N50/M50, " ")</f>
        <v xml:space="preserve"> </v>
      </c>
      <c r="S50" s="21" t="str">
        <f>IF(AND(L50&gt;='Amort. Sched.-BEST'!$R$8, L50&lt;= ($R$7+$R$8)), O50/M50, " ")</f>
        <v xml:space="preserve"> </v>
      </c>
      <c r="U50" s="20">
        <f t="shared" si="2"/>
        <v>39</v>
      </c>
      <c r="V50" s="5">
        <f>IF(AND(U50&gt;='Amort. Sched.-BEST'!$AA$8, U50&lt;= ($AA$7+$AA$8)), PMT('Amort. Sched.-BEST'!$W$8/12, 'Amort. Sched.-BEST'!$AA$7, 'Amort. Sched.-BEST'!$W$7), 0)</f>
        <v>0</v>
      </c>
      <c r="W50" s="5">
        <f>IF(AND(U50&gt;='Amort. Sched.-BEST'!$AA$8, U50&lt;= ($AA$7+$AA$8)), (IPMT($W$8/12, (U50-$AA$8), $AA$7, $W$7)), 0)</f>
        <v>0</v>
      </c>
      <c r="X50" s="5">
        <f>IF(AND(U50&gt;='Amort. Sched.-BEST'!$AA$8, U50&lt;= ($AA$7+$AA$8)), (PPMT($W$8/12, (U50-$AA$8), $AA$7, $W$7)), 0)</f>
        <v>0</v>
      </c>
      <c r="Y50" s="5">
        <f>IF(CreditAmort2BEST[[#This Row],[Month]]=AA$8,W$7,0)</f>
        <v>0</v>
      </c>
      <c r="Z50" s="13">
        <f>IF(AND(U50&gt;='Amort. Sched.-BEST'!$AA$8, U50&lt;= ($AA$7+$AA$8)), Z49+X50, 0)</f>
        <v>0</v>
      </c>
      <c r="AA50" s="6" t="str">
        <f>IF(AND(U50&gt;='Amort. Sched.-BEST'!$AA$8, U50&lt;= ($AA$7+$AA$8)), W50/V50, " ")</f>
        <v xml:space="preserve"> </v>
      </c>
      <c r="AB50" s="21" t="str">
        <f>IF(AND(U50&gt;='Amort. Sched.-BEST'!$AA$8, U50&lt;= ($AA$7+$AA$8)), X50/V50, " ")</f>
        <v xml:space="preserve"> </v>
      </c>
      <c r="AD50" s="20">
        <f t="shared" si="3"/>
        <v>39</v>
      </c>
      <c r="AE50" s="5">
        <f t="shared" si="4"/>
        <v>0</v>
      </c>
      <c r="AF50" s="5">
        <f t="shared" si="5"/>
        <v>0</v>
      </c>
      <c r="AG50" s="5">
        <f t="shared" si="6"/>
        <v>0</v>
      </c>
      <c r="AH50" s="5">
        <f>IF(CreditAmort3BEST[[#This Row],[Month]]=AJ$8,AF$7,0)</f>
        <v>0</v>
      </c>
      <c r="AI50" s="13">
        <f t="shared" si="7"/>
        <v>0</v>
      </c>
      <c r="AJ50" s="6" t="str">
        <f t="shared" si="8"/>
        <v xml:space="preserve"> </v>
      </c>
      <c r="AK50" s="21" t="str">
        <f t="shared" si="9"/>
        <v xml:space="preserve"> </v>
      </c>
      <c r="AM50" s="20">
        <f t="shared" si="10"/>
        <v>39</v>
      </c>
      <c r="AN50" s="5">
        <f t="shared" si="11"/>
        <v>0</v>
      </c>
      <c r="AO50" s="5">
        <f t="shared" si="12"/>
        <v>0</v>
      </c>
      <c r="AP50" s="5">
        <f t="shared" si="13"/>
        <v>0</v>
      </c>
      <c r="AQ50" s="5">
        <f>IF(CreditAmort4BEST[[#This Row],[Month]]=AS$8,AO$7,0)</f>
        <v>0</v>
      </c>
      <c r="AR50" s="13">
        <f t="shared" si="14"/>
        <v>0</v>
      </c>
      <c r="AS50" s="6" t="str">
        <f t="shared" si="15"/>
        <v xml:space="preserve"> </v>
      </c>
      <c r="AT50" s="21" t="str">
        <f t="shared" si="16"/>
        <v xml:space="preserve"> </v>
      </c>
    </row>
    <row r="51" spans="3:46">
      <c r="C51" s="22">
        <f t="shared" si="1"/>
        <v>40</v>
      </c>
      <c r="D51" s="23">
        <f>IF(AND(C51&gt;='Amort. Sched.-BEST'!$I$8, C51&lt;= ($I$7+$I$8)), PMT('Amort. Sched.-BEST'!$E$8/12, 'Amort. Sched.-BEST'!$I$7, 'Amort. Sched.-BEST'!$E$7), 0)</f>
        <v>-1350.6783839027553</v>
      </c>
      <c r="E51" s="5">
        <f>IF(AND(C51&gt;='Amort. Sched.-BEST'!$I$8, C51&lt;= ($I$7+$I$8)), (IPMT($E$8/12, (C51-$I$8), $I$7, $E$7)), 0)</f>
        <v>-1112.2338783244793</v>
      </c>
      <c r="F51" s="23">
        <f>IF(AND(C51&gt;='Amort. Sched.-BEST'!$I$8, C51&lt;= ($I$7+$I$8)), (PPMT($E$8/12, (C51-$I$8), $I$7, $E$7)), 0)</f>
        <v>-238.44450557827602</v>
      </c>
      <c r="G51" s="5">
        <f>IF(MortgageAmortBEST[[#This Row],[Month]]=I$8,E$7,0)</f>
        <v>0</v>
      </c>
      <c r="H51" s="13">
        <f>IF(AND(C51&gt;='Amort. Sched.-BEST'!$I$8, C51&lt;= ($I$7+$I$8)), H50+F51, 0)</f>
        <v>166596.63724309357</v>
      </c>
      <c r="I51" s="24">
        <f>IF(AND(C51&gt;='Amort. Sched.-BEST'!$I$8, C51&lt;= ($I$7+$I$8)), E51/D51, " ")</f>
        <v>0.82346315124308433</v>
      </c>
      <c r="J51" s="25">
        <f>IF(AND(C51&gt;='Amort. Sched.-BEST'!$I$8, C51&lt;= ($I$7+$I$8)), F51/D51, " ")</f>
        <v>0.17653684875691569</v>
      </c>
      <c r="L51" s="20">
        <f t="shared" si="0"/>
        <v>40</v>
      </c>
      <c r="M51" s="5">
        <f>IF(AND(L51&gt;='Amort. Sched.-BEST'!$R$8, L51&lt;= ($R$7+$R$8)), PMT('Amort. Sched.-BEST'!$N$8/12, 'Amort. Sched.-BEST'!$R$7, 'Amort. Sched.-BEST'!$N$7), 0)</f>
        <v>0</v>
      </c>
      <c r="N51" s="5">
        <f>IF(AND(L51&gt;='Amort. Sched.-BEST'!$R$8, L51&lt;= ($R$7+$R$8)), (IPMT($N$8/12, (L51-$R$8), $R$7, $N$7)), 0)</f>
        <v>0</v>
      </c>
      <c r="O51" s="5">
        <f>IF(AND(L51&gt;='Amort. Sched.-BEST'!$R$8, L51&lt;= ($R$7+$R$8)), (PPMT($N$8/12, (L51-$R$8), $R$7, $N$7)), 0)</f>
        <v>0</v>
      </c>
      <c r="P51" s="5">
        <f>IF(CreditAmort1BEST[[#This Row],[Month]]=R$8,N$7,0)</f>
        <v>0</v>
      </c>
      <c r="Q51" s="13">
        <f>IF(AND(L51&gt;='Amort. Sched.-BEST'!$R$8, L51&lt;= ($R$7+$R$8)), Q50+O51, 0)</f>
        <v>0</v>
      </c>
      <c r="R51" s="6" t="str">
        <f>IF(AND(L51&gt;='Amort. Sched.-BEST'!$R$8, L51&lt;= ($R$7+$R$8)), N51/M51, " ")</f>
        <v xml:space="preserve"> </v>
      </c>
      <c r="S51" s="21" t="str">
        <f>IF(AND(L51&gt;='Amort. Sched.-BEST'!$R$8, L51&lt;= ($R$7+$R$8)), O51/M51, " ")</f>
        <v xml:space="preserve"> </v>
      </c>
      <c r="U51" s="20">
        <f t="shared" si="2"/>
        <v>40</v>
      </c>
      <c r="V51" s="5">
        <f>IF(AND(U51&gt;='Amort. Sched.-BEST'!$AA$8, U51&lt;= ($AA$7+$AA$8)), PMT('Amort. Sched.-BEST'!$W$8/12, 'Amort. Sched.-BEST'!$AA$7, 'Amort. Sched.-BEST'!$W$7), 0)</f>
        <v>0</v>
      </c>
      <c r="W51" s="5">
        <f>IF(AND(U51&gt;='Amort. Sched.-BEST'!$AA$8, U51&lt;= ($AA$7+$AA$8)), (IPMT($W$8/12, (U51-$AA$8), $AA$7, $W$7)), 0)</f>
        <v>0</v>
      </c>
      <c r="X51" s="5">
        <f>IF(AND(U51&gt;='Amort. Sched.-BEST'!$AA$8, U51&lt;= ($AA$7+$AA$8)), (PPMT($W$8/12, (U51-$AA$8), $AA$7, $W$7)), 0)</f>
        <v>0</v>
      </c>
      <c r="Y51" s="5">
        <f>IF(CreditAmort2BEST[[#This Row],[Month]]=AA$8,W$7,0)</f>
        <v>0</v>
      </c>
      <c r="Z51" s="13">
        <f>IF(AND(U51&gt;='Amort. Sched.-BEST'!$AA$8, U51&lt;= ($AA$7+$AA$8)), Z50+X51, 0)</f>
        <v>0</v>
      </c>
      <c r="AA51" s="6" t="str">
        <f>IF(AND(U51&gt;='Amort. Sched.-BEST'!$AA$8, U51&lt;= ($AA$7+$AA$8)), W51/V51, " ")</f>
        <v xml:space="preserve"> </v>
      </c>
      <c r="AB51" s="21" t="str">
        <f>IF(AND(U51&gt;='Amort. Sched.-BEST'!$AA$8, U51&lt;= ($AA$7+$AA$8)), X51/V51, " ")</f>
        <v xml:space="preserve"> </v>
      </c>
      <c r="AD51" s="20">
        <f t="shared" si="3"/>
        <v>40</v>
      </c>
      <c r="AE51" s="5">
        <f t="shared" si="4"/>
        <v>0</v>
      </c>
      <c r="AF51" s="5">
        <f t="shared" si="5"/>
        <v>0</v>
      </c>
      <c r="AG51" s="5">
        <f t="shared" si="6"/>
        <v>0</v>
      </c>
      <c r="AH51" s="5">
        <f>IF(CreditAmort3BEST[[#This Row],[Month]]=AJ$8,AF$7,0)</f>
        <v>0</v>
      </c>
      <c r="AI51" s="13">
        <f t="shared" si="7"/>
        <v>0</v>
      </c>
      <c r="AJ51" s="6" t="str">
        <f t="shared" si="8"/>
        <v xml:space="preserve"> </v>
      </c>
      <c r="AK51" s="21" t="str">
        <f t="shared" si="9"/>
        <v xml:space="preserve"> </v>
      </c>
      <c r="AM51" s="20">
        <f t="shared" si="10"/>
        <v>40</v>
      </c>
      <c r="AN51" s="5">
        <f t="shared" si="11"/>
        <v>0</v>
      </c>
      <c r="AO51" s="5">
        <f t="shared" si="12"/>
        <v>0</v>
      </c>
      <c r="AP51" s="5">
        <f t="shared" si="13"/>
        <v>0</v>
      </c>
      <c r="AQ51" s="5">
        <f>IF(CreditAmort4BEST[[#This Row],[Month]]=AS$8,AO$7,0)</f>
        <v>0</v>
      </c>
      <c r="AR51" s="13">
        <f t="shared" si="14"/>
        <v>0</v>
      </c>
      <c r="AS51" s="6" t="str">
        <f t="shared" si="15"/>
        <v xml:space="preserve"> </v>
      </c>
      <c r="AT51" s="21" t="str">
        <f t="shared" si="16"/>
        <v xml:space="preserve"> </v>
      </c>
    </row>
    <row r="52" spans="3:46">
      <c r="C52" s="22">
        <f t="shared" si="1"/>
        <v>41</v>
      </c>
      <c r="D52" s="23">
        <f>IF(AND(C52&gt;='Amort. Sched.-BEST'!$I$8, C52&lt;= ($I$7+$I$8)), PMT('Amort. Sched.-BEST'!$E$8/12, 'Amort. Sched.-BEST'!$I$7, 'Amort. Sched.-BEST'!$E$7), 0)</f>
        <v>-1350.6783839027553</v>
      </c>
      <c r="E52" s="5">
        <f>IF(AND(C52&gt;='Amort. Sched.-BEST'!$I$8, C52&lt;= ($I$7+$I$8)), (IPMT($E$8/12, (C52-$I$8), $I$7, $E$7)), 0)</f>
        <v>-1110.6442482872908</v>
      </c>
      <c r="F52" s="23">
        <f>IF(AND(C52&gt;='Amort. Sched.-BEST'!$I$8, C52&lt;= ($I$7+$I$8)), (PPMT($E$8/12, (C52-$I$8), $I$7, $E$7)), 0)</f>
        <v>-240.03413561546449</v>
      </c>
      <c r="G52" s="5">
        <f>IF(MortgageAmortBEST[[#This Row],[Month]]=I$8,E$7,0)</f>
        <v>0</v>
      </c>
      <c r="H52" s="13">
        <f>IF(AND(C52&gt;='Amort. Sched.-BEST'!$I$8, C52&lt;= ($I$7+$I$8)), H51+F52, 0)</f>
        <v>166356.60310747812</v>
      </c>
      <c r="I52" s="24">
        <f>IF(AND(C52&gt;='Amort. Sched.-BEST'!$I$8, C52&lt;= ($I$7+$I$8)), E52/D52, " ")</f>
        <v>0.8222862389180382</v>
      </c>
      <c r="J52" s="25">
        <f>IF(AND(C52&gt;='Amort. Sched.-BEST'!$I$8, C52&lt;= ($I$7+$I$8)), F52/D52, " ")</f>
        <v>0.17771376108196177</v>
      </c>
      <c r="L52" s="20">
        <f t="shared" si="0"/>
        <v>41</v>
      </c>
      <c r="M52" s="5">
        <f>IF(AND(L52&gt;='Amort. Sched.-BEST'!$R$8, L52&lt;= ($R$7+$R$8)), PMT('Amort. Sched.-BEST'!$N$8/12, 'Amort. Sched.-BEST'!$R$7, 'Amort. Sched.-BEST'!$N$7), 0)</f>
        <v>0</v>
      </c>
      <c r="N52" s="5">
        <f>IF(AND(L52&gt;='Amort. Sched.-BEST'!$R$8, L52&lt;= ($R$7+$R$8)), (IPMT($N$8/12, (L52-$R$8), $R$7, $N$7)), 0)</f>
        <v>0</v>
      </c>
      <c r="O52" s="5">
        <f>IF(AND(L52&gt;='Amort. Sched.-BEST'!$R$8, L52&lt;= ($R$7+$R$8)), (PPMT($N$8/12, (L52-$R$8), $R$7, $N$7)), 0)</f>
        <v>0</v>
      </c>
      <c r="P52" s="5">
        <f>IF(CreditAmort1BEST[[#This Row],[Month]]=R$8,N$7,0)</f>
        <v>0</v>
      </c>
      <c r="Q52" s="13">
        <f>IF(AND(L52&gt;='Amort. Sched.-BEST'!$R$8, L52&lt;= ($R$7+$R$8)), Q51+O52, 0)</f>
        <v>0</v>
      </c>
      <c r="R52" s="6" t="str">
        <f>IF(AND(L52&gt;='Amort. Sched.-BEST'!$R$8, L52&lt;= ($R$7+$R$8)), N52/M52, " ")</f>
        <v xml:space="preserve"> </v>
      </c>
      <c r="S52" s="21" t="str">
        <f>IF(AND(L52&gt;='Amort. Sched.-BEST'!$R$8, L52&lt;= ($R$7+$R$8)), O52/M52, " ")</f>
        <v xml:space="preserve"> </v>
      </c>
      <c r="U52" s="20">
        <f t="shared" si="2"/>
        <v>41</v>
      </c>
      <c r="V52" s="5">
        <f>IF(AND(U52&gt;='Amort. Sched.-BEST'!$AA$8, U52&lt;= ($AA$7+$AA$8)), PMT('Amort. Sched.-BEST'!$W$8/12, 'Amort. Sched.-BEST'!$AA$7, 'Amort. Sched.-BEST'!$W$7), 0)</f>
        <v>0</v>
      </c>
      <c r="W52" s="5">
        <f>IF(AND(U52&gt;='Amort. Sched.-BEST'!$AA$8, U52&lt;= ($AA$7+$AA$8)), (IPMT($W$8/12, (U52-$AA$8), $AA$7, $W$7)), 0)</f>
        <v>0</v>
      </c>
      <c r="X52" s="5">
        <f>IF(AND(U52&gt;='Amort. Sched.-BEST'!$AA$8, U52&lt;= ($AA$7+$AA$8)), (PPMT($W$8/12, (U52-$AA$8), $AA$7, $W$7)), 0)</f>
        <v>0</v>
      </c>
      <c r="Y52" s="5">
        <f>IF(CreditAmort2BEST[[#This Row],[Month]]=AA$8,W$7,0)</f>
        <v>0</v>
      </c>
      <c r="Z52" s="13">
        <f>IF(AND(U52&gt;='Amort. Sched.-BEST'!$AA$8, U52&lt;= ($AA$7+$AA$8)), Z51+X52, 0)</f>
        <v>0</v>
      </c>
      <c r="AA52" s="6" t="str">
        <f>IF(AND(U52&gt;='Amort. Sched.-BEST'!$AA$8, U52&lt;= ($AA$7+$AA$8)), W52/V52, " ")</f>
        <v xml:space="preserve"> </v>
      </c>
      <c r="AB52" s="21" t="str">
        <f>IF(AND(U52&gt;='Amort. Sched.-BEST'!$AA$8, U52&lt;= ($AA$7+$AA$8)), X52/V52, " ")</f>
        <v xml:space="preserve"> </v>
      </c>
      <c r="AD52" s="20">
        <f t="shared" si="3"/>
        <v>41</v>
      </c>
      <c r="AE52" s="5">
        <f t="shared" si="4"/>
        <v>0</v>
      </c>
      <c r="AF52" s="5">
        <f t="shared" si="5"/>
        <v>0</v>
      </c>
      <c r="AG52" s="5">
        <f t="shared" si="6"/>
        <v>0</v>
      </c>
      <c r="AH52" s="5">
        <f>IF(CreditAmort3BEST[[#This Row],[Month]]=AJ$8,AF$7,0)</f>
        <v>0</v>
      </c>
      <c r="AI52" s="13">
        <f t="shared" si="7"/>
        <v>0</v>
      </c>
      <c r="AJ52" s="6" t="str">
        <f t="shared" si="8"/>
        <v xml:space="preserve"> </v>
      </c>
      <c r="AK52" s="21" t="str">
        <f t="shared" si="9"/>
        <v xml:space="preserve"> </v>
      </c>
      <c r="AM52" s="20">
        <f t="shared" si="10"/>
        <v>41</v>
      </c>
      <c r="AN52" s="5">
        <f t="shared" si="11"/>
        <v>0</v>
      </c>
      <c r="AO52" s="5">
        <f t="shared" si="12"/>
        <v>0</v>
      </c>
      <c r="AP52" s="5">
        <f t="shared" si="13"/>
        <v>0</v>
      </c>
      <c r="AQ52" s="5">
        <f>IF(CreditAmort4BEST[[#This Row],[Month]]=AS$8,AO$7,0)</f>
        <v>0</v>
      </c>
      <c r="AR52" s="13">
        <f t="shared" si="14"/>
        <v>0</v>
      </c>
      <c r="AS52" s="6" t="str">
        <f t="shared" si="15"/>
        <v xml:space="preserve"> </v>
      </c>
      <c r="AT52" s="21" t="str">
        <f t="shared" si="16"/>
        <v xml:space="preserve"> </v>
      </c>
    </row>
    <row r="53" spans="3:46">
      <c r="C53" s="22">
        <f t="shared" si="1"/>
        <v>42</v>
      </c>
      <c r="D53" s="23">
        <f>IF(AND(C53&gt;='Amort. Sched.-BEST'!$I$8, C53&lt;= ($I$7+$I$8)), PMT('Amort. Sched.-BEST'!$E$8/12, 'Amort. Sched.-BEST'!$I$7, 'Amort. Sched.-BEST'!$E$7), 0)</f>
        <v>-1350.6783839027553</v>
      </c>
      <c r="E53" s="5">
        <f>IF(AND(C53&gt;='Amort. Sched.-BEST'!$I$8, C53&lt;= ($I$7+$I$8)), (IPMT($E$8/12, (C53-$I$8), $I$7, $E$7)), 0)</f>
        <v>-1109.0440207165211</v>
      </c>
      <c r="F53" s="23">
        <f>IF(AND(C53&gt;='Amort. Sched.-BEST'!$I$8, C53&lt;= ($I$7+$I$8)), (PPMT($E$8/12, (C53-$I$8), $I$7, $E$7)), 0)</f>
        <v>-241.63436318623428</v>
      </c>
      <c r="G53" s="5">
        <f>IF(MortgageAmortBEST[[#This Row],[Month]]=I$8,E$7,0)</f>
        <v>0</v>
      </c>
      <c r="H53" s="13">
        <f>IF(AND(C53&gt;='Amort. Sched.-BEST'!$I$8, C53&lt;= ($I$7+$I$8)), H52+F53, 0)</f>
        <v>166114.96874429189</v>
      </c>
      <c r="I53" s="24">
        <f>IF(AND(C53&gt;='Amort. Sched.-BEST'!$I$8, C53&lt;= ($I$7+$I$8)), E53/D53, " ")</f>
        <v>0.82110148051082521</v>
      </c>
      <c r="J53" s="25">
        <f>IF(AND(C53&gt;='Amort. Sched.-BEST'!$I$8, C53&lt;= ($I$7+$I$8)), F53/D53, " ")</f>
        <v>0.17889851948917487</v>
      </c>
      <c r="L53" s="20">
        <f t="shared" si="0"/>
        <v>42</v>
      </c>
      <c r="M53" s="5">
        <f>IF(AND(L53&gt;='Amort. Sched.-BEST'!$R$8, L53&lt;= ($R$7+$R$8)), PMT('Amort. Sched.-BEST'!$N$8/12, 'Amort. Sched.-BEST'!$R$7, 'Amort. Sched.-BEST'!$N$7), 0)</f>
        <v>0</v>
      </c>
      <c r="N53" s="5">
        <f>IF(AND(L53&gt;='Amort. Sched.-BEST'!$R$8, L53&lt;= ($R$7+$R$8)), (IPMT($N$8/12, (L53-$R$8), $R$7, $N$7)), 0)</f>
        <v>0</v>
      </c>
      <c r="O53" s="5">
        <f>IF(AND(L53&gt;='Amort. Sched.-BEST'!$R$8, L53&lt;= ($R$7+$R$8)), (PPMT($N$8/12, (L53-$R$8), $R$7, $N$7)), 0)</f>
        <v>0</v>
      </c>
      <c r="P53" s="5">
        <f>IF(CreditAmort1BEST[[#This Row],[Month]]=R$8,N$7,0)</f>
        <v>0</v>
      </c>
      <c r="Q53" s="13">
        <f>IF(AND(L53&gt;='Amort. Sched.-BEST'!$R$8, L53&lt;= ($R$7+$R$8)), Q52+O53, 0)</f>
        <v>0</v>
      </c>
      <c r="R53" s="6" t="str">
        <f>IF(AND(L53&gt;='Amort. Sched.-BEST'!$R$8, L53&lt;= ($R$7+$R$8)), N53/M53, " ")</f>
        <v xml:space="preserve"> </v>
      </c>
      <c r="S53" s="21" t="str">
        <f>IF(AND(L53&gt;='Amort. Sched.-BEST'!$R$8, L53&lt;= ($R$7+$R$8)), O53/M53, " ")</f>
        <v xml:space="preserve"> </v>
      </c>
      <c r="U53" s="20">
        <f t="shared" si="2"/>
        <v>42</v>
      </c>
      <c r="V53" s="5">
        <f>IF(AND(U53&gt;='Amort. Sched.-BEST'!$AA$8, U53&lt;= ($AA$7+$AA$8)), PMT('Amort. Sched.-BEST'!$W$8/12, 'Amort. Sched.-BEST'!$AA$7, 'Amort. Sched.-BEST'!$W$7), 0)</f>
        <v>0</v>
      </c>
      <c r="W53" s="5">
        <f>IF(AND(U53&gt;='Amort. Sched.-BEST'!$AA$8, U53&lt;= ($AA$7+$AA$8)), (IPMT($W$8/12, (U53-$AA$8), $AA$7, $W$7)), 0)</f>
        <v>0</v>
      </c>
      <c r="X53" s="5">
        <f>IF(AND(U53&gt;='Amort. Sched.-BEST'!$AA$8, U53&lt;= ($AA$7+$AA$8)), (PPMT($W$8/12, (U53-$AA$8), $AA$7, $W$7)), 0)</f>
        <v>0</v>
      </c>
      <c r="Y53" s="5">
        <f>IF(CreditAmort2BEST[[#This Row],[Month]]=AA$8,W$7,0)</f>
        <v>0</v>
      </c>
      <c r="Z53" s="13">
        <f>IF(AND(U53&gt;='Amort. Sched.-BEST'!$AA$8, U53&lt;= ($AA$7+$AA$8)), Z52+X53, 0)</f>
        <v>0</v>
      </c>
      <c r="AA53" s="6" t="str">
        <f>IF(AND(U53&gt;='Amort. Sched.-BEST'!$AA$8, U53&lt;= ($AA$7+$AA$8)), W53/V53, " ")</f>
        <v xml:space="preserve"> </v>
      </c>
      <c r="AB53" s="21" t="str">
        <f>IF(AND(U53&gt;='Amort. Sched.-BEST'!$AA$8, U53&lt;= ($AA$7+$AA$8)), X53/V53, " ")</f>
        <v xml:space="preserve"> </v>
      </c>
      <c r="AD53" s="20">
        <f t="shared" si="3"/>
        <v>42</v>
      </c>
      <c r="AE53" s="5">
        <f t="shared" si="4"/>
        <v>0</v>
      </c>
      <c r="AF53" s="5">
        <f t="shared" si="5"/>
        <v>0</v>
      </c>
      <c r="AG53" s="5">
        <f t="shared" si="6"/>
        <v>0</v>
      </c>
      <c r="AH53" s="5">
        <f>IF(CreditAmort3BEST[[#This Row],[Month]]=AJ$8,AF$7,0)</f>
        <v>0</v>
      </c>
      <c r="AI53" s="13">
        <f t="shared" si="7"/>
        <v>0</v>
      </c>
      <c r="AJ53" s="6" t="str">
        <f t="shared" si="8"/>
        <v xml:space="preserve"> </v>
      </c>
      <c r="AK53" s="21" t="str">
        <f t="shared" si="9"/>
        <v xml:space="preserve"> </v>
      </c>
      <c r="AM53" s="20">
        <f t="shared" si="10"/>
        <v>42</v>
      </c>
      <c r="AN53" s="5">
        <f t="shared" si="11"/>
        <v>0</v>
      </c>
      <c r="AO53" s="5">
        <f t="shared" si="12"/>
        <v>0</v>
      </c>
      <c r="AP53" s="5">
        <f t="shared" si="13"/>
        <v>0</v>
      </c>
      <c r="AQ53" s="5">
        <f>IF(CreditAmort4BEST[[#This Row],[Month]]=AS$8,AO$7,0)</f>
        <v>0</v>
      </c>
      <c r="AR53" s="13">
        <f t="shared" si="14"/>
        <v>0</v>
      </c>
      <c r="AS53" s="6" t="str">
        <f t="shared" si="15"/>
        <v xml:space="preserve"> </v>
      </c>
      <c r="AT53" s="21" t="str">
        <f t="shared" si="16"/>
        <v xml:space="preserve"> </v>
      </c>
    </row>
    <row r="54" spans="3:46">
      <c r="C54" s="22">
        <f t="shared" si="1"/>
        <v>43</v>
      </c>
      <c r="D54" s="23">
        <f>IF(AND(C54&gt;='Amort. Sched.-BEST'!$I$8, C54&lt;= ($I$7+$I$8)), PMT('Amort. Sched.-BEST'!$E$8/12, 'Amort. Sched.-BEST'!$I$7, 'Amort. Sched.-BEST'!$E$7), 0)</f>
        <v>-1350.6783839027553</v>
      </c>
      <c r="E54" s="5">
        <f>IF(AND(C54&gt;='Amort. Sched.-BEST'!$I$8, C54&lt;= ($I$7+$I$8)), (IPMT($E$8/12, (C54-$I$8), $I$7, $E$7)), 0)</f>
        <v>-1107.4331249619463</v>
      </c>
      <c r="F54" s="23">
        <f>IF(AND(C54&gt;='Amort. Sched.-BEST'!$I$8, C54&lt;= ($I$7+$I$8)), (PPMT($E$8/12, (C54-$I$8), $I$7, $E$7)), 0)</f>
        <v>-243.24525894080921</v>
      </c>
      <c r="G54" s="5">
        <f>IF(MortgageAmortBEST[[#This Row],[Month]]=I$8,E$7,0)</f>
        <v>0</v>
      </c>
      <c r="H54" s="13">
        <f>IF(AND(C54&gt;='Amort. Sched.-BEST'!$I$8, C54&lt;= ($I$7+$I$8)), H53+F54, 0)</f>
        <v>165871.72348535107</v>
      </c>
      <c r="I54" s="24">
        <f>IF(AND(C54&gt;='Amort. Sched.-BEST'!$I$8, C54&lt;= ($I$7+$I$8)), E54/D54, " ")</f>
        <v>0.81990882371423079</v>
      </c>
      <c r="J54" s="25">
        <f>IF(AND(C54&gt;='Amort. Sched.-BEST'!$I$8, C54&lt;= ($I$7+$I$8)), F54/D54, " ")</f>
        <v>0.1800911762857694</v>
      </c>
      <c r="L54" s="20">
        <f t="shared" si="0"/>
        <v>43</v>
      </c>
      <c r="M54" s="5">
        <f>IF(AND(L54&gt;='Amort. Sched.-BEST'!$R$8, L54&lt;= ($R$7+$R$8)), PMT('Amort. Sched.-BEST'!$N$8/12, 'Amort. Sched.-BEST'!$R$7, 'Amort. Sched.-BEST'!$N$7), 0)</f>
        <v>0</v>
      </c>
      <c r="N54" s="5">
        <f>IF(AND(L54&gt;='Amort. Sched.-BEST'!$R$8, L54&lt;= ($R$7+$R$8)), (IPMT($N$8/12, (L54-$R$8), $R$7, $N$7)), 0)</f>
        <v>0</v>
      </c>
      <c r="O54" s="5">
        <f>IF(AND(L54&gt;='Amort. Sched.-BEST'!$R$8, L54&lt;= ($R$7+$R$8)), (PPMT($N$8/12, (L54-$R$8), $R$7, $N$7)), 0)</f>
        <v>0</v>
      </c>
      <c r="P54" s="5">
        <f>IF(CreditAmort1BEST[[#This Row],[Month]]=R$8,N$7,0)</f>
        <v>0</v>
      </c>
      <c r="Q54" s="13">
        <f>IF(AND(L54&gt;='Amort. Sched.-BEST'!$R$8, L54&lt;= ($R$7+$R$8)), Q53+O54, 0)</f>
        <v>0</v>
      </c>
      <c r="R54" s="6" t="str">
        <f>IF(AND(L54&gt;='Amort. Sched.-BEST'!$R$8, L54&lt;= ($R$7+$R$8)), N54/M54, " ")</f>
        <v xml:space="preserve"> </v>
      </c>
      <c r="S54" s="21" t="str">
        <f>IF(AND(L54&gt;='Amort. Sched.-BEST'!$R$8, L54&lt;= ($R$7+$R$8)), O54/M54, " ")</f>
        <v xml:space="preserve"> </v>
      </c>
      <c r="U54" s="20">
        <f t="shared" si="2"/>
        <v>43</v>
      </c>
      <c r="V54" s="5">
        <f>IF(AND(U54&gt;='Amort. Sched.-BEST'!$AA$8, U54&lt;= ($AA$7+$AA$8)), PMT('Amort. Sched.-BEST'!$W$8/12, 'Amort. Sched.-BEST'!$AA$7, 'Amort. Sched.-BEST'!$W$7), 0)</f>
        <v>0</v>
      </c>
      <c r="W54" s="5">
        <f>IF(AND(U54&gt;='Amort. Sched.-BEST'!$AA$8, U54&lt;= ($AA$7+$AA$8)), (IPMT($W$8/12, (U54-$AA$8), $AA$7, $W$7)), 0)</f>
        <v>0</v>
      </c>
      <c r="X54" s="5">
        <f>IF(AND(U54&gt;='Amort. Sched.-BEST'!$AA$8, U54&lt;= ($AA$7+$AA$8)), (PPMT($W$8/12, (U54-$AA$8), $AA$7, $W$7)), 0)</f>
        <v>0</v>
      </c>
      <c r="Y54" s="5">
        <f>IF(CreditAmort2BEST[[#This Row],[Month]]=AA$8,W$7,0)</f>
        <v>0</v>
      </c>
      <c r="Z54" s="13">
        <f>IF(AND(U54&gt;='Amort. Sched.-BEST'!$AA$8, U54&lt;= ($AA$7+$AA$8)), Z53+X54, 0)</f>
        <v>0</v>
      </c>
      <c r="AA54" s="6" t="str">
        <f>IF(AND(U54&gt;='Amort. Sched.-BEST'!$AA$8, U54&lt;= ($AA$7+$AA$8)), W54/V54, " ")</f>
        <v xml:space="preserve"> </v>
      </c>
      <c r="AB54" s="21" t="str">
        <f>IF(AND(U54&gt;='Amort. Sched.-BEST'!$AA$8, U54&lt;= ($AA$7+$AA$8)), X54/V54, " ")</f>
        <v xml:space="preserve"> </v>
      </c>
      <c r="AD54" s="20">
        <f t="shared" si="3"/>
        <v>43</v>
      </c>
      <c r="AE54" s="5">
        <f t="shared" si="4"/>
        <v>0</v>
      </c>
      <c r="AF54" s="5">
        <f t="shared" si="5"/>
        <v>0</v>
      </c>
      <c r="AG54" s="5">
        <f t="shared" si="6"/>
        <v>0</v>
      </c>
      <c r="AH54" s="5">
        <f>IF(CreditAmort3BEST[[#This Row],[Month]]=AJ$8,AF$7,0)</f>
        <v>0</v>
      </c>
      <c r="AI54" s="13">
        <f t="shared" si="7"/>
        <v>0</v>
      </c>
      <c r="AJ54" s="6" t="str">
        <f t="shared" si="8"/>
        <v xml:space="preserve"> </v>
      </c>
      <c r="AK54" s="21" t="str">
        <f t="shared" si="9"/>
        <v xml:space="preserve"> </v>
      </c>
      <c r="AM54" s="20">
        <f t="shared" si="10"/>
        <v>43</v>
      </c>
      <c r="AN54" s="5">
        <f t="shared" si="11"/>
        <v>0</v>
      </c>
      <c r="AO54" s="5">
        <f t="shared" si="12"/>
        <v>0</v>
      </c>
      <c r="AP54" s="5">
        <f t="shared" si="13"/>
        <v>0</v>
      </c>
      <c r="AQ54" s="5">
        <f>IF(CreditAmort4BEST[[#This Row],[Month]]=AS$8,AO$7,0)</f>
        <v>0</v>
      </c>
      <c r="AR54" s="13">
        <f t="shared" si="14"/>
        <v>0</v>
      </c>
      <c r="AS54" s="6" t="str">
        <f t="shared" si="15"/>
        <v xml:space="preserve"> </v>
      </c>
      <c r="AT54" s="21" t="str">
        <f t="shared" si="16"/>
        <v xml:space="preserve"> </v>
      </c>
    </row>
    <row r="55" spans="3:46">
      <c r="C55" s="22">
        <f t="shared" si="1"/>
        <v>44</v>
      </c>
      <c r="D55" s="23">
        <f>IF(AND(C55&gt;='Amort. Sched.-BEST'!$I$8, C55&lt;= ($I$7+$I$8)), PMT('Amort. Sched.-BEST'!$E$8/12, 'Amort. Sched.-BEST'!$I$7, 'Amort. Sched.-BEST'!$E$7), 0)</f>
        <v>-1350.6783839027553</v>
      </c>
      <c r="E55" s="5">
        <f>IF(AND(C55&gt;='Amort. Sched.-BEST'!$I$8, C55&lt;= ($I$7+$I$8)), (IPMT($E$8/12, (C55-$I$8), $I$7, $E$7)), 0)</f>
        <v>-1105.8114899023408</v>
      </c>
      <c r="F55" s="23">
        <f>IF(AND(C55&gt;='Amort. Sched.-BEST'!$I$8, C55&lt;= ($I$7+$I$8)), (PPMT($E$8/12, (C55-$I$8), $I$7, $E$7)), 0)</f>
        <v>-244.86689400041459</v>
      </c>
      <c r="G55" s="5">
        <f>IF(MortgageAmortBEST[[#This Row],[Month]]=I$8,E$7,0)</f>
        <v>0</v>
      </c>
      <c r="H55" s="13">
        <f>IF(AND(C55&gt;='Amort. Sched.-BEST'!$I$8, C55&lt;= ($I$7+$I$8)), H54+F55, 0)</f>
        <v>165626.85659135066</v>
      </c>
      <c r="I55" s="24">
        <f>IF(AND(C55&gt;='Amort. Sched.-BEST'!$I$8, C55&lt;= ($I$7+$I$8)), E55/D55, " ")</f>
        <v>0.81870821587232556</v>
      </c>
      <c r="J55" s="25">
        <f>IF(AND(C55&gt;='Amort. Sched.-BEST'!$I$8, C55&lt;= ($I$7+$I$8)), F55/D55, " ")</f>
        <v>0.18129178412767452</v>
      </c>
      <c r="L55" s="20">
        <f t="shared" si="0"/>
        <v>44</v>
      </c>
      <c r="M55" s="5">
        <f>IF(AND(L55&gt;='Amort. Sched.-BEST'!$R$8, L55&lt;= ($R$7+$R$8)), PMT('Amort. Sched.-BEST'!$N$8/12, 'Amort. Sched.-BEST'!$R$7, 'Amort. Sched.-BEST'!$N$7), 0)</f>
        <v>0</v>
      </c>
      <c r="N55" s="5">
        <f>IF(AND(L55&gt;='Amort. Sched.-BEST'!$R$8, L55&lt;= ($R$7+$R$8)), (IPMT($N$8/12, (L55-$R$8), $R$7, $N$7)), 0)</f>
        <v>0</v>
      </c>
      <c r="O55" s="5">
        <f>IF(AND(L55&gt;='Amort. Sched.-BEST'!$R$8, L55&lt;= ($R$7+$R$8)), (PPMT($N$8/12, (L55-$R$8), $R$7, $N$7)), 0)</f>
        <v>0</v>
      </c>
      <c r="P55" s="5">
        <f>IF(CreditAmort1BEST[[#This Row],[Month]]=R$8,N$7,0)</f>
        <v>0</v>
      </c>
      <c r="Q55" s="13">
        <f>IF(AND(L55&gt;='Amort. Sched.-BEST'!$R$8, L55&lt;= ($R$7+$R$8)), Q54+O55, 0)</f>
        <v>0</v>
      </c>
      <c r="R55" s="6" t="str">
        <f>IF(AND(L55&gt;='Amort. Sched.-BEST'!$R$8, L55&lt;= ($R$7+$R$8)), N55/M55, " ")</f>
        <v xml:space="preserve"> </v>
      </c>
      <c r="S55" s="21" t="str">
        <f>IF(AND(L55&gt;='Amort. Sched.-BEST'!$R$8, L55&lt;= ($R$7+$R$8)), O55/M55, " ")</f>
        <v xml:space="preserve"> </v>
      </c>
      <c r="U55" s="20">
        <f t="shared" si="2"/>
        <v>44</v>
      </c>
      <c r="V55" s="5">
        <f>IF(AND(U55&gt;='Amort. Sched.-BEST'!$AA$8, U55&lt;= ($AA$7+$AA$8)), PMT('Amort. Sched.-BEST'!$W$8/12, 'Amort. Sched.-BEST'!$AA$7, 'Amort. Sched.-BEST'!$W$7), 0)</f>
        <v>0</v>
      </c>
      <c r="W55" s="5">
        <f>IF(AND(U55&gt;='Amort. Sched.-BEST'!$AA$8, U55&lt;= ($AA$7+$AA$8)), (IPMT($W$8/12, (U55-$AA$8), $AA$7, $W$7)), 0)</f>
        <v>0</v>
      </c>
      <c r="X55" s="5">
        <f>IF(AND(U55&gt;='Amort. Sched.-BEST'!$AA$8, U55&lt;= ($AA$7+$AA$8)), (PPMT($W$8/12, (U55-$AA$8), $AA$7, $W$7)), 0)</f>
        <v>0</v>
      </c>
      <c r="Y55" s="5">
        <f>IF(CreditAmort2BEST[[#This Row],[Month]]=AA$8,W$7,0)</f>
        <v>0</v>
      </c>
      <c r="Z55" s="13">
        <f>IF(AND(U55&gt;='Amort. Sched.-BEST'!$AA$8, U55&lt;= ($AA$7+$AA$8)), Z54+X55, 0)</f>
        <v>0</v>
      </c>
      <c r="AA55" s="6" t="str">
        <f>IF(AND(U55&gt;='Amort. Sched.-BEST'!$AA$8, U55&lt;= ($AA$7+$AA$8)), W55/V55, " ")</f>
        <v xml:space="preserve"> </v>
      </c>
      <c r="AB55" s="21" t="str">
        <f>IF(AND(U55&gt;='Amort. Sched.-BEST'!$AA$8, U55&lt;= ($AA$7+$AA$8)), X55/V55, " ")</f>
        <v xml:space="preserve"> </v>
      </c>
      <c r="AD55" s="20">
        <f t="shared" si="3"/>
        <v>44</v>
      </c>
      <c r="AE55" s="5">
        <f t="shared" si="4"/>
        <v>0</v>
      </c>
      <c r="AF55" s="5">
        <f t="shared" si="5"/>
        <v>0</v>
      </c>
      <c r="AG55" s="5">
        <f t="shared" si="6"/>
        <v>0</v>
      </c>
      <c r="AH55" s="5">
        <f>IF(CreditAmort3BEST[[#This Row],[Month]]=AJ$8,AF$7,0)</f>
        <v>0</v>
      </c>
      <c r="AI55" s="13">
        <f t="shared" si="7"/>
        <v>0</v>
      </c>
      <c r="AJ55" s="6" t="str">
        <f t="shared" si="8"/>
        <v xml:space="preserve"> </v>
      </c>
      <c r="AK55" s="21" t="str">
        <f t="shared" si="9"/>
        <v xml:space="preserve"> </v>
      </c>
      <c r="AM55" s="20">
        <f t="shared" si="10"/>
        <v>44</v>
      </c>
      <c r="AN55" s="5">
        <f t="shared" si="11"/>
        <v>0</v>
      </c>
      <c r="AO55" s="5">
        <f t="shared" si="12"/>
        <v>0</v>
      </c>
      <c r="AP55" s="5">
        <f t="shared" si="13"/>
        <v>0</v>
      </c>
      <c r="AQ55" s="5">
        <f>IF(CreditAmort4BEST[[#This Row],[Month]]=AS$8,AO$7,0)</f>
        <v>0</v>
      </c>
      <c r="AR55" s="13">
        <f t="shared" si="14"/>
        <v>0</v>
      </c>
      <c r="AS55" s="6" t="str">
        <f t="shared" si="15"/>
        <v xml:space="preserve"> </v>
      </c>
      <c r="AT55" s="21" t="str">
        <f t="shared" si="16"/>
        <v xml:space="preserve"> </v>
      </c>
    </row>
    <row r="56" spans="3:46">
      <c r="C56" s="22">
        <f t="shared" si="1"/>
        <v>45</v>
      </c>
      <c r="D56" s="23">
        <f>IF(AND(C56&gt;='Amort. Sched.-BEST'!$I$8, C56&lt;= ($I$7+$I$8)), PMT('Amort. Sched.-BEST'!$E$8/12, 'Amort. Sched.-BEST'!$I$7, 'Amort. Sched.-BEST'!$E$7), 0)</f>
        <v>-1350.6783839027553</v>
      </c>
      <c r="E56" s="5">
        <f>IF(AND(C56&gt;='Amort. Sched.-BEST'!$I$8, C56&lt;= ($I$7+$I$8)), (IPMT($E$8/12, (C56-$I$8), $I$7, $E$7)), 0)</f>
        <v>-1104.179043942338</v>
      </c>
      <c r="F56" s="23">
        <f>IF(AND(C56&gt;='Amort. Sched.-BEST'!$I$8, C56&lt;= ($I$7+$I$8)), (PPMT($E$8/12, (C56-$I$8), $I$7, $E$7)), 0)</f>
        <v>-246.49933996041733</v>
      </c>
      <c r="G56" s="5">
        <f>IF(MortgageAmortBEST[[#This Row],[Month]]=I$8,E$7,0)</f>
        <v>0</v>
      </c>
      <c r="H56" s="13">
        <f>IF(AND(C56&gt;='Amort. Sched.-BEST'!$I$8, C56&lt;= ($I$7+$I$8)), H55+F56, 0)</f>
        <v>165380.35725139023</v>
      </c>
      <c r="I56" s="24">
        <f>IF(AND(C56&gt;='Amort. Sched.-BEST'!$I$8, C56&lt;= ($I$7+$I$8)), E56/D56, " ")</f>
        <v>0.81749960397814103</v>
      </c>
      <c r="J56" s="25">
        <f>IF(AND(C56&gt;='Amort. Sched.-BEST'!$I$8, C56&lt;= ($I$7+$I$8)), F56/D56, " ")</f>
        <v>0.182500396021859</v>
      </c>
      <c r="L56" s="20">
        <f t="shared" si="0"/>
        <v>45</v>
      </c>
      <c r="M56" s="5">
        <f>IF(AND(L56&gt;='Amort. Sched.-BEST'!$R$8, L56&lt;= ($R$7+$R$8)), PMT('Amort. Sched.-BEST'!$N$8/12, 'Amort. Sched.-BEST'!$R$7, 'Amort. Sched.-BEST'!$N$7), 0)</f>
        <v>0</v>
      </c>
      <c r="N56" s="5">
        <f>IF(AND(L56&gt;='Amort. Sched.-BEST'!$R$8, L56&lt;= ($R$7+$R$8)), (IPMT($N$8/12, (L56-$R$8), $R$7, $N$7)), 0)</f>
        <v>0</v>
      </c>
      <c r="O56" s="5">
        <f>IF(AND(L56&gt;='Amort. Sched.-BEST'!$R$8, L56&lt;= ($R$7+$R$8)), (PPMT($N$8/12, (L56-$R$8), $R$7, $N$7)), 0)</f>
        <v>0</v>
      </c>
      <c r="P56" s="5">
        <f>IF(CreditAmort1BEST[[#This Row],[Month]]=R$8,N$7,0)</f>
        <v>0</v>
      </c>
      <c r="Q56" s="13">
        <f>IF(AND(L56&gt;='Amort. Sched.-BEST'!$R$8, L56&lt;= ($R$7+$R$8)), Q55+O56, 0)</f>
        <v>0</v>
      </c>
      <c r="R56" s="6" t="str">
        <f>IF(AND(L56&gt;='Amort. Sched.-BEST'!$R$8, L56&lt;= ($R$7+$R$8)), N56/M56, " ")</f>
        <v xml:space="preserve"> </v>
      </c>
      <c r="S56" s="21" t="str">
        <f>IF(AND(L56&gt;='Amort. Sched.-BEST'!$R$8, L56&lt;= ($R$7+$R$8)), O56/M56, " ")</f>
        <v xml:space="preserve"> </v>
      </c>
      <c r="U56" s="20">
        <f t="shared" si="2"/>
        <v>45</v>
      </c>
      <c r="V56" s="5">
        <f>IF(AND(U56&gt;='Amort. Sched.-BEST'!$AA$8, U56&lt;= ($AA$7+$AA$8)), PMT('Amort. Sched.-BEST'!$W$8/12, 'Amort. Sched.-BEST'!$AA$7, 'Amort. Sched.-BEST'!$W$7), 0)</f>
        <v>0</v>
      </c>
      <c r="W56" s="5">
        <f>IF(AND(U56&gt;='Amort. Sched.-BEST'!$AA$8, U56&lt;= ($AA$7+$AA$8)), (IPMT($W$8/12, (U56-$AA$8), $AA$7, $W$7)), 0)</f>
        <v>0</v>
      </c>
      <c r="X56" s="5">
        <f>IF(AND(U56&gt;='Amort. Sched.-BEST'!$AA$8, U56&lt;= ($AA$7+$AA$8)), (PPMT($W$8/12, (U56-$AA$8), $AA$7, $W$7)), 0)</f>
        <v>0</v>
      </c>
      <c r="Y56" s="5">
        <f>IF(CreditAmort2BEST[[#This Row],[Month]]=AA$8,W$7,0)</f>
        <v>0</v>
      </c>
      <c r="Z56" s="13">
        <f>IF(AND(U56&gt;='Amort. Sched.-BEST'!$AA$8, U56&lt;= ($AA$7+$AA$8)), Z55+X56, 0)</f>
        <v>0</v>
      </c>
      <c r="AA56" s="6" t="str">
        <f>IF(AND(U56&gt;='Amort. Sched.-BEST'!$AA$8, U56&lt;= ($AA$7+$AA$8)), W56/V56, " ")</f>
        <v xml:space="preserve"> </v>
      </c>
      <c r="AB56" s="21" t="str">
        <f>IF(AND(U56&gt;='Amort. Sched.-BEST'!$AA$8, U56&lt;= ($AA$7+$AA$8)), X56/V56, " ")</f>
        <v xml:space="preserve"> </v>
      </c>
      <c r="AD56" s="20">
        <f t="shared" si="3"/>
        <v>45</v>
      </c>
      <c r="AE56" s="5">
        <f t="shared" si="4"/>
        <v>0</v>
      </c>
      <c r="AF56" s="5">
        <f t="shared" si="5"/>
        <v>0</v>
      </c>
      <c r="AG56" s="5">
        <f t="shared" si="6"/>
        <v>0</v>
      </c>
      <c r="AH56" s="5">
        <f>IF(CreditAmort3BEST[[#This Row],[Month]]=AJ$8,AF$7,0)</f>
        <v>0</v>
      </c>
      <c r="AI56" s="13">
        <f t="shared" si="7"/>
        <v>0</v>
      </c>
      <c r="AJ56" s="6" t="str">
        <f t="shared" si="8"/>
        <v xml:space="preserve"> </v>
      </c>
      <c r="AK56" s="21" t="str">
        <f t="shared" si="9"/>
        <v xml:space="preserve"> </v>
      </c>
      <c r="AM56" s="20">
        <f t="shared" si="10"/>
        <v>45</v>
      </c>
      <c r="AN56" s="5">
        <f t="shared" si="11"/>
        <v>0</v>
      </c>
      <c r="AO56" s="5">
        <f t="shared" si="12"/>
        <v>0</v>
      </c>
      <c r="AP56" s="5">
        <f t="shared" si="13"/>
        <v>0</v>
      </c>
      <c r="AQ56" s="5">
        <f>IF(CreditAmort4BEST[[#This Row],[Month]]=AS$8,AO$7,0)</f>
        <v>0</v>
      </c>
      <c r="AR56" s="13">
        <f t="shared" si="14"/>
        <v>0</v>
      </c>
      <c r="AS56" s="6" t="str">
        <f t="shared" si="15"/>
        <v xml:space="preserve"> </v>
      </c>
      <c r="AT56" s="21" t="str">
        <f t="shared" si="16"/>
        <v xml:space="preserve"> </v>
      </c>
    </row>
    <row r="57" spans="3:46">
      <c r="C57" s="22">
        <f t="shared" si="1"/>
        <v>46</v>
      </c>
      <c r="D57" s="23">
        <f>IF(AND(C57&gt;='Amort. Sched.-BEST'!$I$8, C57&lt;= ($I$7+$I$8)), PMT('Amort. Sched.-BEST'!$E$8/12, 'Amort. Sched.-BEST'!$I$7, 'Amort. Sched.-BEST'!$E$7), 0)</f>
        <v>-1350.6783839027553</v>
      </c>
      <c r="E57" s="5">
        <f>IF(AND(C57&gt;='Amort. Sched.-BEST'!$I$8, C57&lt;= ($I$7+$I$8)), (IPMT($E$8/12, (C57-$I$8), $I$7, $E$7)), 0)</f>
        <v>-1102.5357150092684</v>
      </c>
      <c r="F57" s="23">
        <f>IF(AND(C57&gt;='Amort. Sched.-BEST'!$I$8, C57&lt;= ($I$7+$I$8)), (PPMT($E$8/12, (C57-$I$8), $I$7, $E$7)), 0)</f>
        <v>-248.14266889348676</v>
      </c>
      <c r="G57" s="5">
        <f>IF(MortgageAmortBEST[[#This Row],[Month]]=I$8,E$7,0)</f>
        <v>0</v>
      </c>
      <c r="H57" s="13">
        <f>IF(AND(C57&gt;='Amort. Sched.-BEST'!$I$8, C57&lt;= ($I$7+$I$8)), H56+F57, 0)</f>
        <v>165132.21458249676</v>
      </c>
      <c r="I57" s="24">
        <f>IF(AND(C57&gt;='Amort. Sched.-BEST'!$I$8, C57&lt;= ($I$7+$I$8)), E57/D57, " ")</f>
        <v>0.81628293467132851</v>
      </c>
      <c r="J57" s="25">
        <f>IF(AND(C57&gt;='Amort. Sched.-BEST'!$I$8, C57&lt;= ($I$7+$I$8)), F57/D57, " ")</f>
        <v>0.18371706532867138</v>
      </c>
      <c r="L57" s="20">
        <f t="shared" si="0"/>
        <v>46</v>
      </c>
      <c r="M57" s="5">
        <f>IF(AND(L57&gt;='Amort. Sched.-BEST'!$R$8, L57&lt;= ($R$7+$R$8)), PMT('Amort. Sched.-BEST'!$N$8/12, 'Amort. Sched.-BEST'!$R$7, 'Amort. Sched.-BEST'!$N$7), 0)</f>
        <v>0</v>
      </c>
      <c r="N57" s="5">
        <f>IF(AND(L57&gt;='Amort. Sched.-BEST'!$R$8, L57&lt;= ($R$7+$R$8)), (IPMT($N$8/12, (L57-$R$8), $R$7, $N$7)), 0)</f>
        <v>0</v>
      </c>
      <c r="O57" s="5">
        <f>IF(AND(L57&gt;='Amort. Sched.-BEST'!$R$8, L57&lt;= ($R$7+$R$8)), (PPMT($N$8/12, (L57-$R$8), $R$7, $N$7)), 0)</f>
        <v>0</v>
      </c>
      <c r="P57" s="5">
        <f>IF(CreditAmort1BEST[[#This Row],[Month]]=R$8,N$7,0)</f>
        <v>0</v>
      </c>
      <c r="Q57" s="13">
        <f>IF(AND(L57&gt;='Amort. Sched.-BEST'!$R$8, L57&lt;= ($R$7+$R$8)), Q56+O57, 0)</f>
        <v>0</v>
      </c>
      <c r="R57" s="6" t="str">
        <f>IF(AND(L57&gt;='Amort. Sched.-BEST'!$R$8, L57&lt;= ($R$7+$R$8)), N57/M57, " ")</f>
        <v xml:space="preserve"> </v>
      </c>
      <c r="S57" s="21" t="str">
        <f>IF(AND(L57&gt;='Amort. Sched.-BEST'!$R$8, L57&lt;= ($R$7+$R$8)), O57/M57, " ")</f>
        <v xml:space="preserve"> </v>
      </c>
      <c r="U57" s="20">
        <f t="shared" si="2"/>
        <v>46</v>
      </c>
      <c r="V57" s="5">
        <f>IF(AND(U57&gt;='Amort. Sched.-BEST'!$AA$8, U57&lt;= ($AA$7+$AA$8)), PMT('Amort. Sched.-BEST'!$W$8/12, 'Amort. Sched.-BEST'!$AA$7, 'Amort. Sched.-BEST'!$W$7), 0)</f>
        <v>0</v>
      </c>
      <c r="W57" s="5">
        <f>IF(AND(U57&gt;='Amort. Sched.-BEST'!$AA$8, U57&lt;= ($AA$7+$AA$8)), (IPMT($W$8/12, (U57-$AA$8), $AA$7, $W$7)), 0)</f>
        <v>0</v>
      </c>
      <c r="X57" s="5">
        <f>IF(AND(U57&gt;='Amort. Sched.-BEST'!$AA$8, U57&lt;= ($AA$7+$AA$8)), (PPMT($W$8/12, (U57-$AA$8), $AA$7, $W$7)), 0)</f>
        <v>0</v>
      </c>
      <c r="Y57" s="5">
        <f>IF(CreditAmort2BEST[[#This Row],[Month]]=AA$8,W$7,0)</f>
        <v>0</v>
      </c>
      <c r="Z57" s="13">
        <f>IF(AND(U57&gt;='Amort. Sched.-BEST'!$AA$8, U57&lt;= ($AA$7+$AA$8)), Z56+X57, 0)</f>
        <v>0</v>
      </c>
      <c r="AA57" s="6" t="str">
        <f>IF(AND(U57&gt;='Amort. Sched.-BEST'!$AA$8, U57&lt;= ($AA$7+$AA$8)), W57/V57, " ")</f>
        <v xml:space="preserve"> </v>
      </c>
      <c r="AB57" s="21" t="str">
        <f>IF(AND(U57&gt;='Amort. Sched.-BEST'!$AA$8, U57&lt;= ($AA$7+$AA$8)), X57/V57, " ")</f>
        <v xml:space="preserve"> </v>
      </c>
      <c r="AD57" s="20">
        <f t="shared" si="3"/>
        <v>46</v>
      </c>
      <c r="AE57" s="5">
        <f t="shared" si="4"/>
        <v>0</v>
      </c>
      <c r="AF57" s="5">
        <f t="shared" si="5"/>
        <v>0</v>
      </c>
      <c r="AG57" s="5">
        <f t="shared" si="6"/>
        <v>0</v>
      </c>
      <c r="AH57" s="5">
        <f>IF(CreditAmort3BEST[[#This Row],[Month]]=AJ$8,AF$7,0)</f>
        <v>0</v>
      </c>
      <c r="AI57" s="13">
        <f t="shared" si="7"/>
        <v>0</v>
      </c>
      <c r="AJ57" s="6" t="str">
        <f t="shared" si="8"/>
        <v xml:space="preserve"> </v>
      </c>
      <c r="AK57" s="21" t="str">
        <f t="shared" si="9"/>
        <v xml:space="preserve"> </v>
      </c>
      <c r="AM57" s="20">
        <f t="shared" si="10"/>
        <v>46</v>
      </c>
      <c r="AN57" s="5">
        <f t="shared" si="11"/>
        <v>0</v>
      </c>
      <c r="AO57" s="5">
        <f t="shared" si="12"/>
        <v>0</v>
      </c>
      <c r="AP57" s="5">
        <f t="shared" si="13"/>
        <v>0</v>
      </c>
      <c r="AQ57" s="5">
        <f>IF(CreditAmort4BEST[[#This Row],[Month]]=AS$8,AO$7,0)</f>
        <v>0</v>
      </c>
      <c r="AR57" s="13">
        <f t="shared" si="14"/>
        <v>0</v>
      </c>
      <c r="AS57" s="6" t="str">
        <f t="shared" si="15"/>
        <v xml:space="preserve"> </v>
      </c>
      <c r="AT57" s="21" t="str">
        <f t="shared" si="16"/>
        <v xml:space="preserve"> </v>
      </c>
    </row>
    <row r="58" spans="3:46">
      <c r="C58" s="22">
        <f t="shared" si="1"/>
        <v>47</v>
      </c>
      <c r="D58" s="23">
        <f>IF(AND(C58&gt;='Amort. Sched.-BEST'!$I$8, C58&lt;= ($I$7+$I$8)), PMT('Amort. Sched.-BEST'!$E$8/12, 'Amort. Sched.-BEST'!$I$7, 'Amort. Sched.-BEST'!$E$7), 0)</f>
        <v>-1350.6783839027553</v>
      </c>
      <c r="E58" s="5">
        <f>IF(AND(C58&gt;='Amort. Sched.-BEST'!$I$8, C58&lt;= ($I$7+$I$8)), (IPMT($E$8/12, (C58-$I$8), $I$7, $E$7)), 0)</f>
        <v>-1100.8814305499786</v>
      </c>
      <c r="F58" s="23">
        <f>IF(AND(C58&gt;='Amort. Sched.-BEST'!$I$8, C58&lt;= ($I$7+$I$8)), (PPMT($E$8/12, (C58-$I$8), $I$7, $E$7)), 0)</f>
        <v>-249.79695335277668</v>
      </c>
      <c r="G58" s="5">
        <f>IF(MortgageAmortBEST[[#This Row],[Month]]=I$8,E$7,0)</f>
        <v>0</v>
      </c>
      <c r="H58" s="13">
        <f>IF(AND(C58&gt;='Amort. Sched.-BEST'!$I$8, C58&lt;= ($I$7+$I$8)), H57+F58, 0)</f>
        <v>164882.41762914398</v>
      </c>
      <c r="I58" s="24">
        <f>IF(AND(C58&gt;='Amort. Sched.-BEST'!$I$8, C58&lt;= ($I$7+$I$8)), E58/D58, " ")</f>
        <v>0.81505815423580419</v>
      </c>
      <c r="J58" s="25">
        <f>IF(AND(C58&gt;='Amort. Sched.-BEST'!$I$8, C58&lt;= ($I$7+$I$8)), F58/D58, " ")</f>
        <v>0.18494184576419584</v>
      </c>
      <c r="L58" s="20">
        <f t="shared" si="0"/>
        <v>47</v>
      </c>
      <c r="M58" s="5">
        <f>IF(AND(L58&gt;='Amort. Sched.-BEST'!$R$8, L58&lt;= ($R$7+$R$8)), PMT('Amort. Sched.-BEST'!$N$8/12, 'Amort. Sched.-BEST'!$R$7, 'Amort. Sched.-BEST'!$N$7), 0)</f>
        <v>0</v>
      </c>
      <c r="N58" s="5">
        <f>IF(AND(L58&gt;='Amort. Sched.-BEST'!$R$8, L58&lt;= ($R$7+$R$8)), (IPMT($N$8/12, (L58-$R$8), $R$7, $N$7)), 0)</f>
        <v>0</v>
      </c>
      <c r="O58" s="5">
        <f>IF(AND(L58&gt;='Amort. Sched.-BEST'!$R$8, L58&lt;= ($R$7+$R$8)), (PPMT($N$8/12, (L58-$R$8), $R$7, $N$7)), 0)</f>
        <v>0</v>
      </c>
      <c r="P58" s="5">
        <f>IF(CreditAmort1BEST[[#This Row],[Month]]=R$8,N$7,0)</f>
        <v>0</v>
      </c>
      <c r="Q58" s="13">
        <f>IF(AND(L58&gt;='Amort. Sched.-BEST'!$R$8, L58&lt;= ($R$7+$R$8)), Q57+O58, 0)</f>
        <v>0</v>
      </c>
      <c r="R58" s="6" t="str">
        <f>IF(AND(L58&gt;='Amort. Sched.-BEST'!$R$8, L58&lt;= ($R$7+$R$8)), N58/M58, " ")</f>
        <v xml:space="preserve"> </v>
      </c>
      <c r="S58" s="21" t="str">
        <f>IF(AND(L58&gt;='Amort. Sched.-BEST'!$R$8, L58&lt;= ($R$7+$R$8)), O58/M58, " ")</f>
        <v xml:space="preserve"> </v>
      </c>
      <c r="U58" s="20">
        <f t="shared" si="2"/>
        <v>47</v>
      </c>
      <c r="V58" s="5">
        <f>IF(AND(U58&gt;='Amort. Sched.-BEST'!$AA$8, U58&lt;= ($AA$7+$AA$8)), PMT('Amort. Sched.-BEST'!$W$8/12, 'Amort. Sched.-BEST'!$AA$7, 'Amort. Sched.-BEST'!$W$7), 0)</f>
        <v>0</v>
      </c>
      <c r="W58" s="5">
        <f>IF(AND(U58&gt;='Amort. Sched.-BEST'!$AA$8, U58&lt;= ($AA$7+$AA$8)), (IPMT($W$8/12, (U58-$AA$8), $AA$7, $W$7)), 0)</f>
        <v>0</v>
      </c>
      <c r="X58" s="5">
        <f>IF(AND(U58&gt;='Amort. Sched.-BEST'!$AA$8, U58&lt;= ($AA$7+$AA$8)), (PPMT($W$8/12, (U58-$AA$8), $AA$7, $W$7)), 0)</f>
        <v>0</v>
      </c>
      <c r="Y58" s="5">
        <f>IF(CreditAmort2BEST[[#This Row],[Month]]=AA$8,W$7,0)</f>
        <v>0</v>
      </c>
      <c r="Z58" s="13">
        <f>IF(AND(U58&gt;='Amort. Sched.-BEST'!$AA$8, U58&lt;= ($AA$7+$AA$8)), Z57+X58, 0)</f>
        <v>0</v>
      </c>
      <c r="AA58" s="6" t="str">
        <f>IF(AND(U58&gt;='Amort. Sched.-BEST'!$AA$8, U58&lt;= ($AA$7+$AA$8)), W58/V58, " ")</f>
        <v xml:space="preserve"> </v>
      </c>
      <c r="AB58" s="21" t="str">
        <f>IF(AND(U58&gt;='Amort. Sched.-BEST'!$AA$8, U58&lt;= ($AA$7+$AA$8)), X58/V58, " ")</f>
        <v xml:space="preserve"> </v>
      </c>
      <c r="AD58" s="20">
        <f t="shared" si="3"/>
        <v>47</v>
      </c>
      <c r="AE58" s="5">
        <f t="shared" si="4"/>
        <v>0</v>
      </c>
      <c r="AF58" s="5">
        <f t="shared" si="5"/>
        <v>0</v>
      </c>
      <c r="AG58" s="5">
        <f t="shared" si="6"/>
        <v>0</v>
      </c>
      <c r="AH58" s="5">
        <f>IF(CreditAmort3BEST[[#This Row],[Month]]=AJ$8,AF$7,0)</f>
        <v>0</v>
      </c>
      <c r="AI58" s="13">
        <f t="shared" si="7"/>
        <v>0</v>
      </c>
      <c r="AJ58" s="6" t="str">
        <f t="shared" si="8"/>
        <v xml:space="preserve"> </v>
      </c>
      <c r="AK58" s="21" t="str">
        <f t="shared" si="9"/>
        <v xml:space="preserve"> </v>
      </c>
      <c r="AM58" s="20">
        <f t="shared" si="10"/>
        <v>47</v>
      </c>
      <c r="AN58" s="5">
        <f t="shared" si="11"/>
        <v>0</v>
      </c>
      <c r="AO58" s="5">
        <f t="shared" si="12"/>
        <v>0</v>
      </c>
      <c r="AP58" s="5">
        <f t="shared" si="13"/>
        <v>0</v>
      </c>
      <c r="AQ58" s="5">
        <f>IF(CreditAmort4BEST[[#This Row],[Month]]=AS$8,AO$7,0)</f>
        <v>0</v>
      </c>
      <c r="AR58" s="13">
        <f t="shared" si="14"/>
        <v>0</v>
      </c>
      <c r="AS58" s="6" t="str">
        <f t="shared" si="15"/>
        <v xml:space="preserve"> </v>
      </c>
      <c r="AT58" s="21" t="str">
        <f t="shared" si="16"/>
        <v xml:space="preserve"> </v>
      </c>
    </row>
    <row r="59" spans="3:46">
      <c r="C59" s="22">
        <f t="shared" si="1"/>
        <v>48</v>
      </c>
      <c r="D59" s="23">
        <f>IF(AND(C59&gt;='Amort. Sched.-BEST'!$I$8, C59&lt;= ($I$7+$I$8)), PMT('Amort. Sched.-BEST'!$E$8/12, 'Amort. Sched.-BEST'!$I$7, 'Amort. Sched.-BEST'!$E$7), 0)</f>
        <v>-1350.6783839027553</v>
      </c>
      <c r="E59" s="5">
        <f>IF(AND(C59&gt;='Amort. Sched.-BEST'!$I$8, C59&lt;= ($I$7+$I$8)), (IPMT($E$8/12, (C59-$I$8), $I$7, $E$7)), 0)</f>
        <v>-1099.2161175276267</v>
      </c>
      <c r="F59" s="23">
        <f>IF(AND(C59&gt;='Amort. Sched.-BEST'!$I$8, C59&lt;= ($I$7+$I$8)), (PPMT($E$8/12, (C59-$I$8), $I$7, $E$7)), 0)</f>
        <v>-251.46226637512851</v>
      </c>
      <c r="G59" s="5">
        <f>IF(MortgageAmortBEST[[#This Row],[Month]]=I$8,E$7,0)</f>
        <v>0</v>
      </c>
      <c r="H59" s="13">
        <f>IF(AND(C59&gt;='Amort. Sched.-BEST'!$I$8, C59&lt;= ($I$7+$I$8)), H58+F59, 0)</f>
        <v>164630.95536276884</v>
      </c>
      <c r="I59" s="24">
        <f>IF(AND(C59&gt;='Amort. Sched.-BEST'!$I$8, C59&lt;= ($I$7+$I$8)), E59/D59, " ")</f>
        <v>0.81382520859737617</v>
      </c>
      <c r="J59" s="25">
        <f>IF(AND(C59&gt;='Amort. Sched.-BEST'!$I$8, C59&lt;= ($I$7+$I$8)), F59/D59, " ")</f>
        <v>0.1861747914026238</v>
      </c>
      <c r="L59" s="20">
        <f t="shared" si="0"/>
        <v>48</v>
      </c>
      <c r="M59" s="5">
        <f>IF(AND(L59&gt;='Amort. Sched.-BEST'!$R$8, L59&lt;= ($R$7+$R$8)), PMT('Amort. Sched.-BEST'!$N$8/12, 'Amort. Sched.-BEST'!$R$7, 'Amort. Sched.-BEST'!$N$7), 0)</f>
        <v>0</v>
      </c>
      <c r="N59" s="5">
        <f>IF(AND(L59&gt;='Amort. Sched.-BEST'!$R$8, L59&lt;= ($R$7+$R$8)), (IPMT($N$8/12, (L59-$R$8), $R$7, $N$7)), 0)</f>
        <v>0</v>
      </c>
      <c r="O59" s="5">
        <f>IF(AND(L59&gt;='Amort. Sched.-BEST'!$R$8, L59&lt;= ($R$7+$R$8)), (PPMT($N$8/12, (L59-$R$8), $R$7, $N$7)), 0)</f>
        <v>0</v>
      </c>
      <c r="P59" s="5">
        <f>IF(CreditAmort1BEST[[#This Row],[Month]]=R$8,N$7,0)</f>
        <v>0</v>
      </c>
      <c r="Q59" s="13">
        <f>IF(AND(L59&gt;='Amort. Sched.-BEST'!$R$8, L59&lt;= ($R$7+$R$8)), Q58+O59, 0)</f>
        <v>0</v>
      </c>
      <c r="R59" s="6" t="str">
        <f>IF(AND(L59&gt;='Amort. Sched.-BEST'!$R$8, L59&lt;= ($R$7+$R$8)), N59/M59, " ")</f>
        <v xml:space="preserve"> </v>
      </c>
      <c r="S59" s="21" t="str">
        <f>IF(AND(L59&gt;='Amort. Sched.-BEST'!$R$8, L59&lt;= ($R$7+$R$8)), O59/M59, " ")</f>
        <v xml:space="preserve"> </v>
      </c>
      <c r="U59" s="20">
        <f t="shared" si="2"/>
        <v>48</v>
      </c>
      <c r="V59" s="5">
        <f>IF(AND(U59&gt;='Amort. Sched.-BEST'!$AA$8, U59&lt;= ($AA$7+$AA$8)), PMT('Amort. Sched.-BEST'!$W$8/12, 'Amort. Sched.-BEST'!$AA$7, 'Amort. Sched.-BEST'!$W$7), 0)</f>
        <v>0</v>
      </c>
      <c r="W59" s="5">
        <f>IF(AND(U59&gt;='Amort. Sched.-BEST'!$AA$8, U59&lt;= ($AA$7+$AA$8)), (IPMT($W$8/12, (U59-$AA$8), $AA$7, $W$7)), 0)</f>
        <v>0</v>
      </c>
      <c r="X59" s="5">
        <f>IF(AND(U59&gt;='Amort. Sched.-BEST'!$AA$8, U59&lt;= ($AA$7+$AA$8)), (PPMT($W$8/12, (U59-$AA$8), $AA$7, $W$7)), 0)</f>
        <v>0</v>
      </c>
      <c r="Y59" s="5">
        <f>IF(CreditAmort2BEST[[#This Row],[Month]]=AA$8,W$7,0)</f>
        <v>0</v>
      </c>
      <c r="Z59" s="13">
        <f>IF(AND(U59&gt;='Amort. Sched.-BEST'!$AA$8, U59&lt;= ($AA$7+$AA$8)), Z58+X59, 0)</f>
        <v>0</v>
      </c>
      <c r="AA59" s="6" t="str">
        <f>IF(AND(U59&gt;='Amort. Sched.-BEST'!$AA$8, U59&lt;= ($AA$7+$AA$8)), W59/V59, " ")</f>
        <v xml:space="preserve"> </v>
      </c>
      <c r="AB59" s="21" t="str">
        <f>IF(AND(U59&gt;='Amort. Sched.-BEST'!$AA$8, U59&lt;= ($AA$7+$AA$8)), X59/V59, " ")</f>
        <v xml:space="preserve"> </v>
      </c>
      <c r="AD59" s="20">
        <f t="shared" si="3"/>
        <v>48</v>
      </c>
      <c r="AE59" s="5">
        <f t="shared" si="4"/>
        <v>0</v>
      </c>
      <c r="AF59" s="5">
        <f t="shared" si="5"/>
        <v>0</v>
      </c>
      <c r="AG59" s="5">
        <f t="shared" si="6"/>
        <v>0</v>
      </c>
      <c r="AH59" s="5">
        <f>IF(CreditAmort3BEST[[#This Row],[Month]]=AJ$8,AF$7,0)</f>
        <v>0</v>
      </c>
      <c r="AI59" s="13">
        <f t="shared" si="7"/>
        <v>0</v>
      </c>
      <c r="AJ59" s="6" t="str">
        <f t="shared" si="8"/>
        <v xml:space="preserve"> </v>
      </c>
      <c r="AK59" s="21" t="str">
        <f t="shared" si="9"/>
        <v xml:space="preserve"> </v>
      </c>
      <c r="AM59" s="20">
        <f t="shared" si="10"/>
        <v>48</v>
      </c>
      <c r="AN59" s="5">
        <f t="shared" si="11"/>
        <v>0</v>
      </c>
      <c r="AO59" s="5">
        <f t="shared" si="12"/>
        <v>0</v>
      </c>
      <c r="AP59" s="5">
        <f t="shared" si="13"/>
        <v>0</v>
      </c>
      <c r="AQ59" s="5">
        <f>IF(CreditAmort4BEST[[#This Row],[Month]]=AS$8,AO$7,0)</f>
        <v>0</v>
      </c>
      <c r="AR59" s="13">
        <f t="shared" si="14"/>
        <v>0</v>
      </c>
      <c r="AS59" s="6" t="str">
        <f t="shared" si="15"/>
        <v xml:space="preserve"> </v>
      </c>
      <c r="AT59" s="21" t="str">
        <f t="shared" si="16"/>
        <v xml:space="preserve"> </v>
      </c>
    </row>
    <row r="60" spans="3:46">
      <c r="C60" s="22">
        <f t="shared" si="1"/>
        <v>49</v>
      </c>
      <c r="D60" s="23">
        <f>IF(AND(C60&gt;='Amort. Sched.-BEST'!$I$8, C60&lt;= ($I$7+$I$8)), PMT('Amort. Sched.-BEST'!$E$8/12, 'Amort. Sched.-BEST'!$I$7, 'Amort. Sched.-BEST'!$E$7), 0)</f>
        <v>-1350.6783839027553</v>
      </c>
      <c r="E60" s="5">
        <f>IF(AND(C60&gt;='Amort. Sched.-BEST'!$I$8, C60&lt;= ($I$7+$I$8)), (IPMT($E$8/12, (C60-$I$8), $I$7, $E$7)), 0)</f>
        <v>-1097.5397024184592</v>
      </c>
      <c r="F60" s="23">
        <f>IF(AND(C60&gt;='Amort. Sched.-BEST'!$I$8, C60&lt;= ($I$7+$I$8)), (PPMT($E$8/12, (C60-$I$8), $I$7, $E$7)), 0)</f>
        <v>-253.13868148429606</v>
      </c>
      <c r="G60" s="5">
        <f>IF(MortgageAmortBEST[[#This Row],[Month]]=I$8,E$7,0)</f>
        <v>0</v>
      </c>
      <c r="H60" s="13">
        <f>IF(AND(C60&gt;='Amort. Sched.-BEST'!$I$8, C60&lt;= ($I$7+$I$8)), H59+F60, 0)</f>
        <v>164377.81668128454</v>
      </c>
      <c r="I60" s="24">
        <f>IF(AND(C60&gt;='Amort. Sched.-BEST'!$I$8, C60&lt;= ($I$7+$I$8)), E60/D60, " ")</f>
        <v>0.8125840433213587</v>
      </c>
      <c r="J60" s="25">
        <f>IF(AND(C60&gt;='Amort. Sched.-BEST'!$I$8, C60&lt;= ($I$7+$I$8)), F60/D60, " ")</f>
        <v>0.18741595667864133</v>
      </c>
      <c r="L60" s="20">
        <f t="shared" si="0"/>
        <v>49</v>
      </c>
      <c r="M60" s="5">
        <f>IF(AND(L60&gt;='Amort. Sched.-BEST'!$R$8, L60&lt;= ($R$7+$R$8)), PMT('Amort. Sched.-BEST'!$N$8/12, 'Amort. Sched.-BEST'!$R$7, 'Amort. Sched.-BEST'!$N$7), 0)</f>
        <v>0</v>
      </c>
      <c r="N60" s="5">
        <f>IF(AND(L60&gt;='Amort. Sched.-BEST'!$R$8, L60&lt;= ($R$7+$R$8)), (IPMT($N$8/12, (L60-$R$8), $R$7, $N$7)), 0)</f>
        <v>0</v>
      </c>
      <c r="O60" s="5">
        <f>IF(AND(L60&gt;='Amort. Sched.-BEST'!$R$8, L60&lt;= ($R$7+$R$8)), (PPMT($N$8/12, (L60-$R$8), $R$7, $N$7)), 0)</f>
        <v>0</v>
      </c>
      <c r="P60" s="5">
        <f>IF(CreditAmort1BEST[[#This Row],[Month]]=R$8,N$7,0)</f>
        <v>0</v>
      </c>
      <c r="Q60" s="13">
        <f>IF(AND(L60&gt;='Amort. Sched.-BEST'!$R$8, L60&lt;= ($R$7+$R$8)), Q59+O60, 0)</f>
        <v>0</v>
      </c>
      <c r="R60" s="6" t="str">
        <f>IF(AND(L60&gt;='Amort. Sched.-BEST'!$R$8, L60&lt;= ($R$7+$R$8)), N60/M60, " ")</f>
        <v xml:space="preserve"> </v>
      </c>
      <c r="S60" s="21" t="str">
        <f>IF(AND(L60&gt;='Amort. Sched.-BEST'!$R$8, L60&lt;= ($R$7+$R$8)), O60/M60, " ")</f>
        <v xml:space="preserve"> </v>
      </c>
      <c r="U60" s="20">
        <f t="shared" si="2"/>
        <v>49</v>
      </c>
      <c r="V60" s="5">
        <f>IF(AND(U60&gt;='Amort. Sched.-BEST'!$AA$8, U60&lt;= ($AA$7+$AA$8)), PMT('Amort. Sched.-BEST'!$W$8/12, 'Amort. Sched.-BEST'!$AA$7, 'Amort. Sched.-BEST'!$W$7), 0)</f>
        <v>0</v>
      </c>
      <c r="W60" s="5">
        <f>IF(AND(U60&gt;='Amort. Sched.-BEST'!$AA$8, U60&lt;= ($AA$7+$AA$8)), (IPMT($W$8/12, (U60-$AA$8), $AA$7, $W$7)), 0)</f>
        <v>0</v>
      </c>
      <c r="X60" s="5">
        <f>IF(AND(U60&gt;='Amort. Sched.-BEST'!$AA$8, U60&lt;= ($AA$7+$AA$8)), (PPMT($W$8/12, (U60-$AA$8), $AA$7, $W$7)), 0)</f>
        <v>0</v>
      </c>
      <c r="Y60" s="5">
        <f>IF(CreditAmort2BEST[[#This Row],[Month]]=AA$8,W$7,0)</f>
        <v>0</v>
      </c>
      <c r="Z60" s="13">
        <f>IF(AND(U60&gt;='Amort. Sched.-BEST'!$AA$8, U60&lt;= ($AA$7+$AA$8)), Z59+X60, 0)</f>
        <v>0</v>
      </c>
      <c r="AA60" s="6" t="str">
        <f>IF(AND(U60&gt;='Amort. Sched.-BEST'!$AA$8, U60&lt;= ($AA$7+$AA$8)), W60/V60, " ")</f>
        <v xml:space="preserve"> </v>
      </c>
      <c r="AB60" s="21" t="str">
        <f>IF(AND(U60&gt;='Amort. Sched.-BEST'!$AA$8, U60&lt;= ($AA$7+$AA$8)), X60/V60, " ")</f>
        <v xml:space="preserve"> </v>
      </c>
      <c r="AD60" s="20">
        <f t="shared" si="3"/>
        <v>49</v>
      </c>
      <c r="AE60" s="5">
        <f t="shared" si="4"/>
        <v>0</v>
      </c>
      <c r="AF60" s="5">
        <f t="shared" si="5"/>
        <v>0</v>
      </c>
      <c r="AG60" s="5">
        <f t="shared" si="6"/>
        <v>0</v>
      </c>
      <c r="AH60" s="5">
        <f>IF(CreditAmort3BEST[[#This Row],[Month]]=AJ$8,AF$7,0)</f>
        <v>0</v>
      </c>
      <c r="AI60" s="13">
        <f t="shared" si="7"/>
        <v>0</v>
      </c>
      <c r="AJ60" s="6" t="str">
        <f t="shared" si="8"/>
        <v xml:space="preserve"> </v>
      </c>
      <c r="AK60" s="21" t="str">
        <f t="shared" si="9"/>
        <v xml:space="preserve"> </v>
      </c>
      <c r="AM60" s="20">
        <f t="shared" si="10"/>
        <v>49</v>
      </c>
      <c r="AN60" s="5">
        <f t="shared" si="11"/>
        <v>0</v>
      </c>
      <c r="AO60" s="5">
        <f t="shared" si="12"/>
        <v>0</v>
      </c>
      <c r="AP60" s="5">
        <f t="shared" si="13"/>
        <v>0</v>
      </c>
      <c r="AQ60" s="5">
        <f>IF(CreditAmort4BEST[[#This Row],[Month]]=AS$8,AO$7,0)</f>
        <v>0</v>
      </c>
      <c r="AR60" s="13">
        <f t="shared" si="14"/>
        <v>0</v>
      </c>
      <c r="AS60" s="6" t="str">
        <f t="shared" si="15"/>
        <v xml:space="preserve"> </v>
      </c>
      <c r="AT60" s="21" t="str">
        <f t="shared" si="16"/>
        <v xml:space="preserve"> </v>
      </c>
    </row>
    <row r="61" spans="3:46">
      <c r="C61" s="22">
        <f t="shared" si="1"/>
        <v>50</v>
      </c>
      <c r="D61" s="23">
        <f>IF(AND(C61&gt;='Amort. Sched.-BEST'!$I$8, C61&lt;= ($I$7+$I$8)), PMT('Amort. Sched.-BEST'!$E$8/12, 'Amort. Sched.-BEST'!$I$7, 'Amort. Sched.-BEST'!$E$7), 0)</f>
        <v>-1350.6783839027553</v>
      </c>
      <c r="E61" s="5">
        <f>IF(AND(C61&gt;='Amort. Sched.-BEST'!$I$8, C61&lt;= ($I$7+$I$8)), (IPMT($E$8/12, (C61-$I$8), $I$7, $E$7)), 0)</f>
        <v>-1095.8521112085639</v>
      </c>
      <c r="F61" s="23">
        <f>IF(AND(C61&gt;='Amort. Sched.-BEST'!$I$8, C61&lt;= ($I$7+$I$8)), (PPMT($E$8/12, (C61-$I$8), $I$7, $E$7)), 0)</f>
        <v>-254.82627269419135</v>
      </c>
      <c r="G61" s="5">
        <f>IF(MortgageAmortBEST[[#This Row],[Month]]=I$8,E$7,0)</f>
        <v>0</v>
      </c>
      <c r="H61" s="13">
        <f>IF(AND(C61&gt;='Amort. Sched.-BEST'!$I$8, C61&lt;= ($I$7+$I$8)), H60+F61, 0)</f>
        <v>164122.99040859035</v>
      </c>
      <c r="I61" s="24">
        <f>IF(AND(C61&gt;='Amort. Sched.-BEST'!$I$8, C61&lt;= ($I$7+$I$8)), E61/D61, " ")</f>
        <v>0.81133460361016774</v>
      </c>
      <c r="J61" s="25">
        <f>IF(AND(C61&gt;='Amort. Sched.-BEST'!$I$8, C61&lt;= ($I$7+$I$8)), F61/D61, " ")</f>
        <v>0.18866539638983226</v>
      </c>
      <c r="L61" s="20">
        <f t="shared" si="0"/>
        <v>50</v>
      </c>
      <c r="M61" s="5">
        <f>IF(AND(L61&gt;='Amort. Sched.-BEST'!$R$8, L61&lt;= ($R$7+$R$8)), PMT('Amort. Sched.-BEST'!$N$8/12, 'Amort. Sched.-BEST'!$R$7, 'Amort. Sched.-BEST'!$N$7), 0)</f>
        <v>0</v>
      </c>
      <c r="N61" s="5">
        <f>IF(AND(L61&gt;='Amort. Sched.-BEST'!$R$8, L61&lt;= ($R$7+$R$8)), (IPMT($N$8/12, (L61-$R$8), $R$7, $N$7)), 0)</f>
        <v>0</v>
      </c>
      <c r="O61" s="5">
        <f>IF(AND(L61&gt;='Amort. Sched.-BEST'!$R$8, L61&lt;= ($R$7+$R$8)), (PPMT($N$8/12, (L61-$R$8), $R$7, $N$7)), 0)</f>
        <v>0</v>
      </c>
      <c r="P61" s="5">
        <f>IF(CreditAmort1BEST[[#This Row],[Month]]=R$8,N$7,0)</f>
        <v>0</v>
      </c>
      <c r="Q61" s="13">
        <f>IF(AND(L61&gt;='Amort. Sched.-BEST'!$R$8, L61&lt;= ($R$7+$R$8)), Q60+O61, 0)</f>
        <v>0</v>
      </c>
      <c r="R61" s="6" t="str">
        <f>IF(AND(L61&gt;='Amort. Sched.-BEST'!$R$8, L61&lt;= ($R$7+$R$8)), N61/M61, " ")</f>
        <v xml:space="preserve"> </v>
      </c>
      <c r="S61" s="21" t="str">
        <f>IF(AND(L61&gt;='Amort. Sched.-BEST'!$R$8, L61&lt;= ($R$7+$R$8)), O61/M61, " ")</f>
        <v xml:space="preserve"> </v>
      </c>
      <c r="U61" s="20">
        <f t="shared" si="2"/>
        <v>50</v>
      </c>
      <c r="V61" s="5">
        <f>IF(AND(U61&gt;='Amort. Sched.-BEST'!$AA$8, U61&lt;= ($AA$7+$AA$8)), PMT('Amort. Sched.-BEST'!$W$8/12, 'Amort. Sched.-BEST'!$AA$7, 'Amort. Sched.-BEST'!$W$7), 0)</f>
        <v>0</v>
      </c>
      <c r="W61" s="5">
        <f>IF(AND(U61&gt;='Amort. Sched.-BEST'!$AA$8, U61&lt;= ($AA$7+$AA$8)), (IPMT($W$8/12, (U61-$AA$8), $AA$7, $W$7)), 0)</f>
        <v>0</v>
      </c>
      <c r="X61" s="5">
        <f>IF(AND(U61&gt;='Amort. Sched.-BEST'!$AA$8, U61&lt;= ($AA$7+$AA$8)), (PPMT($W$8/12, (U61-$AA$8), $AA$7, $W$7)), 0)</f>
        <v>0</v>
      </c>
      <c r="Y61" s="5">
        <f>IF(CreditAmort2BEST[[#This Row],[Month]]=AA$8,W$7,0)</f>
        <v>0</v>
      </c>
      <c r="Z61" s="13">
        <f>IF(AND(U61&gt;='Amort. Sched.-BEST'!$AA$8, U61&lt;= ($AA$7+$AA$8)), Z60+X61, 0)</f>
        <v>0</v>
      </c>
      <c r="AA61" s="6" t="str">
        <f>IF(AND(U61&gt;='Amort. Sched.-BEST'!$AA$8, U61&lt;= ($AA$7+$AA$8)), W61/V61, " ")</f>
        <v xml:space="preserve"> </v>
      </c>
      <c r="AB61" s="21" t="str">
        <f>IF(AND(U61&gt;='Amort. Sched.-BEST'!$AA$8, U61&lt;= ($AA$7+$AA$8)), X61/V61, " ")</f>
        <v xml:space="preserve"> </v>
      </c>
      <c r="AD61" s="20">
        <f t="shared" si="3"/>
        <v>50</v>
      </c>
      <c r="AE61" s="5">
        <f t="shared" si="4"/>
        <v>0</v>
      </c>
      <c r="AF61" s="5">
        <f t="shared" si="5"/>
        <v>0</v>
      </c>
      <c r="AG61" s="5">
        <f t="shared" si="6"/>
        <v>0</v>
      </c>
      <c r="AH61" s="5">
        <f>IF(CreditAmort3BEST[[#This Row],[Month]]=AJ$8,AF$7,0)</f>
        <v>0</v>
      </c>
      <c r="AI61" s="13">
        <f t="shared" si="7"/>
        <v>0</v>
      </c>
      <c r="AJ61" s="6" t="str">
        <f t="shared" si="8"/>
        <v xml:space="preserve"> </v>
      </c>
      <c r="AK61" s="21" t="str">
        <f t="shared" si="9"/>
        <v xml:space="preserve"> </v>
      </c>
      <c r="AM61" s="20">
        <f t="shared" si="10"/>
        <v>50</v>
      </c>
      <c r="AN61" s="5">
        <f t="shared" si="11"/>
        <v>0</v>
      </c>
      <c r="AO61" s="5">
        <f t="shared" si="12"/>
        <v>0</v>
      </c>
      <c r="AP61" s="5">
        <f t="shared" si="13"/>
        <v>0</v>
      </c>
      <c r="AQ61" s="5">
        <f>IF(CreditAmort4BEST[[#This Row],[Month]]=AS$8,AO$7,0)</f>
        <v>0</v>
      </c>
      <c r="AR61" s="13">
        <f t="shared" si="14"/>
        <v>0</v>
      </c>
      <c r="AS61" s="6" t="str">
        <f t="shared" si="15"/>
        <v xml:space="preserve"> </v>
      </c>
      <c r="AT61" s="21" t="str">
        <f t="shared" si="16"/>
        <v xml:space="preserve"> </v>
      </c>
    </row>
    <row r="62" spans="3:46">
      <c r="C62" s="22">
        <f t="shared" si="1"/>
        <v>51</v>
      </c>
      <c r="D62" s="23">
        <f>IF(AND(C62&gt;='Amort. Sched.-BEST'!$I$8, C62&lt;= ($I$7+$I$8)), PMT('Amort. Sched.-BEST'!$E$8/12, 'Amort. Sched.-BEST'!$I$7, 'Amort. Sched.-BEST'!$E$7), 0)</f>
        <v>-1350.6783839027553</v>
      </c>
      <c r="E62" s="5">
        <f>IF(AND(C62&gt;='Amort. Sched.-BEST'!$I$8, C62&lt;= ($I$7+$I$8)), (IPMT($E$8/12, (C62-$I$8), $I$7, $E$7)), 0)</f>
        <v>-1094.1532693906026</v>
      </c>
      <c r="F62" s="23">
        <f>IF(AND(C62&gt;='Amort. Sched.-BEST'!$I$8, C62&lt;= ($I$7+$I$8)), (PPMT($E$8/12, (C62-$I$8), $I$7, $E$7)), 0)</f>
        <v>-256.52511451215264</v>
      </c>
      <c r="G62" s="5">
        <f>IF(MortgageAmortBEST[[#This Row],[Month]]=I$8,E$7,0)</f>
        <v>0</v>
      </c>
      <c r="H62" s="13">
        <f>IF(AND(C62&gt;='Amort. Sched.-BEST'!$I$8, C62&lt;= ($I$7+$I$8)), H61+F62, 0)</f>
        <v>163866.4652940782</v>
      </c>
      <c r="I62" s="24">
        <f>IF(AND(C62&gt;='Amort. Sched.-BEST'!$I$8, C62&lt;= ($I$7+$I$8)), E62/D62, " ")</f>
        <v>0.81007683430090216</v>
      </c>
      <c r="J62" s="25">
        <f>IF(AND(C62&gt;='Amort. Sched.-BEST'!$I$8, C62&lt;= ($I$7+$I$8)), F62/D62, " ")</f>
        <v>0.18992316569909781</v>
      </c>
      <c r="L62" s="20">
        <f t="shared" si="0"/>
        <v>51</v>
      </c>
      <c r="M62" s="5">
        <f>IF(AND(L62&gt;='Amort. Sched.-BEST'!$R$8, L62&lt;= ($R$7+$R$8)), PMT('Amort. Sched.-BEST'!$N$8/12, 'Amort. Sched.-BEST'!$R$7, 'Amort. Sched.-BEST'!$N$7), 0)</f>
        <v>0</v>
      </c>
      <c r="N62" s="5">
        <f>IF(AND(L62&gt;='Amort. Sched.-BEST'!$R$8, L62&lt;= ($R$7+$R$8)), (IPMT($N$8/12, (L62-$R$8), $R$7, $N$7)), 0)</f>
        <v>0</v>
      </c>
      <c r="O62" s="5">
        <f>IF(AND(L62&gt;='Amort. Sched.-BEST'!$R$8, L62&lt;= ($R$7+$R$8)), (PPMT($N$8/12, (L62-$R$8), $R$7, $N$7)), 0)</f>
        <v>0</v>
      </c>
      <c r="P62" s="5">
        <f>IF(CreditAmort1BEST[[#This Row],[Month]]=R$8,N$7,0)</f>
        <v>0</v>
      </c>
      <c r="Q62" s="13">
        <f>IF(AND(L62&gt;='Amort. Sched.-BEST'!$R$8, L62&lt;= ($R$7+$R$8)), Q61+O62, 0)</f>
        <v>0</v>
      </c>
      <c r="R62" s="6" t="str">
        <f>IF(AND(L62&gt;='Amort. Sched.-BEST'!$R$8, L62&lt;= ($R$7+$R$8)), N62/M62, " ")</f>
        <v xml:space="preserve"> </v>
      </c>
      <c r="S62" s="21" t="str">
        <f>IF(AND(L62&gt;='Amort. Sched.-BEST'!$R$8, L62&lt;= ($R$7+$R$8)), O62/M62, " ")</f>
        <v xml:space="preserve"> </v>
      </c>
      <c r="U62" s="20">
        <f t="shared" si="2"/>
        <v>51</v>
      </c>
      <c r="V62" s="5">
        <f>IF(AND(U62&gt;='Amort. Sched.-BEST'!$AA$8, U62&lt;= ($AA$7+$AA$8)), PMT('Amort. Sched.-BEST'!$W$8/12, 'Amort. Sched.-BEST'!$AA$7, 'Amort. Sched.-BEST'!$W$7), 0)</f>
        <v>0</v>
      </c>
      <c r="W62" s="5">
        <f>IF(AND(U62&gt;='Amort. Sched.-BEST'!$AA$8, U62&lt;= ($AA$7+$AA$8)), (IPMT($W$8/12, (U62-$AA$8), $AA$7, $W$7)), 0)</f>
        <v>0</v>
      </c>
      <c r="X62" s="5">
        <f>IF(AND(U62&gt;='Amort. Sched.-BEST'!$AA$8, U62&lt;= ($AA$7+$AA$8)), (PPMT($W$8/12, (U62-$AA$8), $AA$7, $W$7)), 0)</f>
        <v>0</v>
      </c>
      <c r="Y62" s="5">
        <f>IF(CreditAmort2BEST[[#This Row],[Month]]=AA$8,W$7,0)</f>
        <v>0</v>
      </c>
      <c r="Z62" s="13">
        <f>IF(AND(U62&gt;='Amort. Sched.-BEST'!$AA$8, U62&lt;= ($AA$7+$AA$8)), Z61+X62, 0)</f>
        <v>0</v>
      </c>
      <c r="AA62" s="6" t="str">
        <f>IF(AND(U62&gt;='Amort. Sched.-BEST'!$AA$8, U62&lt;= ($AA$7+$AA$8)), W62/V62, " ")</f>
        <v xml:space="preserve"> </v>
      </c>
      <c r="AB62" s="21" t="str">
        <f>IF(AND(U62&gt;='Amort. Sched.-BEST'!$AA$8, U62&lt;= ($AA$7+$AA$8)), X62/V62, " ")</f>
        <v xml:space="preserve"> </v>
      </c>
      <c r="AD62" s="20">
        <f t="shared" si="3"/>
        <v>51</v>
      </c>
      <c r="AE62" s="5">
        <f t="shared" si="4"/>
        <v>0</v>
      </c>
      <c r="AF62" s="5">
        <f t="shared" si="5"/>
        <v>0</v>
      </c>
      <c r="AG62" s="5">
        <f t="shared" si="6"/>
        <v>0</v>
      </c>
      <c r="AH62" s="5">
        <f>IF(CreditAmort3BEST[[#This Row],[Month]]=AJ$8,AF$7,0)</f>
        <v>0</v>
      </c>
      <c r="AI62" s="13">
        <f t="shared" si="7"/>
        <v>0</v>
      </c>
      <c r="AJ62" s="6" t="str">
        <f t="shared" si="8"/>
        <v xml:space="preserve"> </v>
      </c>
      <c r="AK62" s="21" t="str">
        <f t="shared" si="9"/>
        <v xml:space="preserve"> </v>
      </c>
      <c r="AM62" s="20">
        <f t="shared" si="10"/>
        <v>51</v>
      </c>
      <c r="AN62" s="5">
        <f t="shared" si="11"/>
        <v>0</v>
      </c>
      <c r="AO62" s="5">
        <f t="shared" si="12"/>
        <v>0</v>
      </c>
      <c r="AP62" s="5">
        <f t="shared" si="13"/>
        <v>0</v>
      </c>
      <c r="AQ62" s="5">
        <f>IF(CreditAmort4BEST[[#This Row],[Month]]=AS$8,AO$7,0)</f>
        <v>0</v>
      </c>
      <c r="AR62" s="13">
        <f t="shared" si="14"/>
        <v>0</v>
      </c>
      <c r="AS62" s="6" t="str">
        <f t="shared" si="15"/>
        <v xml:space="preserve"> </v>
      </c>
      <c r="AT62" s="21" t="str">
        <f t="shared" si="16"/>
        <v xml:space="preserve"> </v>
      </c>
    </row>
    <row r="63" spans="3:46">
      <c r="C63" s="22">
        <f t="shared" si="1"/>
        <v>52</v>
      </c>
      <c r="D63" s="23">
        <f>IF(AND(C63&gt;='Amort. Sched.-BEST'!$I$8, C63&lt;= ($I$7+$I$8)), PMT('Amort. Sched.-BEST'!$E$8/12, 'Amort. Sched.-BEST'!$I$7, 'Amort. Sched.-BEST'!$E$7), 0)</f>
        <v>-1350.6783839027553</v>
      </c>
      <c r="E63" s="5">
        <f>IF(AND(C63&gt;='Amort. Sched.-BEST'!$I$8, C63&lt;= ($I$7+$I$8)), (IPMT($E$8/12, (C63-$I$8), $I$7, $E$7)), 0)</f>
        <v>-1092.4431019605217</v>
      </c>
      <c r="F63" s="23">
        <f>IF(AND(C63&gt;='Amort. Sched.-BEST'!$I$8, C63&lt;= ($I$7+$I$8)), (PPMT($E$8/12, (C63-$I$8), $I$7, $E$7)), 0)</f>
        <v>-258.2352819422336</v>
      </c>
      <c r="G63" s="5">
        <f>IF(MortgageAmortBEST[[#This Row],[Month]]=I$8,E$7,0)</f>
        <v>0</v>
      </c>
      <c r="H63" s="13">
        <f>IF(AND(C63&gt;='Amort. Sched.-BEST'!$I$8, C63&lt;= ($I$7+$I$8)), H62+F63, 0)</f>
        <v>163608.23001213596</v>
      </c>
      <c r="I63" s="24">
        <f>IF(AND(C63&gt;='Amort. Sched.-BEST'!$I$8, C63&lt;= ($I$7+$I$8)), E63/D63, " ")</f>
        <v>0.80881067986290833</v>
      </c>
      <c r="J63" s="25">
        <f>IF(AND(C63&gt;='Amort. Sched.-BEST'!$I$8, C63&lt;= ($I$7+$I$8)), F63/D63, " ")</f>
        <v>0.19118932013709175</v>
      </c>
      <c r="L63" s="20">
        <f t="shared" si="0"/>
        <v>52</v>
      </c>
      <c r="M63" s="5">
        <f>IF(AND(L63&gt;='Amort. Sched.-BEST'!$R$8, L63&lt;= ($R$7+$R$8)), PMT('Amort. Sched.-BEST'!$N$8/12, 'Amort. Sched.-BEST'!$R$7, 'Amort. Sched.-BEST'!$N$7), 0)</f>
        <v>0</v>
      </c>
      <c r="N63" s="5">
        <f>IF(AND(L63&gt;='Amort. Sched.-BEST'!$R$8, L63&lt;= ($R$7+$R$8)), (IPMT($N$8/12, (L63-$R$8), $R$7, $N$7)), 0)</f>
        <v>0</v>
      </c>
      <c r="O63" s="5">
        <f>IF(AND(L63&gt;='Amort. Sched.-BEST'!$R$8, L63&lt;= ($R$7+$R$8)), (PPMT($N$8/12, (L63-$R$8), $R$7, $N$7)), 0)</f>
        <v>0</v>
      </c>
      <c r="P63" s="5">
        <f>IF(CreditAmort1BEST[[#This Row],[Month]]=R$8,N$7,0)</f>
        <v>0</v>
      </c>
      <c r="Q63" s="13">
        <f>IF(AND(L63&gt;='Amort. Sched.-BEST'!$R$8, L63&lt;= ($R$7+$R$8)), Q62+O63, 0)</f>
        <v>0</v>
      </c>
      <c r="R63" s="6" t="str">
        <f>IF(AND(L63&gt;='Amort. Sched.-BEST'!$R$8, L63&lt;= ($R$7+$R$8)), N63/M63, " ")</f>
        <v xml:space="preserve"> </v>
      </c>
      <c r="S63" s="21" t="str">
        <f>IF(AND(L63&gt;='Amort. Sched.-BEST'!$R$8, L63&lt;= ($R$7+$R$8)), O63/M63, " ")</f>
        <v xml:space="preserve"> </v>
      </c>
      <c r="U63" s="20">
        <f t="shared" si="2"/>
        <v>52</v>
      </c>
      <c r="V63" s="5">
        <f>IF(AND(U63&gt;='Amort. Sched.-BEST'!$AA$8, U63&lt;= ($AA$7+$AA$8)), PMT('Amort. Sched.-BEST'!$W$8/12, 'Amort. Sched.-BEST'!$AA$7, 'Amort. Sched.-BEST'!$W$7), 0)</f>
        <v>0</v>
      </c>
      <c r="W63" s="5">
        <f>IF(AND(U63&gt;='Amort. Sched.-BEST'!$AA$8, U63&lt;= ($AA$7+$AA$8)), (IPMT($W$8/12, (U63-$AA$8), $AA$7, $W$7)), 0)</f>
        <v>0</v>
      </c>
      <c r="X63" s="5">
        <f>IF(AND(U63&gt;='Amort. Sched.-BEST'!$AA$8, U63&lt;= ($AA$7+$AA$8)), (PPMT($W$8/12, (U63-$AA$8), $AA$7, $W$7)), 0)</f>
        <v>0</v>
      </c>
      <c r="Y63" s="5">
        <f>IF(CreditAmort2BEST[[#This Row],[Month]]=AA$8,W$7,0)</f>
        <v>0</v>
      </c>
      <c r="Z63" s="13">
        <f>IF(AND(U63&gt;='Amort. Sched.-BEST'!$AA$8, U63&lt;= ($AA$7+$AA$8)), Z62+X63, 0)</f>
        <v>0</v>
      </c>
      <c r="AA63" s="6" t="str">
        <f>IF(AND(U63&gt;='Amort. Sched.-BEST'!$AA$8, U63&lt;= ($AA$7+$AA$8)), W63/V63, " ")</f>
        <v xml:space="preserve"> </v>
      </c>
      <c r="AB63" s="21" t="str">
        <f>IF(AND(U63&gt;='Amort. Sched.-BEST'!$AA$8, U63&lt;= ($AA$7+$AA$8)), X63/V63, " ")</f>
        <v xml:space="preserve"> </v>
      </c>
      <c r="AD63" s="20">
        <f t="shared" si="3"/>
        <v>52</v>
      </c>
      <c r="AE63" s="5">
        <f t="shared" si="4"/>
        <v>0</v>
      </c>
      <c r="AF63" s="5">
        <f t="shared" si="5"/>
        <v>0</v>
      </c>
      <c r="AG63" s="5">
        <f t="shared" si="6"/>
        <v>0</v>
      </c>
      <c r="AH63" s="5">
        <f>IF(CreditAmort3BEST[[#This Row],[Month]]=AJ$8,AF$7,0)</f>
        <v>0</v>
      </c>
      <c r="AI63" s="13">
        <f t="shared" si="7"/>
        <v>0</v>
      </c>
      <c r="AJ63" s="6" t="str">
        <f t="shared" si="8"/>
        <v xml:space="preserve"> </v>
      </c>
      <c r="AK63" s="21" t="str">
        <f t="shared" si="9"/>
        <v xml:space="preserve"> </v>
      </c>
      <c r="AM63" s="20">
        <f t="shared" si="10"/>
        <v>52</v>
      </c>
      <c r="AN63" s="5">
        <f t="shared" si="11"/>
        <v>0</v>
      </c>
      <c r="AO63" s="5">
        <f t="shared" si="12"/>
        <v>0</v>
      </c>
      <c r="AP63" s="5">
        <f t="shared" si="13"/>
        <v>0</v>
      </c>
      <c r="AQ63" s="5">
        <f>IF(CreditAmort4BEST[[#This Row],[Month]]=AS$8,AO$7,0)</f>
        <v>0</v>
      </c>
      <c r="AR63" s="13">
        <f t="shared" si="14"/>
        <v>0</v>
      </c>
      <c r="AS63" s="6" t="str">
        <f t="shared" si="15"/>
        <v xml:space="preserve"> </v>
      </c>
      <c r="AT63" s="21" t="str">
        <f t="shared" si="16"/>
        <v xml:space="preserve"> </v>
      </c>
    </row>
    <row r="64" spans="3:46">
      <c r="C64" s="22">
        <f t="shared" si="1"/>
        <v>53</v>
      </c>
      <c r="D64" s="23">
        <f>IF(AND(C64&gt;='Amort. Sched.-BEST'!$I$8, C64&lt;= ($I$7+$I$8)), PMT('Amort. Sched.-BEST'!$E$8/12, 'Amort. Sched.-BEST'!$I$7, 'Amort. Sched.-BEST'!$E$7), 0)</f>
        <v>-1350.6783839027553</v>
      </c>
      <c r="E64" s="5">
        <f>IF(AND(C64&gt;='Amort. Sched.-BEST'!$I$8, C64&lt;= ($I$7+$I$8)), (IPMT($E$8/12, (C64-$I$8), $I$7, $E$7)), 0)</f>
        <v>-1090.7215334142402</v>
      </c>
      <c r="F64" s="23">
        <f>IF(AND(C64&gt;='Amort. Sched.-BEST'!$I$8, C64&lt;= ($I$7+$I$8)), (PPMT($E$8/12, (C64-$I$8), $I$7, $E$7)), 0)</f>
        <v>-259.95685048851522</v>
      </c>
      <c r="G64" s="5">
        <f>IF(MortgageAmortBEST[[#This Row],[Month]]=I$8,E$7,0)</f>
        <v>0</v>
      </c>
      <c r="H64" s="13">
        <f>IF(AND(C64&gt;='Amort. Sched.-BEST'!$I$8, C64&lt;= ($I$7+$I$8)), H63+F64, 0)</f>
        <v>163348.27316164743</v>
      </c>
      <c r="I64" s="24">
        <f>IF(AND(C64&gt;='Amort. Sched.-BEST'!$I$8, C64&lt;= ($I$7+$I$8)), E64/D64, " ")</f>
        <v>0.80753608439532765</v>
      </c>
      <c r="J64" s="25">
        <f>IF(AND(C64&gt;='Amort. Sched.-BEST'!$I$8, C64&lt;= ($I$7+$I$8)), F64/D64, " ")</f>
        <v>0.19246391560467241</v>
      </c>
      <c r="L64" s="20">
        <f t="shared" si="0"/>
        <v>53</v>
      </c>
      <c r="M64" s="5">
        <f>IF(AND(L64&gt;='Amort. Sched.-BEST'!$R$8, L64&lt;= ($R$7+$R$8)), PMT('Amort. Sched.-BEST'!$N$8/12, 'Amort. Sched.-BEST'!$R$7, 'Amort. Sched.-BEST'!$N$7), 0)</f>
        <v>0</v>
      </c>
      <c r="N64" s="5">
        <f>IF(AND(L64&gt;='Amort. Sched.-BEST'!$R$8, L64&lt;= ($R$7+$R$8)), (IPMT($N$8/12, (L64-$R$8), $R$7, $N$7)), 0)</f>
        <v>0</v>
      </c>
      <c r="O64" s="5">
        <f>IF(AND(L64&gt;='Amort. Sched.-BEST'!$R$8, L64&lt;= ($R$7+$R$8)), (PPMT($N$8/12, (L64-$R$8), $R$7, $N$7)), 0)</f>
        <v>0</v>
      </c>
      <c r="P64" s="5">
        <f>IF(CreditAmort1BEST[[#This Row],[Month]]=R$8,N$7,0)</f>
        <v>0</v>
      </c>
      <c r="Q64" s="13">
        <f>IF(AND(L64&gt;='Amort. Sched.-BEST'!$R$8, L64&lt;= ($R$7+$R$8)), Q63+O64, 0)</f>
        <v>0</v>
      </c>
      <c r="R64" s="6" t="str">
        <f>IF(AND(L64&gt;='Amort. Sched.-BEST'!$R$8, L64&lt;= ($R$7+$R$8)), N64/M64, " ")</f>
        <v xml:space="preserve"> </v>
      </c>
      <c r="S64" s="21" t="str">
        <f>IF(AND(L64&gt;='Amort. Sched.-BEST'!$R$8, L64&lt;= ($R$7+$R$8)), O64/M64, " ")</f>
        <v xml:space="preserve"> </v>
      </c>
      <c r="U64" s="20">
        <f t="shared" si="2"/>
        <v>53</v>
      </c>
      <c r="V64" s="5">
        <f>IF(AND(U64&gt;='Amort. Sched.-BEST'!$AA$8, U64&lt;= ($AA$7+$AA$8)), PMT('Amort. Sched.-BEST'!$W$8/12, 'Amort. Sched.-BEST'!$AA$7, 'Amort. Sched.-BEST'!$W$7), 0)</f>
        <v>0</v>
      </c>
      <c r="W64" s="5">
        <f>IF(AND(U64&gt;='Amort. Sched.-BEST'!$AA$8, U64&lt;= ($AA$7+$AA$8)), (IPMT($W$8/12, (U64-$AA$8), $AA$7, $W$7)), 0)</f>
        <v>0</v>
      </c>
      <c r="X64" s="5">
        <f>IF(AND(U64&gt;='Amort. Sched.-BEST'!$AA$8, U64&lt;= ($AA$7+$AA$8)), (PPMT($W$8/12, (U64-$AA$8), $AA$7, $W$7)), 0)</f>
        <v>0</v>
      </c>
      <c r="Y64" s="5">
        <f>IF(CreditAmort2BEST[[#This Row],[Month]]=AA$8,W$7,0)</f>
        <v>0</v>
      </c>
      <c r="Z64" s="13">
        <f>IF(AND(U64&gt;='Amort. Sched.-BEST'!$AA$8, U64&lt;= ($AA$7+$AA$8)), Z63+X64, 0)</f>
        <v>0</v>
      </c>
      <c r="AA64" s="6" t="str">
        <f>IF(AND(U64&gt;='Amort. Sched.-BEST'!$AA$8, U64&lt;= ($AA$7+$AA$8)), W64/V64, " ")</f>
        <v xml:space="preserve"> </v>
      </c>
      <c r="AB64" s="21" t="str">
        <f>IF(AND(U64&gt;='Amort. Sched.-BEST'!$AA$8, U64&lt;= ($AA$7+$AA$8)), X64/V64, " ")</f>
        <v xml:space="preserve"> </v>
      </c>
      <c r="AD64" s="20">
        <f t="shared" si="3"/>
        <v>53</v>
      </c>
      <c r="AE64" s="5">
        <f t="shared" si="4"/>
        <v>0</v>
      </c>
      <c r="AF64" s="5">
        <f t="shared" si="5"/>
        <v>0</v>
      </c>
      <c r="AG64" s="5">
        <f t="shared" si="6"/>
        <v>0</v>
      </c>
      <c r="AH64" s="5">
        <f>IF(CreditAmort3BEST[[#This Row],[Month]]=AJ$8,AF$7,0)</f>
        <v>0</v>
      </c>
      <c r="AI64" s="13">
        <f t="shared" si="7"/>
        <v>0</v>
      </c>
      <c r="AJ64" s="6" t="str">
        <f t="shared" si="8"/>
        <v xml:space="preserve"> </v>
      </c>
      <c r="AK64" s="21" t="str">
        <f t="shared" si="9"/>
        <v xml:space="preserve"> </v>
      </c>
      <c r="AM64" s="20">
        <f t="shared" si="10"/>
        <v>53</v>
      </c>
      <c r="AN64" s="5">
        <f t="shared" si="11"/>
        <v>0</v>
      </c>
      <c r="AO64" s="5">
        <f t="shared" si="12"/>
        <v>0</v>
      </c>
      <c r="AP64" s="5">
        <f t="shared" si="13"/>
        <v>0</v>
      </c>
      <c r="AQ64" s="5">
        <f>IF(CreditAmort4BEST[[#This Row],[Month]]=AS$8,AO$7,0)</f>
        <v>0</v>
      </c>
      <c r="AR64" s="13">
        <f t="shared" si="14"/>
        <v>0</v>
      </c>
      <c r="AS64" s="6" t="str">
        <f t="shared" si="15"/>
        <v xml:space="preserve"> </v>
      </c>
      <c r="AT64" s="21" t="str">
        <f t="shared" si="16"/>
        <v xml:space="preserve"> </v>
      </c>
    </row>
    <row r="65" spans="3:46">
      <c r="C65" s="22">
        <f t="shared" si="1"/>
        <v>54</v>
      </c>
      <c r="D65" s="23">
        <f>IF(AND(C65&gt;='Amort. Sched.-BEST'!$I$8, C65&lt;= ($I$7+$I$8)), PMT('Amort. Sched.-BEST'!$E$8/12, 'Amort. Sched.-BEST'!$I$7, 'Amort. Sched.-BEST'!$E$7), 0)</f>
        <v>-1350.6783839027553</v>
      </c>
      <c r="E65" s="5">
        <f>IF(AND(C65&gt;='Amort. Sched.-BEST'!$I$8, C65&lt;= ($I$7+$I$8)), (IPMT($E$8/12, (C65-$I$8), $I$7, $E$7)), 0)</f>
        <v>-1088.9884877443167</v>
      </c>
      <c r="F65" s="23">
        <f>IF(AND(C65&gt;='Amort. Sched.-BEST'!$I$8, C65&lt;= ($I$7+$I$8)), (PPMT($E$8/12, (C65-$I$8), $I$7, $E$7)), 0)</f>
        <v>-261.68989615843861</v>
      </c>
      <c r="G65" s="5">
        <f>IF(MortgageAmortBEST[[#This Row],[Month]]=I$8,E$7,0)</f>
        <v>0</v>
      </c>
      <c r="H65" s="13">
        <f>IF(AND(C65&gt;='Amort. Sched.-BEST'!$I$8, C65&lt;= ($I$7+$I$8)), H64+F65, 0)</f>
        <v>163086.583265489</v>
      </c>
      <c r="I65" s="24">
        <f>IF(AND(C65&gt;='Amort. Sched.-BEST'!$I$8, C65&lt;= ($I$7+$I$8)), E65/D65, " ")</f>
        <v>0.80625299162462982</v>
      </c>
      <c r="J65" s="25">
        <f>IF(AND(C65&gt;='Amort. Sched.-BEST'!$I$8, C65&lt;= ($I$7+$I$8)), F65/D65, " ")</f>
        <v>0.19374700837537021</v>
      </c>
      <c r="L65" s="20">
        <f t="shared" si="0"/>
        <v>54</v>
      </c>
      <c r="M65" s="5">
        <f>IF(AND(L65&gt;='Amort. Sched.-BEST'!$R$8, L65&lt;= ($R$7+$R$8)), PMT('Amort. Sched.-BEST'!$N$8/12, 'Amort. Sched.-BEST'!$R$7, 'Amort. Sched.-BEST'!$N$7), 0)</f>
        <v>0</v>
      </c>
      <c r="N65" s="5">
        <f>IF(AND(L65&gt;='Amort. Sched.-BEST'!$R$8, L65&lt;= ($R$7+$R$8)), (IPMT($N$8/12, (L65-$R$8), $R$7, $N$7)), 0)</f>
        <v>0</v>
      </c>
      <c r="O65" s="5">
        <f>IF(AND(L65&gt;='Amort. Sched.-BEST'!$R$8, L65&lt;= ($R$7+$R$8)), (PPMT($N$8/12, (L65-$R$8), $R$7, $N$7)), 0)</f>
        <v>0</v>
      </c>
      <c r="P65" s="5">
        <f>IF(CreditAmort1BEST[[#This Row],[Month]]=R$8,N$7,0)</f>
        <v>0</v>
      </c>
      <c r="Q65" s="13">
        <f>IF(AND(L65&gt;='Amort. Sched.-BEST'!$R$8, L65&lt;= ($R$7+$R$8)), Q64+O65, 0)</f>
        <v>0</v>
      </c>
      <c r="R65" s="6" t="str">
        <f>IF(AND(L65&gt;='Amort. Sched.-BEST'!$R$8, L65&lt;= ($R$7+$R$8)), N65/M65, " ")</f>
        <v xml:space="preserve"> </v>
      </c>
      <c r="S65" s="21" t="str">
        <f>IF(AND(L65&gt;='Amort. Sched.-BEST'!$R$8, L65&lt;= ($R$7+$R$8)), O65/M65, " ")</f>
        <v xml:space="preserve"> </v>
      </c>
      <c r="U65" s="20">
        <f t="shared" si="2"/>
        <v>54</v>
      </c>
      <c r="V65" s="5">
        <f>IF(AND(U65&gt;='Amort. Sched.-BEST'!$AA$8, U65&lt;= ($AA$7+$AA$8)), PMT('Amort. Sched.-BEST'!$W$8/12, 'Amort. Sched.-BEST'!$AA$7, 'Amort. Sched.-BEST'!$W$7), 0)</f>
        <v>0</v>
      </c>
      <c r="W65" s="5">
        <f>IF(AND(U65&gt;='Amort. Sched.-BEST'!$AA$8, U65&lt;= ($AA$7+$AA$8)), (IPMT($W$8/12, (U65-$AA$8), $AA$7, $W$7)), 0)</f>
        <v>0</v>
      </c>
      <c r="X65" s="5">
        <f>IF(AND(U65&gt;='Amort. Sched.-BEST'!$AA$8, U65&lt;= ($AA$7+$AA$8)), (PPMT($W$8/12, (U65-$AA$8), $AA$7, $W$7)), 0)</f>
        <v>0</v>
      </c>
      <c r="Y65" s="5">
        <f>IF(CreditAmort2BEST[[#This Row],[Month]]=AA$8,W$7,0)</f>
        <v>0</v>
      </c>
      <c r="Z65" s="13">
        <f>IF(AND(U65&gt;='Amort. Sched.-BEST'!$AA$8, U65&lt;= ($AA$7+$AA$8)), Z64+X65, 0)</f>
        <v>0</v>
      </c>
      <c r="AA65" s="6" t="str">
        <f>IF(AND(U65&gt;='Amort. Sched.-BEST'!$AA$8, U65&lt;= ($AA$7+$AA$8)), W65/V65, " ")</f>
        <v xml:space="preserve"> </v>
      </c>
      <c r="AB65" s="21" t="str">
        <f>IF(AND(U65&gt;='Amort. Sched.-BEST'!$AA$8, U65&lt;= ($AA$7+$AA$8)), X65/V65, " ")</f>
        <v xml:space="preserve"> </v>
      </c>
      <c r="AD65" s="20">
        <f t="shared" si="3"/>
        <v>54</v>
      </c>
      <c r="AE65" s="5">
        <f t="shared" si="4"/>
        <v>0</v>
      </c>
      <c r="AF65" s="5">
        <f t="shared" si="5"/>
        <v>0</v>
      </c>
      <c r="AG65" s="5">
        <f t="shared" si="6"/>
        <v>0</v>
      </c>
      <c r="AH65" s="5">
        <f>IF(CreditAmort3BEST[[#This Row],[Month]]=AJ$8,AF$7,0)</f>
        <v>0</v>
      </c>
      <c r="AI65" s="13">
        <f t="shared" si="7"/>
        <v>0</v>
      </c>
      <c r="AJ65" s="6" t="str">
        <f t="shared" si="8"/>
        <v xml:space="preserve"> </v>
      </c>
      <c r="AK65" s="21" t="str">
        <f t="shared" si="9"/>
        <v xml:space="preserve"> </v>
      </c>
      <c r="AM65" s="20">
        <f t="shared" si="10"/>
        <v>54</v>
      </c>
      <c r="AN65" s="5">
        <f t="shared" si="11"/>
        <v>0</v>
      </c>
      <c r="AO65" s="5">
        <f t="shared" si="12"/>
        <v>0</v>
      </c>
      <c r="AP65" s="5">
        <f t="shared" si="13"/>
        <v>0</v>
      </c>
      <c r="AQ65" s="5">
        <f>IF(CreditAmort4BEST[[#This Row],[Month]]=AS$8,AO$7,0)</f>
        <v>0</v>
      </c>
      <c r="AR65" s="13">
        <f t="shared" si="14"/>
        <v>0</v>
      </c>
      <c r="AS65" s="6" t="str">
        <f t="shared" si="15"/>
        <v xml:space="preserve"> </v>
      </c>
      <c r="AT65" s="21" t="str">
        <f t="shared" si="16"/>
        <v xml:space="preserve"> </v>
      </c>
    </row>
    <row r="66" spans="3:46">
      <c r="C66" s="22">
        <f t="shared" si="1"/>
        <v>55</v>
      </c>
      <c r="D66" s="23">
        <f>IF(AND(C66&gt;='Amort. Sched.-BEST'!$I$8, C66&lt;= ($I$7+$I$8)), PMT('Amort. Sched.-BEST'!$E$8/12, 'Amort. Sched.-BEST'!$I$7, 'Amort. Sched.-BEST'!$E$7), 0)</f>
        <v>-1350.6783839027553</v>
      </c>
      <c r="E66" s="5">
        <f>IF(AND(C66&gt;='Amort. Sched.-BEST'!$I$8, C66&lt;= ($I$7+$I$8)), (IPMT($E$8/12, (C66-$I$8), $I$7, $E$7)), 0)</f>
        <v>-1087.2438884365938</v>
      </c>
      <c r="F66" s="23">
        <f>IF(AND(C66&gt;='Amort. Sched.-BEST'!$I$8, C66&lt;= ($I$7+$I$8)), (PPMT($E$8/12, (C66-$I$8), $I$7, $E$7)), 0)</f>
        <v>-263.43449546616165</v>
      </c>
      <c r="G66" s="5">
        <f>IF(MortgageAmortBEST[[#This Row],[Month]]=I$8,E$7,0)</f>
        <v>0</v>
      </c>
      <c r="H66" s="13">
        <f>IF(AND(C66&gt;='Amort. Sched.-BEST'!$I$8, C66&lt;= ($I$7+$I$8)), H65+F66, 0)</f>
        <v>162823.14877002285</v>
      </c>
      <c r="I66" s="24">
        <f>IF(AND(C66&gt;='Amort. Sched.-BEST'!$I$8, C66&lt;= ($I$7+$I$8)), E66/D66, " ")</f>
        <v>0.80496134490212734</v>
      </c>
      <c r="J66" s="25">
        <f>IF(AND(C66&gt;='Amort. Sched.-BEST'!$I$8, C66&lt;= ($I$7+$I$8)), F66/D66, " ")</f>
        <v>0.19503865509787274</v>
      </c>
      <c r="L66" s="20">
        <f t="shared" si="0"/>
        <v>55</v>
      </c>
      <c r="M66" s="5">
        <f>IF(AND(L66&gt;='Amort. Sched.-BEST'!$R$8, L66&lt;= ($R$7+$R$8)), PMT('Amort. Sched.-BEST'!$N$8/12, 'Amort. Sched.-BEST'!$R$7, 'Amort. Sched.-BEST'!$N$7), 0)</f>
        <v>0</v>
      </c>
      <c r="N66" s="5">
        <f>IF(AND(L66&gt;='Amort. Sched.-BEST'!$R$8, L66&lt;= ($R$7+$R$8)), (IPMT($N$8/12, (L66-$R$8), $R$7, $N$7)), 0)</f>
        <v>0</v>
      </c>
      <c r="O66" s="5">
        <f>IF(AND(L66&gt;='Amort. Sched.-BEST'!$R$8, L66&lt;= ($R$7+$R$8)), (PPMT($N$8/12, (L66-$R$8), $R$7, $N$7)), 0)</f>
        <v>0</v>
      </c>
      <c r="P66" s="5">
        <f>IF(CreditAmort1BEST[[#This Row],[Month]]=R$8,N$7,0)</f>
        <v>0</v>
      </c>
      <c r="Q66" s="13">
        <f>IF(AND(L66&gt;='Amort. Sched.-BEST'!$R$8, L66&lt;= ($R$7+$R$8)), Q65+O66, 0)</f>
        <v>0</v>
      </c>
      <c r="R66" s="6" t="str">
        <f>IF(AND(L66&gt;='Amort. Sched.-BEST'!$R$8, L66&lt;= ($R$7+$R$8)), N66/M66, " ")</f>
        <v xml:space="preserve"> </v>
      </c>
      <c r="S66" s="21" t="str">
        <f>IF(AND(L66&gt;='Amort. Sched.-BEST'!$R$8, L66&lt;= ($R$7+$R$8)), O66/M66, " ")</f>
        <v xml:space="preserve"> </v>
      </c>
      <c r="U66" s="20">
        <f t="shared" si="2"/>
        <v>55</v>
      </c>
      <c r="V66" s="5">
        <f>IF(AND(U66&gt;='Amort. Sched.-BEST'!$AA$8, U66&lt;= ($AA$7+$AA$8)), PMT('Amort. Sched.-BEST'!$W$8/12, 'Amort. Sched.-BEST'!$AA$7, 'Amort. Sched.-BEST'!$W$7), 0)</f>
        <v>0</v>
      </c>
      <c r="W66" s="5">
        <f>IF(AND(U66&gt;='Amort. Sched.-BEST'!$AA$8, U66&lt;= ($AA$7+$AA$8)), (IPMT($W$8/12, (U66-$AA$8), $AA$7, $W$7)), 0)</f>
        <v>0</v>
      </c>
      <c r="X66" s="5">
        <f>IF(AND(U66&gt;='Amort. Sched.-BEST'!$AA$8, U66&lt;= ($AA$7+$AA$8)), (PPMT($W$8/12, (U66-$AA$8), $AA$7, $W$7)), 0)</f>
        <v>0</v>
      </c>
      <c r="Y66" s="5">
        <f>IF(CreditAmort2BEST[[#This Row],[Month]]=AA$8,W$7,0)</f>
        <v>0</v>
      </c>
      <c r="Z66" s="13">
        <f>IF(AND(U66&gt;='Amort. Sched.-BEST'!$AA$8, U66&lt;= ($AA$7+$AA$8)), Z65+X66, 0)</f>
        <v>0</v>
      </c>
      <c r="AA66" s="6" t="str">
        <f>IF(AND(U66&gt;='Amort. Sched.-BEST'!$AA$8, U66&lt;= ($AA$7+$AA$8)), W66/V66, " ")</f>
        <v xml:space="preserve"> </v>
      </c>
      <c r="AB66" s="21" t="str">
        <f>IF(AND(U66&gt;='Amort. Sched.-BEST'!$AA$8, U66&lt;= ($AA$7+$AA$8)), X66/V66, " ")</f>
        <v xml:space="preserve"> </v>
      </c>
      <c r="AD66" s="20">
        <f t="shared" si="3"/>
        <v>55</v>
      </c>
      <c r="AE66" s="5">
        <f t="shared" si="4"/>
        <v>0</v>
      </c>
      <c r="AF66" s="5">
        <f t="shared" si="5"/>
        <v>0</v>
      </c>
      <c r="AG66" s="5">
        <f t="shared" si="6"/>
        <v>0</v>
      </c>
      <c r="AH66" s="5">
        <f>IF(CreditAmort3BEST[[#This Row],[Month]]=AJ$8,AF$7,0)</f>
        <v>0</v>
      </c>
      <c r="AI66" s="13">
        <f t="shared" si="7"/>
        <v>0</v>
      </c>
      <c r="AJ66" s="6" t="str">
        <f t="shared" si="8"/>
        <v xml:space="preserve"> </v>
      </c>
      <c r="AK66" s="21" t="str">
        <f t="shared" si="9"/>
        <v xml:space="preserve"> </v>
      </c>
      <c r="AM66" s="20">
        <f t="shared" si="10"/>
        <v>55</v>
      </c>
      <c r="AN66" s="5">
        <f t="shared" si="11"/>
        <v>0</v>
      </c>
      <c r="AO66" s="5">
        <f t="shared" si="12"/>
        <v>0</v>
      </c>
      <c r="AP66" s="5">
        <f t="shared" si="13"/>
        <v>0</v>
      </c>
      <c r="AQ66" s="5">
        <f>IF(CreditAmort4BEST[[#This Row],[Month]]=AS$8,AO$7,0)</f>
        <v>0</v>
      </c>
      <c r="AR66" s="13">
        <f t="shared" si="14"/>
        <v>0</v>
      </c>
      <c r="AS66" s="6" t="str">
        <f t="shared" si="15"/>
        <v xml:space="preserve"> </v>
      </c>
      <c r="AT66" s="21" t="str">
        <f t="shared" si="16"/>
        <v xml:space="preserve"> </v>
      </c>
    </row>
    <row r="67" spans="3:46">
      <c r="C67" s="22">
        <f t="shared" si="1"/>
        <v>56</v>
      </c>
      <c r="D67" s="23">
        <f>IF(AND(C67&gt;='Amort. Sched.-BEST'!$I$8, C67&lt;= ($I$7+$I$8)), PMT('Amort. Sched.-BEST'!$E$8/12, 'Amort. Sched.-BEST'!$I$7, 'Amort. Sched.-BEST'!$E$7), 0)</f>
        <v>-1350.6783839027553</v>
      </c>
      <c r="E67" s="5">
        <f>IF(AND(C67&gt;='Amort. Sched.-BEST'!$I$8, C67&lt;= ($I$7+$I$8)), (IPMT($E$8/12, (C67-$I$8), $I$7, $E$7)), 0)</f>
        <v>-1085.4876584668193</v>
      </c>
      <c r="F67" s="23">
        <f>IF(AND(C67&gt;='Amort. Sched.-BEST'!$I$8, C67&lt;= ($I$7+$I$8)), (PPMT($E$8/12, (C67-$I$8), $I$7, $E$7)), 0)</f>
        <v>-265.19072543593603</v>
      </c>
      <c r="G67" s="5">
        <f>IF(MortgageAmortBEST[[#This Row],[Month]]=I$8,E$7,0)</f>
        <v>0</v>
      </c>
      <c r="H67" s="13">
        <f>IF(AND(C67&gt;='Amort. Sched.-BEST'!$I$8, C67&lt;= ($I$7+$I$8)), H66+F67, 0)</f>
        <v>162557.95804458691</v>
      </c>
      <c r="I67" s="24">
        <f>IF(AND(C67&gt;='Amort. Sched.-BEST'!$I$8, C67&lt;= ($I$7+$I$8)), E67/D67, " ")</f>
        <v>0.80366108720147478</v>
      </c>
      <c r="J67" s="25">
        <f>IF(AND(C67&gt;='Amort. Sched.-BEST'!$I$8, C67&lt;= ($I$7+$I$8)), F67/D67, " ")</f>
        <v>0.19633891279852522</v>
      </c>
      <c r="L67" s="20">
        <f t="shared" si="0"/>
        <v>56</v>
      </c>
      <c r="M67" s="5">
        <f>IF(AND(L67&gt;='Amort. Sched.-BEST'!$R$8, L67&lt;= ($R$7+$R$8)), PMT('Amort. Sched.-BEST'!$N$8/12, 'Amort. Sched.-BEST'!$R$7, 'Amort. Sched.-BEST'!$N$7), 0)</f>
        <v>0</v>
      </c>
      <c r="N67" s="5">
        <f>IF(AND(L67&gt;='Amort. Sched.-BEST'!$R$8, L67&lt;= ($R$7+$R$8)), (IPMT($N$8/12, (L67-$R$8), $R$7, $N$7)), 0)</f>
        <v>0</v>
      </c>
      <c r="O67" s="5">
        <f>IF(AND(L67&gt;='Amort. Sched.-BEST'!$R$8, L67&lt;= ($R$7+$R$8)), (PPMT($N$8/12, (L67-$R$8), $R$7, $N$7)), 0)</f>
        <v>0</v>
      </c>
      <c r="P67" s="5">
        <f>IF(CreditAmort1BEST[[#This Row],[Month]]=R$8,N$7,0)</f>
        <v>0</v>
      </c>
      <c r="Q67" s="13">
        <f>IF(AND(L67&gt;='Amort. Sched.-BEST'!$R$8, L67&lt;= ($R$7+$R$8)), Q66+O67, 0)</f>
        <v>0</v>
      </c>
      <c r="R67" s="6" t="str">
        <f>IF(AND(L67&gt;='Amort. Sched.-BEST'!$R$8, L67&lt;= ($R$7+$R$8)), N67/M67, " ")</f>
        <v xml:space="preserve"> </v>
      </c>
      <c r="S67" s="21" t="str">
        <f>IF(AND(L67&gt;='Amort. Sched.-BEST'!$R$8, L67&lt;= ($R$7+$R$8)), O67/M67, " ")</f>
        <v xml:space="preserve"> </v>
      </c>
      <c r="U67" s="20">
        <f t="shared" si="2"/>
        <v>56</v>
      </c>
      <c r="V67" s="5">
        <f>IF(AND(U67&gt;='Amort. Sched.-BEST'!$AA$8, U67&lt;= ($AA$7+$AA$8)), PMT('Amort. Sched.-BEST'!$W$8/12, 'Amort. Sched.-BEST'!$AA$7, 'Amort. Sched.-BEST'!$W$7), 0)</f>
        <v>0</v>
      </c>
      <c r="W67" s="5">
        <f>IF(AND(U67&gt;='Amort. Sched.-BEST'!$AA$8, U67&lt;= ($AA$7+$AA$8)), (IPMT($W$8/12, (U67-$AA$8), $AA$7, $W$7)), 0)</f>
        <v>0</v>
      </c>
      <c r="X67" s="5">
        <f>IF(AND(U67&gt;='Amort. Sched.-BEST'!$AA$8, U67&lt;= ($AA$7+$AA$8)), (PPMT($W$8/12, (U67-$AA$8), $AA$7, $W$7)), 0)</f>
        <v>0</v>
      </c>
      <c r="Y67" s="5">
        <f>IF(CreditAmort2BEST[[#This Row],[Month]]=AA$8,W$7,0)</f>
        <v>0</v>
      </c>
      <c r="Z67" s="13">
        <f>IF(AND(U67&gt;='Amort. Sched.-BEST'!$AA$8, U67&lt;= ($AA$7+$AA$8)), Z66+X67, 0)</f>
        <v>0</v>
      </c>
      <c r="AA67" s="6" t="str">
        <f>IF(AND(U67&gt;='Amort. Sched.-BEST'!$AA$8, U67&lt;= ($AA$7+$AA$8)), W67/V67, " ")</f>
        <v xml:space="preserve"> </v>
      </c>
      <c r="AB67" s="21" t="str">
        <f>IF(AND(U67&gt;='Amort. Sched.-BEST'!$AA$8, U67&lt;= ($AA$7+$AA$8)), X67/V67, " ")</f>
        <v xml:space="preserve"> </v>
      </c>
      <c r="AD67" s="20">
        <f t="shared" si="3"/>
        <v>56</v>
      </c>
      <c r="AE67" s="5">
        <f t="shared" si="4"/>
        <v>0</v>
      </c>
      <c r="AF67" s="5">
        <f t="shared" si="5"/>
        <v>0</v>
      </c>
      <c r="AG67" s="5">
        <f t="shared" si="6"/>
        <v>0</v>
      </c>
      <c r="AH67" s="5">
        <f>IF(CreditAmort3BEST[[#This Row],[Month]]=AJ$8,AF$7,0)</f>
        <v>0</v>
      </c>
      <c r="AI67" s="13">
        <f t="shared" si="7"/>
        <v>0</v>
      </c>
      <c r="AJ67" s="6" t="str">
        <f t="shared" si="8"/>
        <v xml:space="preserve"> </v>
      </c>
      <c r="AK67" s="21" t="str">
        <f t="shared" si="9"/>
        <v xml:space="preserve"> </v>
      </c>
      <c r="AM67" s="20">
        <f t="shared" si="10"/>
        <v>56</v>
      </c>
      <c r="AN67" s="5">
        <f t="shared" si="11"/>
        <v>0</v>
      </c>
      <c r="AO67" s="5">
        <f t="shared" si="12"/>
        <v>0</v>
      </c>
      <c r="AP67" s="5">
        <f t="shared" si="13"/>
        <v>0</v>
      </c>
      <c r="AQ67" s="5">
        <f>IF(CreditAmort4BEST[[#This Row],[Month]]=AS$8,AO$7,0)</f>
        <v>0</v>
      </c>
      <c r="AR67" s="13">
        <f t="shared" si="14"/>
        <v>0</v>
      </c>
      <c r="AS67" s="6" t="str">
        <f t="shared" si="15"/>
        <v xml:space="preserve"> </v>
      </c>
      <c r="AT67" s="21" t="str">
        <f t="shared" si="16"/>
        <v xml:space="preserve"> </v>
      </c>
    </row>
    <row r="68" spans="3:46">
      <c r="C68" s="22">
        <f t="shared" si="1"/>
        <v>57</v>
      </c>
      <c r="D68" s="23">
        <f>IF(AND(C68&gt;='Amort. Sched.-BEST'!$I$8, C68&lt;= ($I$7+$I$8)), PMT('Amort. Sched.-BEST'!$E$8/12, 'Amort. Sched.-BEST'!$I$7, 'Amort. Sched.-BEST'!$E$7), 0)</f>
        <v>-1350.6783839027553</v>
      </c>
      <c r="E68" s="5">
        <f>IF(AND(C68&gt;='Amort. Sched.-BEST'!$I$8, C68&lt;= ($I$7+$I$8)), (IPMT($E$8/12, (C68-$I$8), $I$7, $E$7)), 0)</f>
        <v>-1083.7197202972463</v>
      </c>
      <c r="F68" s="23">
        <f>IF(AND(C68&gt;='Amort. Sched.-BEST'!$I$8, C68&lt;= ($I$7+$I$8)), (PPMT($E$8/12, (C68-$I$8), $I$7, $E$7)), 0)</f>
        <v>-266.95866360550889</v>
      </c>
      <c r="G68" s="5">
        <f>IF(MortgageAmortBEST[[#This Row],[Month]]=I$8,E$7,0)</f>
        <v>0</v>
      </c>
      <c r="H68" s="13">
        <f>IF(AND(C68&gt;='Amort. Sched.-BEST'!$I$8, C68&lt;= ($I$7+$I$8)), H67+F68, 0)</f>
        <v>162290.9993809814</v>
      </c>
      <c r="I68" s="24">
        <f>IF(AND(C68&gt;='Amort. Sched.-BEST'!$I$8, C68&lt;= ($I$7+$I$8)), E68/D68, " ")</f>
        <v>0.80235216111615126</v>
      </c>
      <c r="J68" s="25">
        <f>IF(AND(C68&gt;='Amort. Sched.-BEST'!$I$8, C68&lt;= ($I$7+$I$8)), F68/D68, " ")</f>
        <v>0.19764783888384868</v>
      </c>
      <c r="L68" s="20">
        <f t="shared" si="0"/>
        <v>57</v>
      </c>
      <c r="M68" s="5">
        <f>IF(AND(L68&gt;='Amort. Sched.-BEST'!$R$8, L68&lt;= ($R$7+$R$8)), PMT('Amort. Sched.-BEST'!$N$8/12, 'Amort. Sched.-BEST'!$R$7, 'Amort. Sched.-BEST'!$N$7), 0)</f>
        <v>0</v>
      </c>
      <c r="N68" s="5">
        <f>IF(AND(L68&gt;='Amort. Sched.-BEST'!$R$8, L68&lt;= ($R$7+$R$8)), (IPMT($N$8/12, (L68-$R$8), $R$7, $N$7)), 0)</f>
        <v>0</v>
      </c>
      <c r="O68" s="5">
        <f>IF(AND(L68&gt;='Amort. Sched.-BEST'!$R$8, L68&lt;= ($R$7+$R$8)), (PPMT($N$8/12, (L68-$R$8), $R$7, $N$7)), 0)</f>
        <v>0</v>
      </c>
      <c r="P68" s="5">
        <f>IF(CreditAmort1BEST[[#This Row],[Month]]=R$8,N$7,0)</f>
        <v>0</v>
      </c>
      <c r="Q68" s="13">
        <f>IF(AND(L68&gt;='Amort. Sched.-BEST'!$R$8, L68&lt;= ($R$7+$R$8)), Q67+O68, 0)</f>
        <v>0</v>
      </c>
      <c r="R68" s="6" t="str">
        <f>IF(AND(L68&gt;='Amort. Sched.-BEST'!$R$8, L68&lt;= ($R$7+$R$8)), N68/M68, " ")</f>
        <v xml:space="preserve"> </v>
      </c>
      <c r="S68" s="21" t="str">
        <f>IF(AND(L68&gt;='Amort. Sched.-BEST'!$R$8, L68&lt;= ($R$7+$R$8)), O68/M68, " ")</f>
        <v xml:space="preserve"> </v>
      </c>
      <c r="U68" s="20">
        <f t="shared" si="2"/>
        <v>57</v>
      </c>
      <c r="V68" s="5">
        <f>IF(AND(U68&gt;='Amort. Sched.-BEST'!$AA$8, U68&lt;= ($AA$7+$AA$8)), PMT('Amort. Sched.-BEST'!$W$8/12, 'Amort. Sched.-BEST'!$AA$7, 'Amort. Sched.-BEST'!$W$7), 0)</f>
        <v>0</v>
      </c>
      <c r="W68" s="5">
        <f>IF(AND(U68&gt;='Amort. Sched.-BEST'!$AA$8, U68&lt;= ($AA$7+$AA$8)), (IPMT($W$8/12, (U68-$AA$8), $AA$7, $W$7)), 0)</f>
        <v>0</v>
      </c>
      <c r="X68" s="5">
        <f>IF(AND(U68&gt;='Amort. Sched.-BEST'!$AA$8, U68&lt;= ($AA$7+$AA$8)), (PPMT($W$8/12, (U68-$AA$8), $AA$7, $W$7)), 0)</f>
        <v>0</v>
      </c>
      <c r="Y68" s="5">
        <f>IF(CreditAmort2BEST[[#This Row],[Month]]=AA$8,W$7,0)</f>
        <v>0</v>
      </c>
      <c r="Z68" s="13">
        <f>IF(AND(U68&gt;='Amort. Sched.-BEST'!$AA$8, U68&lt;= ($AA$7+$AA$8)), Z67+X68, 0)</f>
        <v>0</v>
      </c>
      <c r="AA68" s="6" t="str">
        <f>IF(AND(U68&gt;='Amort. Sched.-BEST'!$AA$8, U68&lt;= ($AA$7+$AA$8)), W68/V68, " ")</f>
        <v xml:space="preserve"> </v>
      </c>
      <c r="AB68" s="21" t="str">
        <f>IF(AND(U68&gt;='Amort. Sched.-BEST'!$AA$8, U68&lt;= ($AA$7+$AA$8)), X68/V68, " ")</f>
        <v xml:space="preserve"> </v>
      </c>
      <c r="AD68" s="20">
        <f t="shared" si="3"/>
        <v>57</v>
      </c>
      <c r="AE68" s="5">
        <f t="shared" si="4"/>
        <v>0</v>
      </c>
      <c r="AF68" s="5">
        <f t="shared" si="5"/>
        <v>0</v>
      </c>
      <c r="AG68" s="5">
        <f t="shared" si="6"/>
        <v>0</v>
      </c>
      <c r="AH68" s="5">
        <f>IF(CreditAmort3BEST[[#This Row],[Month]]=AJ$8,AF$7,0)</f>
        <v>0</v>
      </c>
      <c r="AI68" s="13">
        <f t="shared" si="7"/>
        <v>0</v>
      </c>
      <c r="AJ68" s="6" t="str">
        <f t="shared" si="8"/>
        <v xml:space="preserve"> </v>
      </c>
      <c r="AK68" s="21" t="str">
        <f t="shared" si="9"/>
        <v xml:space="preserve"> </v>
      </c>
      <c r="AM68" s="20">
        <f t="shared" si="10"/>
        <v>57</v>
      </c>
      <c r="AN68" s="5">
        <f t="shared" si="11"/>
        <v>0</v>
      </c>
      <c r="AO68" s="5">
        <f t="shared" si="12"/>
        <v>0</v>
      </c>
      <c r="AP68" s="5">
        <f t="shared" si="13"/>
        <v>0</v>
      </c>
      <c r="AQ68" s="5">
        <f>IF(CreditAmort4BEST[[#This Row],[Month]]=AS$8,AO$7,0)</f>
        <v>0</v>
      </c>
      <c r="AR68" s="13">
        <f t="shared" si="14"/>
        <v>0</v>
      </c>
      <c r="AS68" s="6" t="str">
        <f t="shared" si="15"/>
        <v xml:space="preserve"> </v>
      </c>
      <c r="AT68" s="21" t="str">
        <f t="shared" si="16"/>
        <v xml:space="preserve"> </v>
      </c>
    </row>
    <row r="69" spans="3:46">
      <c r="C69" s="22">
        <f t="shared" si="1"/>
        <v>58</v>
      </c>
      <c r="D69" s="23">
        <f>IF(AND(C69&gt;='Amort. Sched.-BEST'!$I$8, C69&lt;= ($I$7+$I$8)), PMT('Amort. Sched.-BEST'!$E$8/12, 'Amort. Sched.-BEST'!$I$7, 'Amort. Sched.-BEST'!$E$7), 0)</f>
        <v>-1350.6783839027553</v>
      </c>
      <c r="E69" s="5">
        <f>IF(AND(C69&gt;='Amort. Sched.-BEST'!$I$8, C69&lt;= ($I$7+$I$8)), (IPMT($E$8/12, (C69-$I$8), $I$7, $E$7)), 0)</f>
        <v>-1081.9399958732099</v>
      </c>
      <c r="F69" s="23">
        <f>IF(AND(C69&gt;='Amort. Sched.-BEST'!$I$8, C69&lt;= ($I$7+$I$8)), (PPMT($E$8/12, (C69-$I$8), $I$7, $E$7)), 0)</f>
        <v>-268.7383880295456</v>
      </c>
      <c r="G69" s="5">
        <f>IF(MortgageAmortBEST[[#This Row],[Month]]=I$8,E$7,0)</f>
        <v>0</v>
      </c>
      <c r="H69" s="13">
        <f>IF(AND(C69&gt;='Amort. Sched.-BEST'!$I$8, C69&lt;= ($I$7+$I$8)), H68+F69, 0)</f>
        <v>162022.26099295187</v>
      </c>
      <c r="I69" s="24">
        <f>IF(AND(C69&gt;='Amort. Sched.-BEST'!$I$8, C69&lt;= ($I$7+$I$8)), E69/D69, " ")</f>
        <v>0.80103450885692584</v>
      </c>
      <c r="J69" s="25">
        <f>IF(AND(C69&gt;='Amort. Sched.-BEST'!$I$8, C69&lt;= ($I$7+$I$8)), F69/D69, " ")</f>
        <v>0.19896549114307432</v>
      </c>
      <c r="L69" s="20">
        <f t="shared" si="0"/>
        <v>58</v>
      </c>
      <c r="M69" s="5">
        <f>IF(AND(L69&gt;='Amort. Sched.-BEST'!$R$8, L69&lt;= ($R$7+$R$8)), PMT('Amort. Sched.-BEST'!$N$8/12, 'Amort. Sched.-BEST'!$R$7, 'Amort. Sched.-BEST'!$N$7), 0)</f>
        <v>0</v>
      </c>
      <c r="N69" s="5">
        <f>IF(AND(L69&gt;='Amort. Sched.-BEST'!$R$8, L69&lt;= ($R$7+$R$8)), (IPMT($N$8/12, (L69-$R$8), $R$7, $N$7)), 0)</f>
        <v>0</v>
      </c>
      <c r="O69" s="5">
        <f>IF(AND(L69&gt;='Amort. Sched.-BEST'!$R$8, L69&lt;= ($R$7+$R$8)), (PPMT($N$8/12, (L69-$R$8), $R$7, $N$7)), 0)</f>
        <v>0</v>
      </c>
      <c r="P69" s="5">
        <f>IF(CreditAmort1BEST[[#This Row],[Month]]=R$8,N$7,0)</f>
        <v>0</v>
      </c>
      <c r="Q69" s="13">
        <f>IF(AND(L69&gt;='Amort. Sched.-BEST'!$R$8, L69&lt;= ($R$7+$R$8)), Q68+O69, 0)</f>
        <v>0</v>
      </c>
      <c r="R69" s="6" t="str">
        <f>IF(AND(L69&gt;='Amort. Sched.-BEST'!$R$8, L69&lt;= ($R$7+$R$8)), N69/M69, " ")</f>
        <v xml:space="preserve"> </v>
      </c>
      <c r="S69" s="21" t="str">
        <f>IF(AND(L69&gt;='Amort. Sched.-BEST'!$R$8, L69&lt;= ($R$7+$R$8)), O69/M69, " ")</f>
        <v xml:space="preserve"> </v>
      </c>
      <c r="U69" s="20">
        <f t="shared" si="2"/>
        <v>58</v>
      </c>
      <c r="V69" s="5">
        <f>IF(AND(U69&gt;='Amort. Sched.-BEST'!$AA$8, U69&lt;= ($AA$7+$AA$8)), PMT('Amort. Sched.-BEST'!$W$8/12, 'Amort. Sched.-BEST'!$AA$7, 'Amort. Sched.-BEST'!$W$7), 0)</f>
        <v>0</v>
      </c>
      <c r="W69" s="5">
        <f>IF(AND(U69&gt;='Amort. Sched.-BEST'!$AA$8, U69&lt;= ($AA$7+$AA$8)), (IPMT($W$8/12, (U69-$AA$8), $AA$7, $W$7)), 0)</f>
        <v>0</v>
      </c>
      <c r="X69" s="5">
        <f>IF(AND(U69&gt;='Amort. Sched.-BEST'!$AA$8, U69&lt;= ($AA$7+$AA$8)), (PPMT($W$8/12, (U69-$AA$8), $AA$7, $W$7)), 0)</f>
        <v>0</v>
      </c>
      <c r="Y69" s="5">
        <f>IF(CreditAmort2BEST[[#This Row],[Month]]=AA$8,W$7,0)</f>
        <v>0</v>
      </c>
      <c r="Z69" s="13">
        <f>IF(AND(U69&gt;='Amort. Sched.-BEST'!$AA$8, U69&lt;= ($AA$7+$AA$8)), Z68+X69, 0)</f>
        <v>0</v>
      </c>
      <c r="AA69" s="6" t="str">
        <f>IF(AND(U69&gt;='Amort. Sched.-BEST'!$AA$8, U69&lt;= ($AA$7+$AA$8)), W69/V69, " ")</f>
        <v xml:space="preserve"> </v>
      </c>
      <c r="AB69" s="21" t="str">
        <f>IF(AND(U69&gt;='Amort. Sched.-BEST'!$AA$8, U69&lt;= ($AA$7+$AA$8)), X69/V69, " ")</f>
        <v xml:space="preserve"> </v>
      </c>
      <c r="AD69" s="20">
        <f t="shared" si="3"/>
        <v>58</v>
      </c>
      <c r="AE69" s="5">
        <f t="shared" si="4"/>
        <v>0</v>
      </c>
      <c r="AF69" s="5">
        <f t="shared" si="5"/>
        <v>0</v>
      </c>
      <c r="AG69" s="5">
        <f t="shared" si="6"/>
        <v>0</v>
      </c>
      <c r="AH69" s="5">
        <f>IF(CreditAmort3BEST[[#This Row],[Month]]=AJ$8,AF$7,0)</f>
        <v>0</v>
      </c>
      <c r="AI69" s="13">
        <f t="shared" si="7"/>
        <v>0</v>
      </c>
      <c r="AJ69" s="6" t="str">
        <f t="shared" si="8"/>
        <v xml:space="preserve"> </v>
      </c>
      <c r="AK69" s="21" t="str">
        <f t="shared" si="9"/>
        <v xml:space="preserve"> </v>
      </c>
      <c r="AM69" s="20">
        <f t="shared" si="10"/>
        <v>58</v>
      </c>
      <c r="AN69" s="5">
        <f t="shared" si="11"/>
        <v>0</v>
      </c>
      <c r="AO69" s="5">
        <f t="shared" si="12"/>
        <v>0</v>
      </c>
      <c r="AP69" s="5">
        <f t="shared" si="13"/>
        <v>0</v>
      </c>
      <c r="AQ69" s="5">
        <f>IF(CreditAmort4BEST[[#This Row],[Month]]=AS$8,AO$7,0)</f>
        <v>0</v>
      </c>
      <c r="AR69" s="13">
        <f t="shared" si="14"/>
        <v>0</v>
      </c>
      <c r="AS69" s="6" t="str">
        <f t="shared" si="15"/>
        <v xml:space="preserve"> </v>
      </c>
      <c r="AT69" s="21" t="str">
        <f t="shared" si="16"/>
        <v xml:space="preserve"> </v>
      </c>
    </row>
    <row r="70" spans="3:46">
      <c r="C70" s="22">
        <f t="shared" si="1"/>
        <v>59</v>
      </c>
      <c r="D70" s="23">
        <f>IF(AND(C70&gt;='Amort. Sched.-BEST'!$I$8, C70&lt;= ($I$7+$I$8)), PMT('Amort. Sched.-BEST'!$E$8/12, 'Amort. Sched.-BEST'!$I$7, 'Amort. Sched.-BEST'!$E$7), 0)</f>
        <v>-1350.6783839027553</v>
      </c>
      <c r="E70" s="5">
        <f>IF(AND(C70&gt;='Amort. Sched.-BEST'!$I$8, C70&lt;= ($I$7+$I$8)), (IPMT($E$8/12, (C70-$I$8), $I$7, $E$7)), 0)</f>
        <v>-1080.1484066196795</v>
      </c>
      <c r="F70" s="23">
        <f>IF(AND(C70&gt;='Amort. Sched.-BEST'!$I$8, C70&lt;= ($I$7+$I$8)), (PPMT($E$8/12, (C70-$I$8), $I$7, $E$7)), 0)</f>
        <v>-270.52997728307594</v>
      </c>
      <c r="G70" s="5">
        <f>IF(MortgageAmortBEST[[#This Row],[Month]]=I$8,E$7,0)</f>
        <v>0</v>
      </c>
      <c r="H70" s="13">
        <f>IF(AND(C70&gt;='Amort. Sched.-BEST'!$I$8, C70&lt;= ($I$7+$I$8)), H69+F70, 0)</f>
        <v>161751.7310156688</v>
      </c>
      <c r="I70" s="24">
        <f>IF(AND(C70&gt;='Amort. Sched.-BEST'!$I$8, C70&lt;= ($I$7+$I$8)), E70/D70, " ")</f>
        <v>0.79970807224930529</v>
      </c>
      <c r="J70" s="25">
        <f>IF(AND(C70&gt;='Amort. Sched.-BEST'!$I$8, C70&lt;= ($I$7+$I$8)), F70/D70, " ")</f>
        <v>0.20029192775069485</v>
      </c>
      <c r="L70" s="20">
        <f t="shared" si="0"/>
        <v>59</v>
      </c>
      <c r="M70" s="5">
        <f>IF(AND(L70&gt;='Amort. Sched.-BEST'!$R$8, L70&lt;= ($R$7+$R$8)), PMT('Amort. Sched.-BEST'!$N$8/12, 'Amort. Sched.-BEST'!$R$7, 'Amort. Sched.-BEST'!$N$7), 0)</f>
        <v>0</v>
      </c>
      <c r="N70" s="5">
        <f>IF(AND(L70&gt;='Amort. Sched.-BEST'!$R$8, L70&lt;= ($R$7+$R$8)), (IPMT($N$8/12, (L70-$R$8), $R$7, $N$7)), 0)</f>
        <v>0</v>
      </c>
      <c r="O70" s="5">
        <f>IF(AND(L70&gt;='Amort. Sched.-BEST'!$R$8, L70&lt;= ($R$7+$R$8)), (PPMT($N$8/12, (L70-$R$8), $R$7, $N$7)), 0)</f>
        <v>0</v>
      </c>
      <c r="P70" s="5">
        <f>IF(CreditAmort1BEST[[#This Row],[Month]]=R$8,N$7,0)</f>
        <v>0</v>
      </c>
      <c r="Q70" s="13">
        <f>IF(AND(L70&gt;='Amort. Sched.-BEST'!$R$8, L70&lt;= ($R$7+$R$8)), Q69+O70, 0)</f>
        <v>0</v>
      </c>
      <c r="R70" s="6" t="str">
        <f>IF(AND(L70&gt;='Amort. Sched.-BEST'!$R$8, L70&lt;= ($R$7+$R$8)), N70/M70, " ")</f>
        <v xml:space="preserve"> </v>
      </c>
      <c r="S70" s="21" t="str">
        <f>IF(AND(L70&gt;='Amort. Sched.-BEST'!$R$8, L70&lt;= ($R$7+$R$8)), O70/M70, " ")</f>
        <v xml:space="preserve"> </v>
      </c>
      <c r="U70" s="20">
        <f t="shared" si="2"/>
        <v>59</v>
      </c>
      <c r="V70" s="5">
        <f>IF(AND(U70&gt;='Amort. Sched.-BEST'!$AA$8, U70&lt;= ($AA$7+$AA$8)), PMT('Amort. Sched.-BEST'!$W$8/12, 'Amort. Sched.-BEST'!$AA$7, 'Amort. Sched.-BEST'!$W$7), 0)</f>
        <v>0</v>
      </c>
      <c r="W70" s="5">
        <f>IF(AND(U70&gt;='Amort. Sched.-BEST'!$AA$8, U70&lt;= ($AA$7+$AA$8)), (IPMT($W$8/12, (U70-$AA$8), $AA$7, $W$7)), 0)</f>
        <v>0</v>
      </c>
      <c r="X70" s="5">
        <f>IF(AND(U70&gt;='Amort. Sched.-BEST'!$AA$8, U70&lt;= ($AA$7+$AA$8)), (PPMT($W$8/12, (U70-$AA$8), $AA$7, $W$7)), 0)</f>
        <v>0</v>
      </c>
      <c r="Y70" s="5">
        <f>IF(CreditAmort2BEST[[#This Row],[Month]]=AA$8,W$7,0)</f>
        <v>0</v>
      </c>
      <c r="Z70" s="13">
        <f>IF(AND(U70&gt;='Amort. Sched.-BEST'!$AA$8, U70&lt;= ($AA$7+$AA$8)), Z69+X70, 0)</f>
        <v>0</v>
      </c>
      <c r="AA70" s="6" t="str">
        <f>IF(AND(U70&gt;='Amort. Sched.-BEST'!$AA$8, U70&lt;= ($AA$7+$AA$8)), W70/V70, " ")</f>
        <v xml:space="preserve"> </v>
      </c>
      <c r="AB70" s="21" t="str">
        <f>IF(AND(U70&gt;='Amort. Sched.-BEST'!$AA$8, U70&lt;= ($AA$7+$AA$8)), X70/V70, " ")</f>
        <v xml:space="preserve"> </v>
      </c>
      <c r="AD70" s="20">
        <f t="shared" si="3"/>
        <v>59</v>
      </c>
      <c r="AE70" s="5">
        <f t="shared" si="4"/>
        <v>0</v>
      </c>
      <c r="AF70" s="5">
        <f t="shared" si="5"/>
        <v>0</v>
      </c>
      <c r="AG70" s="5">
        <f t="shared" si="6"/>
        <v>0</v>
      </c>
      <c r="AH70" s="5">
        <f>IF(CreditAmort3BEST[[#This Row],[Month]]=AJ$8,AF$7,0)</f>
        <v>0</v>
      </c>
      <c r="AI70" s="13">
        <f t="shared" si="7"/>
        <v>0</v>
      </c>
      <c r="AJ70" s="6" t="str">
        <f t="shared" si="8"/>
        <v xml:space="preserve"> </v>
      </c>
      <c r="AK70" s="21" t="str">
        <f t="shared" si="9"/>
        <v xml:space="preserve"> </v>
      </c>
      <c r="AM70" s="20">
        <f t="shared" si="10"/>
        <v>59</v>
      </c>
      <c r="AN70" s="5">
        <f t="shared" si="11"/>
        <v>0</v>
      </c>
      <c r="AO70" s="5">
        <f t="shared" si="12"/>
        <v>0</v>
      </c>
      <c r="AP70" s="5">
        <f t="shared" si="13"/>
        <v>0</v>
      </c>
      <c r="AQ70" s="5">
        <f>IF(CreditAmort4BEST[[#This Row],[Month]]=AS$8,AO$7,0)</f>
        <v>0</v>
      </c>
      <c r="AR70" s="13">
        <f t="shared" si="14"/>
        <v>0</v>
      </c>
      <c r="AS70" s="6" t="str">
        <f t="shared" si="15"/>
        <v xml:space="preserve"> </v>
      </c>
      <c r="AT70" s="21" t="str">
        <f t="shared" si="16"/>
        <v xml:space="preserve"> </v>
      </c>
    </row>
    <row r="71" spans="3:46">
      <c r="C71" s="22">
        <f t="shared" si="1"/>
        <v>60</v>
      </c>
      <c r="D71" s="23">
        <f>IF(AND(C71&gt;='Amort. Sched.-BEST'!$I$8, C71&lt;= ($I$7+$I$8)), PMT('Amort. Sched.-BEST'!$E$8/12, 'Amort. Sched.-BEST'!$I$7, 'Amort. Sched.-BEST'!$E$7), 0)</f>
        <v>-1350.6783839027553</v>
      </c>
      <c r="E71" s="5">
        <f>IF(AND(C71&gt;='Amort. Sched.-BEST'!$I$8, C71&lt;= ($I$7+$I$8)), (IPMT($E$8/12, (C71-$I$8), $I$7, $E$7)), 0)</f>
        <v>-1078.3448734377923</v>
      </c>
      <c r="F71" s="23">
        <f>IF(AND(C71&gt;='Amort. Sched.-BEST'!$I$8, C71&lt;= ($I$7+$I$8)), (PPMT($E$8/12, (C71-$I$8), $I$7, $E$7)), 0)</f>
        <v>-272.33351046496307</v>
      </c>
      <c r="G71" s="5">
        <f>IF(MortgageAmortBEST[[#This Row],[Month]]=I$8,E$7,0)</f>
        <v>0</v>
      </c>
      <c r="H71" s="13">
        <f>IF(AND(C71&gt;='Amort. Sched.-BEST'!$I$8, C71&lt;= ($I$7+$I$8)), H70+F71, 0)</f>
        <v>161479.39750520384</v>
      </c>
      <c r="I71" s="24">
        <f>IF(AND(C71&gt;='Amort. Sched.-BEST'!$I$8, C71&lt;= ($I$7+$I$8)), E71/D71, " ")</f>
        <v>0.79837279273096728</v>
      </c>
      <c r="J71" s="25">
        <f>IF(AND(C71&gt;='Amort. Sched.-BEST'!$I$8, C71&lt;= ($I$7+$I$8)), F71/D71, " ")</f>
        <v>0.20162720726903277</v>
      </c>
      <c r="L71" s="20">
        <f t="shared" si="0"/>
        <v>60</v>
      </c>
      <c r="M71" s="5">
        <f>IF(AND(L71&gt;='Amort. Sched.-BEST'!$R$8, L71&lt;= ($R$7+$R$8)), PMT('Amort. Sched.-BEST'!$N$8/12, 'Amort. Sched.-BEST'!$R$7, 'Amort. Sched.-BEST'!$N$7), 0)</f>
        <v>0</v>
      </c>
      <c r="N71" s="5">
        <f>IF(AND(L71&gt;='Amort. Sched.-BEST'!$R$8, L71&lt;= ($R$7+$R$8)), (IPMT($N$8/12, (L71-$R$8), $R$7, $N$7)), 0)</f>
        <v>0</v>
      </c>
      <c r="O71" s="5">
        <f>IF(AND(L71&gt;='Amort. Sched.-BEST'!$R$8, L71&lt;= ($R$7+$R$8)), (PPMT($N$8/12, (L71-$R$8), $R$7, $N$7)), 0)</f>
        <v>0</v>
      </c>
      <c r="P71" s="5">
        <f>IF(CreditAmort1BEST[[#This Row],[Month]]=R$8,N$7,0)</f>
        <v>0</v>
      </c>
      <c r="Q71" s="13">
        <f>IF(AND(L71&gt;='Amort. Sched.-BEST'!$R$8, L71&lt;= ($R$7+$R$8)), Q70+O71, 0)</f>
        <v>0</v>
      </c>
      <c r="R71" s="6" t="str">
        <f>IF(AND(L71&gt;='Amort. Sched.-BEST'!$R$8, L71&lt;= ($R$7+$R$8)), N71/M71, " ")</f>
        <v xml:space="preserve"> </v>
      </c>
      <c r="S71" s="21" t="str">
        <f>IF(AND(L71&gt;='Amort. Sched.-BEST'!$R$8, L71&lt;= ($R$7+$R$8)), O71/M71, " ")</f>
        <v xml:space="preserve"> </v>
      </c>
      <c r="U71" s="20">
        <f t="shared" si="2"/>
        <v>60</v>
      </c>
      <c r="V71" s="5">
        <f>IF(AND(U71&gt;='Amort. Sched.-BEST'!$AA$8, U71&lt;= ($AA$7+$AA$8)), PMT('Amort. Sched.-BEST'!$W$8/12, 'Amort. Sched.-BEST'!$AA$7, 'Amort. Sched.-BEST'!$W$7), 0)</f>
        <v>0</v>
      </c>
      <c r="W71" s="5">
        <f>IF(AND(U71&gt;='Amort. Sched.-BEST'!$AA$8, U71&lt;= ($AA$7+$AA$8)), (IPMT($W$8/12, (U71-$AA$8), $AA$7, $W$7)), 0)</f>
        <v>0</v>
      </c>
      <c r="X71" s="5">
        <f>IF(AND(U71&gt;='Amort. Sched.-BEST'!$AA$8, U71&lt;= ($AA$7+$AA$8)), (PPMT($W$8/12, (U71-$AA$8), $AA$7, $W$7)), 0)</f>
        <v>0</v>
      </c>
      <c r="Y71" s="5">
        <f>IF(CreditAmort2BEST[[#This Row],[Month]]=AA$8,W$7,0)</f>
        <v>0</v>
      </c>
      <c r="Z71" s="13">
        <f>IF(AND(U71&gt;='Amort. Sched.-BEST'!$AA$8, U71&lt;= ($AA$7+$AA$8)), Z70+X71, 0)</f>
        <v>0</v>
      </c>
      <c r="AA71" s="6" t="str">
        <f>IF(AND(U71&gt;='Amort. Sched.-BEST'!$AA$8, U71&lt;= ($AA$7+$AA$8)), W71/V71, " ")</f>
        <v xml:space="preserve"> </v>
      </c>
      <c r="AB71" s="21" t="str">
        <f>IF(AND(U71&gt;='Amort. Sched.-BEST'!$AA$8, U71&lt;= ($AA$7+$AA$8)), X71/V71, " ")</f>
        <v xml:space="preserve"> </v>
      </c>
      <c r="AD71" s="20">
        <f t="shared" si="3"/>
        <v>60</v>
      </c>
      <c r="AE71" s="5">
        <f t="shared" si="4"/>
        <v>0</v>
      </c>
      <c r="AF71" s="5">
        <f t="shared" si="5"/>
        <v>0</v>
      </c>
      <c r="AG71" s="5">
        <f t="shared" si="6"/>
        <v>0</v>
      </c>
      <c r="AH71" s="5">
        <f>IF(CreditAmort3BEST[[#This Row],[Month]]=AJ$8,AF$7,0)</f>
        <v>0</v>
      </c>
      <c r="AI71" s="13">
        <f t="shared" si="7"/>
        <v>0</v>
      </c>
      <c r="AJ71" s="6" t="str">
        <f t="shared" si="8"/>
        <v xml:space="preserve"> </v>
      </c>
      <c r="AK71" s="21" t="str">
        <f t="shared" si="9"/>
        <v xml:space="preserve"> </v>
      </c>
      <c r="AM71" s="20">
        <f t="shared" si="10"/>
        <v>60</v>
      </c>
      <c r="AN71" s="5">
        <f t="shared" si="11"/>
        <v>0</v>
      </c>
      <c r="AO71" s="5">
        <f t="shared" si="12"/>
        <v>0</v>
      </c>
      <c r="AP71" s="5">
        <f t="shared" si="13"/>
        <v>0</v>
      </c>
      <c r="AQ71" s="5">
        <f>IF(CreditAmort4BEST[[#This Row],[Month]]=AS$8,AO$7,0)</f>
        <v>0</v>
      </c>
      <c r="AR71" s="13">
        <f t="shared" si="14"/>
        <v>0</v>
      </c>
      <c r="AS71" s="6" t="str">
        <f t="shared" si="15"/>
        <v xml:space="preserve"> </v>
      </c>
      <c r="AT71" s="21" t="str">
        <f t="shared" si="16"/>
        <v xml:space="preserve"> </v>
      </c>
    </row>
    <row r="72" spans="3:46">
      <c r="C72" s="22">
        <f t="shared" si="1"/>
        <v>61</v>
      </c>
      <c r="D72" s="23">
        <f>IF(AND(C72&gt;='Amort. Sched.-BEST'!$I$8, C72&lt;= ($I$7+$I$8)), PMT('Amort. Sched.-BEST'!$E$8/12, 'Amort. Sched.-BEST'!$I$7, 'Amort. Sched.-BEST'!$E$7), 0)</f>
        <v>-1350.6783839027553</v>
      </c>
      <c r="E72" s="5">
        <f>IF(AND(C72&gt;='Amort. Sched.-BEST'!$I$8, C72&lt;= ($I$7+$I$8)), (IPMT($E$8/12, (C72-$I$8), $I$7, $E$7)), 0)</f>
        <v>-1076.5293167013592</v>
      </c>
      <c r="F72" s="23">
        <f>IF(AND(C72&gt;='Amort. Sched.-BEST'!$I$8, C72&lt;= ($I$7+$I$8)), (PPMT($E$8/12, (C72-$I$8), $I$7, $E$7)), 0)</f>
        <v>-274.14906720139618</v>
      </c>
      <c r="G72" s="5">
        <f>IF(MortgageAmortBEST[[#This Row],[Month]]=I$8,E$7,0)</f>
        <v>0</v>
      </c>
      <c r="H72" s="13">
        <f>IF(AND(C72&gt;='Amort. Sched.-BEST'!$I$8, C72&lt;= ($I$7+$I$8)), H71+F72, 0)</f>
        <v>161205.24843800245</v>
      </c>
      <c r="I72" s="24">
        <f>IF(AND(C72&gt;='Amort. Sched.-BEST'!$I$8, C72&lt;= ($I$7+$I$8)), E72/D72, " ")</f>
        <v>0.79702861134917369</v>
      </c>
      <c r="J72" s="25">
        <f>IF(AND(C72&gt;='Amort. Sched.-BEST'!$I$8, C72&lt;= ($I$7+$I$8)), F72/D72, " ")</f>
        <v>0.20297138865082634</v>
      </c>
      <c r="L72" s="20">
        <f t="shared" si="0"/>
        <v>61</v>
      </c>
      <c r="M72" s="5">
        <f>IF(AND(L72&gt;='Amort. Sched.-BEST'!$R$8, L72&lt;= ($R$7+$R$8)), PMT('Amort. Sched.-BEST'!$N$8/12, 'Amort. Sched.-BEST'!$R$7, 'Amort. Sched.-BEST'!$N$7), 0)</f>
        <v>0</v>
      </c>
      <c r="N72" s="5">
        <f>IF(AND(L72&gt;='Amort. Sched.-BEST'!$R$8, L72&lt;= ($R$7+$R$8)), (IPMT($N$8/12, (L72-$R$8), $R$7, $N$7)), 0)</f>
        <v>0</v>
      </c>
      <c r="O72" s="5">
        <f>IF(AND(L72&gt;='Amort. Sched.-BEST'!$R$8, L72&lt;= ($R$7+$R$8)), (PPMT($N$8/12, (L72-$R$8), $R$7, $N$7)), 0)</f>
        <v>0</v>
      </c>
      <c r="P72" s="5">
        <f>IF(CreditAmort1BEST[[#This Row],[Month]]=R$8,N$7,0)</f>
        <v>0</v>
      </c>
      <c r="Q72" s="13">
        <f>IF(AND(L72&gt;='Amort. Sched.-BEST'!$R$8, L72&lt;= ($R$7+$R$8)), Q71+O72, 0)</f>
        <v>0</v>
      </c>
      <c r="R72" s="6" t="str">
        <f>IF(AND(L72&gt;='Amort. Sched.-BEST'!$R$8, L72&lt;= ($R$7+$R$8)), N72/M72, " ")</f>
        <v xml:space="preserve"> </v>
      </c>
      <c r="S72" s="21" t="str">
        <f>IF(AND(L72&gt;='Amort. Sched.-BEST'!$R$8, L72&lt;= ($R$7+$R$8)), O72/M72, " ")</f>
        <v xml:space="preserve"> </v>
      </c>
      <c r="U72" s="20">
        <f t="shared" si="2"/>
        <v>61</v>
      </c>
      <c r="V72" s="5">
        <f>IF(AND(U72&gt;='Amort. Sched.-BEST'!$AA$8, U72&lt;= ($AA$7+$AA$8)), PMT('Amort. Sched.-BEST'!$W$8/12, 'Amort. Sched.-BEST'!$AA$7, 'Amort. Sched.-BEST'!$W$7), 0)</f>
        <v>0</v>
      </c>
      <c r="W72" s="5">
        <f>IF(AND(U72&gt;='Amort. Sched.-BEST'!$AA$8, U72&lt;= ($AA$7+$AA$8)), (IPMT($W$8/12, (U72-$AA$8), $AA$7, $W$7)), 0)</f>
        <v>0</v>
      </c>
      <c r="X72" s="5">
        <f>IF(AND(U72&gt;='Amort. Sched.-BEST'!$AA$8, U72&lt;= ($AA$7+$AA$8)), (PPMT($W$8/12, (U72-$AA$8), $AA$7, $W$7)), 0)</f>
        <v>0</v>
      </c>
      <c r="Y72" s="5">
        <f>IF(CreditAmort2BEST[[#This Row],[Month]]=AA$8,W$7,0)</f>
        <v>0</v>
      </c>
      <c r="Z72" s="13">
        <f>IF(AND(U72&gt;='Amort. Sched.-BEST'!$AA$8, U72&lt;= ($AA$7+$AA$8)), Z71+X72, 0)</f>
        <v>0</v>
      </c>
      <c r="AA72" s="6" t="str">
        <f>IF(AND(U72&gt;='Amort. Sched.-BEST'!$AA$8, U72&lt;= ($AA$7+$AA$8)), W72/V72, " ")</f>
        <v xml:space="preserve"> </v>
      </c>
      <c r="AB72" s="21" t="str">
        <f>IF(AND(U72&gt;='Amort. Sched.-BEST'!$AA$8, U72&lt;= ($AA$7+$AA$8)), X72/V72, " ")</f>
        <v xml:space="preserve"> </v>
      </c>
      <c r="AD72" s="20">
        <f t="shared" si="3"/>
        <v>61</v>
      </c>
      <c r="AE72" s="5">
        <f t="shared" si="4"/>
        <v>0</v>
      </c>
      <c r="AF72" s="5">
        <f t="shared" si="5"/>
        <v>0</v>
      </c>
      <c r="AG72" s="5">
        <f t="shared" si="6"/>
        <v>0</v>
      </c>
      <c r="AH72" s="5">
        <f>IF(CreditAmort3BEST[[#This Row],[Month]]=AJ$8,AF$7,0)</f>
        <v>0</v>
      </c>
      <c r="AI72" s="13">
        <f t="shared" si="7"/>
        <v>0</v>
      </c>
      <c r="AJ72" s="6" t="str">
        <f t="shared" si="8"/>
        <v xml:space="preserve"> </v>
      </c>
      <c r="AK72" s="21" t="str">
        <f t="shared" si="9"/>
        <v xml:space="preserve"> </v>
      </c>
      <c r="AM72" s="20">
        <f t="shared" si="10"/>
        <v>61</v>
      </c>
      <c r="AN72" s="5">
        <f t="shared" si="11"/>
        <v>0</v>
      </c>
      <c r="AO72" s="5">
        <f t="shared" si="12"/>
        <v>0</v>
      </c>
      <c r="AP72" s="5">
        <f t="shared" si="13"/>
        <v>0</v>
      </c>
      <c r="AQ72" s="5">
        <f>IF(CreditAmort4BEST[[#This Row],[Month]]=AS$8,AO$7,0)</f>
        <v>0</v>
      </c>
      <c r="AR72" s="13">
        <f t="shared" si="14"/>
        <v>0</v>
      </c>
      <c r="AS72" s="6" t="str">
        <f t="shared" si="15"/>
        <v xml:space="preserve"> </v>
      </c>
      <c r="AT72" s="21" t="str">
        <f t="shared" si="16"/>
        <v xml:space="preserve"> </v>
      </c>
    </row>
    <row r="73" spans="3:46">
      <c r="C73" s="22">
        <f t="shared" si="1"/>
        <v>62</v>
      </c>
      <c r="D73" s="23">
        <f>IF(AND(C73&gt;='Amort. Sched.-BEST'!$I$8, C73&lt;= ($I$7+$I$8)), PMT('Amort. Sched.-BEST'!$E$8/12, 'Amort. Sched.-BEST'!$I$7, 'Amort. Sched.-BEST'!$E$7), 0)</f>
        <v>-1350.6783839027553</v>
      </c>
      <c r="E73" s="5">
        <f>IF(AND(C73&gt;='Amort. Sched.-BEST'!$I$8, C73&lt;= ($I$7+$I$8)), (IPMT($E$8/12, (C73-$I$8), $I$7, $E$7)), 0)</f>
        <v>-1074.7016562533499</v>
      </c>
      <c r="F73" s="23">
        <f>IF(AND(C73&gt;='Amort. Sched.-BEST'!$I$8, C73&lt;= ($I$7+$I$8)), (PPMT($E$8/12, (C73-$I$8), $I$7, $E$7)), 0)</f>
        <v>-275.97672764940552</v>
      </c>
      <c r="G73" s="5">
        <f>IF(MortgageAmortBEST[[#This Row],[Month]]=I$8,E$7,0)</f>
        <v>0</v>
      </c>
      <c r="H73" s="13">
        <f>IF(AND(C73&gt;='Amort. Sched.-BEST'!$I$8, C73&lt;= ($I$7+$I$8)), H72+F73, 0)</f>
        <v>160929.27171035306</v>
      </c>
      <c r="I73" s="24">
        <f>IF(AND(C73&gt;='Amort. Sched.-BEST'!$I$8, C73&lt;= ($I$7+$I$8)), E73/D73, " ")</f>
        <v>0.79567546875816819</v>
      </c>
      <c r="J73" s="25">
        <f>IF(AND(C73&gt;='Amort. Sched.-BEST'!$I$8, C73&lt;= ($I$7+$I$8)), F73/D73, " ")</f>
        <v>0.20432453124183189</v>
      </c>
      <c r="L73" s="20">
        <f t="shared" si="0"/>
        <v>62</v>
      </c>
      <c r="M73" s="5">
        <f>IF(AND(L73&gt;='Amort. Sched.-BEST'!$R$8, L73&lt;= ($R$7+$R$8)), PMT('Amort. Sched.-BEST'!$N$8/12, 'Amort. Sched.-BEST'!$R$7, 'Amort. Sched.-BEST'!$N$7), 0)</f>
        <v>0</v>
      </c>
      <c r="N73" s="5">
        <f>IF(AND(L73&gt;='Amort. Sched.-BEST'!$R$8, L73&lt;= ($R$7+$R$8)), (IPMT($N$8/12, (L73-$R$8), $R$7, $N$7)), 0)</f>
        <v>0</v>
      </c>
      <c r="O73" s="5">
        <f>IF(AND(L73&gt;='Amort. Sched.-BEST'!$R$8, L73&lt;= ($R$7+$R$8)), (PPMT($N$8/12, (L73-$R$8), $R$7, $N$7)), 0)</f>
        <v>0</v>
      </c>
      <c r="P73" s="5">
        <f>IF(CreditAmort1BEST[[#This Row],[Month]]=R$8,N$7,0)</f>
        <v>0</v>
      </c>
      <c r="Q73" s="13">
        <f>IF(AND(L73&gt;='Amort. Sched.-BEST'!$R$8, L73&lt;= ($R$7+$R$8)), Q72+O73, 0)</f>
        <v>0</v>
      </c>
      <c r="R73" s="6" t="str">
        <f>IF(AND(L73&gt;='Amort. Sched.-BEST'!$R$8, L73&lt;= ($R$7+$R$8)), N73/M73, " ")</f>
        <v xml:space="preserve"> </v>
      </c>
      <c r="S73" s="21" t="str">
        <f>IF(AND(L73&gt;='Amort. Sched.-BEST'!$R$8, L73&lt;= ($R$7+$R$8)), O73/M73, " ")</f>
        <v xml:space="preserve"> </v>
      </c>
      <c r="U73" s="20">
        <f t="shared" si="2"/>
        <v>62</v>
      </c>
      <c r="V73" s="5">
        <f>IF(AND(U73&gt;='Amort. Sched.-BEST'!$AA$8, U73&lt;= ($AA$7+$AA$8)), PMT('Amort. Sched.-BEST'!$W$8/12, 'Amort. Sched.-BEST'!$AA$7, 'Amort. Sched.-BEST'!$W$7), 0)</f>
        <v>0</v>
      </c>
      <c r="W73" s="5">
        <f>IF(AND(U73&gt;='Amort. Sched.-BEST'!$AA$8, U73&lt;= ($AA$7+$AA$8)), (IPMT($W$8/12, (U73-$AA$8), $AA$7, $W$7)), 0)</f>
        <v>0</v>
      </c>
      <c r="X73" s="5">
        <f>IF(AND(U73&gt;='Amort. Sched.-BEST'!$AA$8, U73&lt;= ($AA$7+$AA$8)), (PPMT($W$8/12, (U73-$AA$8), $AA$7, $W$7)), 0)</f>
        <v>0</v>
      </c>
      <c r="Y73" s="5">
        <f>IF(CreditAmort2BEST[[#This Row],[Month]]=AA$8,W$7,0)</f>
        <v>0</v>
      </c>
      <c r="Z73" s="13">
        <f>IF(AND(U73&gt;='Amort. Sched.-BEST'!$AA$8, U73&lt;= ($AA$7+$AA$8)), Z72+X73, 0)</f>
        <v>0</v>
      </c>
      <c r="AA73" s="6" t="str">
        <f>IF(AND(U73&gt;='Amort. Sched.-BEST'!$AA$8, U73&lt;= ($AA$7+$AA$8)), W73/V73, " ")</f>
        <v xml:space="preserve"> </v>
      </c>
      <c r="AB73" s="21" t="str">
        <f>IF(AND(U73&gt;='Amort. Sched.-BEST'!$AA$8, U73&lt;= ($AA$7+$AA$8)), X73/V73, " ")</f>
        <v xml:space="preserve"> </v>
      </c>
      <c r="AD73" s="20">
        <f t="shared" si="3"/>
        <v>62</v>
      </c>
      <c r="AE73" s="5">
        <f t="shared" si="4"/>
        <v>0</v>
      </c>
      <c r="AF73" s="5">
        <f t="shared" si="5"/>
        <v>0</v>
      </c>
      <c r="AG73" s="5">
        <f t="shared" si="6"/>
        <v>0</v>
      </c>
      <c r="AH73" s="5">
        <f>IF(CreditAmort3BEST[[#This Row],[Month]]=AJ$8,AF$7,0)</f>
        <v>0</v>
      </c>
      <c r="AI73" s="13">
        <f t="shared" si="7"/>
        <v>0</v>
      </c>
      <c r="AJ73" s="6" t="str">
        <f t="shared" si="8"/>
        <v xml:space="preserve"> </v>
      </c>
      <c r="AK73" s="21" t="str">
        <f t="shared" si="9"/>
        <v xml:space="preserve"> </v>
      </c>
      <c r="AM73" s="20">
        <f t="shared" si="10"/>
        <v>62</v>
      </c>
      <c r="AN73" s="5">
        <f t="shared" si="11"/>
        <v>0</v>
      </c>
      <c r="AO73" s="5">
        <f t="shared" si="12"/>
        <v>0</v>
      </c>
      <c r="AP73" s="5">
        <f t="shared" si="13"/>
        <v>0</v>
      </c>
      <c r="AQ73" s="5">
        <f>IF(CreditAmort4BEST[[#This Row],[Month]]=AS$8,AO$7,0)</f>
        <v>0</v>
      </c>
      <c r="AR73" s="13">
        <f t="shared" si="14"/>
        <v>0</v>
      </c>
      <c r="AS73" s="6" t="str">
        <f t="shared" si="15"/>
        <v xml:space="preserve"> </v>
      </c>
      <c r="AT73" s="21" t="str">
        <f t="shared" si="16"/>
        <v xml:space="preserve"> </v>
      </c>
    </row>
    <row r="74" spans="3:46">
      <c r="C74" s="22">
        <f t="shared" si="1"/>
        <v>63</v>
      </c>
      <c r="D74" s="23">
        <f>IF(AND(C74&gt;='Amort. Sched.-BEST'!$I$8, C74&lt;= ($I$7+$I$8)), PMT('Amort. Sched.-BEST'!$E$8/12, 'Amort. Sched.-BEST'!$I$7, 'Amort. Sched.-BEST'!$E$7), 0)</f>
        <v>-1350.6783839027553</v>
      </c>
      <c r="E74" s="5">
        <f>IF(AND(C74&gt;='Amort. Sched.-BEST'!$I$8, C74&lt;= ($I$7+$I$8)), (IPMT($E$8/12, (C74-$I$8), $I$7, $E$7)), 0)</f>
        <v>-1072.8618114023539</v>
      </c>
      <c r="F74" s="23">
        <f>IF(AND(C74&gt;='Amort. Sched.-BEST'!$I$8, C74&lt;= ($I$7+$I$8)), (PPMT($E$8/12, (C74-$I$8), $I$7, $E$7)), 0)</f>
        <v>-277.81657250040155</v>
      </c>
      <c r="G74" s="5">
        <f>IF(MortgageAmortBEST[[#This Row],[Month]]=I$8,E$7,0)</f>
        <v>0</v>
      </c>
      <c r="H74" s="13">
        <f>IF(AND(C74&gt;='Amort. Sched.-BEST'!$I$8, C74&lt;= ($I$7+$I$8)), H73+F74, 0)</f>
        <v>160651.45513785267</v>
      </c>
      <c r="I74" s="24">
        <f>IF(AND(C74&gt;='Amort. Sched.-BEST'!$I$8, C74&lt;= ($I$7+$I$8)), E74/D74, " ")</f>
        <v>0.79431330521655596</v>
      </c>
      <c r="J74" s="25">
        <f>IF(AND(C74&gt;='Amort. Sched.-BEST'!$I$8, C74&lt;= ($I$7+$I$8)), F74/D74, " ")</f>
        <v>0.20568669478344409</v>
      </c>
      <c r="L74" s="20">
        <f t="shared" si="0"/>
        <v>63</v>
      </c>
      <c r="M74" s="5">
        <f>IF(AND(L74&gt;='Amort. Sched.-BEST'!$R$8, L74&lt;= ($R$7+$R$8)), PMT('Amort. Sched.-BEST'!$N$8/12, 'Amort. Sched.-BEST'!$R$7, 'Amort. Sched.-BEST'!$N$7), 0)</f>
        <v>0</v>
      </c>
      <c r="N74" s="5">
        <f>IF(AND(L74&gt;='Amort. Sched.-BEST'!$R$8, L74&lt;= ($R$7+$R$8)), (IPMT($N$8/12, (L74-$R$8), $R$7, $N$7)), 0)</f>
        <v>0</v>
      </c>
      <c r="O74" s="5">
        <f>IF(AND(L74&gt;='Amort. Sched.-BEST'!$R$8, L74&lt;= ($R$7+$R$8)), (PPMT($N$8/12, (L74-$R$8), $R$7, $N$7)), 0)</f>
        <v>0</v>
      </c>
      <c r="P74" s="5">
        <f>IF(CreditAmort1BEST[[#This Row],[Month]]=R$8,N$7,0)</f>
        <v>0</v>
      </c>
      <c r="Q74" s="13">
        <f>IF(AND(L74&gt;='Amort. Sched.-BEST'!$R$8, L74&lt;= ($R$7+$R$8)), Q73+O74, 0)</f>
        <v>0</v>
      </c>
      <c r="R74" s="6" t="str">
        <f>IF(AND(L74&gt;='Amort. Sched.-BEST'!$R$8, L74&lt;= ($R$7+$R$8)), N74/M74, " ")</f>
        <v xml:space="preserve"> </v>
      </c>
      <c r="S74" s="21" t="str">
        <f>IF(AND(L74&gt;='Amort. Sched.-BEST'!$R$8, L74&lt;= ($R$7+$R$8)), O74/M74, " ")</f>
        <v xml:space="preserve"> </v>
      </c>
      <c r="U74" s="20">
        <f t="shared" si="2"/>
        <v>63</v>
      </c>
      <c r="V74" s="5">
        <f>IF(AND(U74&gt;='Amort. Sched.-BEST'!$AA$8, U74&lt;= ($AA$7+$AA$8)), PMT('Amort. Sched.-BEST'!$W$8/12, 'Amort. Sched.-BEST'!$AA$7, 'Amort. Sched.-BEST'!$W$7), 0)</f>
        <v>0</v>
      </c>
      <c r="W74" s="5">
        <f>IF(AND(U74&gt;='Amort. Sched.-BEST'!$AA$8, U74&lt;= ($AA$7+$AA$8)), (IPMT($W$8/12, (U74-$AA$8), $AA$7, $W$7)), 0)</f>
        <v>0</v>
      </c>
      <c r="X74" s="5">
        <f>IF(AND(U74&gt;='Amort. Sched.-BEST'!$AA$8, U74&lt;= ($AA$7+$AA$8)), (PPMT($W$8/12, (U74-$AA$8), $AA$7, $W$7)), 0)</f>
        <v>0</v>
      </c>
      <c r="Y74" s="5">
        <f>IF(CreditAmort2BEST[[#This Row],[Month]]=AA$8,W$7,0)</f>
        <v>0</v>
      </c>
      <c r="Z74" s="13">
        <f>IF(AND(U74&gt;='Amort. Sched.-BEST'!$AA$8, U74&lt;= ($AA$7+$AA$8)), Z73+X74, 0)</f>
        <v>0</v>
      </c>
      <c r="AA74" s="6" t="str">
        <f>IF(AND(U74&gt;='Amort. Sched.-BEST'!$AA$8, U74&lt;= ($AA$7+$AA$8)), W74/V74, " ")</f>
        <v xml:space="preserve"> </v>
      </c>
      <c r="AB74" s="21" t="str">
        <f>IF(AND(U74&gt;='Amort. Sched.-BEST'!$AA$8, U74&lt;= ($AA$7+$AA$8)), X74/V74, " ")</f>
        <v xml:space="preserve"> </v>
      </c>
      <c r="AD74" s="20">
        <f t="shared" si="3"/>
        <v>63</v>
      </c>
      <c r="AE74" s="5">
        <f t="shared" si="4"/>
        <v>0</v>
      </c>
      <c r="AF74" s="5">
        <f t="shared" si="5"/>
        <v>0</v>
      </c>
      <c r="AG74" s="5">
        <f t="shared" si="6"/>
        <v>0</v>
      </c>
      <c r="AH74" s="5">
        <f>IF(CreditAmort3BEST[[#This Row],[Month]]=AJ$8,AF$7,0)</f>
        <v>0</v>
      </c>
      <c r="AI74" s="13">
        <f t="shared" si="7"/>
        <v>0</v>
      </c>
      <c r="AJ74" s="6" t="str">
        <f t="shared" si="8"/>
        <v xml:space="preserve"> </v>
      </c>
      <c r="AK74" s="21" t="str">
        <f t="shared" si="9"/>
        <v xml:space="preserve"> </v>
      </c>
      <c r="AM74" s="20">
        <f t="shared" si="10"/>
        <v>63</v>
      </c>
      <c r="AN74" s="5">
        <f t="shared" si="11"/>
        <v>0</v>
      </c>
      <c r="AO74" s="5">
        <f t="shared" si="12"/>
        <v>0</v>
      </c>
      <c r="AP74" s="5">
        <f t="shared" si="13"/>
        <v>0</v>
      </c>
      <c r="AQ74" s="5">
        <f>IF(CreditAmort4BEST[[#This Row],[Month]]=AS$8,AO$7,0)</f>
        <v>0</v>
      </c>
      <c r="AR74" s="13">
        <f t="shared" si="14"/>
        <v>0</v>
      </c>
      <c r="AS74" s="6" t="str">
        <f t="shared" si="15"/>
        <v xml:space="preserve"> </v>
      </c>
      <c r="AT74" s="21" t="str">
        <f t="shared" si="16"/>
        <v xml:space="preserve"> </v>
      </c>
    </row>
    <row r="75" spans="3:46">
      <c r="C75" s="22">
        <f t="shared" si="1"/>
        <v>64</v>
      </c>
      <c r="D75" s="23">
        <f>IF(AND(C75&gt;='Amort. Sched.-BEST'!$I$8, C75&lt;= ($I$7+$I$8)), PMT('Amort. Sched.-BEST'!$E$8/12, 'Amort. Sched.-BEST'!$I$7, 'Amort. Sched.-BEST'!$E$7), 0)</f>
        <v>-1350.6783839027553</v>
      </c>
      <c r="E75" s="5">
        <f>IF(AND(C75&gt;='Amort. Sched.-BEST'!$I$8, C75&lt;= ($I$7+$I$8)), (IPMT($E$8/12, (C75-$I$8), $I$7, $E$7)), 0)</f>
        <v>-1071.0097009190179</v>
      </c>
      <c r="F75" s="23">
        <f>IF(AND(C75&gt;='Amort. Sched.-BEST'!$I$8, C75&lt;= ($I$7+$I$8)), (PPMT($E$8/12, (C75-$I$8), $I$7, $E$7)), 0)</f>
        <v>-279.66868298373754</v>
      </c>
      <c r="G75" s="5">
        <f>IF(MortgageAmortBEST[[#This Row],[Month]]=I$8,E$7,0)</f>
        <v>0</v>
      </c>
      <c r="H75" s="13">
        <f>IF(AND(C75&gt;='Amort. Sched.-BEST'!$I$8, C75&lt;= ($I$7+$I$8)), H74+F75, 0)</f>
        <v>160371.78645486894</v>
      </c>
      <c r="I75" s="24">
        <f>IF(AND(C75&gt;='Amort. Sched.-BEST'!$I$8, C75&lt;= ($I$7+$I$8)), E75/D75, " ")</f>
        <v>0.79294206058466643</v>
      </c>
      <c r="J75" s="25">
        <f>IF(AND(C75&gt;='Amort. Sched.-BEST'!$I$8, C75&lt;= ($I$7+$I$8)), F75/D75, " ")</f>
        <v>0.20705793941533371</v>
      </c>
      <c r="L75" s="20">
        <f t="shared" si="0"/>
        <v>64</v>
      </c>
      <c r="M75" s="5">
        <f>IF(AND(L75&gt;='Amort. Sched.-BEST'!$R$8, L75&lt;= ($R$7+$R$8)), PMT('Amort. Sched.-BEST'!$N$8/12, 'Amort. Sched.-BEST'!$R$7, 'Amort. Sched.-BEST'!$N$7), 0)</f>
        <v>0</v>
      </c>
      <c r="N75" s="5">
        <f>IF(AND(L75&gt;='Amort. Sched.-BEST'!$R$8, L75&lt;= ($R$7+$R$8)), (IPMT($N$8/12, (L75-$R$8), $R$7, $N$7)), 0)</f>
        <v>0</v>
      </c>
      <c r="O75" s="5">
        <f>IF(AND(L75&gt;='Amort. Sched.-BEST'!$R$8, L75&lt;= ($R$7+$R$8)), (PPMT($N$8/12, (L75-$R$8), $R$7, $N$7)), 0)</f>
        <v>0</v>
      </c>
      <c r="P75" s="5">
        <f>IF(CreditAmort1BEST[[#This Row],[Month]]=R$8,N$7,0)</f>
        <v>0</v>
      </c>
      <c r="Q75" s="13">
        <f>IF(AND(L75&gt;='Amort. Sched.-BEST'!$R$8, L75&lt;= ($R$7+$R$8)), Q74+O75, 0)</f>
        <v>0</v>
      </c>
      <c r="R75" s="6" t="str">
        <f>IF(AND(L75&gt;='Amort. Sched.-BEST'!$R$8, L75&lt;= ($R$7+$R$8)), N75/M75, " ")</f>
        <v xml:space="preserve"> </v>
      </c>
      <c r="S75" s="21" t="str">
        <f>IF(AND(L75&gt;='Amort. Sched.-BEST'!$R$8, L75&lt;= ($R$7+$R$8)), O75/M75, " ")</f>
        <v xml:space="preserve"> </v>
      </c>
      <c r="U75" s="20">
        <f t="shared" si="2"/>
        <v>64</v>
      </c>
      <c r="V75" s="5">
        <f>IF(AND(U75&gt;='Amort. Sched.-BEST'!$AA$8, U75&lt;= ($AA$7+$AA$8)), PMT('Amort. Sched.-BEST'!$W$8/12, 'Amort. Sched.-BEST'!$AA$7, 'Amort. Sched.-BEST'!$W$7), 0)</f>
        <v>0</v>
      </c>
      <c r="W75" s="5">
        <f>IF(AND(U75&gt;='Amort. Sched.-BEST'!$AA$8, U75&lt;= ($AA$7+$AA$8)), (IPMT($W$8/12, (U75-$AA$8), $AA$7, $W$7)), 0)</f>
        <v>0</v>
      </c>
      <c r="X75" s="5">
        <f>IF(AND(U75&gt;='Amort. Sched.-BEST'!$AA$8, U75&lt;= ($AA$7+$AA$8)), (PPMT($W$8/12, (U75-$AA$8), $AA$7, $W$7)), 0)</f>
        <v>0</v>
      </c>
      <c r="Y75" s="5">
        <f>IF(CreditAmort2BEST[[#This Row],[Month]]=AA$8,W$7,0)</f>
        <v>0</v>
      </c>
      <c r="Z75" s="13">
        <f>IF(AND(U75&gt;='Amort. Sched.-BEST'!$AA$8, U75&lt;= ($AA$7+$AA$8)), Z74+X75, 0)</f>
        <v>0</v>
      </c>
      <c r="AA75" s="6" t="str">
        <f>IF(AND(U75&gt;='Amort. Sched.-BEST'!$AA$8, U75&lt;= ($AA$7+$AA$8)), W75/V75, " ")</f>
        <v xml:space="preserve"> </v>
      </c>
      <c r="AB75" s="21" t="str">
        <f>IF(AND(U75&gt;='Amort. Sched.-BEST'!$AA$8, U75&lt;= ($AA$7+$AA$8)), X75/V75, " ")</f>
        <v xml:space="preserve"> </v>
      </c>
      <c r="AD75" s="20">
        <f t="shared" si="3"/>
        <v>64</v>
      </c>
      <c r="AE75" s="5">
        <f t="shared" si="4"/>
        <v>0</v>
      </c>
      <c r="AF75" s="5">
        <f t="shared" si="5"/>
        <v>0</v>
      </c>
      <c r="AG75" s="5">
        <f t="shared" si="6"/>
        <v>0</v>
      </c>
      <c r="AH75" s="5">
        <f>IF(CreditAmort3BEST[[#This Row],[Month]]=AJ$8,AF$7,0)</f>
        <v>0</v>
      </c>
      <c r="AI75" s="13">
        <f t="shared" si="7"/>
        <v>0</v>
      </c>
      <c r="AJ75" s="6" t="str">
        <f t="shared" si="8"/>
        <v xml:space="preserve"> </v>
      </c>
      <c r="AK75" s="21" t="str">
        <f t="shared" si="9"/>
        <v xml:space="preserve"> </v>
      </c>
      <c r="AM75" s="20">
        <f t="shared" si="10"/>
        <v>64</v>
      </c>
      <c r="AN75" s="5">
        <f t="shared" si="11"/>
        <v>0</v>
      </c>
      <c r="AO75" s="5">
        <f t="shared" si="12"/>
        <v>0</v>
      </c>
      <c r="AP75" s="5">
        <f t="shared" si="13"/>
        <v>0</v>
      </c>
      <c r="AQ75" s="5">
        <f>IF(CreditAmort4BEST[[#This Row],[Month]]=AS$8,AO$7,0)</f>
        <v>0</v>
      </c>
      <c r="AR75" s="13">
        <f t="shared" si="14"/>
        <v>0</v>
      </c>
      <c r="AS75" s="6" t="str">
        <f t="shared" si="15"/>
        <v xml:space="preserve"> </v>
      </c>
      <c r="AT75" s="21" t="str">
        <f t="shared" si="16"/>
        <v xml:space="preserve"> </v>
      </c>
    </row>
    <row r="76" spans="3:46">
      <c r="C76" s="22">
        <f t="shared" si="1"/>
        <v>65</v>
      </c>
      <c r="D76" s="23">
        <f>IF(AND(C76&gt;='Amort. Sched.-BEST'!$I$8, C76&lt;= ($I$7+$I$8)), PMT('Amort. Sched.-BEST'!$E$8/12, 'Amort. Sched.-BEST'!$I$7, 'Amort. Sched.-BEST'!$E$7), 0)</f>
        <v>-1350.6783839027553</v>
      </c>
      <c r="E76" s="5">
        <f>IF(AND(C76&gt;='Amort. Sched.-BEST'!$I$8, C76&lt;= ($I$7+$I$8)), (IPMT($E$8/12, (C76-$I$8), $I$7, $E$7)), 0)</f>
        <v>-1069.1452430324596</v>
      </c>
      <c r="F76" s="23">
        <f>IF(AND(C76&gt;='Amort. Sched.-BEST'!$I$8, C76&lt;= ($I$7+$I$8)), (PPMT($E$8/12, (C76-$I$8), $I$7, $E$7)), 0)</f>
        <v>-281.53314087029577</v>
      </c>
      <c r="G76" s="5">
        <f>IF(MortgageAmortBEST[[#This Row],[Month]]=I$8,E$7,0)</f>
        <v>0</v>
      </c>
      <c r="H76" s="13">
        <f>IF(AND(C76&gt;='Amort. Sched.-BEST'!$I$8, C76&lt;= ($I$7+$I$8)), H75+F76, 0)</f>
        <v>160090.25331399863</v>
      </c>
      <c r="I76" s="24">
        <f>IF(AND(C76&gt;='Amort. Sched.-BEST'!$I$8, C76&lt;= ($I$7+$I$8)), E76/D76, " ")</f>
        <v>0.7915616743218975</v>
      </c>
      <c r="J76" s="25">
        <f>IF(AND(C76&gt;='Amort. Sched.-BEST'!$I$8, C76&lt;= ($I$7+$I$8)), F76/D76, " ")</f>
        <v>0.20843832567810258</v>
      </c>
      <c r="L76" s="20">
        <f t="shared" ref="L76:L139" si="17">L75+1</f>
        <v>65</v>
      </c>
      <c r="M76" s="5">
        <f>IF(AND(L76&gt;='Amort. Sched.-BEST'!$R$8, L76&lt;= ($R$7+$R$8)), PMT('Amort. Sched.-BEST'!$N$8/12, 'Amort. Sched.-BEST'!$R$7, 'Amort. Sched.-BEST'!$N$7), 0)</f>
        <v>0</v>
      </c>
      <c r="N76" s="5">
        <f>IF(AND(L76&gt;='Amort. Sched.-BEST'!$R$8, L76&lt;= ($R$7+$R$8)), (IPMT($N$8/12, (L76-$R$8), $R$7, $N$7)), 0)</f>
        <v>0</v>
      </c>
      <c r="O76" s="5">
        <f>IF(AND(L76&gt;='Amort. Sched.-BEST'!$R$8, L76&lt;= ($R$7+$R$8)), (PPMT($N$8/12, (L76-$R$8), $R$7, $N$7)), 0)</f>
        <v>0</v>
      </c>
      <c r="P76" s="5">
        <f>IF(CreditAmort1BEST[[#This Row],[Month]]=R$8,N$7,0)</f>
        <v>0</v>
      </c>
      <c r="Q76" s="13">
        <f>IF(AND(L76&gt;='Amort. Sched.-BEST'!$R$8, L76&lt;= ($R$7+$R$8)), Q75+O76, 0)</f>
        <v>0</v>
      </c>
      <c r="R76" s="6" t="str">
        <f>IF(AND(L76&gt;='Amort. Sched.-BEST'!$R$8, L76&lt;= ($R$7+$R$8)), N76/M76, " ")</f>
        <v xml:space="preserve"> </v>
      </c>
      <c r="S76" s="21" t="str">
        <f>IF(AND(L76&gt;='Amort. Sched.-BEST'!$R$8, L76&lt;= ($R$7+$R$8)), O76/M76, " ")</f>
        <v xml:space="preserve"> </v>
      </c>
      <c r="U76" s="20">
        <f t="shared" si="2"/>
        <v>65</v>
      </c>
      <c r="V76" s="5">
        <f>IF(AND(U76&gt;='Amort. Sched.-BEST'!$AA$8, U76&lt;= ($AA$7+$AA$8)), PMT('Amort. Sched.-BEST'!$W$8/12, 'Amort. Sched.-BEST'!$AA$7, 'Amort. Sched.-BEST'!$W$7), 0)</f>
        <v>0</v>
      </c>
      <c r="W76" s="5">
        <f>IF(AND(U76&gt;='Amort. Sched.-BEST'!$AA$8, U76&lt;= ($AA$7+$AA$8)), (IPMT($W$8/12, (U76-$AA$8), $AA$7, $W$7)), 0)</f>
        <v>0</v>
      </c>
      <c r="X76" s="5">
        <f>IF(AND(U76&gt;='Amort. Sched.-BEST'!$AA$8, U76&lt;= ($AA$7+$AA$8)), (PPMT($W$8/12, (U76-$AA$8), $AA$7, $W$7)), 0)</f>
        <v>0</v>
      </c>
      <c r="Y76" s="5">
        <f>IF(CreditAmort2BEST[[#This Row],[Month]]=AA$8,W$7,0)</f>
        <v>0</v>
      </c>
      <c r="Z76" s="13">
        <f>IF(AND(U76&gt;='Amort. Sched.-BEST'!$AA$8, U76&lt;= ($AA$7+$AA$8)), Z75+X76, 0)</f>
        <v>0</v>
      </c>
      <c r="AA76" s="6" t="str">
        <f>IF(AND(U76&gt;='Amort. Sched.-BEST'!$AA$8, U76&lt;= ($AA$7+$AA$8)), W76/V76, " ")</f>
        <v xml:space="preserve"> </v>
      </c>
      <c r="AB76" s="21" t="str">
        <f>IF(AND(U76&gt;='Amort. Sched.-BEST'!$AA$8, U76&lt;= ($AA$7+$AA$8)), X76/V76, " ")</f>
        <v xml:space="preserve"> </v>
      </c>
      <c r="AD76" s="20">
        <f t="shared" si="3"/>
        <v>65</v>
      </c>
      <c r="AE76" s="5">
        <f t="shared" si="4"/>
        <v>0</v>
      </c>
      <c r="AF76" s="5">
        <f t="shared" si="5"/>
        <v>0</v>
      </c>
      <c r="AG76" s="5">
        <f t="shared" si="6"/>
        <v>0</v>
      </c>
      <c r="AH76" s="5">
        <f>IF(CreditAmort3BEST[[#This Row],[Month]]=AJ$8,AF$7,0)</f>
        <v>0</v>
      </c>
      <c r="AI76" s="13">
        <f t="shared" si="7"/>
        <v>0</v>
      </c>
      <c r="AJ76" s="6" t="str">
        <f t="shared" si="8"/>
        <v xml:space="preserve"> </v>
      </c>
      <c r="AK76" s="21" t="str">
        <f t="shared" si="9"/>
        <v xml:space="preserve"> </v>
      </c>
      <c r="AM76" s="20">
        <f t="shared" si="10"/>
        <v>65</v>
      </c>
      <c r="AN76" s="5">
        <f t="shared" si="11"/>
        <v>0</v>
      </c>
      <c r="AO76" s="5">
        <f t="shared" si="12"/>
        <v>0</v>
      </c>
      <c r="AP76" s="5">
        <f t="shared" si="13"/>
        <v>0</v>
      </c>
      <c r="AQ76" s="5">
        <f>IF(CreditAmort4BEST[[#This Row],[Month]]=AS$8,AO$7,0)</f>
        <v>0</v>
      </c>
      <c r="AR76" s="13">
        <f t="shared" si="14"/>
        <v>0</v>
      </c>
      <c r="AS76" s="6" t="str">
        <f t="shared" si="15"/>
        <v xml:space="preserve"> </v>
      </c>
      <c r="AT76" s="21" t="str">
        <f t="shared" si="16"/>
        <v xml:space="preserve"> </v>
      </c>
    </row>
    <row r="77" spans="3:46">
      <c r="C77" s="22">
        <f t="shared" ref="C77:C140" si="18">C76+1</f>
        <v>66</v>
      </c>
      <c r="D77" s="23">
        <f>IF(AND(C77&gt;='Amort. Sched.-BEST'!$I$8, C77&lt;= ($I$7+$I$8)), PMT('Amort. Sched.-BEST'!$E$8/12, 'Amort. Sched.-BEST'!$I$7, 'Amort. Sched.-BEST'!$E$7), 0)</f>
        <v>-1350.6783839027553</v>
      </c>
      <c r="E77" s="5">
        <f>IF(AND(C77&gt;='Amort. Sched.-BEST'!$I$8, C77&lt;= ($I$7+$I$8)), (IPMT($E$8/12, (C77-$I$8), $I$7, $E$7)), 0)</f>
        <v>-1067.2683554266575</v>
      </c>
      <c r="F77" s="23">
        <f>IF(AND(C77&gt;='Amort. Sched.-BEST'!$I$8, C77&lt;= ($I$7+$I$8)), (PPMT($E$8/12, (C77-$I$8), $I$7, $E$7)), 0)</f>
        <v>-283.41002847609775</v>
      </c>
      <c r="G77" s="5">
        <f>IF(MortgageAmortBEST[[#This Row],[Month]]=I$8,E$7,0)</f>
        <v>0</v>
      </c>
      <c r="H77" s="13">
        <f>IF(AND(C77&gt;='Amort. Sched.-BEST'!$I$8, C77&lt;= ($I$7+$I$8)), H76+F77, 0)</f>
        <v>159806.84328552254</v>
      </c>
      <c r="I77" s="24">
        <f>IF(AND(C77&gt;='Amort. Sched.-BEST'!$I$8, C77&lt;= ($I$7+$I$8)), E77/D77, " ")</f>
        <v>0.79017208548404338</v>
      </c>
      <c r="J77" s="25">
        <f>IF(AND(C77&gt;='Amort. Sched.-BEST'!$I$8, C77&lt;= ($I$7+$I$8)), F77/D77, " ")</f>
        <v>0.20982791451595662</v>
      </c>
      <c r="L77" s="20">
        <f t="shared" si="17"/>
        <v>66</v>
      </c>
      <c r="M77" s="5">
        <f>IF(AND(L77&gt;='Amort. Sched.-BEST'!$R$8, L77&lt;= ($R$7+$R$8)), PMT('Amort. Sched.-BEST'!$N$8/12, 'Amort. Sched.-BEST'!$R$7, 'Amort. Sched.-BEST'!$N$7), 0)</f>
        <v>0</v>
      </c>
      <c r="N77" s="5">
        <f>IF(AND(L77&gt;='Amort. Sched.-BEST'!$R$8, L77&lt;= ($R$7+$R$8)), (IPMT($N$8/12, (L77-$R$8), $R$7, $N$7)), 0)</f>
        <v>0</v>
      </c>
      <c r="O77" s="5">
        <f>IF(AND(L77&gt;='Amort. Sched.-BEST'!$R$8, L77&lt;= ($R$7+$R$8)), (PPMT($N$8/12, (L77-$R$8), $R$7, $N$7)), 0)</f>
        <v>0</v>
      </c>
      <c r="P77" s="5">
        <f>IF(CreditAmort1BEST[[#This Row],[Month]]=R$8,N$7,0)</f>
        <v>0</v>
      </c>
      <c r="Q77" s="13">
        <f>IF(AND(L77&gt;='Amort. Sched.-BEST'!$R$8, L77&lt;= ($R$7+$R$8)), Q76+O77, 0)</f>
        <v>0</v>
      </c>
      <c r="R77" s="6" t="str">
        <f>IF(AND(L77&gt;='Amort. Sched.-BEST'!$R$8, L77&lt;= ($R$7+$R$8)), N77/M77, " ")</f>
        <v xml:space="preserve"> </v>
      </c>
      <c r="S77" s="21" t="str">
        <f>IF(AND(L77&gt;='Amort. Sched.-BEST'!$R$8, L77&lt;= ($R$7+$R$8)), O77/M77, " ")</f>
        <v xml:space="preserve"> </v>
      </c>
      <c r="U77" s="20">
        <f t="shared" ref="U77:U140" si="19">U76+1</f>
        <v>66</v>
      </c>
      <c r="V77" s="5">
        <f>IF(AND(U77&gt;='Amort. Sched.-BEST'!$AA$8, U77&lt;= ($AA$7+$AA$8)), PMT('Amort. Sched.-BEST'!$W$8/12, 'Amort. Sched.-BEST'!$AA$7, 'Amort. Sched.-BEST'!$W$7), 0)</f>
        <v>0</v>
      </c>
      <c r="W77" s="5">
        <f>IF(AND(U77&gt;='Amort. Sched.-BEST'!$AA$8, U77&lt;= ($AA$7+$AA$8)), (IPMT($W$8/12, (U77-$AA$8), $AA$7, $W$7)), 0)</f>
        <v>0</v>
      </c>
      <c r="X77" s="5">
        <f>IF(AND(U77&gt;='Amort. Sched.-BEST'!$AA$8, U77&lt;= ($AA$7+$AA$8)), (PPMT($W$8/12, (U77-$AA$8), $AA$7, $W$7)), 0)</f>
        <v>0</v>
      </c>
      <c r="Y77" s="5">
        <f>IF(CreditAmort2BEST[[#This Row],[Month]]=AA$8,W$7,0)</f>
        <v>0</v>
      </c>
      <c r="Z77" s="13">
        <f>IF(AND(U77&gt;='Amort. Sched.-BEST'!$AA$8, U77&lt;= ($AA$7+$AA$8)), Z76+X77, 0)</f>
        <v>0</v>
      </c>
      <c r="AA77" s="6" t="str">
        <f>IF(AND(U77&gt;='Amort. Sched.-BEST'!$AA$8, U77&lt;= ($AA$7+$AA$8)), W77/V77, " ")</f>
        <v xml:space="preserve"> </v>
      </c>
      <c r="AB77" s="21" t="str">
        <f>IF(AND(U77&gt;='Amort. Sched.-BEST'!$AA$8, U77&lt;= ($AA$7+$AA$8)), X77/V77, " ")</f>
        <v xml:space="preserve"> </v>
      </c>
      <c r="AD77" s="20">
        <f t="shared" ref="AD77:AD140" si="20">AD76+1</f>
        <v>66</v>
      </c>
      <c r="AE77" s="5">
        <f t="shared" ref="AE77:AE140" si="21">IF(AND(AD77&gt;=$AJ$8, AD77&lt;= ($AJ$7+$AJ$8)), PMT($AF$8/12, $AJ$7, $AF$7), 0)</f>
        <v>0</v>
      </c>
      <c r="AF77" s="5">
        <f t="shared" ref="AF77:AF140" si="22">IF(AND(AD77&gt;=$AJ$8, AD77&lt;= ($AJ$7+$AJ$8)), (IPMT($AF$8/12, (AD77-$AJ$8), $AJ$7, $AF$7)), 0)</f>
        <v>0</v>
      </c>
      <c r="AG77" s="5">
        <f t="shared" ref="AG77:AG140" si="23">IF(AND(AD77&gt;=$AJ$8, AD77&lt;= ($AJ$7+$AJ$8)), (PPMT($AF$8/12, (AD77-$AJ$8), $AJ$7, $AF$7)), 0)</f>
        <v>0</v>
      </c>
      <c r="AH77" s="5">
        <f>IF(CreditAmort3BEST[[#This Row],[Month]]=AJ$8,AF$7,0)</f>
        <v>0</v>
      </c>
      <c r="AI77" s="13">
        <f t="shared" ref="AI77:AI140" si="24">IF(AND(AD77&gt;=$AJ$8, AD77&lt;= ($AJ$7+$AJ$8)), AI76+AG77, 0)</f>
        <v>0</v>
      </c>
      <c r="AJ77" s="6" t="str">
        <f t="shared" ref="AJ77:AJ140" si="25">IF(AND(AD77&gt;=$AJ$8, AD77&lt;= ($AJ$7+$AJ$8)), AF77/AE77, " ")</f>
        <v xml:space="preserve"> </v>
      </c>
      <c r="AK77" s="21" t="str">
        <f t="shared" ref="AK77:AK140" si="26">IF(AND(AD77&gt;=$AJ$8, AD77&lt;= ($AJ$7+$AJ$8)), AG77/AE77, " ")</f>
        <v xml:space="preserve"> </v>
      </c>
      <c r="AM77" s="20">
        <f t="shared" ref="AM77:AM140" si="27">AM76+1</f>
        <v>66</v>
      </c>
      <c r="AN77" s="5">
        <f t="shared" ref="AN77:AN140" si="28">IF(AND(AM77&gt;=$AS$8, AM77&lt;= ($AS$7+$AS$8)), PMT($AO$8/12, $AS$7, $AO$7), 0)</f>
        <v>0</v>
      </c>
      <c r="AO77" s="5">
        <f t="shared" ref="AO77:AO140" si="29">IF(AND(AM77&gt;=$AS$8, AM77&lt;= ($AS$7+$AS$8)), (IPMT($AO$8/12, (AM77-$AS$8), $AS$7, $AO$7)), 0)</f>
        <v>0</v>
      </c>
      <c r="AP77" s="5">
        <f t="shared" ref="AP77:AP140" si="30">IF(AND(AM77&gt;=$AS$8, AM77&lt;= ($AS$7+$AS$8)), (PPMT($AO$8/12, (AM77-$AS$8), $AS$7, $AO$7)), 0)</f>
        <v>0</v>
      </c>
      <c r="AQ77" s="5">
        <f>IF(CreditAmort4BEST[[#This Row],[Month]]=AS$8,AO$7,0)</f>
        <v>0</v>
      </c>
      <c r="AR77" s="13">
        <f t="shared" ref="AR77:AR140" si="31">IF(AND(AM77&gt;=$AS$8, AM77&lt;= ($AS$7+$AS$8)), AR76+AP77, 0)</f>
        <v>0</v>
      </c>
      <c r="AS77" s="6" t="str">
        <f t="shared" ref="AS77:AS140" si="32">IF(AND(AM77&gt;=$AS$8, AM77&lt;= ($AS$7+$AS$8)), AO77/AN77, " ")</f>
        <v xml:space="preserve"> </v>
      </c>
      <c r="AT77" s="21" t="str">
        <f t="shared" ref="AT77:AT140" si="33">IF(AND(AM77&gt;=$AS$8, AM77&lt;= ($AS$7+$AS$8)), AP77/AN77, " ")</f>
        <v xml:space="preserve"> </v>
      </c>
    </row>
    <row r="78" spans="3:46">
      <c r="C78" s="22">
        <f t="shared" si="18"/>
        <v>67</v>
      </c>
      <c r="D78" s="23">
        <f>IF(AND(C78&gt;='Amort. Sched.-BEST'!$I$8, C78&lt;= ($I$7+$I$8)), PMT('Amort. Sched.-BEST'!$E$8/12, 'Amort. Sched.-BEST'!$I$7, 'Amort. Sched.-BEST'!$E$7), 0)</f>
        <v>-1350.6783839027553</v>
      </c>
      <c r="E78" s="5">
        <f>IF(AND(C78&gt;='Amort. Sched.-BEST'!$I$8, C78&lt;= ($I$7+$I$8)), (IPMT($E$8/12, (C78-$I$8), $I$7, $E$7)), 0)</f>
        <v>-1065.3789552368171</v>
      </c>
      <c r="F78" s="23">
        <f>IF(AND(C78&gt;='Amort. Sched.-BEST'!$I$8, C78&lt;= ($I$7+$I$8)), (PPMT($E$8/12, (C78-$I$8), $I$7, $E$7)), 0)</f>
        <v>-285.29942866593836</v>
      </c>
      <c r="G78" s="5">
        <f>IF(MortgageAmortBEST[[#This Row],[Month]]=I$8,E$7,0)</f>
        <v>0</v>
      </c>
      <c r="H78" s="13">
        <f>IF(AND(C78&gt;='Amort. Sched.-BEST'!$I$8, C78&lt;= ($I$7+$I$8)), H77+F78, 0)</f>
        <v>159521.54385685659</v>
      </c>
      <c r="I78" s="24">
        <f>IF(AND(C78&gt;='Amort. Sched.-BEST'!$I$8, C78&lt;= ($I$7+$I$8)), E78/D78, " ")</f>
        <v>0.78877323272060385</v>
      </c>
      <c r="J78" s="25">
        <f>IF(AND(C78&gt;='Amort. Sched.-BEST'!$I$8, C78&lt;= ($I$7+$I$8)), F78/D78, " ")</f>
        <v>0.21122676727939629</v>
      </c>
      <c r="L78" s="20">
        <f t="shared" si="17"/>
        <v>67</v>
      </c>
      <c r="M78" s="5">
        <f>IF(AND(L78&gt;='Amort. Sched.-BEST'!$R$8, L78&lt;= ($R$7+$R$8)), PMT('Amort. Sched.-BEST'!$N$8/12, 'Amort. Sched.-BEST'!$R$7, 'Amort. Sched.-BEST'!$N$7), 0)</f>
        <v>0</v>
      </c>
      <c r="N78" s="5">
        <f>IF(AND(L78&gt;='Amort. Sched.-BEST'!$R$8, L78&lt;= ($R$7+$R$8)), (IPMT($N$8/12, (L78-$R$8), $R$7, $N$7)), 0)</f>
        <v>0</v>
      </c>
      <c r="O78" s="5">
        <f>IF(AND(L78&gt;='Amort. Sched.-BEST'!$R$8, L78&lt;= ($R$7+$R$8)), (PPMT($N$8/12, (L78-$R$8), $R$7, $N$7)), 0)</f>
        <v>0</v>
      </c>
      <c r="P78" s="5">
        <f>IF(CreditAmort1BEST[[#This Row],[Month]]=R$8,N$7,0)</f>
        <v>0</v>
      </c>
      <c r="Q78" s="13">
        <f>IF(AND(L78&gt;='Amort. Sched.-BEST'!$R$8, L78&lt;= ($R$7+$R$8)), Q77+O78, 0)</f>
        <v>0</v>
      </c>
      <c r="R78" s="6" t="str">
        <f>IF(AND(L78&gt;='Amort. Sched.-BEST'!$R$8, L78&lt;= ($R$7+$R$8)), N78/M78, " ")</f>
        <v xml:space="preserve"> </v>
      </c>
      <c r="S78" s="21" t="str">
        <f>IF(AND(L78&gt;='Amort. Sched.-BEST'!$R$8, L78&lt;= ($R$7+$R$8)), O78/M78, " ")</f>
        <v xml:space="preserve"> </v>
      </c>
      <c r="U78" s="20">
        <f t="shared" si="19"/>
        <v>67</v>
      </c>
      <c r="V78" s="5">
        <f>IF(AND(U78&gt;='Amort. Sched.-BEST'!$AA$8, U78&lt;= ($AA$7+$AA$8)), PMT('Amort. Sched.-BEST'!$W$8/12, 'Amort. Sched.-BEST'!$AA$7, 'Amort. Sched.-BEST'!$W$7), 0)</f>
        <v>0</v>
      </c>
      <c r="W78" s="5">
        <f>IF(AND(U78&gt;='Amort. Sched.-BEST'!$AA$8, U78&lt;= ($AA$7+$AA$8)), (IPMT($W$8/12, (U78-$AA$8), $AA$7, $W$7)), 0)</f>
        <v>0</v>
      </c>
      <c r="X78" s="5">
        <f>IF(AND(U78&gt;='Amort. Sched.-BEST'!$AA$8, U78&lt;= ($AA$7+$AA$8)), (PPMT($W$8/12, (U78-$AA$8), $AA$7, $W$7)), 0)</f>
        <v>0</v>
      </c>
      <c r="Y78" s="5">
        <f>IF(CreditAmort2BEST[[#This Row],[Month]]=AA$8,W$7,0)</f>
        <v>0</v>
      </c>
      <c r="Z78" s="13">
        <f>IF(AND(U78&gt;='Amort. Sched.-BEST'!$AA$8, U78&lt;= ($AA$7+$AA$8)), Z77+X78, 0)</f>
        <v>0</v>
      </c>
      <c r="AA78" s="6" t="str">
        <f>IF(AND(U78&gt;='Amort. Sched.-BEST'!$AA$8, U78&lt;= ($AA$7+$AA$8)), W78/V78, " ")</f>
        <v xml:space="preserve"> </v>
      </c>
      <c r="AB78" s="21" t="str">
        <f>IF(AND(U78&gt;='Amort. Sched.-BEST'!$AA$8, U78&lt;= ($AA$7+$AA$8)), X78/V78, " ")</f>
        <v xml:space="preserve"> </v>
      </c>
      <c r="AD78" s="20">
        <f t="shared" si="20"/>
        <v>67</v>
      </c>
      <c r="AE78" s="5">
        <f t="shared" si="21"/>
        <v>0</v>
      </c>
      <c r="AF78" s="5">
        <f t="shared" si="22"/>
        <v>0</v>
      </c>
      <c r="AG78" s="5">
        <f t="shared" si="23"/>
        <v>0</v>
      </c>
      <c r="AH78" s="5">
        <f>IF(CreditAmort3BEST[[#This Row],[Month]]=AJ$8,AF$7,0)</f>
        <v>0</v>
      </c>
      <c r="AI78" s="13">
        <f t="shared" si="24"/>
        <v>0</v>
      </c>
      <c r="AJ78" s="6" t="str">
        <f t="shared" si="25"/>
        <v xml:space="preserve"> </v>
      </c>
      <c r="AK78" s="21" t="str">
        <f t="shared" si="26"/>
        <v xml:space="preserve"> </v>
      </c>
      <c r="AM78" s="20">
        <f t="shared" si="27"/>
        <v>67</v>
      </c>
      <c r="AN78" s="5">
        <f t="shared" si="28"/>
        <v>0</v>
      </c>
      <c r="AO78" s="5">
        <f t="shared" si="29"/>
        <v>0</v>
      </c>
      <c r="AP78" s="5">
        <f t="shared" si="30"/>
        <v>0</v>
      </c>
      <c r="AQ78" s="5">
        <f>IF(CreditAmort4BEST[[#This Row],[Month]]=AS$8,AO$7,0)</f>
        <v>0</v>
      </c>
      <c r="AR78" s="13">
        <f t="shared" si="31"/>
        <v>0</v>
      </c>
      <c r="AS78" s="6" t="str">
        <f t="shared" si="32"/>
        <v xml:space="preserve"> </v>
      </c>
      <c r="AT78" s="21" t="str">
        <f t="shared" si="33"/>
        <v xml:space="preserve"> </v>
      </c>
    </row>
    <row r="79" spans="3:46">
      <c r="C79" s="22">
        <f t="shared" si="18"/>
        <v>68</v>
      </c>
      <c r="D79" s="23">
        <f>IF(AND(C79&gt;='Amort. Sched.-BEST'!$I$8, C79&lt;= ($I$7+$I$8)), PMT('Amort. Sched.-BEST'!$E$8/12, 'Amort. Sched.-BEST'!$I$7, 'Amort. Sched.-BEST'!$E$7), 0)</f>
        <v>-1350.6783839027553</v>
      </c>
      <c r="E79" s="5">
        <f>IF(AND(C79&gt;='Amort. Sched.-BEST'!$I$8, C79&lt;= ($I$7+$I$8)), (IPMT($E$8/12, (C79-$I$8), $I$7, $E$7)), 0)</f>
        <v>-1063.4769590457106</v>
      </c>
      <c r="F79" s="23">
        <f>IF(AND(C79&gt;='Amort. Sched.-BEST'!$I$8, C79&lt;= ($I$7+$I$8)), (PPMT($E$8/12, (C79-$I$8), $I$7, $E$7)), 0)</f>
        <v>-287.20142485704474</v>
      </c>
      <c r="G79" s="5">
        <f>IF(MortgageAmortBEST[[#This Row],[Month]]=I$8,E$7,0)</f>
        <v>0</v>
      </c>
      <c r="H79" s="13">
        <f>IF(AND(C79&gt;='Amort. Sched.-BEST'!$I$8, C79&lt;= ($I$7+$I$8)), H78+F79, 0)</f>
        <v>159234.34243199954</v>
      </c>
      <c r="I79" s="24">
        <f>IF(AND(C79&gt;='Amort. Sched.-BEST'!$I$8, C79&lt;= ($I$7+$I$8)), E79/D79, " ")</f>
        <v>0.78736505427207437</v>
      </c>
      <c r="J79" s="25">
        <f>IF(AND(C79&gt;='Amort. Sched.-BEST'!$I$8, C79&lt;= ($I$7+$I$8)), F79/D79, " ")</f>
        <v>0.21263494572792568</v>
      </c>
      <c r="L79" s="20">
        <f t="shared" si="17"/>
        <v>68</v>
      </c>
      <c r="M79" s="5">
        <f>IF(AND(L79&gt;='Amort. Sched.-BEST'!$R$8, L79&lt;= ($R$7+$R$8)), PMT('Amort. Sched.-BEST'!$N$8/12, 'Amort. Sched.-BEST'!$R$7, 'Amort. Sched.-BEST'!$N$7), 0)</f>
        <v>0</v>
      </c>
      <c r="N79" s="5">
        <f>IF(AND(L79&gt;='Amort. Sched.-BEST'!$R$8, L79&lt;= ($R$7+$R$8)), (IPMT($N$8/12, (L79-$R$8), $R$7, $N$7)), 0)</f>
        <v>0</v>
      </c>
      <c r="O79" s="5">
        <f>IF(AND(L79&gt;='Amort. Sched.-BEST'!$R$8, L79&lt;= ($R$7+$R$8)), (PPMT($N$8/12, (L79-$R$8), $R$7, $N$7)), 0)</f>
        <v>0</v>
      </c>
      <c r="P79" s="5">
        <f>IF(CreditAmort1BEST[[#This Row],[Month]]=R$8,N$7,0)</f>
        <v>0</v>
      </c>
      <c r="Q79" s="13">
        <f>IF(AND(L79&gt;='Amort. Sched.-BEST'!$R$8, L79&lt;= ($R$7+$R$8)), Q78+O79, 0)</f>
        <v>0</v>
      </c>
      <c r="R79" s="6" t="str">
        <f>IF(AND(L79&gt;='Amort. Sched.-BEST'!$R$8, L79&lt;= ($R$7+$R$8)), N79/M79, " ")</f>
        <v xml:space="preserve"> </v>
      </c>
      <c r="S79" s="21" t="str">
        <f>IF(AND(L79&gt;='Amort. Sched.-BEST'!$R$8, L79&lt;= ($R$7+$R$8)), O79/M79, " ")</f>
        <v xml:space="preserve"> </v>
      </c>
      <c r="U79" s="20">
        <f t="shared" si="19"/>
        <v>68</v>
      </c>
      <c r="V79" s="5">
        <f>IF(AND(U79&gt;='Amort. Sched.-BEST'!$AA$8, U79&lt;= ($AA$7+$AA$8)), PMT('Amort. Sched.-BEST'!$W$8/12, 'Amort. Sched.-BEST'!$AA$7, 'Amort. Sched.-BEST'!$W$7), 0)</f>
        <v>0</v>
      </c>
      <c r="W79" s="5">
        <f>IF(AND(U79&gt;='Amort. Sched.-BEST'!$AA$8, U79&lt;= ($AA$7+$AA$8)), (IPMT($W$8/12, (U79-$AA$8), $AA$7, $W$7)), 0)</f>
        <v>0</v>
      </c>
      <c r="X79" s="5">
        <f>IF(AND(U79&gt;='Amort. Sched.-BEST'!$AA$8, U79&lt;= ($AA$7+$AA$8)), (PPMT($W$8/12, (U79-$AA$8), $AA$7, $W$7)), 0)</f>
        <v>0</v>
      </c>
      <c r="Y79" s="5">
        <f>IF(CreditAmort2BEST[[#This Row],[Month]]=AA$8,W$7,0)</f>
        <v>0</v>
      </c>
      <c r="Z79" s="13">
        <f>IF(AND(U79&gt;='Amort. Sched.-BEST'!$AA$8, U79&lt;= ($AA$7+$AA$8)), Z78+X79, 0)</f>
        <v>0</v>
      </c>
      <c r="AA79" s="6" t="str">
        <f>IF(AND(U79&gt;='Amort. Sched.-BEST'!$AA$8, U79&lt;= ($AA$7+$AA$8)), W79/V79, " ")</f>
        <v xml:space="preserve"> </v>
      </c>
      <c r="AB79" s="21" t="str">
        <f>IF(AND(U79&gt;='Amort. Sched.-BEST'!$AA$8, U79&lt;= ($AA$7+$AA$8)), X79/V79, " ")</f>
        <v xml:space="preserve"> </v>
      </c>
      <c r="AD79" s="20">
        <f t="shared" si="20"/>
        <v>68</v>
      </c>
      <c r="AE79" s="5">
        <f t="shared" si="21"/>
        <v>0</v>
      </c>
      <c r="AF79" s="5">
        <f t="shared" si="22"/>
        <v>0</v>
      </c>
      <c r="AG79" s="5">
        <f t="shared" si="23"/>
        <v>0</v>
      </c>
      <c r="AH79" s="5">
        <f>IF(CreditAmort3BEST[[#This Row],[Month]]=AJ$8,AF$7,0)</f>
        <v>0</v>
      </c>
      <c r="AI79" s="13">
        <f t="shared" si="24"/>
        <v>0</v>
      </c>
      <c r="AJ79" s="6" t="str">
        <f t="shared" si="25"/>
        <v xml:space="preserve"> </v>
      </c>
      <c r="AK79" s="21" t="str">
        <f t="shared" si="26"/>
        <v xml:space="preserve"> </v>
      </c>
      <c r="AM79" s="20">
        <f t="shared" si="27"/>
        <v>68</v>
      </c>
      <c r="AN79" s="5">
        <f t="shared" si="28"/>
        <v>0</v>
      </c>
      <c r="AO79" s="5">
        <f t="shared" si="29"/>
        <v>0</v>
      </c>
      <c r="AP79" s="5">
        <f t="shared" si="30"/>
        <v>0</v>
      </c>
      <c r="AQ79" s="5">
        <f>IF(CreditAmort4BEST[[#This Row],[Month]]=AS$8,AO$7,0)</f>
        <v>0</v>
      </c>
      <c r="AR79" s="13">
        <f t="shared" si="31"/>
        <v>0</v>
      </c>
      <c r="AS79" s="6" t="str">
        <f t="shared" si="32"/>
        <v xml:space="preserve"> </v>
      </c>
      <c r="AT79" s="21" t="str">
        <f t="shared" si="33"/>
        <v xml:space="preserve"> </v>
      </c>
    </row>
    <row r="80" spans="3:46">
      <c r="C80" s="22">
        <f t="shared" si="18"/>
        <v>69</v>
      </c>
      <c r="D80" s="23">
        <f>IF(AND(C80&gt;='Amort. Sched.-BEST'!$I$8, C80&lt;= ($I$7+$I$8)), PMT('Amort. Sched.-BEST'!$E$8/12, 'Amort. Sched.-BEST'!$I$7, 'Amort. Sched.-BEST'!$E$7), 0)</f>
        <v>-1350.6783839027553</v>
      </c>
      <c r="E80" s="5">
        <f>IF(AND(C80&gt;='Amort. Sched.-BEST'!$I$8, C80&lt;= ($I$7+$I$8)), (IPMT($E$8/12, (C80-$I$8), $I$7, $E$7)), 0)</f>
        <v>-1061.5622828799969</v>
      </c>
      <c r="F80" s="23">
        <f>IF(AND(C80&gt;='Amort. Sched.-BEST'!$I$8, C80&lt;= ($I$7+$I$8)), (PPMT($E$8/12, (C80-$I$8), $I$7, $E$7)), 0)</f>
        <v>-289.11610102275836</v>
      </c>
      <c r="G80" s="5">
        <f>IF(MortgageAmortBEST[[#This Row],[Month]]=I$8,E$7,0)</f>
        <v>0</v>
      </c>
      <c r="H80" s="13">
        <f>IF(AND(C80&gt;='Amort. Sched.-BEST'!$I$8, C80&lt;= ($I$7+$I$8)), H79+F80, 0)</f>
        <v>158945.22633097679</v>
      </c>
      <c r="I80" s="24">
        <f>IF(AND(C80&gt;='Amort. Sched.-BEST'!$I$8, C80&lt;= ($I$7+$I$8)), E80/D80, " ")</f>
        <v>0.78594748796722147</v>
      </c>
      <c r="J80" s="25">
        <f>IF(AND(C80&gt;='Amort. Sched.-BEST'!$I$8, C80&lt;= ($I$7+$I$8)), F80/D80, " ")</f>
        <v>0.2140525120327785</v>
      </c>
      <c r="L80" s="20">
        <f t="shared" si="17"/>
        <v>69</v>
      </c>
      <c r="M80" s="5">
        <f>IF(AND(L80&gt;='Amort. Sched.-BEST'!$R$8, L80&lt;= ($R$7+$R$8)), PMT('Amort. Sched.-BEST'!$N$8/12, 'Amort. Sched.-BEST'!$R$7, 'Amort. Sched.-BEST'!$N$7), 0)</f>
        <v>0</v>
      </c>
      <c r="N80" s="5">
        <f>IF(AND(L80&gt;='Amort. Sched.-BEST'!$R$8, L80&lt;= ($R$7+$R$8)), (IPMT($N$8/12, (L80-$R$8), $R$7, $N$7)), 0)</f>
        <v>0</v>
      </c>
      <c r="O80" s="5">
        <f>IF(AND(L80&gt;='Amort. Sched.-BEST'!$R$8, L80&lt;= ($R$7+$R$8)), (PPMT($N$8/12, (L80-$R$8), $R$7, $N$7)), 0)</f>
        <v>0</v>
      </c>
      <c r="P80" s="5">
        <f>IF(CreditAmort1BEST[[#This Row],[Month]]=R$8,N$7,0)</f>
        <v>0</v>
      </c>
      <c r="Q80" s="13">
        <f>IF(AND(L80&gt;='Amort. Sched.-BEST'!$R$8, L80&lt;= ($R$7+$R$8)), Q79+O80, 0)</f>
        <v>0</v>
      </c>
      <c r="R80" s="6" t="str">
        <f>IF(AND(L80&gt;='Amort. Sched.-BEST'!$R$8, L80&lt;= ($R$7+$R$8)), N80/M80, " ")</f>
        <v xml:space="preserve"> </v>
      </c>
      <c r="S80" s="21" t="str">
        <f>IF(AND(L80&gt;='Amort. Sched.-BEST'!$R$8, L80&lt;= ($R$7+$R$8)), O80/M80, " ")</f>
        <v xml:space="preserve"> </v>
      </c>
      <c r="U80" s="20">
        <f t="shared" si="19"/>
        <v>69</v>
      </c>
      <c r="V80" s="5">
        <f>IF(AND(U80&gt;='Amort. Sched.-BEST'!$AA$8, U80&lt;= ($AA$7+$AA$8)), PMT('Amort. Sched.-BEST'!$W$8/12, 'Amort. Sched.-BEST'!$AA$7, 'Amort. Sched.-BEST'!$W$7), 0)</f>
        <v>0</v>
      </c>
      <c r="W80" s="5">
        <f>IF(AND(U80&gt;='Amort. Sched.-BEST'!$AA$8, U80&lt;= ($AA$7+$AA$8)), (IPMT($W$8/12, (U80-$AA$8), $AA$7, $W$7)), 0)</f>
        <v>0</v>
      </c>
      <c r="X80" s="5">
        <f>IF(AND(U80&gt;='Amort. Sched.-BEST'!$AA$8, U80&lt;= ($AA$7+$AA$8)), (PPMT($W$8/12, (U80-$AA$8), $AA$7, $W$7)), 0)</f>
        <v>0</v>
      </c>
      <c r="Y80" s="5">
        <f>IF(CreditAmort2BEST[[#This Row],[Month]]=AA$8,W$7,0)</f>
        <v>0</v>
      </c>
      <c r="Z80" s="13">
        <f>IF(AND(U80&gt;='Amort. Sched.-BEST'!$AA$8, U80&lt;= ($AA$7+$AA$8)), Z79+X80, 0)</f>
        <v>0</v>
      </c>
      <c r="AA80" s="6" t="str">
        <f>IF(AND(U80&gt;='Amort. Sched.-BEST'!$AA$8, U80&lt;= ($AA$7+$AA$8)), W80/V80, " ")</f>
        <v xml:space="preserve"> </v>
      </c>
      <c r="AB80" s="21" t="str">
        <f>IF(AND(U80&gt;='Amort. Sched.-BEST'!$AA$8, U80&lt;= ($AA$7+$AA$8)), X80/V80, " ")</f>
        <v xml:space="preserve"> </v>
      </c>
      <c r="AD80" s="20">
        <f t="shared" si="20"/>
        <v>69</v>
      </c>
      <c r="AE80" s="5">
        <f t="shared" si="21"/>
        <v>0</v>
      </c>
      <c r="AF80" s="5">
        <f t="shared" si="22"/>
        <v>0</v>
      </c>
      <c r="AG80" s="5">
        <f t="shared" si="23"/>
        <v>0</v>
      </c>
      <c r="AH80" s="5">
        <f>IF(CreditAmort3BEST[[#This Row],[Month]]=AJ$8,AF$7,0)</f>
        <v>0</v>
      </c>
      <c r="AI80" s="13">
        <f t="shared" si="24"/>
        <v>0</v>
      </c>
      <c r="AJ80" s="6" t="str">
        <f t="shared" si="25"/>
        <v xml:space="preserve"> </v>
      </c>
      <c r="AK80" s="21" t="str">
        <f t="shared" si="26"/>
        <v xml:space="preserve"> </v>
      </c>
      <c r="AM80" s="20">
        <f t="shared" si="27"/>
        <v>69</v>
      </c>
      <c r="AN80" s="5">
        <f t="shared" si="28"/>
        <v>0</v>
      </c>
      <c r="AO80" s="5">
        <f t="shared" si="29"/>
        <v>0</v>
      </c>
      <c r="AP80" s="5">
        <f t="shared" si="30"/>
        <v>0</v>
      </c>
      <c r="AQ80" s="5">
        <f>IF(CreditAmort4BEST[[#This Row],[Month]]=AS$8,AO$7,0)</f>
        <v>0</v>
      </c>
      <c r="AR80" s="13">
        <f t="shared" si="31"/>
        <v>0</v>
      </c>
      <c r="AS80" s="6" t="str">
        <f t="shared" si="32"/>
        <v xml:space="preserve"> </v>
      </c>
      <c r="AT80" s="21" t="str">
        <f t="shared" si="33"/>
        <v xml:space="preserve"> </v>
      </c>
    </row>
    <row r="81" spans="3:46">
      <c r="C81" s="22">
        <f t="shared" si="18"/>
        <v>70</v>
      </c>
      <c r="D81" s="23">
        <f>IF(AND(C81&gt;='Amort. Sched.-BEST'!$I$8, C81&lt;= ($I$7+$I$8)), PMT('Amort. Sched.-BEST'!$E$8/12, 'Amort. Sched.-BEST'!$I$7, 'Amort. Sched.-BEST'!$E$7), 0)</f>
        <v>-1350.6783839027553</v>
      </c>
      <c r="E81" s="5">
        <f>IF(AND(C81&gt;='Amort. Sched.-BEST'!$I$8, C81&lt;= ($I$7+$I$8)), (IPMT($E$8/12, (C81-$I$8), $I$7, $E$7)), 0)</f>
        <v>-1059.6348422065121</v>
      </c>
      <c r="F81" s="23">
        <f>IF(AND(C81&gt;='Amort. Sched.-BEST'!$I$8, C81&lt;= ($I$7+$I$8)), (PPMT($E$8/12, (C81-$I$8), $I$7, $E$7)), 0)</f>
        <v>-291.04354169624338</v>
      </c>
      <c r="G81" s="5">
        <f>IF(MortgageAmortBEST[[#This Row],[Month]]=I$8,E$7,0)</f>
        <v>0</v>
      </c>
      <c r="H81" s="13">
        <f>IF(AND(C81&gt;='Amort. Sched.-BEST'!$I$8, C81&lt;= ($I$7+$I$8)), H80+F81, 0)</f>
        <v>158654.18278928054</v>
      </c>
      <c r="I81" s="24">
        <f>IF(AND(C81&gt;='Amort. Sched.-BEST'!$I$8, C81&lt;= ($I$7+$I$8)), E81/D81, " ")</f>
        <v>0.78452047122033641</v>
      </c>
      <c r="J81" s="25">
        <f>IF(AND(C81&gt;='Amort. Sched.-BEST'!$I$8, C81&lt;= ($I$7+$I$8)), F81/D81, " ")</f>
        <v>0.21547952877966367</v>
      </c>
      <c r="L81" s="20">
        <f t="shared" si="17"/>
        <v>70</v>
      </c>
      <c r="M81" s="5">
        <f>IF(AND(L81&gt;='Amort. Sched.-BEST'!$R$8, L81&lt;= ($R$7+$R$8)), PMT('Amort. Sched.-BEST'!$N$8/12, 'Amort. Sched.-BEST'!$R$7, 'Amort. Sched.-BEST'!$N$7), 0)</f>
        <v>0</v>
      </c>
      <c r="N81" s="5">
        <f>IF(AND(L81&gt;='Amort. Sched.-BEST'!$R$8, L81&lt;= ($R$7+$R$8)), (IPMT($N$8/12, (L81-$R$8), $R$7, $N$7)), 0)</f>
        <v>0</v>
      </c>
      <c r="O81" s="5">
        <f>IF(AND(L81&gt;='Amort. Sched.-BEST'!$R$8, L81&lt;= ($R$7+$R$8)), (PPMT($N$8/12, (L81-$R$8), $R$7, $N$7)), 0)</f>
        <v>0</v>
      </c>
      <c r="P81" s="5">
        <f>IF(CreditAmort1BEST[[#This Row],[Month]]=R$8,N$7,0)</f>
        <v>0</v>
      </c>
      <c r="Q81" s="13">
        <f>IF(AND(L81&gt;='Amort. Sched.-BEST'!$R$8, L81&lt;= ($R$7+$R$8)), Q80+O81, 0)</f>
        <v>0</v>
      </c>
      <c r="R81" s="6" t="str">
        <f>IF(AND(L81&gt;='Amort. Sched.-BEST'!$R$8, L81&lt;= ($R$7+$R$8)), N81/M81, " ")</f>
        <v xml:space="preserve"> </v>
      </c>
      <c r="S81" s="21" t="str">
        <f>IF(AND(L81&gt;='Amort. Sched.-BEST'!$R$8, L81&lt;= ($R$7+$R$8)), O81/M81, " ")</f>
        <v xml:space="preserve"> </v>
      </c>
      <c r="U81" s="20">
        <f t="shared" si="19"/>
        <v>70</v>
      </c>
      <c r="V81" s="5">
        <f>IF(AND(U81&gt;='Amort. Sched.-BEST'!$AA$8, U81&lt;= ($AA$7+$AA$8)), PMT('Amort. Sched.-BEST'!$W$8/12, 'Amort. Sched.-BEST'!$AA$7, 'Amort. Sched.-BEST'!$W$7), 0)</f>
        <v>0</v>
      </c>
      <c r="W81" s="5">
        <f>IF(AND(U81&gt;='Amort. Sched.-BEST'!$AA$8, U81&lt;= ($AA$7+$AA$8)), (IPMT($W$8/12, (U81-$AA$8), $AA$7, $W$7)), 0)</f>
        <v>0</v>
      </c>
      <c r="X81" s="5">
        <f>IF(AND(U81&gt;='Amort. Sched.-BEST'!$AA$8, U81&lt;= ($AA$7+$AA$8)), (PPMT($W$8/12, (U81-$AA$8), $AA$7, $W$7)), 0)</f>
        <v>0</v>
      </c>
      <c r="Y81" s="5">
        <f>IF(CreditAmort2BEST[[#This Row],[Month]]=AA$8,W$7,0)</f>
        <v>0</v>
      </c>
      <c r="Z81" s="13">
        <f>IF(AND(U81&gt;='Amort. Sched.-BEST'!$AA$8, U81&lt;= ($AA$7+$AA$8)), Z80+X81, 0)</f>
        <v>0</v>
      </c>
      <c r="AA81" s="6" t="str">
        <f>IF(AND(U81&gt;='Amort. Sched.-BEST'!$AA$8, U81&lt;= ($AA$7+$AA$8)), W81/V81, " ")</f>
        <v xml:space="preserve"> </v>
      </c>
      <c r="AB81" s="21" t="str">
        <f>IF(AND(U81&gt;='Amort. Sched.-BEST'!$AA$8, U81&lt;= ($AA$7+$AA$8)), X81/V81, " ")</f>
        <v xml:space="preserve"> </v>
      </c>
      <c r="AD81" s="20">
        <f t="shared" si="20"/>
        <v>70</v>
      </c>
      <c r="AE81" s="5">
        <f t="shared" si="21"/>
        <v>0</v>
      </c>
      <c r="AF81" s="5">
        <f t="shared" si="22"/>
        <v>0</v>
      </c>
      <c r="AG81" s="5">
        <f t="shared" si="23"/>
        <v>0</v>
      </c>
      <c r="AH81" s="5">
        <f>IF(CreditAmort3BEST[[#This Row],[Month]]=AJ$8,AF$7,0)</f>
        <v>0</v>
      </c>
      <c r="AI81" s="13">
        <f t="shared" si="24"/>
        <v>0</v>
      </c>
      <c r="AJ81" s="6" t="str">
        <f t="shared" si="25"/>
        <v xml:space="preserve"> </v>
      </c>
      <c r="AK81" s="21" t="str">
        <f t="shared" si="26"/>
        <v xml:space="preserve"> </v>
      </c>
      <c r="AM81" s="20">
        <f t="shared" si="27"/>
        <v>70</v>
      </c>
      <c r="AN81" s="5">
        <f t="shared" si="28"/>
        <v>0</v>
      </c>
      <c r="AO81" s="5">
        <f t="shared" si="29"/>
        <v>0</v>
      </c>
      <c r="AP81" s="5">
        <f t="shared" si="30"/>
        <v>0</v>
      </c>
      <c r="AQ81" s="5">
        <f>IF(CreditAmort4BEST[[#This Row],[Month]]=AS$8,AO$7,0)</f>
        <v>0</v>
      </c>
      <c r="AR81" s="13">
        <f t="shared" si="31"/>
        <v>0</v>
      </c>
      <c r="AS81" s="6" t="str">
        <f t="shared" si="32"/>
        <v xml:space="preserve"> </v>
      </c>
      <c r="AT81" s="21" t="str">
        <f t="shared" si="33"/>
        <v xml:space="preserve"> </v>
      </c>
    </row>
    <row r="82" spans="3:46">
      <c r="C82" s="22">
        <f t="shared" si="18"/>
        <v>71</v>
      </c>
      <c r="D82" s="23">
        <f>IF(AND(C82&gt;='Amort. Sched.-BEST'!$I$8, C82&lt;= ($I$7+$I$8)), PMT('Amort. Sched.-BEST'!$E$8/12, 'Amort. Sched.-BEST'!$I$7, 'Amort. Sched.-BEST'!$E$7), 0)</f>
        <v>-1350.6783839027553</v>
      </c>
      <c r="E82" s="5">
        <f>IF(AND(C82&gt;='Amort. Sched.-BEST'!$I$8, C82&lt;= ($I$7+$I$8)), (IPMT($E$8/12, (C82-$I$8), $I$7, $E$7)), 0)</f>
        <v>-1057.6945519285371</v>
      </c>
      <c r="F82" s="23">
        <f>IF(AND(C82&gt;='Amort. Sched.-BEST'!$I$8, C82&lt;= ($I$7+$I$8)), (PPMT($E$8/12, (C82-$I$8), $I$7, $E$7)), 0)</f>
        <v>-292.98383197421833</v>
      </c>
      <c r="G82" s="5">
        <f>IF(MortgageAmortBEST[[#This Row],[Month]]=I$8,E$7,0)</f>
        <v>0</v>
      </c>
      <c r="H82" s="13">
        <f>IF(AND(C82&gt;='Amort. Sched.-BEST'!$I$8, C82&lt;= ($I$7+$I$8)), H81+F82, 0)</f>
        <v>158361.19895730633</v>
      </c>
      <c r="I82" s="24">
        <f>IF(AND(C82&gt;='Amort. Sched.-BEST'!$I$8, C82&lt;= ($I$7+$I$8)), E82/D82, " ")</f>
        <v>0.78308394102847201</v>
      </c>
      <c r="J82" s="25">
        <f>IF(AND(C82&gt;='Amort. Sched.-BEST'!$I$8, C82&lt;= ($I$7+$I$8)), F82/D82, " ")</f>
        <v>0.2169160589715281</v>
      </c>
      <c r="L82" s="20">
        <f t="shared" si="17"/>
        <v>71</v>
      </c>
      <c r="M82" s="5">
        <f>IF(AND(L82&gt;='Amort. Sched.-BEST'!$R$8, L82&lt;= ($R$7+$R$8)), PMT('Amort. Sched.-BEST'!$N$8/12, 'Amort. Sched.-BEST'!$R$7, 'Amort. Sched.-BEST'!$N$7), 0)</f>
        <v>0</v>
      </c>
      <c r="N82" s="5">
        <f>IF(AND(L82&gt;='Amort. Sched.-BEST'!$R$8, L82&lt;= ($R$7+$R$8)), (IPMT($N$8/12, (L82-$R$8), $R$7, $N$7)), 0)</f>
        <v>0</v>
      </c>
      <c r="O82" s="5">
        <f>IF(AND(L82&gt;='Amort. Sched.-BEST'!$R$8, L82&lt;= ($R$7+$R$8)), (PPMT($N$8/12, (L82-$R$8), $R$7, $N$7)), 0)</f>
        <v>0</v>
      </c>
      <c r="P82" s="5">
        <f>IF(CreditAmort1BEST[[#This Row],[Month]]=R$8,N$7,0)</f>
        <v>0</v>
      </c>
      <c r="Q82" s="13">
        <f>IF(AND(L82&gt;='Amort. Sched.-BEST'!$R$8, L82&lt;= ($R$7+$R$8)), Q81+O82, 0)</f>
        <v>0</v>
      </c>
      <c r="R82" s="6" t="str">
        <f>IF(AND(L82&gt;='Amort. Sched.-BEST'!$R$8, L82&lt;= ($R$7+$R$8)), N82/M82, " ")</f>
        <v xml:space="preserve"> </v>
      </c>
      <c r="S82" s="21" t="str">
        <f>IF(AND(L82&gt;='Amort. Sched.-BEST'!$R$8, L82&lt;= ($R$7+$R$8)), O82/M82, " ")</f>
        <v xml:space="preserve"> </v>
      </c>
      <c r="U82" s="20">
        <f t="shared" si="19"/>
        <v>71</v>
      </c>
      <c r="V82" s="5">
        <f>IF(AND(U82&gt;='Amort. Sched.-BEST'!$AA$8, U82&lt;= ($AA$7+$AA$8)), PMT('Amort. Sched.-BEST'!$W$8/12, 'Amort. Sched.-BEST'!$AA$7, 'Amort. Sched.-BEST'!$W$7), 0)</f>
        <v>0</v>
      </c>
      <c r="W82" s="5">
        <f>IF(AND(U82&gt;='Amort. Sched.-BEST'!$AA$8, U82&lt;= ($AA$7+$AA$8)), (IPMT($W$8/12, (U82-$AA$8), $AA$7, $W$7)), 0)</f>
        <v>0</v>
      </c>
      <c r="X82" s="5">
        <f>IF(AND(U82&gt;='Amort. Sched.-BEST'!$AA$8, U82&lt;= ($AA$7+$AA$8)), (PPMT($W$8/12, (U82-$AA$8), $AA$7, $W$7)), 0)</f>
        <v>0</v>
      </c>
      <c r="Y82" s="5">
        <f>IF(CreditAmort2BEST[[#This Row],[Month]]=AA$8,W$7,0)</f>
        <v>0</v>
      </c>
      <c r="Z82" s="13">
        <f>IF(AND(U82&gt;='Amort. Sched.-BEST'!$AA$8, U82&lt;= ($AA$7+$AA$8)), Z81+X82, 0)</f>
        <v>0</v>
      </c>
      <c r="AA82" s="6" t="str">
        <f>IF(AND(U82&gt;='Amort. Sched.-BEST'!$AA$8, U82&lt;= ($AA$7+$AA$8)), W82/V82, " ")</f>
        <v xml:space="preserve"> </v>
      </c>
      <c r="AB82" s="21" t="str">
        <f>IF(AND(U82&gt;='Amort. Sched.-BEST'!$AA$8, U82&lt;= ($AA$7+$AA$8)), X82/V82, " ")</f>
        <v xml:space="preserve"> </v>
      </c>
      <c r="AD82" s="20">
        <f t="shared" si="20"/>
        <v>71</v>
      </c>
      <c r="AE82" s="5">
        <f t="shared" si="21"/>
        <v>0</v>
      </c>
      <c r="AF82" s="5">
        <f t="shared" si="22"/>
        <v>0</v>
      </c>
      <c r="AG82" s="5">
        <f t="shared" si="23"/>
        <v>0</v>
      </c>
      <c r="AH82" s="5">
        <f>IF(CreditAmort3BEST[[#This Row],[Month]]=AJ$8,AF$7,0)</f>
        <v>0</v>
      </c>
      <c r="AI82" s="13">
        <f t="shared" si="24"/>
        <v>0</v>
      </c>
      <c r="AJ82" s="6" t="str">
        <f t="shared" si="25"/>
        <v xml:space="preserve"> </v>
      </c>
      <c r="AK82" s="21" t="str">
        <f t="shared" si="26"/>
        <v xml:space="preserve"> </v>
      </c>
      <c r="AM82" s="20">
        <f t="shared" si="27"/>
        <v>71</v>
      </c>
      <c r="AN82" s="5">
        <f t="shared" si="28"/>
        <v>0</v>
      </c>
      <c r="AO82" s="5">
        <f t="shared" si="29"/>
        <v>0</v>
      </c>
      <c r="AP82" s="5">
        <f t="shared" si="30"/>
        <v>0</v>
      </c>
      <c r="AQ82" s="5">
        <f>IF(CreditAmort4BEST[[#This Row],[Month]]=AS$8,AO$7,0)</f>
        <v>0</v>
      </c>
      <c r="AR82" s="13">
        <f t="shared" si="31"/>
        <v>0</v>
      </c>
      <c r="AS82" s="6" t="str">
        <f t="shared" si="32"/>
        <v xml:space="preserve"> </v>
      </c>
      <c r="AT82" s="21" t="str">
        <f t="shared" si="33"/>
        <v xml:space="preserve"> </v>
      </c>
    </row>
    <row r="83" spans="3:46">
      <c r="C83" s="22">
        <f t="shared" si="18"/>
        <v>72</v>
      </c>
      <c r="D83" s="23">
        <f>IF(AND(C83&gt;='Amort. Sched.-BEST'!$I$8, C83&lt;= ($I$7+$I$8)), PMT('Amort. Sched.-BEST'!$E$8/12, 'Amort. Sched.-BEST'!$I$7, 'Amort. Sched.-BEST'!$E$7), 0)</f>
        <v>-1350.6783839027553</v>
      </c>
      <c r="E83" s="5">
        <f>IF(AND(C83&gt;='Amort. Sched.-BEST'!$I$8, C83&lt;= ($I$7+$I$8)), (IPMT($E$8/12, (C83-$I$8), $I$7, $E$7)), 0)</f>
        <v>-1055.7413263820422</v>
      </c>
      <c r="F83" s="23">
        <f>IF(AND(C83&gt;='Amort. Sched.-BEST'!$I$8, C83&lt;= ($I$7+$I$8)), (PPMT($E$8/12, (C83-$I$8), $I$7, $E$7)), 0)</f>
        <v>-294.9370575207131</v>
      </c>
      <c r="G83" s="5">
        <f>IF(MortgageAmortBEST[[#This Row],[Month]]=I$8,E$7,0)</f>
        <v>0</v>
      </c>
      <c r="H83" s="13">
        <f>IF(AND(C83&gt;='Amort. Sched.-BEST'!$I$8, C83&lt;= ($I$7+$I$8)), H82+F83, 0)</f>
        <v>158066.26189978563</v>
      </c>
      <c r="I83" s="24">
        <f>IF(AND(C83&gt;='Amort. Sched.-BEST'!$I$8, C83&lt;= ($I$7+$I$8)), E83/D83, " ")</f>
        <v>0.78163783396866171</v>
      </c>
      <c r="J83" s="25">
        <f>IF(AND(C83&gt;='Amort. Sched.-BEST'!$I$8, C83&lt;= ($I$7+$I$8)), F83/D83, " ")</f>
        <v>0.21836216603133826</v>
      </c>
      <c r="L83" s="20">
        <f t="shared" si="17"/>
        <v>72</v>
      </c>
      <c r="M83" s="5">
        <f>IF(AND(L83&gt;='Amort. Sched.-BEST'!$R$8, L83&lt;= ($R$7+$R$8)), PMT('Amort. Sched.-BEST'!$N$8/12, 'Amort. Sched.-BEST'!$R$7, 'Amort. Sched.-BEST'!$N$7), 0)</f>
        <v>0</v>
      </c>
      <c r="N83" s="5">
        <f>IF(AND(L83&gt;='Amort. Sched.-BEST'!$R$8, L83&lt;= ($R$7+$R$8)), (IPMT($N$8/12, (L83-$R$8), $R$7, $N$7)), 0)</f>
        <v>0</v>
      </c>
      <c r="O83" s="5">
        <f>IF(AND(L83&gt;='Amort. Sched.-BEST'!$R$8, L83&lt;= ($R$7+$R$8)), (PPMT($N$8/12, (L83-$R$8), $R$7, $N$7)), 0)</f>
        <v>0</v>
      </c>
      <c r="P83" s="5">
        <f>IF(CreditAmort1BEST[[#This Row],[Month]]=R$8,N$7,0)</f>
        <v>0</v>
      </c>
      <c r="Q83" s="13">
        <f>IF(AND(L83&gt;='Amort. Sched.-BEST'!$R$8, L83&lt;= ($R$7+$R$8)), Q82+O83, 0)</f>
        <v>0</v>
      </c>
      <c r="R83" s="6" t="str">
        <f>IF(AND(L83&gt;='Amort. Sched.-BEST'!$R$8, L83&lt;= ($R$7+$R$8)), N83/M83, " ")</f>
        <v xml:space="preserve"> </v>
      </c>
      <c r="S83" s="21" t="str">
        <f>IF(AND(L83&gt;='Amort. Sched.-BEST'!$R$8, L83&lt;= ($R$7+$R$8)), O83/M83, " ")</f>
        <v xml:space="preserve"> </v>
      </c>
      <c r="U83" s="20">
        <f t="shared" si="19"/>
        <v>72</v>
      </c>
      <c r="V83" s="5">
        <f>IF(AND(U83&gt;='Amort. Sched.-BEST'!$AA$8, U83&lt;= ($AA$7+$AA$8)), PMT('Amort. Sched.-BEST'!$W$8/12, 'Amort. Sched.-BEST'!$AA$7, 'Amort. Sched.-BEST'!$W$7), 0)</f>
        <v>0</v>
      </c>
      <c r="W83" s="5">
        <f>IF(AND(U83&gt;='Amort. Sched.-BEST'!$AA$8, U83&lt;= ($AA$7+$AA$8)), (IPMT($W$8/12, (U83-$AA$8), $AA$7, $W$7)), 0)</f>
        <v>0</v>
      </c>
      <c r="X83" s="5">
        <f>IF(AND(U83&gt;='Amort. Sched.-BEST'!$AA$8, U83&lt;= ($AA$7+$AA$8)), (PPMT($W$8/12, (U83-$AA$8), $AA$7, $W$7)), 0)</f>
        <v>0</v>
      </c>
      <c r="Y83" s="5">
        <f>IF(CreditAmort2BEST[[#This Row],[Month]]=AA$8,W$7,0)</f>
        <v>0</v>
      </c>
      <c r="Z83" s="13">
        <f>IF(AND(U83&gt;='Amort. Sched.-BEST'!$AA$8, U83&lt;= ($AA$7+$AA$8)), Z82+X83, 0)</f>
        <v>0</v>
      </c>
      <c r="AA83" s="6" t="str">
        <f>IF(AND(U83&gt;='Amort. Sched.-BEST'!$AA$8, U83&lt;= ($AA$7+$AA$8)), W83/V83, " ")</f>
        <v xml:space="preserve"> </v>
      </c>
      <c r="AB83" s="21" t="str">
        <f>IF(AND(U83&gt;='Amort. Sched.-BEST'!$AA$8, U83&lt;= ($AA$7+$AA$8)), X83/V83, " ")</f>
        <v xml:space="preserve"> </v>
      </c>
      <c r="AD83" s="20">
        <f t="shared" si="20"/>
        <v>72</v>
      </c>
      <c r="AE83" s="5">
        <f t="shared" si="21"/>
        <v>0</v>
      </c>
      <c r="AF83" s="5">
        <f t="shared" si="22"/>
        <v>0</v>
      </c>
      <c r="AG83" s="5">
        <f t="shared" si="23"/>
        <v>0</v>
      </c>
      <c r="AH83" s="5">
        <f>IF(CreditAmort3BEST[[#This Row],[Month]]=AJ$8,AF$7,0)</f>
        <v>0</v>
      </c>
      <c r="AI83" s="13">
        <f t="shared" si="24"/>
        <v>0</v>
      </c>
      <c r="AJ83" s="6" t="str">
        <f t="shared" si="25"/>
        <v xml:space="preserve"> </v>
      </c>
      <c r="AK83" s="21" t="str">
        <f t="shared" si="26"/>
        <v xml:space="preserve"> </v>
      </c>
      <c r="AM83" s="20">
        <f t="shared" si="27"/>
        <v>72</v>
      </c>
      <c r="AN83" s="5">
        <f t="shared" si="28"/>
        <v>0</v>
      </c>
      <c r="AO83" s="5">
        <f t="shared" si="29"/>
        <v>0</v>
      </c>
      <c r="AP83" s="5">
        <f t="shared" si="30"/>
        <v>0</v>
      </c>
      <c r="AQ83" s="5">
        <f>IF(CreditAmort4BEST[[#This Row],[Month]]=AS$8,AO$7,0)</f>
        <v>0</v>
      </c>
      <c r="AR83" s="13">
        <f t="shared" si="31"/>
        <v>0</v>
      </c>
      <c r="AS83" s="6" t="str">
        <f t="shared" si="32"/>
        <v xml:space="preserve"> </v>
      </c>
      <c r="AT83" s="21" t="str">
        <f t="shared" si="33"/>
        <v xml:space="preserve"> </v>
      </c>
    </row>
    <row r="84" spans="3:46">
      <c r="C84" s="22">
        <f t="shared" si="18"/>
        <v>73</v>
      </c>
      <c r="D84" s="23">
        <f>IF(AND(C84&gt;='Amort. Sched.-BEST'!$I$8, C84&lt;= ($I$7+$I$8)), PMT('Amort. Sched.-BEST'!$E$8/12, 'Amort. Sched.-BEST'!$I$7, 'Amort. Sched.-BEST'!$E$7), 0)</f>
        <v>-1350.6783839027553</v>
      </c>
      <c r="E84" s="5">
        <f>IF(AND(C84&gt;='Amort. Sched.-BEST'!$I$8, C84&lt;= ($I$7+$I$8)), (IPMT($E$8/12, (C84-$I$8), $I$7, $E$7)), 0)</f>
        <v>-1053.7750793319042</v>
      </c>
      <c r="F84" s="23">
        <f>IF(AND(C84&gt;='Amort. Sched.-BEST'!$I$8, C84&lt;= ($I$7+$I$8)), (PPMT($E$8/12, (C84-$I$8), $I$7, $E$7)), 0)</f>
        <v>-296.90330457085116</v>
      </c>
      <c r="G84" s="5">
        <f>IF(MortgageAmortBEST[[#This Row],[Month]]=I$8,E$7,0)</f>
        <v>0</v>
      </c>
      <c r="H84" s="13">
        <f>IF(AND(C84&gt;='Amort. Sched.-BEST'!$I$8, C84&lt;= ($I$7+$I$8)), H83+F84, 0)</f>
        <v>157769.35859521478</v>
      </c>
      <c r="I84" s="24">
        <f>IF(AND(C84&gt;='Amort. Sched.-BEST'!$I$8, C84&lt;= ($I$7+$I$8)), E84/D84, " ")</f>
        <v>0.78018208619511953</v>
      </c>
      <c r="J84" s="25">
        <f>IF(AND(C84&gt;='Amort. Sched.-BEST'!$I$8, C84&lt;= ($I$7+$I$8)), F84/D84, " ")</f>
        <v>0.2198179138048805</v>
      </c>
      <c r="L84" s="20">
        <f t="shared" si="17"/>
        <v>73</v>
      </c>
      <c r="M84" s="5">
        <f>IF(AND(L84&gt;='Amort. Sched.-BEST'!$R$8, L84&lt;= ($R$7+$R$8)), PMT('Amort. Sched.-BEST'!$N$8/12, 'Amort. Sched.-BEST'!$R$7, 'Amort. Sched.-BEST'!$N$7), 0)</f>
        <v>0</v>
      </c>
      <c r="N84" s="5">
        <f>IF(AND(L84&gt;='Amort. Sched.-BEST'!$R$8, L84&lt;= ($R$7+$R$8)), (IPMT($N$8/12, (L84-$R$8), $R$7, $N$7)), 0)</f>
        <v>0</v>
      </c>
      <c r="O84" s="5">
        <f>IF(AND(L84&gt;='Amort. Sched.-BEST'!$R$8, L84&lt;= ($R$7+$R$8)), (PPMT($N$8/12, (L84-$R$8), $R$7, $N$7)), 0)</f>
        <v>0</v>
      </c>
      <c r="P84" s="5">
        <f>IF(CreditAmort1BEST[[#This Row],[Month]]=R$8,N$7,0)</f>
        <v>0</v>
      </c>
      <c r="Q84" s="13">
        <f>IF(AND(L84&gt;='Amort. Sched.-BEST'!$R$8, L84&lt;= ($R$7+$R$8)), Q83+O84, 0)</f>
        <v>0</v>
      </c>
      <c r="R84" s="6" t="str">
        <f>IF(AND(L84&gt;='Amort. Sched.-BEST'!$R$8, L84&lt;= ($R$7+$R$8)), N84/M84, " ")</f>
        <v xml:space="preserve"> </v>
      </c>
      <c r="S84" s="21" t="str">
        <f>IF(AND(L84&gt;='Amort. Sched.-BEST'!$R$8, L84&lt;= ($R$7+$R$8)), O84/M84, " ")</f>
        <v xml:space="preserve"> </v>
      </c>
      <c r="U84" s="20">
        <f t="shared" si="19"/>
        <v>73</v>
      </c>
      <c r="V84" s="5">
        <f>IF(AND(U84&gt;='Amort. Sched.-BEST'!$AA$8, U84&lt;= ($AA$7+$AA$8)), PMT('Amort. Sched.-BEST'!$W$8/12, 'Amort. Sched.-BEST'!$AA$7, 'Amort. Sched.-BEST'!$W$7), 0)</f>
        <v>0</v>
      </c>
      <c r="W84" s="5">
        <f>IF(AND(U84&gt;='Amort. Sched.-BEST'!$AA$8, U84&lt;= ($AA$7+$AA$8)), (IPMT($W$8/12, (U84-$AA$8), $AA$7, $W$7)), 0)</f>
        <v>0</v>
      </c>
      <c r="X84" s="5">
        <f>IF(AND(U84&gt;='Amort. Sched.-BEST'!$AA$8, U84&lt;= ($AA$7+$AA$8)), (PPMT($W$8/12, (U84-$AA$8), $AA$7, $W$7)), 0)</f>
        <v>0</v>
      </c>
      <c r="Y84" s="5">
        <f>IF(CreditAmort2BEST[[#This Row],[Month]]=AA$8,W$7,0)</f>
        <v>0</v>
      </c>
      <c r="Z84" s="13">
        <f>IF(AND(U84&gt;='Amort. Sched.-BEST'!$AA$8, U84&lt;= ($AA$7+$AA$8)), Z83+X84, 0)</f>
        <v>0</v>
      </c>
      <c r="AA84" s="6" t="str">
        <f>IF(AND(U84&gt;='Amort. Sched.-BEST'!$AA$8, U84&lt;= ($AA$7+$AA$8)), W84/V84, " ")</f>
        <v xml:space="preserve"> </v>
      </c>
      <c r="AB84" s="21" t="str">
        <f>IF(AND(U84&gt;='Amort. Sched.-BEST'!$AA$8, U84&lt;= ($AA$7+$AA$8)), X84/V84, " ")</f>
        <v xml:space="preserve"> </v>
      </c>
      <c r="AD84" s="20">
        <f t="shared" si="20"/>
        <v>73</v>
      </c>
      <c r="AE84" s="5">
        <f t="shared" si="21"/>
        <v>0</v>
      </c>
      <c r="AF84" s="5">
        <f t="shared" si="22"/>
        <v>0</v>
      </c>
      <c r="AG84" s="5">
        <f t="shared" si="23"/>
        <v>0</v>
      </c>
      <c r="AH84" s="5">
        <f>IF(CreditAmort3BEST[[#This Row],[Month]]=AJ$8,AF$7,0)</f>
        <v>0</v>
      </c>
      <c r="AI84" s="13">
        <f t="shared" si="24"/>
        <v>0</v>
      </c>
      <c r="AJ84" s="6" t="str">
        <f t="shared" si="25"/>
        <v xml:space="preserve"> </v>
      </c>
      <c r="AK84" s="21" t="str">
        <f t="shared" si="26"/>
        <v xml:space="preserve"> </v>
      </c>
      <c r="AM84" s="20">
        <f t="shared" si="27"/>
        <v>73</v>
      </c>
      <c r="AN84" s="5">
        <f t="shared" si="28"/>
        <v>0</v>
      </c>
      <c r="AO84" s="5">
        <f t="shared" si="29"/>
        <v>0</v>
      </c>
      <c r="AP84" s="5">
        <f t="shared" si="30"/>
        <v>0</v>
      </c>
      <c r="AQ84" s="5">
        <f>IF(CreditAmort4BEST[[#This Row],[Month]]=AS$8,AO$7,0)</f>
        <v>0</v>
      </c>
      <c r="AR84" s="13">
        <f t="shared" si="31"/>
        <v>0</v>
      </c>
      <c r="AS84" s="6" t="str">
        <f t="shared" si="32"/>
        <v xml:space="preserve"> </v>
      </c>
      <c r="AT84" s="21" t="str">
        <f t="shared" si="33"/>
        <v xml:space="preserve"> </v>
      </c>
    </row>
    <row r="85" spans="3:46">
      <c r="C85" s="22">
        <f t="shared" si="18"/>
        <v>74</v>
      </c>
      <c r="D85" s="23">
        <f>IF(AND(C85&gt;='Amort. Sched.-BEST'!$I$8, C85&lt;= ($I$7+$I$8)), PMT('Amort. Sched.-BEST'!$E$8/12, 'Amort. Sched.-BEST'!$I$7, 'Amort. Sched.-BEST'!$E$7), 0)</f>
        <v>-1350.6783839027553</v>
      </c>
      <c r="E85" s="5">
        <f>IF(AND(C85&gt;='Amort. Sched.-BEST'!$I$8, C85&lt;= ($I$7+$I$8)), (IPMT($E$8/12, (C85-$I$8), $I$7, $E$7)), 0)</f>
        <v>-1051.7957239680984</v>
      </c>
      <c r="F85" s="23">
        <f>IF(AND(C85&gt;='Amort. Sched.-BEST'!$I$8, C85&lt;= ($I$7+$I$8)), (PPMT($E$8/12, (C85-$I$8), $I$7, $E$7)), 0)</f>
        <v>-298.88265993465689</v>
      </c>
      <c r="G85" s="5">
        <f>IF(MortgageAmortBEST[[#This Row],[Month]]=I$8,E$7,0)</f>
        <v>0</v>
      </c>
      <c r="H85" s="13">
        <f>IF(AND(C85&gt;='Amort. Sched.-BEST'!$I$8, C85&lt;= ($I$7+$I$8)), H84+F85, 0)</f>
        <v>157470.47593528012</v>
      </c>
      <c r="I85" s="24">
        <f>IF(AND(C85&gt;='Amort. Sched.-BEST'!$I$8, C85&lt;= ($I$7+$I$8)), E85/D85, " ")</f>
        <v>0.77871663343642028</v>
      </c>
      <c r="J85" s="25">
        <f>IF(AND(C85&gt;='Amort. Sched.-BEST'!$I$8, C85&lt;= ($I$7+$I$8)), F85/D85, " ")</f>
        <v>0.22128336656357975</v>
      </c>
      <c r="L85" s="20">
        <f t="shared" si="17"/>
        <v>74</v>
      </c>
      <c r="M85" s="5">
        <f>IF(AND(L85&gt;='Amort. Sched.-BEST'!$R$8, L85&lt;= ($R$7+$R$8)), PMT('Amort. Sched.-BEST'!$N$8/12, 'Amort. Sched.-BEST'!$R$7, 'Amort. Sched.-BEST'!$N$7), 0)</f>
        <v>0</v>
      </c>
      <c r="N85" s="5">
        <f>IF(AND(L85&gt;='Amort. Sched.-BEST'!$R$8, L85&lt;= ($R$7+$R$8)), (IPMT($N$8/12, (L85-$R$8), $R$7, $N$7)), 0)</f>
        <v>0</v>
      </c>
      <c r="O85" s="5">
        <f>IF(AND(L85&gt;='Amort. Sched.-BEST'!$R$8, L85&lt;= ($R$7+$R$8)), (PPMT($N$8/12, (L85-$R$8), $R$7, $N$7)), 0)</f>
        <v>0</v>
      </c>
      <c r="P85" s="5">
        <f>IF(CreditAmort1BEST[[#This Row],[Month]]=R$8,N$7,0)</f>
        <v>0</v>
      </c>
      <c r="Q85" s="13">
        <f>IF(AND(L85&gt;='Amort. Sched.-BEST'!$R$8, L85&lt;= ($R$7+$R$8)), Q84+O85, 0)</f>
        <v>0</v>
      </c>
      <c r="R85" s="6" t="str">
        <f>IF(AND(L85&gt;='Amort. Sched.-BEST'!$R$8, L85&lt;= ($R$7+$R$8)), N85/M85, " ")</f>
        <v xml:space="preserve"> </v>
      </c>
      <c r="S85" s="21" t="str">
        <f>IF(AND(L85&gt;='Amort. Sched.-BEST'!$R$8, L85&lt;= ($R$7+$R$8)), O85/M85, " ")</f>
        <v xml:space="preserve"> </v>
      </c>
      <c r="U85" s="20">
        <f t="shared" si="19"/>
        <v>74</v>
      </c>
      <c r="V85" s="5">
        <f>IF(AND(U85&gt;='Amort. Sched.-BEST'!$AA$8, U85&lt;= ($AA$7+$AA$8)), PMT('Amort. Sched.-BEST'!$W$8/12, 'Amort. Sched.-BEST'!$AA$7, 'Amort. Sched.-BEST'!$W$7), 0)</f>
        <v>0</v>
      </c>
      <c r="W85" s="5">
        <f>IF(AND(U85&gt;='Amort. Sched.-BEST'!$AA$8, U85&lt;= ($AA$7+$AA$8)), (IPMT($W$8/12, (U85-$AA$8), $AA$7, $W$7)), 0)</f>
        <v>0</v>
      </c>
      <c r="X85" s="5">
        <f>IF(AND(U85&gt;='Amort. Sched.-BEST'!$AA$8, U85&lt;= ($AA$7+$AA$8)), (PPMT($W$8/12, (U85-$AA$8), $AA$7, $W$7)), 0)</f>
        <v>0</v>
      </c>
      <c r="Y85" s="5">
        <f>IF(CreditAmort2BEST[[#This Row],[Month]]=AA$8,W$7,0)</f>
        <v>0</v>
      </c>
      <c r="Z85" s="13">
        <f>IF(AND(U85&gt;='Amort. Sched.-BEST'!$AA$8, U85&lt;= ($AA$7+$AA$8)), Z84+X85, 0)</f>
        <v>0</v>
      </c>
      <c r="AA85" s="6" t="str">
        <f>IF(AND(U85&gt;='Amort. Sched.-BEST'!$AA$8, U85&lt;= ($AA$7+$AA$8)), W85/V85, " ")</f>
        <v xml:space="preserve"> </v>
      </c>
      <c r="AB85" s="21" t="str">
        <f>IF(AND(U85&gt;='Amort. Sched.-BEST'!$AA$8, U85&lt;= ($AA$7+$AA$8)), X85/V85, " ")</f>
        <v xml:space="preserve"> </v>
      </c>
      <c r="AD85" s="20">
        <f t="shared" si="20"/>
        <v>74</v>
      </c>
      <c r="AE85" s="5">
        <f t="shared" si="21"/>
        <v>0</v>
      </c>
      <c r="AF85" s="5">
        <f t="shared" si="22"/>
        <v>0</v>
      </c>
      <c r="AG85" s="5">
        <f t="shared" si="23"/>
        <v>0</v>
      </c>
      <c r="AH85" s="5">
        <f>IF(CreditAmort3BEST[[#This Row],[Month]]=AJ$8,AF$7,0)</f>
        <v>0</v>
      </c>
      <c r="AI85" s="13">
        <f t="shared" si="24"/>
        <v>0</v>
      </c>
      <c r="AJ85" s="6" t="str">
        <f t="shared" si="25"/>
        <v xml:space="preserve"> </v>
      </c>
      <c r="AK85" s="21" t="str">
        <f t="shared" si="26"/>
        <v xml:space="preserve"> </v>
      </c>
      <c r="AM85" s="20">
        <f t="shared" si="27"/>
        <v>74</v>
      </c>
      <c r="AN85" s="5">
        <f t="shared" si="28"/>
        <v>0</v>
      </c>
      <c r="AO85" s="5">
        <f t="shared" si="29"/>
        <v>0</v>
      </c>
      <c r="AP85" s="5">
        <f t="shared" si="30"/>
        <v>0</v>
      </c>
      <c r="AQ85" s="5">
        <f>IF(CreditAmort4BEST[[#This Row],[Month]]=AS$8,AO$7,0)</f>
        <v>0</v>
      </c>
      <c r="AR85" s="13">
        <f t="shared" si="31"/>
        <v>0</v>
      </c>
      <c r="AS85" s="6" t="str">
        <f t="shared" si="32"/>
        <v xml:space="preserve"> </v>
      </c>
      <c r="AT85" s="21" t="str">
        <f t="shared" si="33"/>
        <v xml:space="preserve"> </v>
      </c>
    </row>
    <row r="86" spans="3:46">
      <c r="C86" s="22">
        <f t="shared" si="18"/>
        <v>75</v>
      </c>
      <c r="D86" s="23">
        <f>IF(AND(C86&gt;='Amort. Sched.-BEST'!$I$8, C86&lt;= ($I$7+$I$8)), PMT('Amort. Sched.-BEST'!$E$8/12, 'Amort. Sched.-BEST'!$I$7, 'Amort. Sched.-BEST'!$E$7), 0)</f>
        <v>-1350.6783839027553</v>
      </c>
      <c r="E86" s="5">
        <f>IF(AND(C86&gt;='Amort. Sched.-BEST'!$I$8, C86&lt;= ($I$7+$I$8)), (IPMT($E$8/12, (C86-$I$8), $I$7, $E$7)), 0)</f>
        <v>-1049.8031729018676</v>
      </c>
      <c r="F86" s="23">
        <f>IF(AND(C86&gt;='Amort. Sched.-BEST'!$I$8, C86&lt;= ($I$7+$I$8)), (PPMT($E$8/12, (C86-$I$8), $I$7, $E$7)), 0)</f>
        <v>-300.87521100088793</v>
      </c>
      <c r="G86" s="5">
        <f>IF(MortgageAmortBEST[[#This Row],[Month]]=I$8,E$7,0)</f>
        <v>0</v>
      </c>
      <c r="H86" s="13">
        <f>IF(AND(C86&gt;='Amort. Sched.-BEST'!$I$8, C86&lt;= ($I$7+$I$8)), H85+F86, 0)</f>
        <v>157169.60072427924</v>
      </c>
      <c r="I86" s="24">
        <f>IF(AND(C86&gt;='Amort. Sched.-BEST'!$I$8, C86&lt;= ($I$7+$I$8)), E86/D86, " ")</f>
        <v>0.7772414109926632</v>
      </c>
      <c r="J86" s="25">
        <f>IF(AND(C86&gt;='Amort. Sched.-BEST'!$I$8, C86&lt;= ($I$7+$I$8)), F86/D86, " ")</f>
        <v>0.22275858900733694</v>
      </c>
      <c r="L86" s="20">
        <f t="shared" si="17"/>
        <v>75</v>
      </c>
      <c r="M86" s="5">
        <f>IF(AND(L86&gt;='Amort. Sched.-BEST'!$R$8, L86&lt;= ($R$7+$R$8)), PMT('Amort. Sched.-BEST'!$N$8/12, 'Amort. Sched.-BEST'!$R$7, 'Amort. Sched.-BEST'!$N$7), 0)</f>
        <v>0</v>
      </c>
      <c r="N86" s="5">
        <f>IF(AND(L86&gt;='Amort. Sched.-BEST'!$R$8, L86&lt;= ($R$7+$R$8)), (IPMT($N$8/12, (L86-$R$8), $R$7, $N$7)), 0)</f>
        <v>0</v>
      </c>
      <c r="O86" s="5">
        <f>IF(AND(L86&gt;='Amort. Sched.-BEST'!$R$8, L86&lt;= ($R$7+$R$8)), (PPMT($N$8/12, (L86-$R$8), $R$7, $N$7)), 0)</f>
        <v>0</v>
      </c>
      <c r="P86" s="5">
        <f>IF(CreditAmort1BEST[[#This Row],[Month]]=R$8,N$7,0)</f>
        <v>0</v>
      </c>
      <c r="Q86" s="13">
        <f>IF(AND(L86&gt;='Amort. Sched.-BEST'!$R$8, L86&lt;= ($R$7+$R$8)), Q85+O86, 0)</f>
        <v>0</v>
      </c>
      <c r="R86" s="6" t="str">
        <f>IF(AND(L86&gt;='Amort. Sched.-BEST'!$R$8, L86&lt;= ($R$7+$R$8)), N86/M86, " ")</f>
        <v xml:space="preserve"> </v>
      </c>
      <c r="S86" s="21" t="str">
        <f>IF(AND(L86&gt;='Amort. Sched.-BEST'!$R$8, L86&lt;= ($R$7+$R$8)), O86/M86, " ")</f>
        <v xml:space="preserve"> </v>
      </c>
      <c r="U86" s="20">
        <f t="shared" si="19"/>
        <v>75</v>
      </c>
      <c r="V86" s="5">
        <f>IF(AND(U86&gt;='Amort. Sched.-BEST'!$AA$8, U86&lt;= ($AA$7+$AA$8)), PMT('Amort. Sched.-BEST'!$W$8/12, 'Amort. Sched.-BEST'!$AA$7, 'Amort. Sched.-BEST'!$W$7), 0)</f>
        <v>0</v>
      </c>
      <c r="W86" s="5">
        <f>IF(AND(U86&gt;='Amort. Sched.-BEST'!$AA$8, U86&lt;= ($AA$7+$AA$8)), (IPMT($W$8/12, (U86-$AA$8), $AA$7, $W$7)), 0)</f>
        <v>0</v>
      </c>
      <c r="X86" s="5">
        <f>IF(AND(U86&gt;='Amort. Sched.-BEST'!$AA$8, U86&lt;= ($AA$7+$AA$8)), (PPMT($W$8/12, (U86-$AA$8), $AA$7, $W$7)), 0)</f>
        <v>0</v>
      </c>
      <c r="Y86" s="5">
        <f>IF(CreditAmort2BEST[[#This Row],[Month]]=AA$8,W$7,0)</f>
        <v>0</v>
      </c>
      <c r="Z86" s="13">
        <f>IF(AND(U86&gt;='Amort. Sched.-BEST'!$AA$8, U86&lt;= ($AA$7+$AA$8)), Z85+X86, 0)</f>
        <v>0</v>
      </c>
      <c r="AA86" s="6" t="str">
        <f>IF(AND(U86&gt;='Amort. Sched.-BEST'!$AA$8, U86&lt;= ($AA$7+$AA$8)), W86/V86, " ")</f>
        <v xml:space="preserve"> </v>
      </c>
      <c r="AB86" s="21" t="str">
        <f>IF(AND(U86&gt;='Amort. Sched.-BEST'!$AA$8, U86&lt;= ($AA$7+$AA$8)), X86/V86, " ")</f>
        <v xml:space="preserve"> </v>
      </c>
      <c r="AD86" s="20">
        <f t="shared" si="20"/>
        <v>75</v>
      </c>
      <c r="AE86" s="5">
        <f t="shared" si="21"/>
        <v>0</v>
      </c>
      <c r="AF86" s="5">
        <f t="shared" si="22"/>
        <v>0</v>
      </c>
      <c r="AG86" s="5">
        <f t="shared" si="23"/>
        <v>0</v>
      </c>
      <c r="AH86" s="5">
        <f>IF(CreditAmort3BEST[[#This Row],[Month]]=AJ$8,AF$7,0)</f>
        <v>0</v>
      </c>
      <c r="AI86" s="13">
        <f t="shared" si="24"/>
        <v>0</v>
      </c>
      <c r="AJ86" s="6" t="str">
        <f t="shared" si="25"/>
        <v xml:space="preserve"> </v>
      </c>
      <c r="AK86" s="21" t="str">
        <f t="shared" si="26"/>
        <v xml:space="preserve"> </v>
      </c>
      <c r="AM86" s="20">
        <f t="shared" si="27"/>
        <v>75</v>
      </c>
      <c r="AN86" s="5">
        <f t="shared" si="28"/>
        <v>0</v>
      </c>
      <c r="AO86" s="5">
        <f t="shared" si="29"/>
        <v>0</v>
      </c>
      <c r="AP86" s="5">
        <f t="shared" si="30"/>
        <v>0</v>
      </c>
      <c r="AQ86" s="5">
        <f>IF(CreditAmort4BEST[[#This Row],[Month]]=AS$8,AO$7,0)</f>
        <v>0</v>
      </c>
      <c r="AR86" s="13">
        <f t="shared" si="31"/>
        <v>0</v>
      </c>
      <c r="AS86" s="6" t="str">
        <f t="shared" si="32"/>
        <v xml:space="preserve"> </v>
      </c>
      <c r="AT86" s="21" t="str">
        <f t="shared" si="33"/>
        <v xml:space="preserve"> </v>
      </c>
    </row>
    <row r="87" spans="3:46">
      <c r="C87" s="22">
        <f t="shared" si="18"/>
        <v>76</v>
      </c>
      <c r="D87" s="23">
        <f>IF(AND(C87&gt;='Amort. Sched.-BEST'!$I$8, C87&lt;= ($I$7+$I$8)), PMT('Amort. Sched.-BEST'!$E$8/12, 'Amort. Sched.-BEST'!$I$7, 'Amort. Sched.-BEST'!$E$7), 0)</f>
        <v>-1350.6783839027553</v>
      </c>
      <c r="E87" s="5">
        <f>IF(AND(C87&gt;='Amort. Sched.-BEST'!$I$8, C87&lt;= ($I$7+$I$8)), (IPMT($E$8/12, (C87-$I$8), $I$7, $E$7)), 0)</f>
        <v>-1047.7973381618615</v>
      </c>
      <c r="F87" s="23">
        <f>IF(AND(C87&gt;='Amort. Sched.-BEST'!$I$8, C87&lt;= ($I$7+$I$8)), (PPMT($E$8/12, (C87-$I$8), $I$7, $E$7)), 0)</f>
        <v>-302.88104574089385</v>
      </c>
      <c r="G87" s="5">
        <f>IF(MortgageAmortBEST[[#This Row],[Month]]=I$8,E$7,0)</f>
        <v>0</v>
      </c>
      <c r="H87" s="13">
        <f>IF(AND(C87&gt;='Amort. Sched.-BEST'!$I$8, C87&lt;= ($I$7+$I$8)), H86+F87, 0)</f>
        <v>156866.71967853836</v>
      </c>
      <c r="I87" s="24">
        <f>IF(AND(C87&gt;='Amort. Sched.-BEST'!$I$8, C87&lt;= ($I$7+$I$8)), E87/D87, " ")</f>
        <v>0.7757563537326142</v>
      </c>
      <c r="J87" s="25">
        <f>IF(AND(C87&gt;='Amort. Sched.-BEST'!$I$8, C87&lt;= ($I$7+$I$8)), F87/D87, " ")</f>
        <v>0.22424364626738585</v>
      </c>
      <c r="L87" s="20">
        <f t="shared" si="17"/>
        <v>76</v>
      </c>
      <c r="M87" s="5">
        <f>IF(AND(L87&gt;='Amort. Sched.-BEST'!$R$8, L87&lt;= ($R$7+$R$8)), PMT('Amort. Sched.-BEST'!$N$8/12, 'Amort. Sched.-BEST'!$R$7, 'Amort. Sched.-BEST'!$N$7), 0)</f>
        <v>0</v>
      </c>
      <c r="N87" s="5">
        <f>IF(AND(L87&gt;='Amort. Sched.-BEST'!$R$8, L87&lt;= ($R$7+$R$8)), (IPMT($N$8/12, (L87-$R$8), $R$7, $N$7)), 0)</f>
        <v>0</v>
      </c>
      <c r="O87" s="5">
        <f>IF(AND(L87&gt;='Amort. Sched.-BEST'!$R$8, L87&lt;= ($R$7+$R$8)), (PPMT($N$8/12, (L87-$R$8), $R$7, $N$7)), 0)</f>
        <v>0</v>
      </c>
      <c r="P87" s="5">
        <f>IF(CreditAmort1BEST[[#This Row],[Month]]=R$8,N$7,0)</f>
        <v>0</v>
      </c>
      <c r="Q87" s="13">
        <f>IF(AND(L87&gt;='Amort. Sched.-BEST'!$R$8, L87&lt;= ($R$7+$R$8)), Q86+O87, 0)</f>
        <v>0</v>
      </c>
      <c r="R87" s="6" t="str">
        <f>IF(AND(L87&gt;='Amort. Sched.-BEST'!$R$8, L87&lt;= ($R$7+$R$8)), N87/M87, " ")</f>
        <v xml:space="preserve"> </v>
      </c>
      <c r="S87" s="21" t="str">
        <f>IF(AND(L87&gt;='Amort. Sched.-BEST'!$R$8, L87&lt;= ($R$7+$R$8)), O87/M87, " ")</f>
        <v xml:space="preserve"> </v>
      </c>
      <c r="U87" s="20">
        <f t="shared" si="19"/>
        <v>76</v>
      </c>
      <c r="V87" s="5">
        <f>IF(AND(U87&gt;='Amort. Sched.-BEST'!$AA$8, U87&lt;= ($AA$7+$AA$8)), PMT('Amort. Sched.-BEST'!$W$8/12, 'Amort. Sched.-BEST'!$AA$7, 'Amort. Sched.-BEST'!$W$7), 0)</f>
        <v>0</v>
      </c>
      <c r="W87" s="5">
        <f>IF(AND(U87&gt;='Amort. Sched.-BEST'!$AA$8, U87&lt;= ($AA$7+$AA$8)), (IPMT($W$8/12, (U87-$AA$8), $AA$7, $W$7)), 0)</f>
        <v>0</v>
      </c>
      <c r="X87" s="5">
        <f>IF(AND(U87&gt;='Amort. Sched.-BEST'!$AA$8, U87&lt;= ($AA$7+$AA$8)), (PPMT($W$8/12, (U87-$AA$8), $AA$7, $W$7)), 0)</f>
        <v>0</v>
      </c>
      <c r="Y87" s="5">
        <f>IF(CreditAmort2BEST[[#This Row],[Month]]=AA$8,W$7,0)</f>
        <v>0</v>
      </c>
      <c r="Z87" s="13">
        <f>IF(AND(U87&gt;='Amort. Sched.-BEST'!$AA$8, U87&lt;= ($AA$7+$AA$8)), Z86+X87, 0)</f>
        <v>0</v>
      </c>
      <c r="AA87" s="6" t="str">
        <f>IF(AND(U87&gt;='Amort. Sched.-BEST'!$AA$8, U87&lt;= ($AA$7+$AA$8)), W87/V87, " ")</f>
        <v xml:space="preserve"> </v>
      </c>
      <c r="AB87" s="21" t="str">
        <f>IF(AND(U87&gt;='Amort. Sched.-BEST'!$AA$8, U87&lt;= ($AA$7+$AA$8)), X87/V87, " ")</f>
        <v xml:space="preserve"> </v>
      </c>
      <c r="AD87" s="20">
        <f t="shared" si="20"/>
        <v>76</v>
      </c>
      <c r="AE87" s="5">
        <f t="shared" si="21"/>
        <v>0</v>
      </c>
      <c r="AF87" s="5">
        <f t="shared" si="22"/>
        <v>0</v>
      </c>
      <c r="AG87" s="5">
        <f t="shared" si="23"/>
        <v>0</v>
      </c>
      <c r="AH87" s="5">
        <f>IF(CreditAmort3BEST[[#This Row],[Month]]=AJ$8,AF$7,0)</f>
        <v>0</v>
      </c>
      <c r="AI87" s="13">
        <f t="shared" si="24"/>
        <v>0</v>
      </c>
      <c r="AJ87" s="6" t="str">
        <f t="shared" si="25"/>
        <v xml:space="preserve"> </v>
      </c>
      <c r="AK87" s="21" t="str">
        <f t="shared" si="26"/>
        <v xml:space="preserve"> </v>
      </c>
      <c r="AM87" s="20">
        <f t="shared" si="27"/>
        <v>76</v>
      </c>
      <c r="AN87" s="5">
        <f t="shared" si="28"/>
        <v>0</v>
      </c>
      <c r="AO87" s="5">
        <f t="shared" si="29"/>
        <v>0</v>
      </c>
      <c r="AP87" s="5">
        <f t="shared" si="30"/>
        <v>0</v>
      </c>
      <c r="AQ87" s="5">
        <f>IF(CreditAmort4BEST[[#This Row],[Month]]=AS$8,AO$7,0)</f>
        <v>0</v>
      </c>
      <c r="AR87" s="13">
        <f t="shared" si="31"/>
        <v>0</v>
      </c>
      <c r="AS87" s="6" t="str">
        <f t="shared" si="32"/>
        <v xml:space="preserve"> </v>
      </c>
      <c r="AT87" s="21" t="str">
        <f t="shared" si="33"/>
        <v xml:space="preserve"> </v>
      </c>
    </row>
    <row r="88" spans="3:46">
      <c r="C88" s="22">
        <f t="shared" si="18"/>
        <v>77</v>
      </c>
      <c r="D88" s="23">
        <f>IF(AND(C88&gt;='Amort. Sched.-BEST'!$I$8, C88&lt;= ($I$7+$I$8)), PMT('Amort. Sched.-BEST'!$E$8/12, 'Amort. Sched.-BEST'!$I$7, 'Amort. Sched.-BEST'!$E$7), 0)</f>
        <v>-1350.6783839027553</v>
      </c>
      <c r="E88" s="5">
        <f>IF(AND(C88&gt;='Amort. Sched.-BEST'!$I$8, C88&lt;= ($I$7+$I$8)), (IPMT($E$8/12, (C88-$I$8), $I$7, $E$7)), 0)</f>
        <v>-1045.7781311902556</v>
      </c>
      <c r="F88" s="23">
        <f>IF(AND(C88&gt;='Amort. Sched.-BEST'!$I$8, C88&lt;= ($I$7+$I$8)), (PPMT($E$8/12, (C88-$I$8), $I$7, $E$7)), 0)</f>
        <v>-304.90025271249982</v>
      </c>
      <c r="G88" s="5">
        <f>IF(MortgageAmortBEST[[#This Row],[Month]]=I$8,E$7,0)</f>
        <v>0</v>
      </c>
      <c r="H88" s="13">
        <f>IF(AND(C88&gt;='Amort. Sched.-BEST'!$I$8, C88&lt;= ($I$7+$I$8)), H87+F88, 0)</f>
        <v>156561.81942582584</v>
      </c>
      <c r="I88" s="24">
        <f>IF(AND(C88&gt;='Amort. Sched.-BEST'!$I$8, C88&lt;= ($I$7+$I$8)), E88/D88, " ")</f>
        <v>0.77426139609083167</v>
      </c>
      <c r="J88" s="25">
        <f>IF(AND(C88&gt;='Amort. Sched.-BEST'!$I$8, C88&lt;= ($I$7+$I$8)), F88/D88, " ")</f>
        <v>0.22573860390916844</v>
      </c>
      <c r="L88" s="20">
        <f t="shared" si="17"/>
        <v>77</v>
      </c>
      <c r="M88" s="5">
        <f>IF(AND(L88&gt;='Amort. Sched.-BEST'!$R$8, L88&lt;= ($R$7+$R$8)), PMT('Amort. Sched.-BEST'!$N$8/12, 'Amort. Sched.-BEST'!$R$7, 'Amort. Sched.-BEST'!$N$7), 0)</f>
        <v>0</v>
      </c>
      <c r="N88" s="5">
        <f>IF(AND(L88&gt;='Amort. Sched.-BEST'!$R$8, L88&lt;= ($R$7+$R$8)), (IPMT($N$8/12, (L88-$R$8), $R$7, $N$7)), 0)</f>
        <v>0</v>
      </c>
      <c r="O88" s="5">
        <f>IF(AND(L88&gt;='Amort. Sched.-BEST'!$R$8, L88&lt;= ($R$7+$R$8)), (PPMT($N$8/12, (L88-$R$8), $R$7, $N$7)), 0)</f>
        <v>0</v>
      </c>
      <c r="P88" s="5">
        <f>IF(CreditAmort1BEST[[#This Row],[Month]]=R$8,N$7,0)</f>
        <v>0</v>
      </c>
      <c r="Q88" s="13">
        <f>IF(AND(L88&gt;='Amort. Sched.-BEST'!$R$8, L88&lt;= ($R$7+$R$8)), Q87+O88, 0)</f>
        <v>0</v>
      </c>
      <c r="R88" s="6" t="str">
        <f>IF(AND(L88&gt;='Amort. Sched.-BEST'!$R$8, L88&lt;= ($R$7+$R$8)), N88/M88, " ")</f>
        <v xml:space="preserve"> </v>
      </c>
      <c r="S88" s="21" t="str">
        <f>IF(AND(L88&gt;='Amort. Sched.-BEST'!$R$8, L88&lt;= ($R$7+$R$8)), O88/M88, " ")</f>
        <v xml:space="preserve"> </v>
      </c>
      <c r="U88" s="20">
        <f t="shared" si="19"/>
        <v>77</v>
      </c>
      <c r="V88" s="5">
        <f>IF(AND(U88&gt;='Amort. Sched.-BEST'!$AA$8, U88&lt;= ($AA$7+$AA$8)), PMT('Amort. Sched.-BEST'!$W$8/12, 'Amort. Sched.-BEST'!$AA$7, 'Amort. Sched.-BEST'!$W$7), 0)</f>
        <v>0</v>
      </c>
      <c r="W88" s="5">
        <f>IF(AND(U88&gt;='Amort. Sched.-BEST'!$AA$8, U88&lt;= ($AA$7+$AA$8)), (IPMT($W$8/12, (U88-$AA$8), $AA$7, $W$7)), 0)</f>
        <v>0</v>
      </c>
      <c r="X88" s="5">
        <f>IF(AND(U88&gt;='Amort. Sched.-BEST'!$AA$8, U88&lt;= ($AA$7+$AA$8)), (PPMT($W$8/12, (U88-$AA$8), $AA$7, $W$7)), 0)</f>
        <v>0</v>
      </c>
      <c r="Y88" s="5">
        <f>IF(CreditAmort2BEST[[#This Row],[Month]]=AA$8,W$7,0)</f>
        <v>0</v>
      </c>
      <c r="Z88" s="13">
        <f>IF(AND(U88&gt;='Amort. Sched.-BEST'!$AA$8, U88&lt;= ($AA$7+$AA$8)), Z87+X88, 0)</f>
        <v>0</v>
      </c>
      <c r="AA88" s="6" t="str">
        <f>IF(AND(U88&gt;='Amort. Sched.-BEST'!$AA$8, U88&lt;= ($AA$7+$AA$8)), W88/V88, " ")</f>
        <v xml:space="preserve"> </v>
      </c>
      <c r="AB88" s="21" t="str">
        <f>IF(AND(U88&gt;='Amort. Sched.-BEST'!$AA$8, U88&lt;= ($AA$7+$AA$8)), X88/V88, " ")</f>
        <v xml:space="preserve"> </v>
      </c>
      <c r="AD88" s="20">
        <f t="shared" si="20"/>
        <v>77</v>
      </c>
      <c r="AE88" s="5">
        <f t="shared" si="21"/>
        <v>0</v>
      </c>
      <c r="AF88" s="5">
        <f t="shared" si="22"/>
        <v>0</v>
      </c>
      <c r="AG88" s="5">
        <f t="shared" si="23"/>
        <v>0</v>
      </c>
      <c r="AH88" s="5">
        <f>IF(CreditAmort3BEST[[#This Row],[Month]]=AJ$8,AF$7,0)</f>
        <v>0</v>
      </c>
      <c r="AI88" s="13">
        <f t="shared" si="24"/>
        <v>0</v>
      </c>
      <c r="AJ88" s="6" t="str">
        <f t="shared" si="25"/>
        <v xml:space="preserve"> </v>
      </c>
      <c r="AK88" s="21" t="str">
        <f t="shared" si="26"/>
        <v xml:space="preserve"> </v>
      </c>
      <c r="AM88" s="20">
        <f t="shared" si="27"/>
        <v>77</v>
      </c>
      <c r="AN88" s="5">
        <f t="shared" si="28"/>
        <v>0</v>
      </c>
      <c r="AO88" s="5">
        <f t="shared" si="29"/>
        <v>0</v>
      </c>
      <c r="AP88" s="5">
        <f t="shared" si="30"/>
        <v>0</v>
      </c>
      <c r="AQ88" s="5">
        <f>IF(CreditAmort4BEST[[#This Row],[Month]]=AS$8,AO$7,0)</f>
        <v>0</v>
      </c>
      <c r="AR88" s="13">
        <f t="shared" si="31"/>
        <v>0</v>
      </c>
      <c r="AS88" s="6" t="str">
        <f t="shared" si="32"/>
        <v xml:space="preserve"> </v>
      </c>
      <c r="AT88" s="21" t="str">
        <f t="shared" si="33"/>
        <v xml:space="preserve"> </v>
      </c>
    </row>
    <row r="89" spans="3:46">
      <c r="C89" s="22">
        <f t="shared" si="18"/>
        <v>78</v>
      </c>
      <c r="D89" s="23">
        <f>IF(AND(C89&gt;='Amort. Sched.-BEST'!$I$8, C89&lt;= ($I$7+$I$8)), PMT('Amort. Sched.-BEST'!$E$8/12, 'Amort. Sched.-BEST'!$I$7, 'Amort. Sched.-BEST'!$E$7), 0)</f>
        <v>-1350.6783839027553</v>
      </c>
      <c r="E89" s="5">
        <f>IF(AND(C89&gt;='Amort. Sched.-BEST'!$I$8, C89&lt;= ($I$7+$I$8)), (IPMT($E$8/12, (C89-$I$8), $I$7, $E$7)), 0)</f>
        <v>-1043.7454628388389</v>
      </c>
      <c r="F89" s="23">
        <f>IF(AND(C89&gt;='Amort. Sched.-BEST'!$I$8, C89&lt;= ($I$7+$I$8)), (PPMT($E$8/12, (C89-$I$8), $I$7, $E$7)), 0)</f>
        <v>-306.93292106391647</v>
      </c>
      <c r="G89" s="5">
        <f>IF(MortgageAmortBEST[[#This Row],[Month]]=I$8,E$7,0)</f>
        <v>0</v>
      </c>
      <c r="H89" s="13">
        <f>IF(AND(C89&gt;='Amort. Sched.-BEST'!$I$8, C89&lt;= ($I$7+$I$8)), H88+F89, 0)</f>
        <v>156254.88650476193</v>
      </c>
      <c r="I89" s="24">
        <f>IF(AND(C89&gt;='Amort. Sched.-BEST'!$I$8, C89&lt;= ($I$7+$I$8)), E89/D89, " ")</f>
        <v>0.77275647206477049</v>
      </c>
      <c r="J89" s="25">
        <f>IF(AND(C89&gt;='Amort. Sched.-BEST'!$I$8, C89&lt;= ($I$7+$I$8)), F89/D89, " ")</f>
        <v>0.22724352793522953</v>
      </c>
      <c r="L89" s="20">
        <f t="shared" si="17"/>
        <v>78</v>
      </c>
      <c r="M89" s="5">
        <f>IF(AND(L89&gt;='Amort. Sched.-BEST'!$R$8, L89&lt;= ($R$7+$R$8)), PMT('Amort. Sched.-BEST'!$N$8/12, 'Amort. Sched.-BEST'!$R$7, 'Amort. Sched.-BEST'!$N$7), 0)</f>
        <v>0</v>
      </c>
      <c r="N89" s="5">
        <f>IF(AND(L89&gt;='Amort. Sched.-BEST'!$R$8, L89&lt;= ($R$7+$R$8)), (IPMT($N$8/12, (L89-$R$8), $R$7, $N$7)), 0)</f>
        <v>0</v>
      </c>
      <c r="O89" s="5">
        <f>IF(AND(L89&gt;='Amort. Sched.-BEST'!$R$8, L89&lt;= ($R$7+$R$8)), (PPMT($N$8/12, (L89-$R$8), $R$7, $N$7)), 0)</f>
        <v>0</v>
      </c>
      <c r="P89" s="5">
        <f>IF(CreditAmort1BEST[[#This Row],[Month]]=R$8,N$7,0)</f>
        <v>0</v>
      </c>
      <c r="Q89" s="13">
        <f>IF(AND(L89&gt;='Amort. Sched.-BEST'!$R$8, L89&lt;= ($R$7+$R$8)), Q88+O89, 0)</f>
        <v>0</v>
      </c>
      <c r="R89" s="6" t="str">
        <f>IF(AND(L89&gt;='Amort. Sched.-BEST'!$R$8, L89&lt;= ($R$7+$R$8)), N89/M89, " ")</f>
        <v xml:space="preserve"> </v>
      </c>
      <c r="S89" s="21" t="str">
        <f>IF(AND(L89&gt;='Amort. Sched.-BEST'!$R$8, L89&lt;= ($R$7+$R$8)), O89/M89, " ")</f>
        <v xml:space="preserve"> </v>
      </c>
      <c r="U89" s="20">
        <f t="shared" si="19"/>
        <v>78</v>
      </c>
      <c r="V89" s="5">
        <f>IF(AND(U89&gt;='Amort. Sched.-BEST'!$AA$8, U89&lt;= ($AA$7+$AA$8)), PMT('Amort. Sched.-BEST'!$W$8/12, 'Amort. Sched.-BEST'!$AA$7, 'Amort. Sched.-BEST'!$W$7), 0)</f>
        <v>0</v>
      </c>
      <c r="W89" s="5">
        <f>IF(AND(U89&gt;='Amort. Sched.-BEST'!$AA$8, U89&lt;= ($AA$7+$AA$8)), (IPMT($W$8/12, (U89-$AA$8), $AA$7, $W$7)), 0)</f>
        <v>0</v>
      </c>
      <c r="X89" s="5">
        <f>IF(AND(U89&gt;='Amort. Sched.-BEST'!$AA$8, U89&lt;= ($AA$7+$AA$8)), (PPMT($W$8/12, (U89-$AA$8), $AA$7, $W$7)), 0)</f>
        <v>0</v>
      </c>
      <c r="Y89" s="5">
        <f>IF(CreditAmort2BEST[[#This Row],[Month]]=AA$8,W$7,0)</f>
        <v>0</v>
      </c>
      <c r="Z89" s="13">
        <f>IF(AND(U89&gt;='Amort. Sched.-BEST'!$AA$8, U89&lt;= ($AA$7+$AA$8)), Z88+X89, 0)</f>
        <v>0</v>
      </c>
      <c r="AA89" s="6" t="str">
        <f>IF(AND(U89&gt;='Amort. Sched.-BEST'!$AA$8, U89&lt;= ($AA$7+$AA$8)), W89/V89, " ")</f>
        <v xml:space="preserve"> </v>
      </c>
      <c r="AB89" s="21" t="str">
        <f>IF(AND(U89&gt;='Amort. Sched.-BEST'!$AA$8, U89&lt;= ($AA$7+$AA$8)), X89/V89, " ")</f>
        <v xml:space="preserve"> </v>
      </c>
      <c r="AD89" s="20">
        <f t="shared" si="20"/>
        <v>78</v>
      </c>
      <c r="AE89" s="5">
        <f t="shared" si="21"/>
        <v>0</v>
      </c>
      <c r="AF89" s="5">
        <f t="shared" si="22"/>
        <v>0</v>
      </c>
      <c r="AG89" s="5">
        <f t="shared" si="23"/>
        <v>0</v>
      </c>
      <c r="AH89" s="5">
        <f>IF(CreditAmort3BEST[[#This Row],[Month]]=AJ$8,AF$7,0)</f>
        <v>0</v>
      </c>
      <c r="AI89" s="13">
        <f t="shared" si="24"/>
        <v>0</v>
      </c>
      <c r="AJ89" s="6" t="str">
        <f t="shared" si="25"/>
        <v xml:space="preserve"> </v>
      </c>
      <c r="AK89" s="21" t="str">
        <f t="shared" si="26"/>
        <v xml:space="preserve"> </v>
      </c>
      <c r="AM89" s="20">
        <f t="shared" si="27"/>
        <v>78</v>
      </c>
      <c r="AN89" s="5">
        <f t="shared" si="28"/>
        <v>0</v>
      </c>
      <c r="AO89" s="5">
        <f t="shared" si="29"/>
        <v>0</v>
      </c>
      <c r="AP89" s="5">
        <f t="shared" si="30"/>
        <v>0</v>
      </c>
      <c r="AQ89" s="5">
        <f>IF(CreditAmort4BEST[[#This Row],[Month]]=AS$8,AO$7,0)</f>
        <v>0</v>
      </c>
      <c r="AR89" s="13">
        <f t="shared" si="31"/>
        <v>0</v>
      </c>
      <c r="AS89" s="6" t="str">
        <f t="shared" si="32"/>
        <v xml:space="preserve"> </v>
      </c>
      <c r="AT89" s="21" t="str">
        <f t="shared" si="33"/>
        <v xml:space="preserve"> </v>
      </c>
    </row>
    <row r="90" spans="3:46">
      <c r="C90" s="22">
        <f t="shared" si="18"/>
        <v>79</v>
      </c>
      <c r="D90" s="23">
        <f>IF(AND(C90&gt;='Amort. Sched.-BEST'!$I$8, C90&lt;= ($I$7+$I$8)), PMT('Amort. Sched.-BEST'!$E$8/12, 'Amort. Sched.-BEST'!$I$7, 'Amort. Sched.-BEST'!$E$7), 0)</f>
        <v>-1350.6783839027553</v>
      </c>
      <c r="E90" s="5">
        <f>IF(AND(C90&gt;='Amort. Sched.-BEST'!$I$8, C90&lt;= ($I$7+$I$8)), (IPMT($E$8/12, (C90-$I$8), $I$7, $E$7)), 0)</f>
        <v>-1041.6992433650796</v>
      </c>
      <c r="F90" s="23">
        <f>IF(AND(C90&gt;='Amort. Sched.-BEST'!$I$8, C90&lt;= ($I$7+$I$8)), (PPMT($E$8/12, (C90-$I$8), $I$7, $E$7)), 0)</f>
        <v>-308.97914053767585</v>
      </c>
      <c r="G90" s="5">
        <f>IF(MortgageAmortBEST[[#This Row],[Month]]=I$8,E$7,0)</f>
        <v>0</v>
      </c>
      <c r="H90" s="13">
        <f>IF(AND(C90&gt;='Amort. Sched.-BEST'!$I$8, C90&lt;= ($I$7+$I$8)), H89+F90, 0)</f>
        <v>155945.90736422426</v>
      </c>
      <c r="I90" s="24">
        <f>IF(AND(C90&gt;='Amort. Sched.-BEST'!$I$8, C90&lt;= ($I$7+$I$8)), E90/D90, " ")</f>
        <v>0.77124151521186912</v>
      </c>
      <c r="J90" s="25">
        <f>IF(AND(C90&gt;='Amort. Sched.-BEST'!$I$8, C90&lt;= ($I$7+$I$8)), F90/D90, " ")</f>
        <v>0.22875848478813102</v>
      </c>
      <c r="L90" s="20">
        <f t="shared" si="17"/>
        <v>79</v>
      </c>
      <c r="M90" s="5">
        <f>IF(AND(L90&gt;='Amort. Sched.-BEST'!$R$8, L90&lt;= ($R$7+$R$8)), PMT('Amort. Sched.-BEST'!$N$8/12, 'Amort. Sched.-BEST'!$R$7, 'Amort. Sched.-BEST'!$N$7), 0)</f>
        <v>0</v>
      </c>
      <c r="N90" s="5">
        <f>IF(AND(L90&gt;='Amort. Sched.-BEST'!$R$8, L90&lt;= ($R$7+$R$8)), (IPMT($N$8/12, (L90-$R$8), $R$7, $N$7)), 0)</f>
        <v>0</v>
      </c>
      <c r="O90" s="5">
        <f>IF(AND(L90&gt;='Amort. Sched.-BEST'!$R$8, L90&lt;= ($R$7+$R$8)), (PPMT($N$8/12, (L90-$R$8), $R$7, $N$7)), 0)</f>
        <v>0</v>
      </c>
      <c r="P90" s="5">
        <f>IF(CreditAmort1BEST[[#This Row],[Month]]=R$8,N$7,0)</f>
        <v>0</v>
      </c>
      <c r="Q90" s="13">
        <f>IF(AND(L90&gt;='Amort. Sched.-BEST'!$R$8, L90&lt;= ($R$7+$R$8)), Q89+O90, 0)</f>
        <v>0</v>
      </c>
      <c r="R90" s="6" t="str">
        <f>IF(AND(L90&gt;='Amort. Sched.-BEST'!$R$8, L90&lt;= ($R$7+$R$8)), N90/M90, " ")</f>
        <v xml:space="preserve"> </v>
      </c>
      <c r="S90" s="21" t="str">
        <f>IF(AND(L90&gt;='Amort. Sched.-BEST'!$R$8, L90&lt;= ($R$7+$R$8)), O90/M90, " ")</f>
        <v xml:space="preserve"> </v>
      </c>
      <c r="U90" s="20">
        <f t="shared" si="19"/>
        <v>79</v>
      </c>
      <c r="V90" s="5">
        <f>IF(AND(U90&gt;='Amort. Sched.-BEST'!$AA$8, U90&lt;= ($AA$7+$AA$8)), PMT('Amort. Sched.-BEST'!$W$8/12, 'Amort. Sched.-BEST'!$AA$7, 'Amort. Sched.-BEST'!$W$7), 0)</f>
        <v>0</v>
      </c>
      <c r="W90" s="5">
        <f>IF(AND(U90&gt;='Amort. Sched.-BEST'!$AA$8, U90&lt;= ($AA$7+$AA$8)), (IPMT($W$8/12, (U90-$AA$8), $AA$7, $W$7)), 0)</f>
        <v>0</v>
      </c>
      <c r="X90" s="5">
        <f>IF(AND(U90&gt;='Amort. Sched.-BEST'!$AA$8, U90&lt;= ($AA$7+$AA$8)), (PPMT($W$8/12, (U90-$AA$8), $AA$7, $W$7)), 0)</f>
        <v>0</v>
      </c>
      <c r="Y90" s="5">
        <f>IF(CreditAmort2BEST[[#This Row],[Month]]=AA$8,W$7,0)</f>
        <v>0</v>
      </c>
      <c r="Z90" s="13">
        <f>IF(AND(U90&gt;='Amort. Sched.-BEST'!$AA$8, U90&lt;= ($AA$7+$AA$8)), Z89+X90, 0)</f>
        <v>0</v>
      </c>
      <c r="AA90" s="6" t="str">
        <f>IF(AND(U90&gt;='Amort. Sched.-BEST'!$AA$8, U90&lt;= ($AA$7+$AA$8)), W90/V90, " ")</f>
        <v xml:space="preserve"> </v>
      </c>
      <c r="AB90" s="21" t="str">
        <f>IF(AND(U90&gt;='Amort. Sched.-BEST'!$AA$8, U90&lt;= ($AA$7+$AA$8)), X90/V90, " ")</f>
        <v xml:space="preserve"> </v>
      </c>
      <c r="AD90" s="20">
        <f t="shared" si="20"/>
        <v>79</v>
      </c>
      <c r="AE90" s="5">
        <f t="shared" si="21"/>
        <v>0</v>
      </c>
      <c r="AF90" s="5">
        <f t="shared" si="22"/>
        <v>0</v>
      </c>
      <c r="AG90" s="5">
        <f t="shared" si="23"/>
        <v>0</v>
      </c>
      <c r="AH90" s="5">
        <f>IF(CreditAmort3BEST[[#This Row],[Month]]=AJ$8,AF$7,0)</f>
        <v>0</v>
      </c>
      <c r="AI90" s="13">
        <f t="shared" si="24"/>
        <v>0</v>
      </c>
      <c r="AJ90" s="6" t="str">
        <f t="shared" si="25"/>
        <v xml:space="preserve"> </v>
      </c>
      <c r="AK90" s="21" t="str">
        <f t="shared" si="26"/>
        <v xml:space="preserve"> </v>
      </c>
      <c r="AM90" s="20">
        <f t="shared" si="27"/>
        <v>79</v>
      </c>
      <c r="AN90" s="5">
        <f t="shared" si="28"/>
        <v>0</v>
      </c>
      <c r="AO90" s="5">
        <f t="shared" si="29"/>
        <v>0</v>
      </c>
      <c r="AP90" s="5">
        <f t="shared" si="30"/>
        <v>0</v>
      </c>
      <c r="AQ90" s="5">
        <f>IF(CreditAmort4BEST[[#This Row],[Month]]=AS$8,AO$7,0)</f>
        <v>0</v>
      </c>
      <c r="AR90" s="13">
        <f t="shared" si="31"/>
        <v>0</v>
      </c>
      <c r="AS90" s="6" t="str">
        <f t="shared" si="32"/>
        <v xml:space="preserve"> </v>
      </c>
      <c r="AT90" s="21" t="str">
        <f t="shared" si="33"/>
        <v xml:space="preserve"> </v>
      </c>
    </row>
    <row r="91" spans="3:46">
      <c r="C91" s="22">
        <f t="shared" si="18"/>
        <v>80</v>
      </c>
      <c r="D91" s="23">
        <f>IF(AND(C91&gt;='Amort. Sched.-BEST'!$I$8, C91&lt;= ($I$7+$I$8)), PMT('Amort. Sched.-BEST'!$E$8/12, 'Amort. Sched.-BEST'!$I$7, 'Amort. Sched.-BEST'!$E$7), 0)</f>
        <v>-1350.6783839027553</v>
      </c>
      <c r="E91" s="5">
        <f>IF(AND(C91&gt;='Amort. Sched.-BEST'!$I$8, C91&lt;= ($I$7+$I$8)), (IPMT($E$8/12, (C91-$I$8), $I$7, $E$7)), 0)</f>
        <v>-1039.6393824281615</v>
      </c>
      <c r="F91" s="23">
        <f>IF(AND(C91&gt;='Amort. Sched.-BEST'!$I$8, C91&lt;= ($I$7+$I$8)), (PPMT($E$8/12, (C91-$I$8), $I$7, $E$7)), 0)</f>
        <v>-311.0390014745937</v>
      </c>
      <c r="G91" s="5">
        <f>IF(MortgageAmortBEST[[#This Row],[Month]]=I$8,E$7,0)</f>
        <v>0</v>
      </c>
      <c r="H91" s="13">
        <f>IF(AND(C91&gt;='Amort. Sched.-BEST'!$I$8, C91&lt;= ($I$7+$I$8)), H90+F91, 0)</f>
        <v>155634.86836274966</v>
      </c>
      <c r="I91" s="24">
        <f>IF(AND(C91&gt;='Amort. Sched.-BEST'!$I$8, C91&lt;= ($I$7+$I$8)), E91/D91, " ")</f>
        <v>0.76971645864661475</v>
      </c>
      <c r="J91" s="25">
        <f>IF(AND(C91&gt;='Amort. Sched.-BEST'!$I$8, C91&lt;= ($I$7+$I$8)), F91/D91, " ")</f>
        <v>0.23028354135338525</v>
      </c>
      <c r="L91" s="20">
        <f t="shared" si="17"/>
        <v>80</v>
      </c>
      <c r="M91" s="5">
        <f>IF(AND(L91&gt;='Amort. Sched.-BEST'!$R$8, L91&lt;= ($R$7+$R$8)), PMT('Amort. Sched.-BEST'!$N$8/12, 'Amort. Sched.-BEST'!$R$7, 'Amort. Sched.-BEST'!$N$7), 0)</f>
        <v>0</v>
      </c>
      <c r="N91" s="5">
        <f>IF(AND(L91&gt;='Amort. Sched.-BEST'!$R$8, L91&lt;= ($R$7+$R$8)), (IPMT($N$8/12, (L91-$R$8), $R$7, $N$7)), 0)</f>
        <v>0</v>
      </c>
      <c r="O91" s="5">
        <f>IF(AND(L91&gt;='Amort. Sched.-BEST'!$R$8, L91&lt;= ($R$7+$R$8)), (PPMT($N$8/12, (L91-$R$8), $R$7, $N$7)), 0)</f>
        <v>0</v>
      </c>
      <c r="P91" s="5">
        <f>IF(CreditAmort1BEST[[#This Row],[Month]]=R$8,N$7,0)</f>
        <v>0</v>
      </c>
      <c r="Q91" s="13">
        <f>IF(AND(L91&gt;='Amort. Sched.-BEST'!$R$8, L91&lt;= ($R$7+$R$8)), Q90+O91, 0)</f>
        <v>0</v>
      </c>
      <c r="R91" s="6" t="str">
        <f>IF(AND(L91&gt;='Amort. Sched.-BEST'!$R$8, L91&lt;= ($R$7+$R$8)), N91/M91, " ")</f>
        <v xml:space="preserve"> </v>
      </c>
      <c r="S91" s="21" t="str">
        <f>IF(AND(L91&gt;='Amort. Sched.-BEST'!$R$8, L91&lt;= ($R$7+$R$8)), O91/M91, " ")</f>
        <v xml:space="preserve"> </v>
      </c>
      <c r="U91" s="20">
        <f t="shared" si="19"/>
        <v>80</v>
      </c>
      <c r="V91" s="5">
        <f>IF(AND(U91&gt;='Amort. Sched.-BEST'!$AA$8, U91&lt;= ($AA$7+$AA$8)), PMT('Amort. Sched.-BEST'!$W$8/12, 'Amort. Sched.-BEST'!$AA$7, 'Amort. Sched.-BEST'!$W$7), 0)</f>
        <v>0</v>
      </c>
      <c r="W91" s="5">
        <f>IF(AND(U91&gt;='Amort. Sched.-BEST'!$AA$8, U91&lt;= ($AA$7+$AA$8)), (IPMT($W$8/12, (U91-$AA$8), $AA$7, $W$7)), 0)</f>
        <v>0</v>
      </c>
      <c r="X91" s="5">
        <f>IF(AND(U91&gt;='Amort. Sched.-BEST'!$AA$8, U91&lt;= ($AA$7+$AA$8)), (PPMT($W$8/12, (U91-$AA$8), $AA$7, $W$7)), 0)</f>
        <v>0</v>
      </c>
      <c r="Y91" s="5">
        <f>IF(CreditAmort2BEST[[#This Row],[Month]]=AA$8,W$7,0)</f>
        <v>0</v>
      </c>
      <c r="Z91" s="13">
        <f>IF(AND(U91&gt;='Amort. Sched.-BEST'!$AA$8, U91&lt;= ($AA$7+$AA$8)), Z90+X91, 0)</f>
        <v>0</v>
      </c>
      <c r="AA91" s="6" t="str">
        <f>IF(AND(U91&gt;='Amort. Sched.-BEST'!$AA$8, U91&lt;= ($AA$7+$AA$8)), W91/V91, " ")</f>
        <v xml:space="preserve"> </v>
      </c>
      <c r="AB91" s="21" t="str">
        <f>IF(AND(U91&gt;='Amort. Sched.-BEST'!$AA$8, U91&lt;= ($AA$7+$AA$8)), X91/V91, " ")</f>
        <v xml:space="preserve"> </v>
      </c>
      <c r="AD91" s="20">
        <f t="shared" si="20"/>
        <v>80</v>
      </c>
      <c r="AE91" s="5">
        <f t="shared" si="21"/>
        <v>0</v>
      </c>
      <c r="AF91" s="5">
        <f t="shared" si="22"/>
        <v>0</v>
      </c>
      <c r="AG91" s="5">
        <f t="shared" si="23"/>
        <v>0</v>
      </c>
      <c r="AH91" s="5">
        <f>IF(CreditAmort3BEST[[#This Row],[Month]]=AJ$8,AF$7,0)</f>
        <v>0</v>
      </c>
      <c r="AI91" s="13">
        <f t="shared" si="24"/>
        <v>0</v>
      </c>
      <c r="AJ91" s="6" t="str">
        <f t="shared" si="25"/>
        <v xml:space="preserve"> </v>
      </c>
      <c r="AK91" s="21" t="str">
        <f t="shared" si="26"/>
        <v xml:space="preserve"> </v>
      </c>
      <c r="AM91" s="20">
        <f t="shared" si="27"/>
        <v>80</v>
      </c>
      <c r="AN91" s="5">
        <f t="shared" si="28"/>
        <v>0</v>
      </c>
      <c r="AO91" s="5">
        <f t="shared" si="29"/>
        <v>0</v>
      </c>
      <c r="AP91" s="5">
        <f t="shared" si="30"/>
        <v>0</v>
      </c>
      <c r="AQ91" s="5">
        <f>IF(CreditAmort4BEST[[#This Row],[Month]]=AS$8,AO$7,0)</f>
        <v>0</v>
      </c>
      <c r="AR91" s="13">
        <f t="shared" si="31"/>
        <v>0</v>
      </c>
      <c r="AS91" s="6" t="str">
        <f t="shared" si="32"/>
        <v xml:space="preserve"> </v>
      </c>
      <c r="AT91" s="21" t="str">
        <f t="shared" si="33"/>
        <v xml:space="preserve"> </v>
      </c>
    </row>
    <row r="92" spans="3:46">
      <c r="C92" s="22">
        <f t="shared" si="18"/>
        <v>81</v>
      </c>
      <c r="D92" s="23">
        <f>IF(AND(C92&gt;='Amort. Sched.-BEST'!$I$8, C92&lt;= ($I$7+$I$8)), PMT('Amort. Sched.-BEST'!$E$8/12, 'Amort. Sched.-BEST'!$I$7, 'Amort. Sched.-BEST'!$E$7), 0)</f>
        <v>-1350.6783839027553</v>
      </c>
      <c r="E92" s="5">
        <f>IF(AND(C92&gt;='Amort. Sched.-BEST'!$I$8, C92&lt;= ($I$7+$I$8)), (IPMT($E$8/12, (C92-$I$8), $I$7, $E$7)), 0)</f>
        <v>-1037.5657890849977</v>
      </c>
      <c r="F92" s="23">
        <f>IF(AND(C92&gt;='Amort. Sched.-BEST'!$I$8, C92&lt;= ($I$7+$I$8)), (PPMT($E$8/12, (C92-$I$8), $I$7, $E$7)), 0)</f>
        <v>-313.11259481775778</v>
      </c>
      <c r="G92" s="5">
        <f>IF(MortgageAmortBEST[[#This Row],[Month]]=I$8,E$7,0)</f>
        <v>0</v>
      </c>
      <c r="H92" s="13">
        <f>IF(AND(C92&gt;='Amort. Sched.-BEST'!$I$8, C92&lt;= ($I$7+$I$8)), H91+F92, 0)</f>
        <v>155321.7557679319</v>
      </c>
      <c r="I92" s="24">
        <f>IF(AND(C92&gt;='Amort. Sched.-BEST'!$I$8, C92&lt;= ($I$7+$I$8)), E92/D92, " ")</f>
        <v>0.76818123503759228</v>
      </c>
      <c r="J92" s="25">
        <f>IF(AND(C92&gt;='Amort. Sched.-BEST'!$I$8, C92&lt;= ($I$7+$I$8)), F92/D92, " ")</f>
        <v>0.23181876496240791</v>
      </c>
      <c r="L92" s="20">
        <f t="shared" si="17"/>
        <v>81</v>
      </c>
      <c r="M92" s="5">
        <f>IF(AND(L92&gt;='Amort. Sched.-BEST'!$R$8, L92&lt;= ($R$7+$R$8)), PMT('Amort. Sched.-BEST'!$N$8/12, 'Amort. Sched.-BEST'!$R$7, 'Amort. Sched.-BEST'!$N$7), 0)</f>
        <v>0</v>
      </c>
      <c r="N92" s="5">
        <f>IF(AND(L92&gt;='Amort. Sched.-BEST'!$R$8, L92&lt;= ($R$7+$R$8)), (IPMT($N$8/12, (L92-$R$8), $R$7, $N$7)), 0)</f>
        <v>0</v>
      </c>
      <c r="O92" s="5">
        <f>IF(AND(L92&gt;='Amort. Sched.-BEST'!$R$8, L92&lt;= ($R$7+$R$8)), (PPMT($N$8/12, (L92-$R$8), $R$7, $N$7)), 0)</f>
        <v>0</v>
      </c>
      <c r="P92" s="5">
        <f>IF(CreditAmort1BEST[[#This Row],[Month]]=R$8,N$7,0)</f>
        <v>0</v>
      </c>
      <c r="Q92" s="13">
        <f>IF(AND(L92&gt;='Amort. Sched.-BEST'!$R$8, L92&lt;= ($R$7+$R$8)), Q91+O92, 0)</f>
        <v>0</v>
      </c>
      <c r="R92" s="6" t="str">
        <f>IF(AND(L92&gt;='Amort. Sched.-BEST'!$R$8, L92&lt;= ($R$7+$R$8)), N92/M92, " ")</f>
        <v xml:space="preserve"> </v>
      </c>
      <c r="S92" s="21" t="str">
        <f>IF(AND(L92&gt;='Amort. Sched.-BEST'!$R$8, L92&lt;= ($R$7+$R$8)), O92/M92, " ")</f>
        <v xml:space="preserve"> </v>
      </c>
      <c r="U92" s="20">
        <f t="shared" si="19"/>
        <v>81</v>
      </c>
      <c r="V92" s="5">
        <f>IF(AND(U92&gt;='Amort. Sched.-BEST'!$AA$8, U92&lt;= ($AA$7+$AA$8)), PMT('Amort. Sched.-BEST'!$W$8/12, 'Amort. Sched.-BEST'!$AA$7, 'Amort. Sched.-BEST'!$W$7), 0)</f>
        <v>0</v>
      </c>
      <c r="W92" s="5">
        <f>IF(AND(U92&gt;='Amort. Sched.-BEST'!$AA$8, U92&lt;= ($AA$7+$AA$8)), (IPMT($W$8/12, (U92-$AA$8), $AA$7, $W$7)), 0)</f>
        <v>0</v>
      </c>
      <c r="X92" s="5">
        <f>IF(AND(U92&gt;='Amort. Sched.-BEST'!$AA$8, U92&lt;= ($AA$7+$AA$8)), (PPMT($W$8/12, (U92-$AA$8), $AA$7, $W$7)), 0)</f>
        <v>0</v>
      </c>
      <c r="Y92" s="5">
        <f>IF(CreditAmort2BEST[[#This Row],[Month]]=AA$8,W$7,0)</f>
        <v>0</v>
      </c>
      <c r="Z92" s="13">
        <f>IF(AND(U92&gt;='Amort. Sched.-BEST'!$AA$8, U92&lt;= ($AA$7+$AA$8)), Z91+X92, 0)</f>
        <v>0</v>
      </c>
      <c r="AA92" s="6" t="str">
        <f>IF(AND(U92&gt;='Amort. Sched.-BEST'!$AA$8, U92&lt;= ($AA$7+$AA$8)), W92/V92, " ")</f>
        <v xml:space="preserve"> </v>
      </c>
      <c r="AB92" s="21" t="str">
        <f>IF(AND(U92&gt;='Amort. Sched.-BEST'!$AA$8, U92&lt;= ($AA$7+$AA$8)), X92/V92, " ")</f>
        <v xml:space="preserve"> </v>
      </c>
      <c r="AD92" s="20">
        <f t="shared" si="20"/>
        <v>81</v>
      </c>
      <c r="AE92" s="5">
        <f t="shared" si="21"/>
        <v>0</v>
      </c>
      <c r="AF92" s="5">
        <f t="shared" si="22"/>
        <v>0</v>
      </c>
      <c r="AG92" s="5">
        <f t="shared" si="23"/>
        <v>0</v>
      </c>
      <c r="AH92" s="5">
        <f>IF(CreditAmort3BEST[[#This Row],[Month]]=AJ$8,AF$7,0)</f>
        <v>0</v>
      </c>
      <c r="AI92" s="13">
        <f t="shared" si="24"/>
        <v>0</v>
      </c>
      <c r="AJ92" s="6" t="str">
        <f t="shared" si="25"/>
        <v xml:space="preserve"> </v>
      </c>
      <c r="AK92" s="21" t="str">
        <f t="shared" si="26"/>
        <v xml:space="preserve"> </v>
      </c>
      <c r="AM92" s="20">
        <f t="shared" si="27"/>
        <v>81</v>
      </c>
      <c r="AN92" s="5">
        <f t="shared" si="28"/>
        <v>0</v>
      </c>
      <c r="AO92" s="5">
        <f t="shared" si="29"/>
        <v>0</v>
      </c>
      <c r="AP92" s="5">
        <f t="shared" si="30"/>
        <v>0</v>
      </c>
      <c r="AQ92" s="5">
        <f>IF(CreditAmort4BEST[[#This Row],[Month]]=AS$8,AO$7,0)</f>
        <v>0</v>
      </c>
      <c r="AR92" s="13">
        <f t="shared" si="31"/>
        <v>0</v>
      </c>
      <c r="AS92" s="6" t="str">
        <f t="shared" si="32"/>
        <v xml:space="preserve"> </v>
      </c>
      <c r="AT92" s="21" t="str">
        <f t="shared" si="33"/>
        <v xml:space="preserve"> </v>
      </c>
    </row>
    <row r="93" spans="3:46">
      <c r="C93" s="22">
        <f t="shared" si="18"/>
        <v>82</v>
      </c>
      <c r="D93" s="23">
        <f>IF(AND(C93&gt;='Amort. Sched.-BEST'!$I$8, C93&lt;= ($I$7+$I$8)), PMT('Amort. Sched.-BEST'!$E$8/12, 'Amort. Sched.-BEST'!$I$7, 'Amort. Sched.-BEST'!$E$7), 0)</f>
        <v>-1350.6783839027553</v>
      </c>
      <c r="E93" s="5">
        <f>IF(AND(C93&gt;='Amort. Sched.-BEST'!$I$8, C93&lt;= ($I$7+$I$8)), (IPMT($E$8/12, (C93-$I$8), $I$7, $E$7)), 0)</f>
        <v>-1035.4783717862126</v>
      </c>
      <c r="F93" s="23">
        <f>IF(AND(C93&gt;='Amort. Sched.-BEST'!$I$8, C93&lt;= ($I$7+$I$8)), (PPMT($E$8/12, (C93-$I$8), $I$7, $E$7)), 0)</f>
        <v>-315.20001211654278</v>
      </c>
      <c r="G93" s="5">
        <f>IF(MortgageAmortBEST[[#This Row],[Month]]=I$8,E$7,0)</f>
        <v>0</v>
      </c>
      <c r="H93" s="13">
        <f>IF(AND(C93&gt;='Amort. Sched.-BEST'!$I$8, C93&lt;= ($I$7+$I$8)), H92+F93, 0)</f>
        <v>155006.55575581535</v>
      </c>
      <c r="I93" s="24">
        <f>IF(AND(C93&gt;='Amort. Sched.-BEST'!$I$8, C93&lt;= ($I$7+$I$8)), E93/D93, " ")</f>
        <v>0.76663577660450954</v>
      </c>
      <c r="J93" s="25">
        <f>IF(AND(C93&gt;='Amort. Sched.-BEST'!$I$8, C93&lt;= ($I$7+$I$8)), F93/D93, " ")</f>
        <v>0.23336422339549059</v>
      </c>
      <c r="L93" s="20">
        <f t="shared" si="17"/>
        <v>82</v>
      </c>
      <c r="M93" s="5">
        <f>IF(AND(L93&gt;='Amort. Sched.-BEST'!$R$8, L93&lt;= ($R$7+$R$8)), PMT('Amort. Sched.-BEST'!$N$8/12, 'Amort. Sched.-BEST'!$R$7, 'Amort. Sched.-BEST'!$N$7), 0)</f>
        <v>0</v>
      </c>
      <c r="N93" s="5">
        <f>IF(AND(L93&gt;='Amort. Sched.-BEST'!$R$8, L93&lt;= ($R$7+$R$8)), (IPMT($N$8/12, (L93-$R$8), $R$7, $N$7)), 0)</f>
        <v>0</v>
      </c>
      <c r="O93" s="5">
        <f>IF(AND(L93&gt;='Amort. Sched.-BEST'!$R$8, L93&lt;= ($R$7+$R$8)), (PPMT($N$8/12, (L93-$R$8), $R$7, $N$7)), 0)</f>
        <v>0</v>
      </c>
      <c r="P93" s="5">
        <f>IF(CreditAmort1BEST[[#This Row],[Month]]=R$8,N$7,0)</f>
        <v>0</v>
      </c>
      <c r="Q93" s="13">
        <f>IF(AND(L93&gt;='Amort. Sched.-BEST'!$R$8, L93&lt;= ($R$7+$R$8)), Q92+O93, 0)</f>
        <v>0</v>
      </c>
      <c r="R93" s="6" t="str">
        <f>IF(AND(L93&gt;='Amort. Sched.-BEST'!$R$8, L93&lt;= ($R$7+$R$8)), N93/M93, " ")</f>
        <v xml:space="preserve"> </v>
      </c>
      <c r="S93" s="21" t="str">
        <f>IF(AND(L93&gt;='Amort. Sched.-BEST'!$R$8, L93&lt;= ($R$7+$R$8)), O93/M93, " ")</f>
        <v xml:space="preserve"> </v>
      </c>
      <c r="U93" s="20">
        <f t="shared" si="19"/>
        <v>82</v>
      </c>
      <c r="V93" s="5">
        <f>IF(AND(U93&gt;='Amort. Sched.-BEST'!$AA$8, U93&lt;= ($AA$7+$AA$8)), PMT('Amort. Sched.-BEST'!$W$8/12, 'Amort. Sched.-BEST'!$AA$7, 'Amort. Sched.-BEST'!$W$7), 0)</f>
        <v>0</v>
      </c>
      <c r="W93" s="5">
        <f>IF(AND(U93&gt;='Amort. Sched.-BEST'!$AA$8, U93&lt;= ($AA$7+$AA$8)), (IPMT($W$8/12, (U93-$AA$8), $AA$7, $W$7)), 0)</f>
        <v>0</v>
      </c>
      <c r="X93" s="5">
        <f>IF(AND(U93&gt;='Amort. Sched.-BEST'!$AA$8, U93&lt;= ($AA$7+$AA$8)), (PPMT($W$8/12, (U93-$AA$8), $AA$7, $W$7)), 0)</f>
        <v>0</v>
      </c>
      <c r="Y93" s="5">
        <f>IF(CreditAmort2BEST[[#This Row],[Month]]=AA$8,W$7,0)</f>
        <v>0</v>
      </c>
      <c r="Z93" s="13">
        <f>IF(AND(U93&gt;='Amort. Sched.-BEST'!$AA$8, U93&lt;= ($AA$7+$AA$8)), Z92+X93, 0)</f>
        <v>0</v>
      </c>
      <c r="AA93" s="6" t="str">
        <f>IF(AND(U93&gt;='Amort. Sched.-BEST'!$AA$8, U93&lt;= ($AA$7+$AA$8)), W93/V93, " ")</f>
        <v xml:space="preserve"> </v>
      </c>
      <c r="AB93" s="21" t="str">
        <f>IF(AND(U93&gt;='Amort. Sched.-BEST'!$AA$8, U93&lt;= ($AA$7+$AA$8)), X93/V93, " ")</f>
        <v xml:space="preserve"> </v>
      </c>
      <c r="AD93" s="20">
        <f t="shared" si="20"/>
        <v>82</v>
      </c>
      <c r="AE93" s="5">
        <f t="shared" si="21"/>
        <v>0</v>
      </c>
      <c r="AF93" s="5">
        <f t="shared" si="22"/>
        <v>0</v>
      </c>
      <c r="AG93" s="5">
        <f t="shared" si="23"/>
        <v>0</v>
      </c>
      <c r="AH93" s="5">
        <f>IF(CreditAmort3BEST[[#This Row],[Month]]=AJ$8,AF$7,0)</f>
        <v>0</v>
      </c>
      <c r="AI93" s="13">
        <f t="shared" si="24"/>
        <v>0</v>
      </c>
      <c r="AJ93" s="6" t="str">
        <f t="shared" si="25"/>
        <v xml:space="preserve"> </v>
      </c>
      <c r="AK93" s="21" t="str">
        <f t="shared" si="26"/>
        <v xml:space="preserve"> </v>
      </c>
      <c r="AM93" s="20">
        <f t="shared" si="27"/>
        <v>82</v>
      </c>
      <c r="AN93" s="5">
        <f t="shared" si="28"/>
        <v>0</v>
      </c>
      <c r="AO93" s="5">
        <f t="shared" si="29"/>
        <v>0</v>
      </c>
      <c r="AP93" s="5">
        <f t="shared" si="30"/>
        <v>0</v>
      </c>
      <c r="AQ93" s="5">
        <f>IF(CreditAmort4BEST[[#This Row],[Month]]=AS$8,AO$7,0)</f>
        <v>0</v>
      </c>
      <c r="AR93" s="13">
        <f t="shared" si="31"/>
        <v>0</v>
      </c>
      <c r="AS93" s="6" t="str">
        <f t="shared" si="32"/>
        <v xml:space="preserve"> </v>
      </c>
      <c r="AT93" s="21" t="str">
        <f t="shared" si="33"/>
        <v xml:space="preserve"> </v>
      </c>
    </row>
    <row r="94" spans="3:46">
      <c r="C94" s="22">
        <f t="shared" si="18"/>
        <v>83</v>
      </c>
      <c r="D94" s="23">
        <f>IF(AND(C94&gt;='Amort. Sched.-BEST'!$I$8, C94&lt;= ($I$7+$I$8)), PMT('Amort. Sched.-BEST'!$E$8/12, 'Amort. Sched.-BEST'!$I$7, 'Amort. Sched.-BEST'!$E$7), 0)</f>
        <v>-1350.6783839027553</v>
      </c>
      <c r="E94" s="5">
        <f>IF(AND(C94&gt;='Amort. Sched.-BEST'!$I$8, C94&lt;= ($I$7+$I$8)), (IPMT($E$8/12, (C94-$I$8), $I$7, $E$7)), 0)</f>
        <v>-1033.3770383721023</v>
      </c>
      <c r="F94" s="23">
        <f>IF(AND(C94&gt;='Amort. Sched.-BEST'!$I$8, C94&lt;= ($I$7+$I$8)), (PPMT($E$8/12, (C94-$I$8), $I$7, $E$7)), 0)</f>
        <v>-317.30134553065301</v>
      </c>
      <c r="G94" s="5">
        <f>IF(MortgageAmortBEST[[#This Row],[Month]]=I$8,E$7,0)</f>
        <v>0</v>
      </c>
      <c r="H94" s="13">
        <f>IF(AND(C94&gt;='Amort. Sched.-BEST'!$I$8, C94&lt;= ($I$7+$I$8)), H93+F94, 0)</f>
        <v>154689.25441028469</v>
      </c>
      <c r="I94" s="24">
        <f>IF(AND(C94&gt;='Amort. Sched.-BEST'!$I$8, C94&lt;= ($I$7+$I$8)), E94/D94, " ")</f>
        <v>0.76508001511520618</v>
      </c>
      <c r="J94" s="25">
        <f>IF(AND(C94&gt;='Amort. Sched.-BEST'!$I$8, C94&lt;= ($I$7+$I$8)), F94/D94, " ")</f>
        <v>0.23491998488479382</v>
      </c>
      <c r="L94" s="20">
        <f t="shared" si="17"/>
        <v>83</v>
      </c>
      <c r="M94" s="5">
        <f>IF(AND(L94&gt;='Amort. Sched.-BEST'!$R$8, L94&lt;= ($R$7+$R$8)), PMT('Amort. Sched.-BEST'!$N$8/12, 'Amort. Sched.-BEST'!$R$7, 'Amort. Sched.-BEST'!$N$7), 0)</f>
        <v>0</v>
      </c>
      <c r="N94" s="5">
        <f>IF(AND(L94&gt;='Amort. Sched.-BEST'!$R$8, L94&lt;= ($R$7+$R$8)), (IPMT($N$8/12, (L94-$R$8), $R$7, $N$7)), 0)</f>
        <v>0</v>
      </c>
      <c r="O94" s="5">
        <f>IF(AND(L94&gt;='Amort. Sched.-BEST'!$R$8, L94&lt;= ($R$7+$R$8)), (PPMT($N$8/12, (L94-$R$8), $R$7, $N$7)), 0)</f>
        <v>0</v>
      </c>
      <c r="P94" s="5">
        <f>IF(CreditAmort1BEST[[#This Row],[Month]]=R$8,N$7,0)</f>
        <v>0</v>
      </c>
      <c r="Q94" s="13">
        <f>IF(AND(L94&gt;='Amort. Sched.-BEST'!$R$8, L94&lt;= ($R$7+$R$8)), Q93+O94, 0)</f>
        <v>0</v>
      </c>
      <c r="R94" s="6" t="str">
        <f>IF(AND(L94&gt;='Amort. Sched.-BEST'!$R$8, L94&lt;= ($R$7+$R$8)), N94/M94, " ")</f>
        <v xml:space="preserve"> </v>
      </c>
      <c r="S94" s="21" t="str">
        <f>IF(AND(L94&gt;='Amort. Sched.-BEST'!$R$8, L94&lt;= ($R$7+$R$8)), O94/M94, " ")</f>
        <v xml:space="preserve"> </v>
      </c>
      <c r="U94" s="20">
        <f t="shared" si="19"/>
        <v>83</v>
      </c>
      <c r="V94" s="5">
        <f>IF(AND(U94&gt;='Amort. Sched.-BEST'!$AA$8, U94&lt;= ($AA$7+$AA$8)), PMT('Amort. Sched.-BEST'!$W$8/12, 'Amort. Sched.-BEST'!$AA$7, 'Amort. Sched.-BEST'!$W$7), 0)</f>
        <v>0</v>
      </c>
      <c r="W94" s="5">
        <f>IF(AND(U94&gt;='Amort. Sched.-BEST'!$AA$8, U94&lt;= ($AA$7+$AA$8)), (IPMT($W$8/12, (U94-$AA$8), $AA$7, $W$7)), 0)</f>
        <v>0</v>
      </c>
      <c r="X94" s="5">
        <f>IF(AND(U94&gt;='Amort. Sched.-BEST'!$AA$8, U94&lt;= ($AA$7+$AA$8)), (PPMT($W$8/12, (U94-$AA$8), $AA$7, $W$7)), 0)</f>
        <v>0</v>
      </c>
      <c r="Y94" s="5">
        <f>IF(CreditAmort2BEST[[#This Row],[Month]]=AA$8,W$7,0)</f>
        <v>0</v>
      </c>
      <c r="Z94" s="13">
        <f>IF(AND(U94&gt;='Amort. Sched.-BEST'!$AA$8, U94&lt;= ($AA$7+$AA$8)), Z93+X94, 0)</f>
        <v>0</v>
      </c>
      <c r="AA94" s="6" t="str">
        <f>IF(AND(U94&gt;='Amort. Sched.-BEST'!$AA$8, U94&lt;= ($AA$7+$AA$8)), W94/V94, " ")</f>
        <v xml:space="preserve"> </v>
      </c>
      <c r="AB94" s="21" t="str">
        <f>IF(AND(U94&gt;='Amort. Sched.-BEST'!$AA$8, U94&lt;= ($AA$7+$AA$8)), X94/V94, " ")</f>
        <v xml:space="preserve"> </v>
      </c>
      <c r="AD94" s="20">
        <f t="shared" si="20"/>
        <v>83</v>
      </c>
      <c r="AE94" s="5">
        <f t="shared" si="21"/>
        <v>0</v>
      </c>
      <c r="AF94" s="5">
        <f t="shared" si="22"/>
        <v>0</v>
      </c>
      <c r="AG94" s="5">
        <f t="shared" si="23"/>
        <v>0</v>
      </c>
      <c r="AH94" s="5">
        <f>IF(CreditAmort3BEST[[#This Row],[Month]]=AJ$8,AF$7,0)</f>
        <v>0</v>
      </c>
      <c r="AI94" s="13">
        <f t="shared" si="24"/>
        <v>0</v>
      </c>
      <c r="AJ94" s="6" t="str">
        <f t="shared" si="25"/>
        <v xml:space="preserve"> </v>
      </c>
      <c r="AK94" s="21" t="str">
        <f t="shared" si="26"/>
        <v xml:space="preserve"> </v>
      </c>
      <c r="AM94" s="20">
        <f t="shared" si="27"/>
        <v>83</v>
      </c>
      <c r="AN94" s="5">
        <f t="shared" si="28"/>
        <v>0</v>
      </c>
      <c r="AO94" s="5">
        <f t="shared" si="29"/>
        <v>0</v>
      </c>
      <c r="AP94" s="5">
        <f t="shared" si="30"/>
        <v>0</v>
      </c>
      <c r="AQ94" s="5">
        <f>IF(CreditAmort4BEST[[#This Row],[Month]]=AS$8,AO$7,0)</f>
        <v>0</v>
      </c>
      <c r="AR94" s="13">
        <f t="shared" si="31"/>
        <v>0</v>
      </c>
      <c r="AS94" s="6" t="str">
        <f t="shared" si="32"/>
        <v xml:space="preserve"> </v>
      </c>
      <c r="AT94" s="21" t="str">
        <f t="shared" si="33"/>
        <v xml:space="preserve"> </v>
      </c>
    </row>
    <row r="95" spans="3:46">
      <c r="C95" s="22">
        <f t="shared" si="18"/>
        <v>84</v>
      </c>
      <c r="D95" s="23">
        <f>IF(AND(C95&gt;='Amort. Sched.-BEST'!$I$8, C95&lt;= ($I$7+$I$8)), PMT('Amort. Sched.-BEST'!$E$8/12, 'Amort. Sched.-BEST'!$I$7, 'Amort. Sched.-BEST'!$E$7), 0)</f>
        <v>-1350.6783839027553</v>
      </c>
      <c r="E95" s="5">
        <f>IF(AND(C95&gt;='Amort. Sched.-BEST'!$I$8, C95&lt;= ($I$7+$I$8)), (IPMT($E$8/12, (C95-$I$8), $I$7, $E$7)), 0)</f>
        <v>-1031.2616960685646</v>
      </c>
      <c r="F95" s="23">
        <f>IF(AND(C95&gt;='Amort. Sched.-BEST'!$I$8, C95&lt;= ($I$7+$I$8)), (PPMT($E$8/12, (C95-$I$8), $I$7, $E$7)), 0)</f>
        <v>-319.41668783419072</v>
      </c>
      <c r="G95" s="5">
        <f>IF(MortgageAmortBEST[[#This Row],[Month]]=I$8,E$7,0)</f>
        <v>0</v>
      </c>
      <c r="H95" s="13">
        <f>IF(AND(C95&gt;='Amort. Sched.-BEST'!$I$8, C95&lt;= ($I$7+$I$8)), H94+F95, 0)</f>
        <v>154369.83772245049</v>
      </c>
      <c r="I95" s="24">
        <f>IF(AND(C95&gt;='Amort. Sched.-BEST'!$I$8, C95&lt;= ($I$7+$I$8)), E95/D95, " ")</f>
        <v>0.76351388188264091</v>
      </c>
      <c r="J95" s="25">
        <f>IF(AND(C95&gt;='Amort. Sched.-BEST'!$I$8, C95&lt;= ($I$7+$I$8)), F95/D95, " ")</f>
        <v>0.23648611811735912</v>
      </c>
      <c r="L95" s="20">
        <f t="shared" si="17"/>
        <v>84</v>
      </c>
      <c r="M95" s="5">
        <f>IF(AND(L95&gt;='Amort. Sched.-BEST'!$R$8, L95&lt;= ($R$7+$R$8)), PMT('Amort. Sched.-BEST'!$N$8/12, 'Amort. Sched.-BEST'!$R$7, 'Amort. Sched.-BEST'!$N$7), 0)</f>
        <v>0</v>
      </c>
      <c r="N95" s="5">
        <f>IF(AND(L95&gt;='Amort. Sched.-BEST'!$R$8, L95&lt;= ($R$7+$R$8)), (IPMT($N$8/12, (L95-$R$8), $R$7, $N$7)), 0)</f>
        <v>0</v>
      </c>
      <c r="O95" s="5">
        <f>IF(AND(L95&gt;='Amort. Sched.-BEST'!$R$8, L95&lt;= ($R$7+$R$8)), (PPMT($N$8/12, (L95-$R$8), $R$7, $N$7)), 0)</f>
        <v>0</v>
      </c>
      <c r="P95" s="5">
        <f>IF(CreditAmort1BEST[[#This Row],[Month]]=R$8,N$7,0)</f>
        <v>0</v>
      </c>
      <c r="Q95" s="13">
        <f>IF(AND(L95&gt;='Amort. Sched.-BEST'!$R$8, L95&lt;= ($R$7+$R$8)), Q94+O95, 0)</f>
        <v>0</v>
      </c>
      <c r="R95" s="6" t="str">
        <f>IF(AND(L95&gt;='Amort. Sched.-BEST'!$R$8, L95&lt;= ($R$7+$R$8)), N95/M95, " ")</f>
        <v xml:space="preserve"> </v>
      </c>
      <c r="S95" s="21" t="str">
        <f>IF(AND(L95&gt;='Amort. Sched.-BEST'!$R$8, L95&lt;= ($R$7+$R$8)), O95/M95, " ")</f>
        <v xml:space="preserve"> </v>
      </c>
      <c r="U95" s="20">
        <f t="shared" si="19"/>
        <v>84</v>
      </c>
      <c r="V95" s="5">
        <f>IF(AND(U95&gt;='Amort. Sched.-BEST'!$AA$8, U95&lt;= ($AA$7+$AA$8)), PMT('Amort. Sched.-BEST'!$W$8/12, 'Amort. Sched.-BEST'!$AA$7, 'Amort. Sched.-BEST'!$W$7), 0)</f>
        <v>0</v>
      </c>
      <c r="W95" s="5">
        <f>IF(AND(U95&gt;='Amort. Sched.-BEST'!$AA$8, U95&lt;= ($AA$7+$AA$8)), (IPMT($W$8/12, (U95-$AA$8), $AA$7, $W$7)), 0)</f>
        <v>0</v>
      </c>
      <c r="X95" s="5">
        <f>IF(AND(U95&gt;='Amort. Sched.-BEST'!$AA$8, U95&lt;= ($AA$7+$AA$8)), (PPMT($W$8/12, (U95-$AA$8), $AA$7, $W$7)), 0)</f>
        <v>0</v>
      </c>
      <c r="Y95" s="5">
        <f>IF(CreditAmort2BEST[[#This Row],[Month]]=AA$8,W$7,0)</f>
        <v>0</v>
      </c>
      <c r="Z95" s="13">
        <f>IF(AND(U95&gt;='Amort. Sched.-BEST'!$AA$8, U95&lt;= ($AA$7+$AA$8)), Z94+X95, 0)</f>
        <v>0</v>
      </c>
      <c r="AA95" s="6" t="str">
        <f>IF(AND(U95&gt;='Amort. Sched.-BEST'!$AA$8, U95&lt;= ($AA$7+$AA$8)), W95/V95, " ")</f>
        <v xml:space="preserve"> </v>
      </c>
      <c r="AB95" s="21" t="str">
        <f>IF(AND(U95&gt;='Amort. Sched.-BEST'!$AA$8, U95&lt;= ($AA$7+$AA$8)), X95/V95, " ")</f>
        <v xml:space="preserve"> </v>
      </c>
      <c r="AD95" s="20">
        <f t="shared" si="20"/>
        <v>84</v>
      </c>
      <c r="AE95" s="5">
        <f t="shared" si="21"/>
        <v>0</v>
      </c>
      <c r="AF95" s="5">
        <f t="shared" si="22"/>
        <v>0</v>
      </c>
      <c r="AG95" s="5">
        <f t="shared" si="23"/>
        <v>0</v>
      </c>
      <c r="AH95" s="5">
        <f>IF(CreditAmort3BEST[[#This Row],[Month]]=AJ$8,AF$7,0)</f>
        <v>0</v>
      </c>
      <c r="AI95" s="13">
        <f t="shared" si="24"/>
        <v>0</v>
      </c>
      <c r="AJ95" s="6" t="str">
        <f t="shared" si="25"/>
        <v xml:space="preserve"> </v>
      </c>
      <c r="AK95" s="21" t="str">
        <f t="shared" si="26"/>
        <v xml:space="preserve"> </v>
      </c>
      <c r="AM95" s="20">
        <f t="shared" si="27"/>
        <v>84</v>
      </c>
      <c r="AN95" s="5">
        <f t="shared" si="28"/>
        <v>0</v>
      </c>
      <c r="AO95" s="5">
        <f t="shared" si="29"/>
        <v>0</v>
      </c>
      <c r="AP95" s="5">
        <f t="shared" si="30"/>
        <v>0</v>
      </c>
      <c r="AQ95" s="5">
        <f>IF(CreditAmort4BEST[[#This Row],[Month]]=AS$8,AO$7,0)</f>
        <v>0</v>
      </c>
      <c r="AR95" s="13">
        <f t="shared" si="31"/>
        <v>0</v>
      </c>
      <c r="AS95" s="6" t="str">
        <f t="shared" si="32"/>
        <v xml:space="preserve"> </v>
      </c>
      <c r="AT95" s="21" t="str">
        <f t="shared" si="33"/>
        <v xml:space="preserve"> </v>
      </c>
    </row>
    <row r="96" spans="3:46">
      <c r="C96" s="22">
        <f t="shared" si="18"/>
        <v>85</v>
      </c>
      <c r="D96" s="23">
        <f>IF(AND(C96&gt;='Amort. Sched.-BEST'!$I$8, C96&lt;= ($I$7+$I$8)), PMT('Amort. Sched.-BEST'!$E$8/12, 'Amort. Sched.-BEST'!$I$7, 'Amort. Sched.-BEST'!$E$7), 0)</f>
        <v>-1350.6783839027553</v>
      </c>
      <c r="E96" s="5">
        <f>IF(AND(C96&gt;='Amort. Sched.-BEST'!$I$8, C96&lt;= ($I$7+$I$8)), (IPMT($E$8/12, (C96-$I$8), $I$7, $E$7)), 0)</f>
        <v>-1029.1322514830033</v>
      </c>
      <c r="F96" s="23">
        <f>IF(AND(C96&gt;='Amort. Sched.-BEST'!$I$8, C96&lt;= ($I$7+$I$8)), (PPMT($E$8/12, (C96-$I$8), $I$7, $E$7)), 0)</f>
        <v>-321.54613241975198</v>
      </c>
      <c r="G96" s="5">
        <f>IF(MortgageAmortBEST[[#This Row],[Month]]=I$8,E$7,0)</f>
        <v>0</v>
      </c>
      <c r="H96" s="13">
        <f>IF(AND(C96&gt;='Amort. Sched.-BEST'!$I$8, C96&lt;= ($I$7+$I$8)), H95+F96, 0)</f>
        <v>154048.29159003074</v>
      </c>
      <c r="I96" s="24">
        <f>IF(AND(C96&gt;='Amort. Sched.-BEST'!$I$8, C96&lt;= ($I$7+$I$8)), E96/D96, " ")</f>
        <v>0.76193730776185853</v>
      </c>
      <c r="J96" s="25">
        <f>IF(AND(C96&gt;='Amort. Sched.-BEST'!$I$8, C96&lt;= ($I$7+$I$8)), F96/D96, " ")</f>
        <v>0.23806269223814153</v>
      </c>
      <c r="L96" s="20">
        <f t="shared" si="17"/>
        <v>85</v>
      </c>
      <c r="M96" s="5">
        <f>IF(AND(L96&gt;='Amort. Sched.-BEST'!$R$8, L96&lt;= ($R$7+$R$8)), PMT('Amort. Sched.-BEST'!$N$8/12, 'Amort. Sched.-BEST'!$R$7, 'Amort. Sched.-BEST'!$N$7), 0)</f>
        <v>0</v>
      </c>
      <c r="N96" s="5">
        <f>IF(AND(L96&gt;='Amort. Sched.-BEST'!$R$8, L96&lt;= ($R$7+$R$8)), (IPMT($N$8/12, (L96-$R$8), $R$7, $N$7)), 0)</f>
        <v>0</v>
      </c>
      <c r="O96" s="5">
        <f>IF(AND(L96&gt;='Amort. Sched.-BEST'!$R$8, L96&lt;= ($R$7+$R$8)), (PPMT($N$8/12, (L96-$R$8), $R$7, $N$7)), 0)</f>
        <v>0</v>
      </c>
      <c r="P96" s="5">
        <f>IF(CreditAmort1BEST[[#This Row],[Month]]=R$8,N$7,0)</f>
        <v>0</v>
      </c>
      <c r="Q96" s="13">
        <f>IF(AND(L96&gt;='Amort. Sched.-BEST'!$R$8, L96&lt;= ($R$7+$R$8)), Q95+O96, 0)</f>
        <v>0</v>
      </c>
      <c r="R96" s="6" t="str">
        <f>IF(AND(L96&gt;='Amort. Sched.-BEST'!$R$8, L96&lt;= ($R$7+$R$8)), N96/M96, " ")</f>
        <v xml:space="preserve"> </v>
      </c>
      <c r="S96" s="21" t="str">
        <f>IF(AND(L96&gt;='Amort. Sched.-BEST'!$R$8, L96&lt;= ($R$7+$R$8)), O96/M96, " ")</f>
        <v xml:space="preserve"> </v>
      </c>
      <c r="U96" s="20">
        <f t="shared" si="19"/>
        <v>85</v>
      </c>
      <c r="V96" s="5">
        <f>IF(AND(U96&gt;='Amort. Sched.-BEST'!$AA$8, U96&lt;= ($AA$7+$AA$8)), PMT('Amort. Sched.-BEST'!$W$8/12, 'Amort. Sched.-BEST'!$AA$7, 'Amort. Sched.-BEST'!$W$7), 0)</f>
        <v>0</v>
      </c>
      <c r="W96" s="5">
        <f>IF(AND(U96&gt;='Amort. Sched.-BEST'!$AA$8, U96&lt;= ($AA$7+$AA$8)), (IPMT($W$8/12, (U96-$AA$8), $AA$7, $W$7)), 0)</f>
        <v>0</v>
      </c>
      <c r="X96" s="5">
        <f>IF(AND(U96&gt;='Amort. Sched.-BEST'!$AA$8, U96&lt;= ($AA$7+$AA$8)), (PPMT($W$8/12, (U96-$AA$8), $AA$7, $W$7)), 0)</f>
        <v>0</v>
      </c>
      <c r="Y96" s="5">
        <f>IF(CreditAmort2BEST[[#This Row],[Month]]=AA$8,W$7,0)</f>
        <v>0</v>
      </c>
      <c r="Z96" s="13">
        <f>IF(AND(U96&gt;='Amort. Sched.-BEST'!$AA$8, U96&lt;= ($AA$7+$AA$8)), Z95+X96, 0)</f>
        <v>0</v>
      </c>
      <c r="AA96" s="6" t="str">
        <f>IF(AND(U96&gt;='Amort. Sched.-BEST'!$AA$8, U96&lt;= ($AA$7+$AA$8)), W96/V96, " ")</f>
        <v xml:space="preserve"> </v>
      </c>
      <c r="AB96" s="21" t="str">
        <f>IF(AND(U96&gt;='Amort. Sched.-BEST'!$AA$8, U96&lt;= ($AA$7+$AA$8)), X96/V96, " ")</f>
        <v xml:space="preserve"> </v>
      </c>
      <c r="AD96" s="20">
        <f t="shared" si="20"/>
        <v>85</v>
      </c>
      <c r="AE96" s="5">
        <f t="shared" si="21"/>
        <v>0</v>
      </c>
      <c r="AF96" s="5">
        <f t="shared" si="22"/>
        <v>0</v>
      </c>
      <c r="AG96" s="5">
        <f t="shared" si="23"/>
        <v>0</v>
      </c>
      <c r="AH96" s="5">
        <f>IF(CreditAmort3BEST[[#This Row],[Month]]=AJ$8,AF$7,0)</f>
        <v>0</v>
      </c>
      <c r="AI96" s="13">
        <f t="shared" si="24"/>
        <v>0</v>
      </c>
      <c r="AJ96" s="6" t="str">
        <f t="shared" si="25"/>
        <v xml:space="preserve"> </v>
      </c>
      <c r="AK96" s="21" t="str">
        <f t="shared" si="26"/>
        <v xml:space="preserve"> </v>
      </c>
      <c r="AM96" s="20">
        <f t="shared" si="27"/>
        <v>85</v>
      </c>
      <c r="AN96" s="5">
        <f t="shared" si="28"/>
        <v>0</v>
      </c>
      <c r="AO96" s="5">
        <f t="shared" si="29"/>
        <v>0</v>
      </c>
      <c r="AP96" s="5">
        <f t="shared" si="30"/>
        <v>0</v>
      </c>
      <c r="AQ96" s="5">
        <f>IF(CreditAmort4BEST[[#This Row],[Month]]=AS$8,AO$7,0)</f>
        <v>0</v>
      </c>
      <c r="AR96" s="13">
        <f t="shared" si="31"/>
        <v>0</v>
      </c>
      <c r="AS96" s="6" t="str">
        <f t="shared" si="32"/>
        <v xml:space="preserve"> </v>
      </c>
      <c r="AT96" s="21" t="str">
        <f t="shared" si="33"/>
        <v xml:space="preserve"> </v>
      </c>
    </row>
    <row r="97" spans="3:46">
      <c r="C97" s="22">
        <f t="shared" si="18"/>
        <v>86</v>
      </c>
      <c r="D97" s="23">
        <f>IF(AND(C97&gt;='Amort. Sched.-BEST'!$I$8, C97&lt;= ($I$7+$I$8)), PMT('Amort. Sched.-BEST'!$E$8/12, 'Amort. Sched.-BEST'!$I$7, 'Amort. Sched.-BEST'!$E$7), 0)</f>
        <v>-1350.6783839027553</v>
      </c>
      <c r="E97" s="5">
        <f>IF(AND(C97&gt;='Amort. Sched.-BEST'!$I$8, C97&lt;= ($I$7+$I$8)), (IPMT($E$8/12, (C97-$I$8), $I$7, $E$7)), 0)</f>
        <v>-1026.988610600205</v>
      </c>
      <c r="F97" s="23">
        <f>IF(AND(C97&gt;='Amort. Sched.-BEST'!$I$8, C97&lt;= ($I$7+$I$8)), (PPMT($E$8/12, (C97-$I$8), $I$7, $E$7)), 0)</f>
        <v>-323.68977330255035</v>
      </c>
      <c r="G97" s="5">
        <f>IF(MortgageAmortBEST[[#This Row],[Month]]=I$8,E$7,0)</f>
        <v>0</v>
      </c>
      <c r="H97" s="13">
        <f>IF(AND(C97&gt;='Amort. Sched.-BEST'!$I$8, C97&lt;= ($I$7+$I$8)), H96+F97, 0)</f>
        <v>153724.60181672819</v>
      </c>
      <c r="I97" s="24">
        <f>IF(AND(C97&gt;='Amort. Sched.-BEST'!$I$8, C97&lt;= ($I$7+$I$8)), E97/D97, " ")</f>
        <v>0.76035022314693756</v>
      </c>
      <c r="J97" s="25">
        <f>IF(AND(C97&gt;='Amort. Sched.-BEST'!$I$8, C97&lt;= ($I$7+$I$8)), F97/D97, " ")</f>
        <v>0.23964977685306246</v>
      </c>
      <c r="L97" s="20">
        <f t="shared" si="17"/>
        <v>86</v>
      </c>
      <c r="M97" s="5">
        <f>IF(AND(L97&gt;='Amort. Sched.-BEST'!$R$8, L97&lt;= ($R$7+$R$8)), PMT('Amort. Sched.-BEST'!$N$8/12, 'Amort. Sched.-BEST'!$R$7, 'Amort. Sched.-BEST'!$N$7), 0)</f>
        <v>0</v>
      </c>
      <c r="N97" s="5">
        <f>IF(AND(L97&gt;='Amort. Sched.-BEST'!$R$8, L97&lt;= ($R$7+$R$8)), (IPMT($N$8/12, (L97-$R$8), $R$7, $N$7)), 0)</f>
        <v>0</v>
      </c>
      <c r="O97" s="5">
        <f>IF(AND(L97&gt;='Amort. Sched.-BEST'!$R$8, L97&lt;= ($R$7+$R$8)), (PPMT($N$8/12, (L97-$R$8), $R$7, $N$7)), 0)</f>
        <v>0</v>
      </c>
      <c r="P97" s="5">
        <f>IF(CreditAmort1BEST[[#This Row],[Month]]=R$8,N$7,0)</f>
        <v>0</v>
      </c>
      <c r="Q97" s="13">
        <f>IF(AND(L97&gt;='Amort. Sched.-BEST'!$R$8, L97&lt;= ($R$7+$R$8)), Q96+O97, 0)</f>
        <v>0</v>
      </c>
      <c r="R97" s="6" t="str">
        <f>IF(AND(L97&gt;='Amort. Sched.-BEST'!$R$8, L97&lt;= ($R$7+$R$8)), N97/M97, " ")</f>
        <v xml:space="preserve"> </v>
      </c>
      <c r="S97" s="21" t="str">
        <f>IF(AND(L97&gt;='Amort. Sched.-BEST'!$R$8, L97&lt;= ($R$7+$R$8)), O97/M97, " ")</f>
        <v xml:space="preserve"> </v>
      </c>
      <c r="U97" s="20">
        <f t="shared" si="19"/>
        <v>86</v>
      </c>
      <c r="V97" s="5">
        <f>IF(AND(U97&gt;='Amort. Sched.-BEST'!$AA$8, U97&lt;= ($AA$7+$AA$8)), PMT('Amort. Sched.-BEST'!$W$8/12, 'Amort. Sched.-BEST'!$AA$7, 'Amort. Sched.-BEST'!$W$7), 0)</f>
        <v>0</v>
      </c>
      <c r="W97" s="5">
        <f>IF(AND(U97&gt;='Amort. Sched.-BEST'!$AA$8, U97&lt;= ($AA$7+$AA$8)), (IPMT($W$8/12, (U97-$AA$8), $AA$7, $W$7)), 0)</f>
        <v>0</v>
      </c>
      <c r="X97" s="5">
        <f>IF(AND(U97&gt;='Amort. Sched.-BEST'!$AA$8, U97&lt;= ($AA$7+$AA$8)), (PPMT($W$8/12, (U97-$AA$8), $AA$7, $W$7)), 0)</f>
        <v>0</v>
      </c>
      <c r="Y97" s="5">
        <f>IF(CreditAmort2BEST[[#This Row],[Month]]=AA$8,W$7,0)</f>
        <v>0</v>
      </c>
      <c r="Z97" s="13">
        <f>IF(AND(U97&gt;='Amort. Sched.-BEST'!$AA$8, U97&lt;= ($AA$7+$AA$8)), Z96+X97, 0)</f>
        <v>0</v>
      </c>
      <c r="AA97" s="6" t="str">
        <f>IF(AND(U97&gt;='Amort. Sched.-BEST'!$AA$8, U97&lt;= ($AA$7+$AA$8)), W97/V97, " ")</f>
        <v xml:space="preserve"> </v>
      </c>
      <c r="AB97" s="21" t="str">
        <f>IF(AND(U97&gt;='Amort. Sched.-BEST'!$AA$8, U97&lt;= ($AA$7+$AA$8)), X97/V97, " ")</f>
        <v xml:space="preserve"> </v>
      </c>
      <c r="AD97" s="20">
        <f t="shared" si="20"/>
        <v>86</v>
      </c>
      <c r="AE97" s="5">
        <f t="shared" si="21"/>
        <v>0</v>
      </c>
      <c r="AF97" s="5">
        <f t="shared" si="22"/>
        <v>0</v>
      </c>
      <c r="AG97" s="5">
        <f t="shared" si="23"/>
        <v>0</v>
      </c>
      <c r="AH97" s="5">
        <f>IF(CreditAmort3BEST[[#This Row],[Month]]=AJ$8,AF$7,0)</f>
        <v>0</v>
      </c>
      <c r="AI97" s="13">
        <f t="shared" si="24"/>
        <v>0</v>
      </c>
      <c r="AJ97" s="6" t="str">
        <f t="shared" si="25"/>
        <v xml:space="preserve"> </v>
      </c>
      <c r="AK97" s="21" t="str">
        <f t="shared" si="26"/>
        <v xml:space="preserve"> </v>
      </c>
      <c r="AM97" s="20">
        <f t="shared" si="27"/>
        <v>86</v>
      </c>
      <c r="AN97" s="5">
        <f t="shared" si="28"/>
        <v>0</v>
      </c>
      <c r="AO97" s="5">
        <f t="shared" si="29"/>
        <v>0</v>
      </c>
      <c r="AP97" s="5">
        <f t="shared" si="30"/>
        <v>0</v>
      </c>
      <c r="AQ97" s="5">
        <f>IF(CreditAmort4BEST[[#This Row],[Month]]=AS$8,AO$7,0)</f>
        <v>0</v>
      </c>
      <c r="AR97" s="13">
        <f t="shared" si="31"/>
        <v>0</v>
      </c>
      <c r="AS97" s="6" t="str">
        <f t="shared" si="32"/>
        <v xml:space="preserve"> </v>
      </c>
      <c r="AT97" s="21" t="str">
        <f t="shared" si="33"/>
        <v xml:space="preserve"> </v>
      </c>
    </row>
    <row r="98" spans="3:46">
      <c r="C98" s="22">
        <f t="shared" si="18"/>
        <v>87</v>
      </c>
      <c r="D98" s="23">
        <f>IF(AND(C98&gt;='Amort. Sched.-BEST'!$I$8, C98&lt;= ($I$7+$I$8)), PMT('Amort. Sched.-BEST'!$E$8/12, 'Amort. Sched.-BEST'!$I$7, 'Amort. Sched.-BEST'!$E$7), 0)</f>
        <v>-1350.6783839027553</v>
      </c>
      <c r="E98" s="5">
        <f>IF(AND(C98&gt;='Amort. Sched.-BEST'!$I$8, C98&lt;= ($I$7+$I$8)), (IPMT($E$8/12, (C98-$I$8), $I$7, $E$7)), 0)</f>
        <v>-1024.830678778188</v>
      </c>
      <c r="F98" s="23">
        <f>IF(AND(C98&gt;='Amort. Sched.-BEST'!$I$8, C98&lt;= ($I$7+$I$8)), (PPMT($E$8/12, (C98-$I$8), $I$7, $E$7)), 0)</f>
        <v>-325.84770512456737</v>
      </c>
      <c r="G98" s="5">
        <f>IF(MortgageAmortBEST[[#This Row],[Month]]=I$8,E$7,0)</f>
        <v>0</v>
      </c>
      <c r="H98" s="13">
        <f>IF(AND(C98&gt;='Amort. Sched.-BEST'!$I$8, C98&lt;= ($I$7+$I$8)), H97+F98, 0)</f>
        <v>153398.75411160363</v>
      </c>
      <c r="I98" s="24">
        <f>IF(AND(C98&gt;='Amort. Sched.-BEST'!$I$8, C98&lt;= ($I$7+$I$8)), E98/D98, " ")</f>
        <v>0.75875255796791718</v>
      </c>
      <c r="J98" s="25">
        <f>IF(AND(C98&gt;='Amort. Sched.-BEST'!$I$8, C98&lt;= ($I$7+$I$8)), F98/D98, " ")</f>
        <v>0.2412474420320829</v>
      </c>
      <c r="L98" s="20">
        <f t="shared" si="17"/>
        <v>87</v>
      </c>
      <c r="M98" s="5">
        <f>IF(AND(L98&gt;='Amort. Sched.-BEST'!$R$8, L98&lt;= ($R$7+$R$8)), PMT('Amort. Sched.-BEST'!$N$8/12, 'Amort. Sched.-BEST'!$R$7, 'Amort. Sched.-BEST'!$N$7), 0)</f>
        <v>0</v>
      </c>
      <c r="N98" s="5">
        <f>IF(AND(L98&gt;='Amort. Sched.-BEST'!$R$8, L98&lt;= ($R$7+$R$8)), (IPMT($N$8/12, (L98-$R$8), $R$7, $N$7)), 0)</f>
        <v>0</v>
      </c>
      <c r="O98" s="5">
        <f>IF(AND(L98&gt;='Amort. Sched.-BEST'!$R$8, L98&lt;= ($R$7+$R$8)), (PPMT($N$8/12, (L98-$R$8), $R$7, $N$7)), 0)</f>
        <v>0</v>
      </c>
      <c r="P98" s="5">
        <f>IF(CreditAmort1BEST[[#This Row],[Month]]=R$8,N$7,0)</f>
        <v>0</v>
      </c>
      <c r="Q98" s="13">
        <f>IF(AND(L98&gt;='Amort. Sched.-BEST'!$R$8, L98&lt;= ($R$7+$R$8)), Q97+O98, 0)</f>
        <v>0</v>
      </c>
      <c r="R98" s="6" t="str">
        <f>IF(AND(L98&gt;='Amort. Sched.-BEST'!$R$8, L98&lt;= ($R$7+$R$8)), N98/M98, " ")</f>
        <v xml:space="preserve"> </v>
      </c>
      <c r="S98" s="21" t="str">
        <f>IF(AND(L98&gt;='Amort. Sched.-BEST'!$R$8, L98&lt;= ($R$7+$R$8)), O98/M98, " ")</f>
        <v xml:space="preserve"> </v>
      </c>
      <c r="U98" s="20">
        <f t="shared" si="19"/>
        <v>87</v>
      </c>
      <c r="V98" s="5">
        <f>IF(AND(U98&gt;='Amort. Sched.-BEST'!$AA$8, U98&lt;= ($AA$7+$AA$8)), PMT('Amort. Sched.-BEST'!$W$8/12, 'Amort. Sched.-BEST'!$AA$7, 'Amort. Sched.-BEST'!$W$7), 0)</f>
        <v>0</v>
      </c>
      <c r="W98" s="5">
        <f>IF(AND(U98&gt;='Amort. Sched.-BEST'!$AA$8, U98&lt;= ($AA$7+$AA$8)), (IPMT($W$8/12, (U98-$AA$8), $AA$7, $W$7)), 0)</f>
        <v>0</v>
      </c>
      <c r="X98" s="5">
        <f>IF(AND(U98&gt;='Amort. Sched.-BEST'!$AA$8, U98&lt;= ($AA$7+$AA$8)), (PPMT($W$8/12, (U98-$AA$8), $AA$7, $W$7)), 0)</f>
        <v>0</v>
      </c>
      <c r="Y98" s="5">
        <f>IF(CreditAmort2BEST[[#This Row],[Month]]=AA$8,W$7,0)</f>
        <v>0</v>
      </c>
      <c r="Z98" s="13">
        <f>IF(AND(U98&gt;='Amort. Sched.-BEST'!$AA$8, U98&lt;= ($AA$7+$AA$8)), Z97+X98, 0)</f>
        <v>0</v>
      </c>
      <c r="AA98" s="6" t="str">
        <f>IF(AND(U98&gt;='Amort. Sched.-BEST'!$AA$8, U98&lt;= ($AA$7+$AA$8)), W98/V98, " ")</f>
        <v xml:space="preserve"> </v>
      </c>
      <c r="AB98" s="21" t="str">
        <f>IF(AND(U98&gt;='Amort. Sched.-BEST'!$AA$8, U98&lt;= ($AA$7+$AA$8)), X98/V98, " ")</f>
        <v xml:space="preserve"> </v>
      </c>
      <c r="AD98" s="20">
        <f t="shared" si="20"/>
        <v>87</v>
      </c>
      <c r="AE98" s="5">
        <f t="shared" si="21"/>
        <v>0</v>
      </c>
      <c r="AF98" s="5">
        <f t="shared" si="22"/>
        <v>0</v>
      </c>
      <c r="AG98" s="5">
        <f t="shared" si="23"/>
        <v>0</v>
      </c>
      <c r="AH98" s="5">
        <f>IF(CreditAmort3BEST[[#This Row],[Month]]=AJ$8,AF$7,0)</f>
        <v>0</v>
      </c>
      <c r="AI98" s="13">
        <f t="shared" si="24"/>
        <v>0</v>
      </c>
      <c r="AJ98" s="6" t="str">
        <f t="shared" si="25"/>
        <v xml:space="preserve"> </v>
      </c>
      <c r="AK98" s="21" t="str">
        <f t="shared" si="26"/>
        <v xml:space="preserve"> </v>
      </c>
      <c r="AM98" s="20">
        <f t="shared" si="27"/>
        <v>87</v>
      </c>
      <c r="AN98" s="5">
        <f t="shared" si="28"/>
        <v>0</v>
      </c>
      <c r="AO98" s="5">
        <f t="shared" si="29"/>
        <v>0</v>
      </c>
      <c r="AP98" s="5">
        <f t="shared" si="30"/>
        <v>0</v>
      </c>
      <c r="AQ98" s="5">
        <f>IF(CreditAmort4BEST[[#This Row],[Month]]=AS$8,AO$7,0)</f>
        <v>0</v>
      </c>
      <c r="AR98" s="13">
        <f t="shared" si="31"/>
        <v>0</v>
      </c>
      <c r="AS98" s="6" t="str">
        <f t="shared" si="32"/>
        <v xml:space="preserve"> </v>
      </c>
      <c r="AT98" s="21" t="str">
        <f t="shared" si="33"/>
        <v xml:space="preserve"> </v>
      </c>
    </row>
    <row r="99" spans="3:46">
      <c r="C99" s="22">
        <f t="shared" si="18"/>
        <v>88</v>
      </c>
      <c r="D99" s="23">
        <f>IF(AND(C99&gt;='Amort. Sched.-BEST'!$I$8, C99&lt;= ($I$7+$I$8)), PMT('Amort. Sched.-BEST'!$E$8/12, 'Amort. Sched.-BEST'!$I$7, 'Amort. Sched.-BEST'!$E$7), 0)</f>
        <v>-1350.6783839027553</v>
      </c>
      <c r="E99" s="5">
        <f>IF(AND(C99&gt;='Amort. Sched.-BEST'!$I$8, C99&lt;= ($I$7+$I$8)), (IPMT($E$8/12, (C99-$I$8), $I$7, $E$7)), 0)</f>
        <v>-1022.6583607440243</v>
      </c>
      <c r="F99" s="23">
        <f>IF(AND(C99&gt;='Amort. Sched.-BEST'!$I$8, C99&lt;= ($I$7+$I$8)), (PPMT($E$8/12, (C99-$I$8), $I$7, $E$7)), 0)</f>
        <v>-328.02002315873119</v>
      </c>
      <c r="G99" s="5">
        <f>IF(MortgageAmortBEST[[#This Row],[Month]]=I$8,E$7,0)</f>
        <v>0</v>
      </c>
      <c r="H99" s="13">
        <f>IF(AND(C99&gt;='Amort. Sched.-BEST'!$I$8, C99&lt;= ($I$7+$I$8)), H98+F99, 0)</f>
        <v>153070.73408844491</v>
      </c>
      <c r="I99" s="24">
        <f>IF(AND(C99&gt;='Amort. Sched.-BEST'!$I$8, C99&lt;= ($I$7+$I$8)), E99/D99, " ")</f>
        <v>0.75714424168770333</v>
      </c>
      <c r="J99" s="25">
        <f>IF(AND(C99&gt;='Amort. Sched.-BEST'!$I$8, C99&lt;= ($I$7+$I$8)), F99/D99, " ")</f>
        <v>0.2428557583122968</v>
      </c>
      <c r="L99" s="20">
        <f t="shared" si="17"/>
        <v>88</v>
      </c>
      <c r="M99" s="5">
        <f>IF(AND(L99&gt;='Amort. Sched.-BEST'!$R$8, L99&lt;= ($R$7+$R$8)), PMT('Amort. Sched.-BEST'!$N$8/12, 'Amort. Sched.-BEST'!$R$7, 'Amort. Sched.-BEST'!$N$7), 0)</f>
        <v>0</v>
      </c>
      <c r="N99" s="5">
        <f>IF(AND(L99&gt;='Amort. Sched.-BEST'!$R$8, L99&lt;= ($R$7+$R$8)), (IPMT($N$8/12, (L99-$R$8), $R$7, $N$7)), 0)</f>
        <v>0</v>
      </c>
      <c r="O99" s="5">
        <f>IF(AND(L99&gt;='Amort. Sched.-BEST'!$R$8, L99&lt;= ($R$7+$R$8)), (PPMT($N$8/12, (L99-$R$8), $R$7, $N$7)), 0)</f>
        <v>0</v>
      </c>
      <c r="P99" s="5">
        <f>IF(CreditAmort1BEST[[#This Row],[Month]]=R$8,N$7,0)</f>
        <v>0</v>
      </c>
      <c r="Q99" s="13">
        <f>IF(AND(L99&gt;='Amort. Sched.-BEST'!$R$8, L99&lt;= ($R$7+$R$8)), Q98+O99, 0)</f>
        <v>0</v>
      </c>
      <c r="R99" s="6" t="str">
        <f>IF(AND(L99&gt;='Amort. Sched.-BEST'!$R$8, L99&lt;= ($R$7+$R$8)), N99/M99, " ")</f>
        <v xml:space="preserve"> </v>
      </c>
      <c r="S99" s="21" t="str">
        <f>IF(AND(L99&gt;='Amort. Sched.-BEST'!$R$8, L99&lt;= ($R$7+$R$8)), O99/M99, " ")</f>
        <v xml:space="preserve"> </v>
      </c>
      <c r="U99" s="20">
        <f t="shared" si="19"/>
        <v>88</v>
      </c>
      <c r="V99" s="5">
        <f>IF(AND(U99&gt;='Amort. Sched.-BEST'!$AA$8, U99&lt;= ($AA$7+$AA$8)), PMT('Amort. Sched.-BEST'!$W$8/12, 'Amort. Sched.-BEST'!$AA$7, 'Amort. Sched.-BEST'!$W$7), 0)</f>
        <v>0</v>
      </c>
      <c r="W99" s="5">
        <f>IF(AND(U99&gt;='Amort. Sched.-BEST'!$AA$8, U99&lt;= ($AA$7+$AA$8)), (IPMT($W$8/12, (U99-$AA$8), $AA$7, $W$7)), 0)</f>
        <v>0</v>
      </c>
      <c r="X99" s="5">
        <f>IF(AND(U99&gt;='Amort. Sched.-BEST'!$AA$8, U99&lt;= ($AA$7+$AA$8)), (PPMT($W$8/12, (U99-$AA$8), $AA$7, $W$7)), 0)</f>
        <v>0</v>
      </c>
      <c r="Y99" s="5">
        <f>IF(CreditAmort2BEST[[#This Row],[Month]]=AA$8,W$7,0)</f>
        <v>0</v>
      </c>
      <c r="Z99" s="13">
        <f>IF(AND(U99&gt;='Amort. Sched.-BEST'!$AA$8, U99&lt;= ($AA$7+$AA$8)), Z98+X99, 0)</f>
        <v>0</v>
      </c>
      <c r="AA99" s="6" t="str">
        <f>IF(AND(U99&gt;='Amort. Sched.-BEST'!$AA$8, U99&lt;= ($AA$7+$AA$8)), W99/V99, " ")</f>
        <v xml:space="preserve"> </v>
      </c>
      <c r="AB99" s="21" t="str">
        <f>IF(AND(U99&gt;='Amort. Sched.-BEST'!$AA$8, U99&lt;= ($AA$7+$AA$8)), X99/V99, " ")</f>
        <v xml:space="preserve"> </v>
      </c>
      <c r="AD99" s="20">
        <f t="shared" si="20"/>
        <v>88</v>
      </c>
      <c r="AE99" s="5">
        <f t="shared" si="21"/>
        <v>0</v>
      </c>
      <c r="AF99" s="5">
        <f t="shared" si="22"/>
        <v>0</v>
      </c>
      <c r="AG99" s="5">
        <f t="shared" si="23"/>
        <v>0</v>
      </c>
      <c r="AH99" s="5">
        <f>IF(CreditAmort3BEST[[#This Row],[Month]]=AJ$8,AF$7,0)</f>
        <v>0</v>
      </c>
      <c r="AI99" s="13">
        <f t="shared" si="24"/>
        <v>0</v>
      </c>
      <c r="AJ99" s="6" t="str">
        <f t="shared" si="25"/>
        <v xml:space="preserve"> </v>
      </c>
      <c r="AK99" s="21" t="str">
        <f t="shared" si="26"/>
        <v xml:space="preserve"> </v>
      </c>
      <c r="AM99" s="20">
        <f t="shared" si="27"/>
        <v>88</v>
      </c>
      <c r="AN99" s="5">
        <f t="shared" si="28"/>
        <v>0</v>
      </c>
      <c r="AO99" s="5">
        <f t="shared" si="29"/>
        <v>0</v>
      </c>
      <c r="AP99" s="5">
        <f t="shared" si="30"/>
        <v>0</v>
      </c>
      <c r="AQ99" s="5">
        <f>IF(CreditAmort4BEST[[#This Row],[Month]]=AS$8,AO$7,0)</f>
        <v>0</v>
      </c>
      <c r="AR99" s="13">
        <f t="shared" si="31"/>
        <v>0</v>
      </c>
      <c r="AS99" s="6" t="str">
        <f t="shared" si="32"/>
        <v xml:space="preserve"> </v>
      </c>
      <c r="AT99" s="21" t="str">
        <f t="shared" si="33"/>
        <v xml:space="preserve"> </v>
      </c>
    </row>
    <row r="100" spans="3:46">
      <c r="C100" s="22">
        <f t="shared" si="18"/>
        <v>89</v>
      </c>
      <c r="D100" s="23">
        <f>IF(AND(C100&gt;='Amort. Sched.-BEST'!$I$8, C100&lt;= ($I$7+$I$8)), PMT('Amort. Sched.-BEST'!$E$8/12, 'Amort. Sched.-BEST'!$I$7, 'Amort. Sched.-BEST'!$E$7), 0)</f>
        <v>-1350.6783839027553</v>
      </c>
      <c r="E100" s="5">
        <f>IF(AND(C100&gt;='Amort. Sched.-BEST'!$I$8, C100&lt;= ($I$7+$I$8)), (IPMT($E$8/12, (C100-$I$8), $I$7, $E$7)), 0)</f>
        <v>-1020.4715605896326</v>
      </c>
      <c r="F100" s="23">
        <f>IF(AND(C100&gt;='Amort. Sched.-BEST'!$I$8, C100&lt;= ($I$7+$I$8)), (PPMT($E$8/12, (C100-$I$8), $I$7, $E$7)), 0)</f>
        <v>-330.20682331312264</v>
      </c>
      <c r="G100" s="5">
        <f>IF(MortgageAmortBEST[[#This Row],[Month]]=I$8,E$7,0)</f>
        <v>0</v>
      </c>
      <c r="H100" s="13">
        <f>IF(AND(C100&gt;='Amort. Sched.-BEST'!$I$8, C100&lt;= ($I$7+$I$8)), H99+F100, 0)</f>
        <v>152740.52726513179</v>
      </c>
      <c r="I100" s="24">
        <f>IF(AND(C100&gt;='Amort. Sched.-BEST'!$I$8, C100&lt;= ($I$7+$I$8)), E100/D100, " ")</f>
        <v>0.75552520329895456</v>
      </c>
      <c r="J100" s="25">
        <f>IF(AND(C100&gt;='Amort. Sched.-BEST'!$I$8, C100&lt;= ($I$7+$I$8)), F100/D100, " ")</f>
        <v>0.24447479670104538</v>
      </c>
      <c r="L100" s="20">
        <f t="shared" si="17"/>
        <v>89</v>
      </c>
      <c r="M100" s="5">
        <f>IF(AND(L100&gt;='Amort. Sched.-BEST'!$R$8, L100&lt;= ($R$7+$R$8)), PMT('Amort. Sched.-BEST'!$N$8/12, 'Amort. Sched.-BEST'!$R$7, 'Amort. Sched.-BEST'!$N$7), 0)</f>
        <v>0</v>
      </c>
      <c r="N100" s="5">
        <f>IF(AND(L100&gt;='Amort. Sched.-BEST'!$R$8, L100&lt;= ($R$7+$R$8)), (IPMT($N$8/12, (L100-$R$8), $R$7, $N$7)), 0)</f>
        <v>0</v>
      </c>
      <c r="O100" s="5">
        <f>IF(AND(L100&gt;='Amort. Sched.-BEST'!$R$8, L100&lt;= ($R$7+$R$8)), (PPMT($N$8/12, (L100-$R$8), $R$7, $N$7)), 0)</f>
        <v>0</v>
      </c>
      <c r="P100" s="5">
        <f>IF(CreditAmort1BEST[[#This Row],[Month]]=R$8,N$7,0)</f>
        <v>0</v>
      </c>
      <c r="Q100" s="13">
        <f>IF(AND(L100&gt;='Amort. Sched.-BEST'!$R$8, L100&lt;= ($R$7+$R$8)), Q99+O100, 0)</f>
        <v>0</v>
      </c>
      <c r="R100" s="6" t="str">
        <f>IF(AND(L100&gt;='Amort. Sched.-BEST'!$R$8, L100&lt;= ($R$7+$R$8)), N100/M100, " ")</f>
        <v xml:space="preserve"> </v>
      </c>
      <c r="S100" s="21" t="str">
        <f>IF(AND(L100&gt;='Amort. Sched.-BEST'!$R$8, L100&lt;= ($R$7+$R$8)), O100/M100, " ")</f>
        <v xml:space="preserve"> </v>
      </c>
      <c r="U100" s="20">
        <f t="shared" si="19"/>
        <v>89</v>
      </c>
      <c r="V100" s="5">
        <f>IF(AND(U100&gt;='Amort. Sched.-BEST'!$AA$8, U100&lt;= ($AA$7+$AA$8)), PMT('Amort. Sched.-BEST'!$W$8/12, 'Amort. Sched.-BEST'!$AA$7, 'Amort. Sched.-BEST'!$W$7), 0)</f>
        <v>0</v>
      </c>
      <c r="W100" s="5">
        <f>IF(AND(U100&gt;='Amort. Sched.-BEST'!$AA$8, U100&lt;= ($AA$7+$AA$8)), (IPMT($W$8/12, (U100-$AA$8), $AA$7, $W$7)), 0)</f>
        <v>0</v>
      </c>
      <c r="X100" s="5">
        <f>IF(AND(U100&gt;='Amort. Sched.-BEST'!$AA$8, U100&lt;= ($AA$7+$AA$8)), (PPMT($W$8/12, (U100-$AA$8), $AA$7, $W$7)), 0)</f>
        <v>0</v>
      </c>
      <c r="Y100" s="5">
        <f>IF(CreditAmort2BEST[[#This Row],[Month]]=AA$8,W$7,0)</f>
        <v>0</v>
      </c>
      <c r="Z100" s="13">
        <f>IF(AND(U100&gt;='Amort. Sched.-BEST'!$AA$8, U100&lt;= ($AA$7+$AA$8)), Z99+X100, 0)</f>
        <v>0</v>
      </c>
      <c r="AA100" s="6" t="str">
        <f>IF(AND(U100&gt;='Amort. Sched.-BEST'!$AA$8, U100&lt;= ($AA$7+$AA$8)), W100/V100, " ")</f>
        <v xml:space="preserve"> </v>
      </c>
      <c r="AB100" s="21" t="str">
        <f>IF(AND(U100&gt;='Amort. Sched.-BEST'!$AA$8, U100&lt;= ($AA$7+$AA$8)), X100/V100, " ")</f>
        <v xml:space="preserve"> </v>
      </c>
      <c r="AD100" s="20">
        <f t="shared" si="20"/>
        <v>89</v>
      </c>
      <c r="AE100" s="5">
        <f t="shared" si="21"/>
        <v>0</v>
      </c>
      <c r="AF100" s="5">
        <f t="shared" si="22"/>
        <v>0</v>
      </c>
      <c r="AG100" s="5">
        <f t="shared" si="23"/>
        <v>0</v>
      </c>
      <c r="AH100" s="5">
        <f>IF(CreditAmort3BEST[[#This Row],[Month]]=AJ$8,AF$7,0)</f>
        <v>0</v>
      </c>
      <c r="AI100" s="13">
        <f t="shared" si="24"/>
        <v>0</v>
      </c>
      <c r="AJ100" s="6" t="str">
        <f t="shared" si="25"/>
        <v xml:space="preserve"> </v>
      </c>
      <c r="AK100" s="21" t="str">
        <f t="shared" si="26"/>
        <v xml:space="preserve"> </v>
      </c>
      <c r="AM100" s="20">
        <f t="shared" si="27"/>
        <v>89</v>
      </c>
      <c r="AN100" s="5">
        <f t="shared" si="28"/>
        <v>0</v>
      </c>
      <c r="AO100" s="5">
        <f t="shared" si="29"/>
        <v>0</v>
      </c>
      <c r="AP100" s="5">
        <f t="shared" si="30"/>
        <v>0</v>
      </c>
      <c r="AQ100" s="5">
        <f>IF(CreditAmort4BEST[[#This Row],[Month]]=AS$8,AO$7,0)</f>
        <v>0</v>
      </c>
      <c r="AR100" s="13">
        <f t="shared" si="31"/>
        <v>0</v>
      </c>
      <c r="AS100" s="6" t="str">
        <f t="shared" si="32"/>
        <v xml:space="preserve"> </v>
      </c>
      <c r="AT100" s="21" t="str">
        <f t="shared" si="33"/>
        <v xml:space="preserve"> </v>
      </c>
    </row>
    <row r="101" spans="3:46">
      <c r="C101" s="22">
        <f t="shared" si="18"/>
        <v>90</v>
      </c>
      <c r="D101" s="23">
        <f>IF(AND(C101&gt;='Amort. Sched.-BEST'!$I$8, C101&lt;= ($I$7+$I$8)), PMT('Amort. Sched.-BEST'!$E$8/12, 'Amort. Sched.-BEST'!$I$7, 'Amort. Sched.-BEST'!$E$7), 0)</f>
        <v>-1350.6783839027553</v>
      </c>
      <c r="E101" s="5">
        <f>IF(AND(C101&gt;='Amort. Sched.-BEST'!$I$8, C101&lt;= ($I$7+$I$8)), (IPMT($E$8/12, (C101-$I$8), $I$7, $E$7)), 0)</f>
        <v>-1018.2701817675452</v>
      </c>
      <c r="F101" s="23">
        <f>IF(AND(C101&gt;='Amort. Sched.-BEST'!$I$8, C101&lt;= ($I$7+$I$8)), (PPMT($E$8/12, (C101-$I$8), $I$7, $E$7)), 0)</f>
        <v>-332.4082021352101</v>
      </c>
      <c r="G101" s="5">
        <f>IF(MortgageAmortBEST[[#This Row],[Month]]=I$8,E$7,0)</f>
        <v>0</v>
      </c>
      <c r="H101" s="13">
        <f>IF(AND(C101&gt;='Amort. Sched.-BEST'!$I$8, C101&lt;= ($I$7+$I$8)), H100+F101, 0)</f>
        <v>152408.11906299659</v>
      </c>
      <c r="I101" s="24">
        <f>IF(AND(C101&gt;='Amort. Sched.-BEST'!$I$8, C101&lt;= ($I$7+$I$8)), E101/D101, " ")</f>
        <v>0.75389537132094764</v>
      </c>
      <c r="J101" s="25">
        <f>IF(AND(C101&gt;='Amort. Sched.-BEST'!$I$8, C101&lt;= ($I$7+$I$8)), F101/D101, " ")</f>
        <v>0.24610462867905233</v>
      </c>
      <c r="L101" s="20">
        <f t="shared" si="17"/>
        <v>90</v>
      </c>
      <c r="M101" s="5">
        <f>IF(AND(L101&gt;='Amort. Sched.-BEST'!$R$8, L101&lt;= ($R$7+$R$8)), PMT('Amort. Sched.-BEST'!$N$8/12, 'Amort. Sched.-BEST'!$R$7, 'Amort. Sched.-BEST'!$N$7), 0)</f>
        <v>0</v>
      </c>
      <c r="N101" s="5">
        <f>IF(AND(L101&gt;='Amort. Sched.-BEST'!$R$8, L101&lt;= ($R$7+$R$8)), (IPMT($N$8/12, (L101-$R$8), $R$7, $N$7)), 0)</f>
        <v>0</v>
      </c>
      <c r="O101" s="5">
        <f>IF(AND(L101&gt;='Amort. Sched.-BEST'!$R$8, L101&lt;= ($R$7+$R$8)), (PPMT($N$8/12, (L101-$R$8), $R$7, $N$7)), 0)</f>
        <v>0</v>
      </c>
      <c r="P101" s="5">
        <f>IF(CreditAmort1BEST[[#This Row],[Month]]=R$8,N$7,0)</f>
        <v>0</v>
      </c>
      <c r="Q101" s="13">
        <f>IF(AND(L101&gt;='Amort. Sched.-BEST'!$R$8, L101&lt;= ($R$7+$R$8)), Q100+O101, 0)</f>
        <v>0</v>
      </c>
      <c r="R101" s="6" t="str">
        <f>IF(AND(L101&gt;='Amort. Sched.-BEST'!$R$8, L101&lt;= ($R$7+$R$8)), N101/M101, " ")</f>
        <v xml:space="preserve"> </v>
      </c>
      <c r="S101" s="21" t="str">
        <f>IF(AND(L101&gt;='Amort. Sched.-BEST'!$R$8, L101&lt;= ($R$7+$R$8)), O101/M101, " ")</f>
        <v xml:space="preserve"> </v>
      </c>
      <c r="U101" s="20">
        <f t="shared" si="19"/>
        <v>90</v>
      </c>
      <c r="V101" s="5">
        <f>IF(AND(U101&gt;='Amort. Sched.-BEST'!$AA$8, U101&lt;= ($AA$7+$AA$8)), PMT('Amort. Sched.-BEST'!$W$8/12, 'Amort. Sched.-BEST'!$AA$7, 'Amort. Sched.-BEST'!$W$7), 0)</f>
        <v>0</v>
      </c>
      <c r="W101" s="5">
        <f>IF(AND(U101&gt;='Amort. Sched.-BEST'!$AA$8, U101&lt;= ($AA$7+$AA$8)), (IPMT($W$8/12, (U101-$AA$8), $AA$7, $W$7)), 0)</f>
        <v>0</v>
      </c>
      <c r="X101" s="5">
        <f>IF(AND(U101&gt;='Amort. Sched.-BEST'!$AA$8, U101&lt;= ($AA$7+$AA$8)), (PPMT($W$8/12, (U101-$AA$8), $AA$7, $W$7)), 0)</f>
        <v>0</v>
      </c>
      <c r="Y101" s="5">
        <f>IF(CreditAmort2BEST[[#This Row],[Month]]=AA$8,W$7,0)</f>
        <v>0</v>
      </c>
      <c r="Z101" s="13">
        <f>IF(AND(U101&gt;='Amort. Sched.-BEST'!$AA$8, U101&lt;= ($AA$7+$AA$8)), Z100+X101, 0)</f>
        <v>0</v>
      </c>
      <c r="AA101" s="6" t="str">
        <f>IF(AND(U101&gt;='Amort. Sched.-BEST'!$AA$8, U101&lt;= ($AA$7+$AA$8)), W101/V101, " ")</f>
        <v xml:space="preserve"> </v>
      </c>
      <c r="AB101" s="21" t="str">
        <f>IF(AND(U101&gt;='Amort. Sched.-BEST'!$AA$8, U101&lt;= ($AA$7+$AA$8)), X101/V101, " ")</f>
        <v xml:space="preserve"> </v>
      </c>
      <c r="AD101" s="20">
        <f t="shared" si="20"/>
        <v>90</v>
      </c>
      <c r="AE101" s="5">
        <f t="shared" si="21"/>
        <v>0</v>
      </c>
      <c r="AF101" s="5">
        <f t="shared" si="22"/>
        <v>0</v>
      </c>
      <c r="AG101" s="5">
        <f t="shared" si="23"/>
        <v>0</v>
      </c>
      <c r="AH101" s="5">
        <f>IF(CreditAmort3BEST[[#This Row],[Month]]=AJ$8,AF$7,0)</f>
        <v>0</v>
      </c>
      <c r="AI101" s="13">
        <f t="shared" si="24"/>
        <v>0</v>
      </c>
      <c r="AJ101" s="6" t="str">
        <f t="shared" si="25"/>
        <v xml:space="preserve"> </v>
      </c>
      <c r="AK101" s="21" t="str">
        <f t="shared" si="26"/>
        <v xml:space="preserve"> </v>
      </c>
      <c r="AM101" s="20">
        <f t="shared" si="27"/>
        <v>90</v>
      </c>
      <c r="AN101" s="5">
        <f t="shared" si="28"/>
        <v>0</v>
      </c>
      <c r="AO101" s="5">
        <f t="shared" si="29"/>
        <v>0</v>
      </c>
      <c r="AP101" s="5">
        <f t="shared" si="30"/>
        <v>0</v>
      </c>
      <c r="AQ101" s="5">
        <f>IF(CreditAmort4BEST[[#This Row],[Month]]=AS$8,AO$7,0)</f>
        <v>0</v>
      </c>
      <c r="AR101" s="13">
        <f t="shared" si="31"/>
        <v>0</v>
      </c>
      <c r="AS101" s="6" t="str">
        <f t="shared" si="32"/>
        <v xml:space="preserve"> </v>
      </c>
      <c r="AT101" s="21" t="str">
        <f t="shared" si="33"/>
        <v xml:space="preserve"> </v>
      </c>
    </row>
    <row r="102" spans="3:46">
      <c r="C102" s="22">
        <f t="shared" si="18"/>
        <v>91</v>
      </c>
      <c r="D102" s="23">
        <f>IF(AND(C102&gt;='Amort. Sched.-BEST'!$I$8, C102&lt;= ($I$7+$I$8)), PMT('Amort. Sched.-BEST'!$E$8/12, 'Amort. Sched.-BEST'!$I$7, 'Amort. Sched.-BEST'!$E$7), 0)</f>
        <v>-1350.6783839027553</v>
      </c>
      <c r="E102" s="5">
        <f>IF(AND(C102&gt;='Amort. Sched.-BEST'!$I$8, C102&lt;= ($I$7+$I$8)), (IPMT($E$8/12, (C102-$I$8), $I$7, $E$7)), 0)</f>
        <v>-1016.0541270866438</v>
      </c>
      <c r="F102" s="23">
        <f>IF(AND(C102&gt;='Amort. Sched.-BEST'!$I$8, C102&lt;= ($I$7+$I$8)), (PPMT($E$8/12, (C102-$I$8), $I$7, $E$7)), 0)</f>
        <v>-334.62425681611154</v>
      </c>
      <c r="G102" s="5">
        <f>IF(MortgageAmortBEST[[#This Row],[Month]]=I$8,E$7,0)</f>
        <v>0</v>
      </c>
      <c r="H102" s="13">
        <f>IF(AND(C102&gt;='Amort. Sched.-BEST'!$I$8, C102&lt;= ($I$7+$I$8)), H101+F102, 0)</f>
        <v>152073.49480618048</v>
      </c>
      <c r="I102" s="24">
        <f>IF(AND(C102&gt;='Amort. Sched.-BEST'!$I$8, C102&lt;= ($I$7+$I$8)), E102/D102, " ")</f>
        <v>0.75225467379642064</v>
      </c>
      <c r="J102" s="25">
        <f>IF(AND(C102&gt;='Amort. Sched.-BEST'!$I$8, C102&lt;= ($I$7+$I$8)), F102/D102, " ")</f>
        <v>0.24774532620357939</v>
      </c>
      <c r="L102" s="20">
        <f t="shared" si="17"/>
        <v>91</v>
      </c>
      <c r="M102" s="5">
        <f>IF(AND(L102&gt;='Amort. Sched.-BEST'!$R$8, L102&lt;= ($R$7+$R$8)), PMT('Amort. Sched.-BEST'!$N$8/12, 'Amort. Sched.-BEST'!$R$7, 'Amort. Sched.-BEST'!$N$7), 0)</f>
        <v>0</v>
      </c>
      <c r="N102" s="5">
        <f>IF(AND(L102&gt;='Amort. Sched.-BEST'!$R$8, L102&lt;= ($R$7+$R$8)), (IPMT($N$8/12, (L102-$R$8), $R$7, $N$7)), 0)</f>
        <v>0</v>
      </c>
      <c r="O102" s="5">
        <f>IF(AND(L102&gt;='Amort. Sched.-BEST'!$R$8, L102&lt;= ($R$7+$R$8)), (PPMT($N$8/12, (L102-$R$8), $R$7, $N$7)), 0)</f>
        <v>0</v>
      </c>
      <c r="P102" s="5">
        <f>IF(CreditAmort1BEST[[#This Row],[Month]]=R$8,N$7,0)</f>
        <v>0</v>
      </c>
      <c r="Q102" s="13">
        <f>IF(AND(L102&gt;='Amort. Sched.-BEST'!$R$8, L102&lt;= ($R$7+$R$8)), Q101+O102, 0)</f>
        <v>0</v>
      </c>
      <c r="R102" s="6" t="str">
        <f>IF(AND(L102&gt;='Amort. Sched.-BEST'!$R$8, L102&lt;= ($R$7+$R$8)), N102/M102, " ")</f>
        <v xml:space="preserve"> </v>
      </c>
      <c r="S102" s="21" t="str">
        <f>IF(AND(L102&gt;='Amort. Sched.-BEST'!$R$8, L102&lt;= ($R$7+$R$8)), O102/M102, " ")</f>
        <v xml:space="preserve"> </v>
      </c>
      <c r="U102" s="20">
        <f t="shared" si="19"/>
        <v>91</v>
      </c>
      <c r="V102" s="5">
        <f>IF(AND(U102&gt;='Amort. Sched.-BEST'!$AA$8, U102&lt;= ($AA$7+$AA$8)), PMT('Amort. Sched.-BEST'!$W$8/12, 'Amort. Sched.-BEST'!$AA$7, 'Amort. Sched.-BEST'!$W$7), 0)</f>
        <v>0</v>
      </c>
      <c r="W102" s="5">
        <f>IF(AND(U102&gt;='Amort. Sched.-BEST'!$AA$8, U102&lt;= ($AA$7+$AA$8)), (IPMT($W$8/12, (U102-$AA$8), $AA$7, $W$7)), 0)</f>
        <v>0</v>
      </c>
      <c r="X102" s="5">
        <f>IF(AND(U102&gt;='Amort. Sched.-BEST'!$AA$8, U102&lt;= ($AA$7+$AA$8)), (PPMT($W$8/12, (U102-$AA$8), $AA$7, $W$7)), 0)</f>
        <v>0</v>
      </c>
      <c r="Y102" s="5">
        <f>IF(CreditAmort2BEST[[#This Row],[Month]]=AA$8,W$7,0)</f>
        <v>0</v>
      </c>
      <c r="Z102" s="13">
        <f>IF(AND(U102&gt;='Amort. Sched.-BEST'!$AA$8, U102&lt;= ($AA$7+$AA$8)), Z101+X102, 0)</f>
        <v>0</v>
      </c>
      <c r="AA102" s="6" t="str">
        <f>IF(AND(U102&gt;='Amort. Sched.-BEST'!$AA$8, U102&lt;= ($AA$7+$AA$8)), W102/V102, " ")</f>
        <v xml:space="preserve"> </v>
      </c>
      <c r="AB102" s="21" t="str">
        <f>IF(AND(U102&gt;='Amort. Sched.-BEST'!$AA$8, U102&lt;= ($AA$7+$AA$8)), X102/V102, " ")</f>
        <v xml:space="preserve"> </v>
      </c>
      <c r="AD102" s="20">
        <f t="shared" si="20"/>
        <v>91</v>
      </c>
      <c r="AE102" s="5">
        <f t="shared" si="21"/>
        <v>0</v>
      </c>
      <c r="AF102" s="5">
        <f t="shared" si="22"/>
        <v>0</v>
      </c>
      <c r="AG102" s="5">
        <f t="shared" si="23"/>
        <v>0</v>
      </c>
      <c r="AH102" s="5">
        <f>IF(CreditAmort3BEST[[#This Row],[Month]]=AJ$8,AF$7,0)</f>
        <v>0</v>
      </c>
      <c r="AI102" s="13">
        <f t="shared" si="24"/>
        <v>0</v>
      </c>
      <c r="AJ102" s="6" t="str">
        <f t="shared" si="25"/>
        <v xml:space="preserve"> </v>
      </c>
      <c r="AK102" s="21" t="str">
        <f t="shared" si="26"/>
        <v xml:space="preserve"> </v>
      </c>
      <c r="AM102" s="20">
        <f t="shared" si="27"/>
        <v>91</v>
      </c>
      <c r="AN102" s="5">
        <f t="shared" si="28"/>
        <v>0</v>
      </c>
      <c r="AO102" s="5">
        <f t="shared" si="29"/>
        <v>0</v>
      </c>
      <c r="AP102" s="5">
        <f t="shared" si="30"/>
        <v>0</v>
      </c>
      <c r="AQ102" s="5">
        <f>IF(CreditAmort4BEST[[#This Row],[Month]]=AS$8,AO$7,0)</f>
        <v>0</v>
      </c>
      <c r="AR102" s="13">
        <f t="shared" si="31"/>
        <v>0</v>
      </c>
      <c r="AS102" s="6" t="str">
        <f t="shared" si="32"/>
        <v xml:space="preserve"> </v>
      </c>
      <c r="AT102" s="21" t="str">
        <f t="shared" si="33"/>
        <v xml:space="preserve"> </v>
      </c>
    </row>
    <row r="103" spans="3:46">
      <c r="C103" s="22">
        <f t="shared" si="18"/>
        <v>92</v>
      </c>
      <c r="D103" s="23">
        <f>IF(AND(C103&gt;='Amort. Sched.-BEST'!$I$8, C103&lt;= ($I$7+$I$8)), PMT('Amort. Sched.-BEST'!$E$8/12, 'Amort. Sched.-BEST'!$I$7, 'Amort. Sched.-BEST'!$E$7), 0)</f>
        <v>-1350.6783839027553</v>
      </c>
      <c r="E103" s="5">
        <f>IF(AND(C103&gt;='Amort. Sched.-BEST'!$I$8, C103&lt;= ($I$7+$I$8)), (IPMT($E$8/12, (C103-$I$8), $I$7, $E$7)), 0)</f>
        <v>-1013.8232987078698</v>
      </c>
      <c r="F103" s="23">
        <f>IF(AND(C103&gt;='Amort. Sched.-BEST'!$I$8, C103&lt;= ($I$7+$I$8)), (PPMT($E$8/12, (C103-$I$8), $I$7, $E$7)), 0)</f>
        <v>-336.85508519488559</v>
      </c>
      <c r="G103" s="5">
        <f>IF(MortgageAmortBEST[[#This Row],[Month]]=I$8,E$7,0)</f>
        <v>0</v>
      </c>
      <c r="H103" s="13">
        <f>IF(AND(C103&gt;='Amort. Sched.-BEST'!$I$8, C103&lt;= ($I$7+$I$8)), H102+F103, 0)</f>
        <v>151736.63972098558</v>
      </c>
      <c r="I103" s="24">
        <f>IF(AND(C103&gt;='Amort. Sched.-BEST'!$I$8, C103&lt;= ($I$7+$I$8)), E103/D103, " ")</f>
        <v>0.75060303828839681</v>
      </c>
      <c r="J103" s="25">
        <f>IF(AND(C103&gt;='Amort. Sched.-BEST'!$I$8, C103&lt;= ($I$7+$I$8)), F103/D103, " ")</f>
        <v>0.24939696171160322</v>
      </c>
      <c r="L103" s="20">
        <f t="shared" si="17"/>
        <v>92</v>
      </c>
      <c r="M103" s="5">
        <f>IF(AND(L103&gt;='Amort. Sched.-BEST'!$R$8, L103&lt;= ($R$7+$R$8)), PMT('Amort. Sched.-BEST'!$N$8/12, 'Amort. Sched.-BEST'!$R$7, 'Amort. Sched.-BEST'!$N$7), 0)</f>
        <v>0</v>
      </c>
      <c r="N103" s="5">
        <f>IF(AND(L103&gt;='Amort. Sched.-BEST'!$R$8, L103&lt;= ($R$7+$R$8)), (IPMT($N$8/12, (L103-$R$8), $R$7, $N$7)), 0)</f>
        <v>0</v>
      </c>
      <c r="O103" s="5">
        <f>IF(AND(L103&gt;='Amort. Sched.-BEST'!$R$8, L103&lt;= ($R$7+$R$8)), (PPMT($N$8/12, (L103-$R$8), $R$7, $N$7)), 0)</f>
        <v>0</v>
      </c>
      <c r="P103" s="5">
        <f>IF(CreditAmort1BEST[[#This Row],[Month]]=R$8,N$7,0)</f>
        <v>0</v>
      </c>
      <c r="Q103" s="13">
        <f>IF(AND(L103&gt;='Amort. Sched.-BEST'!$R$8, L103&lt;= ($R$7+$R$8)), Q102+O103, 0)</f>
        <v>0</v>
      </c>
      <c r="R103" s="6" t="str">
        <f>IF(AND(L103&gt;='Amort. Sched.-BEST'!$R$8, L103&lt;= ($R$7+$R$8)), N103/M103, " ")</f>
        <v xml:space="preserve"> </v>
      </c>
      <c r="S103" s="21" t="str">
        <f>IF(AND(L103&gt;='Amort. Sched.-BEST'!$R$8, L103&lt;= ($R$7+$R$8)), O103/M103, " ")</f>
        <v xml:space="preserve"> </v>
      </c>
      <c r="U103" s="20">
        <f t="shared" si="19"/>
        <v>92</v>
      </c>
      <c r="V103" s="5">
        <f>IF(AND(U103&gt;='Amort. Sched.-BEST'!$AA$8, U103&lt;= ($AA$7+$AA$8)), PMT('Amort. Sched.-BEST'!$W$8/12, 'Amort. Sched.-BEST'!$AA$7, 'Amort. Sched.-BEST'!$W$7), 0)</f>
        <v>0</v>
      </c>
      <c r="W103" s="5">
        <f>IF(AND(U103&gt;='Amort. Sched.-BEST'!$AA$8, U103&lt;= ($AA$7+$AA$8)), (IPMT($W$8/12, (U103-$AA$8), $AA$7, $W$7)), 0)</f>
        <v>0</v>
      </c>
      <c r="X103" s="5">
        <f>IF(AND(U103&gt;='Amort. Sched.-BEST'!$AA$8, U103&lt;= ($AA$7+$AA$8)), (PPMT($W$8/12, (U103-$AA$8), $AA$7, $W$7)), 0)</f>
        <v>0</v>
      </c>
      <c r="Y103" s="5">
        <f>IF(CreditAmort2BEST[[#This Row],[Month]]=AA$8,W$7,0)</f>
        <v>0</v>
      </c>
      <c r="Z103" s="13">
        <f>IF(AND(U103&gt;='Amort. Sched.-BEST'!$AA$8, U103&lt;= ($AA$7+$AA$8)), Z102+X103, 0)</f>
        <v>0</v>
      </c>
      <c r="AA103" s="6" t="str">
        <f>IF(AND(U103&gt;='Amort. Sched.-BEST'!$AA$8, U103&lt;= ($AA$7+$AA$8)), W103/V103, " ")</f>
        <v xml:space="preserve"> </v>
      </c>
      <c r="AB103" s="21" t="str">
        <f>IF(AND(U103&gt;='Amort. Sched.-BEST'!$AA$8, U103&lt;= ($AA$7+$AA$8)), X103/V103, " ")</f>
        <v xml:space="preserve"> </v>
      </c>
      <c r="AD103" s="20">
        <f t="shared" si="20"/>
        <v>92</v>
      </c>
      <c r="AE103" s="5">
        <f t="shared" si="21"/>
        <v>0</v>
      </c>
      <c r="AF103" s="5">
        <f t="shared" si="22"/>
        <v>0</v>
      </c>
      <c r="AG103" s="5">
        <f t="shared" si="23"/>
        <v>0</v>
      </c>
      <c r="AH103" s="5">
        <f>IF(CreditAmort3BEST[[#This Row],[Month]]=AJ$8,AF$7,0)</f>
        <v>0</v>
      </c>
      <c r="AI103" s="13">
        <f t="shared" si="24"/>
        <v>0</v>
      </c>
      <c r="AJ103" s="6" t="str">
        <f t="shared" si="25"/>
        <v xml:space="preserve"> </v>
      </c>
      <c r="AK103" s="21" t="str">
        <f t="shared" si="26"/>
        <v xml:space="preserve"> </v>
      </c>
      <c r="AM103" s="20">
        <f t="shared" si="27"/>
        <v>92</v>
      </c>
      <c r="AN103" s="5">
        <f t="shared" si="28"/>
        <v>0</v>
      </c>
      <c r="AO103" s="5">
        <f t="shared" si="29"/>
        <v>0</v>
      </c>
      <c r="AP103" s="5">
        <f t="shared" si="30"/>
        <v>0</v>
      </c>
      <c r="AQ103" s="5">
        <f>IF(CreditAmort4BEST[[#This Row],[Month]]=AS$8,AO$7,0)</f>
        <v>0</v>
      </c>
      <c r="AR103" s="13">
        <f t="shared" si="31"/>
        <v>0</v>
      </c>
      <c r="AS103" s="6" t="str">
        <f t="shared" si="32"/>
        <v xml:space="preserve"> </v>
      </c>
      <c r="AT103" s="21" t="str">
        <f t="shared" si="33"/>
        <v xml:space="preserve"> </v>
      </c>
    </row>
    <row r="104" spans="3:46">
      <c r="C104" s="22">
        <f t="shared" si="18"/>
        <v>93</v>
      </c>
      <c r="D104" s="23">
        <f>IF(AND(C104&gt;='Amort. Sched.-BEST'!$I$8, C104&lt;= ($I$7+$I$8)), PMT('Amort. Sched.-BEST'!$E$8/12, 'Amort. Sched.-BEST'!$I$7, 'Amort. Sched.-BEST'!$E$7), 0)</f>
        <v>-1350.6783839027553</v>
      </c>
      <c r="E104" s="5">
        <f>IF(AND(C104&gt;='Amort. Sched.-BEST'!$I$8, C104&lt;= ($I$7+$I$8)), (IPMT($E$8/12, (C104-$I$8), $I$7, $E$7)), 0)</f>
        <v>-1011.5775981399038</v>
      </c>
      <c r="F104" s="23">
        <f>IF(AND(C104&gt;='Amort. Sched.-BEST'!$I$8, C104&lt;= ($I$7+$I$8)), (PPMT($E$8/12, (C104-$I$8), $I$7, $E$7)), 0)</f>
        <v>-339.10078576285156</v>
      </c>
      <c r="G104" s="5">
        <f>IF(MortgageAmortBEST[[#This Row],[Month]]=I$8,E$7,0)</f>
        <v>0</v>
      </c>
      <c r="H104" s="13">
        <f>IF(AND(C104&gt;='Amort. Sched.-BEST'!$I$8, C104&lt;= ($I$7+$I$8)), H103+F104, 0)</f>
        <v>151397.53893522272</v>
      </c>
      <c r="I104" s="24">
        <f>IF(AND(C104&gt;='Amort. Sched.-BEST'!$I$8, C104&lt;= ($I$7+$I$8)), E104/D104, " ")</f>
        <v>0.74894039187698602</v>
      </c>
      <c r="J104" s="25">
        <f>IF(AND(C104&gt;='Amort. Sched.-BEST'!$I$8, C104&lt;= ($I$7+$I$8)), F104/D104, " ")</f>
        <v>0.25105960812301398</v>
      </c>
      <c r="L104" s="20">
        <f t="shared" si="17"/>
        <v>93</v>
      </c>
      <c r="M104" s="5">
        <f>IF(AND(L104&gt;='Amort. Sched.-BEST'!$R$8, L104&lt;= ($R$7+$R$8)), PMT('Amort. Sched.-BEST'!$N$8/12, 'Amort. Sched.-BEST'!$R$7, 'Amort. Sched.-BEST'!$N$7), 0)</f>
        <v>0</v>
      </c>
      <c r="N104" s="5">
        <f>IF(AND(L104&gt;='Amort. Sched.-BEST'!$R$8, L104&lt;= ($R$7+$R$8)), (IPMT($N$8/12, (L104-$R$8), $R$7, $N$7)), 0)</f>
        <v>0</v>
      </c>
      <c r="O104" s="5">
        <f>IF(AND(L104&gt;='Amort. Sched.-BEST'!$R$8, L104&lt;= ($R$7+$R$8)), (PPMT($N$8/12, (L104-$R$8), $R$7, $N$7)), 0)</f>
        <v>0</v>
      </c>
      <c r="P104" s="5">
        <f>IF(CreditAmort1BEST[[#This Row],[Month]]=R$8,N$7,0)</f>
        <v>0</v>
      </c>
      <c r="Q104" s="13">
        <f>IF(AND(L104&gt;='Amort. Sched.-BEST'!$R$8, L104&lt;= ($R$7+$R$8)), Q103+O104, 0)</f>
        <v>0</v>
      </c>
      <c r="R104" s="6" t="str">
        <f>IF(AND(L104&gt;='Amort. Sched.-BEST'!$R$8, L104&lt;= ($R$7+$R$8)), N104/M104, " ")</f>
        <v xml:space="preserve"> </v>
      </c>
      <c r="S104" s="21" t="str">
        <f>IF(AND(L104&gt;='Amort. Sched.-BEST'!$R$8, L104&lt;= ($R$7+$R$8)), O104/M104, " ")</f>
        <v xml:space="preserve"> </v>
      </c>
      <c r="U104" s="20">
        <f t="shared" si="19"/>
        <v>93</v>
      </c>
      <c r="V104" s="5">
        <f>IF(AND(U104&gt;='Amort. Sched.-BEST'!$AA$8, U104&lt;= ($AA$7+$AA$8)), PMT('Amort. Sched.-BEST'!$W$8/12, 'Amort. Sched.-BEST'!$AA$7, 'Amort. Sched.-BEST'!$W$7), 0)</f>
        <v>0</v>
      </c>
      <c r="W104" s="5">
        <f>IF(AND(U104&gt;='Amort. Sched.-BEST'!$AA$8, U104&lt;= ($AA$7+$AA$8)), (IPMT($W$8/12, (U104-$AA$8), $AA$7, $W$7)), 0)</f>
        <v>0</v>
      </c>
      <c r="X104" s="5">
        <f>IF(AND(U104&gt;='Amort. Sched.-BEST'!$AA$8, U104&lt;= ($AA$7+$AA$8)), (PPMT($W$8/12, (U104-$AA$8), $AA$7, $W$7)), 0)</f>
        <v>0</v>
      </c>
      <c r="Y104" s="5">
        <f>IF(CreditAmort2BEST[[#This Row],[Month]]=AA$8,W$7,0)</f>
        <v>0</v>
      </c>
      <c r="Z104" s="13">
        <f>IF(AND(U104&gt;='Amort. Sched.-BEST'!$AA$8, U104&lt;= ($AA$7+$AA$8)), Z103+X104, 0)</f>
        <v>0</v>
      </c>
      <c r="AA104" s="6" t="str">
        <f>IF(AND(U104&gt;='Amort. Sched.-BEST'!$AA$8, U104&lt;= ($AA$7+$AA$8)), W104/V104, " ")</f>
        <v xml:space="preserve"> </v>
      </c>
      <c r="AB104" s="21" t="str">
        <f>IF(AND(U104&gt;='Amort. Sched.-BEST'!$AA$8, U104&lt;= ($AA$7+$AA$8)), X104/V104, " ")</f>
        <v xml:space="preserve"> </v>
      </c>
      <c r="AD104" s="20">
        <f t="shared" si="20"/>
        <v>93</v>
      </c>
      <c r="AE104" s="5">
        <f t="shared" si="21"/>
        <v>0</v>
      </c>
      <c r="AF104" s="5">
        <f t="shared" si="22"/>
        <v>0</v>
      </c>
      <c r="AG104" s="5">
        <f t="shared" si="23"/>
        <v>0</v>
      </c>
      <c r="AH104" s="5">
        <f>IF(CreditAmort3BEST[[#This Row],[Month]]=AJ$8,AF$7,0)</f>
        <v>0</v>
      </c>
      <c r="AI104" s="13">
        <f t="shared" si="24"/>
        <v>0</v>
      </c>
      <c r="AJ104" s="6" t="str">
        <f t="shared" si="25"/>
        <v xml:space="preserve"> </v>
      </c>
      <c r="AK104" s="21" t="str">
        <f t="shared" si="26"/>
        <v xml:space="preserve"> </v>
      </c>
      <c r="AM104" s="20">
        <f t="shared" si="27"/>
        <v>93</v>
      </c>
      <c r="AN104" s="5">
        <f t="shared" si="28"/>
        <v>0</v>
      </c>
      <c r="AO104" s="5">
        <f t="shared" si="29"/>
        <v>0</v>
      </c>
      <c r="AP104" s="5">
        <f t="shared" si="30"/>
        <v>0</v>
      </c>
      <c r="AQ104" s="5">
        <f>IF(CreditAmort4BEST[[#This Row],[Month]]=AS$8,AO$7,0)</f>
        <v>0</v>
      </c>
      <c r="AR104" s="13">
        <f t="shared" si="31"/>
        <v>0</v>
      </c>
      <c r="AS104" s="6" t="str">
        <f t="shared" si="32"/>
        <v xml:space="preserve"> </v>
      </c>
      <c r="AT104" s="21" t="str">
        <f t="shared" si="33"/>
        <v xml:space="preserve"> </v>
      </c>
    </row>
    <row r="105" spans="3:46">
      <c r="C105" s="22">
        <f t="shared" si="18"/>
        <v>94</v>
      </c>
      <c r="D105" s="23">
        <f>IF(AND(C105&gt;='Amort. Sched.-BEST'!$I$8, C105&lt;= ($I$7+$I$8)), PMT('Amort. Sched.-BEST'!$E$8/12, 'Amort. Sched.-BEST'!$I$7, 'Amort. Sched.-BEST'!$E$7), 0)</f>
        <v>-1350.6783839027553</v>
      </c>
      <c r="E105" s="5">
        <f>IF(AND(C105&gt;='Amort. Sched.-BEST'!$I$8, C105&lt;= ($I$7+$I$8)), (IPMT($E$8/12, (C105-$I$8), $I$7, $E$7)), 0)</f>
        <v>-1009.3169262348182</v>
      </c>
      <c r="F105" s="23">
        <f>IF(AND(C105&gt;='Amort. Sched.-BEST'!$I$8, C105&lt;= ($I$7+$I$8)), (PPMT($E$8/12, (C105-$I$8), $I$7, $E$7)), 0)</f>
        <v>-341.36145766793726</v>
      </c>
      <c r="G105" s="5">
        <f>IF(MortgageAmortBEST[[#This Row],[Month]]=I$8,E$7,0)</f>
        <v>0</v>
      </c>
      <c r="H105" s="13">
        <f>IF(AND(C105&gt;='Amort. Sched.-BEST'!$I$8, C105&lt;= ($I$7+$I$8)), H104+F105, 0)</f>
        <v>151056.1774775548</v>
      </c>
      <c r="I105" s="24">
        <f>IF(AND(C105&gt;='Amort. Sched.-BEST'!$I$8, C105&lt;= ($I$7+$I$8)), E105/D105, " ")</f>
        <v>0.74726666115616602</v>
      </c>
      <c r="J105" s="25">
        <f>IF(AND(C105&gt;='Amort. Sched.-BEST'!$I$8, C105&lt;= ($I$7+$I$8)), F105/D105, " ")</f>
        <v>0.25273333884383409</v>
      </c>
      <c r="L105" s="20">
        <f t="shared" si="17"/>
        <v>94</v>
      </c>
      <c r="M105" s="5">
        <f>IF(AND(L105&gt;='Amort. Sched.-BEST'!$R$8, L105&lt;= ($R$7+$R$8)), PMT('Amort. Sched.-BEST'!$N$8/12, 'Amort. Sched.-BEST'!$R$7, 'Amort. Sched.-BEST'!$N$7), 0)</f>
        <v>0</v>
      </c>
      <c r="N105" s="5">
        <f>IF(AND(L105&gt;='Amort. Sched.-BEST'!$R$8, L105&lt;= ($R$7+$R$8)), (IPMT($N$8/12, (L105-$R$8), $R$7, $N$7)), 0)</f>
        <v>0</v>
      </c>
      <c r="O105" s="5">
        <f>IF(AND(L105&gt;='Amort. Sched.-BEST'!$R$8, L105&lt;= ($R$7+$R$8)), (PPMT($N$8/12, (L105-$R$8), $R$7, $N$7)), 0)</f>
        <v>0</v>
      </c>
      <c r="P105" s="5">
        <f>IF(CreditAmort1BEST[[#This Row],[Month]]=R$8,N$7,0)</f>
        <v>0</v>
      </c>
      <c r="Q105" s="13">
        <f>IF(AND(L105&gt;='Amort. Sched.-BEST'!$R$8, L105&lt;= ($R$7+$R$8)), Q104+O105, 0)</f>
        <v>0</v>
      </c>
      <c r="R105" s="6" t="str">
        <f>IF(AND(L105&gt;='Amort. Sched.-BEST'!$R$8, L105&lt;= ($R$7+$R$8)), N105/M105, " ")</f>
        <v xml:space="preserve"> </v>
      </c>
      <c r="S105" s="21" t="str">
        <f>IF(AND(L105&gt;='Amort. Sched.-BEST'!$R$8, L105&lt;= ($R$7+$R$8)), O105/M105, " ")</f>
        <v xml:space="preserve"> </v>
      </c>
      <c r="U105" s="20">
        <f t="shared" si="19"/>
        <v>94</v>
      </c>
      <c r="V105" s="5">
        <f>IF(AND(U105&gt;='Amort. Sched.-BEST'!$AA$8, U105&lt;= ($AA$7+$AA$8)), PMT('Amort. Sched.-BEST'!$W$8/12, 'Amort. Sched.-BEST'!$AA$7, 'Amort. Sched.-BEST'!$W$7), 0)</f>
        <v>0</v>
      </c>
      <c r="W105" s="5">
        <f>IF(AND(U105&gt;='Amort. Sched.-BEST'!$AA$8, U105&lt;= ($AA$7+$AA$8)), (IPMT($W$8/12, (U105-$AA$8), $AA$7, $W$7)), 0)</f>
        <v>0</v>
      </c>
      <c r="X105" s="5">
        <f>IF(AND(U105&gt;='Amort. Sched.-BEST'!$AA$8, U105&lt;= ($AA$7+$AA$8)), (PPMT($W$8/12, (U105-$AA$8), $AA$7, $W$7)), 0)</f>
        <v>0</v>
      </c>
      <c r="Y105" s="5">
        <f>IF(CreditAmort2BEST[[#This Row],[Month]]=AA$8,W$7,0)</f>
        <v>0</v>
      </c>
      <c r="Z105" s="13">
        <f>IF(AND(U105&gt;='Amort. Sched.-BEST'!$AA$8, U105&lt;= ($AA$7+$AA$8)), Z104+X105, 0)</f>
        <v>0</v>
      </c>
      <c r="AA105" s="6" t="str">
        <f>IF(AND(U105&gt;='Amort. Sched.-BEST'!$AA$8, U105&lt;= ($AA$7+$AA$8)), W105/V105, " ")</f>
        <v xml:space="preserve"> </v>
      </c>
      <c r="AB105" s="21" t="str">
        <f>IF(AND(U105&gt;='Amort. Sched.-BEST'!$AA$8, U105&lt;= ($AA$7+$AA$8)), X105/V105, " ")</f>
        <v xml:space="preserve"> </v>
      </c>
      <c r="AD105" s="20">
        <f t="shared" si="20"/>
        <v>94</v>
      </c>
      <c r="AE105" s="5">
        <f t="shared" si="21"/>
        <v>0</v>
      </c>
      <c r="AF105" s="5">
        <f t="shared" si="22"/>
        <v>0</v>
      </c>
      <c r="AG105" s="5">
        <f t="shared" si="23"/>
        <v>0</v>
      </c>
      <c r="AH105" s="5">
        <f>IF(CreditAmort3BEST[[#This Row],[Month]]=AJ$8,AF$7,0)</f>
        <v>0</v>
      </c>
      <c r="AI105" s="13">
        <f t="shared" si="24"/>
        <v>0</v>
      </c>
      <c r="AJ105" s="6" t="str">
        <f t="shared" si="25"/>
        <v xml:space="preserve"> </v>
      </c>
      <c r="AK105" s="21" t="str">
        <f t="shared" si="26"/>
        <v xml:space="preserve"> </v>
      </c>
      <c r="AM105" s="20">
        <f t="shared" si="27"/>
        <v>94</v>
      </c>
      <c r="AN105" s="5">
        <f t="shared" si="28"/>
        <v>0</v>
      </c>
      <c r="AO105" s="5">
        <f t="shared" si="29"/>
        <v>0</v>
      </c>
      <c r="AP105" s="5">
        <f t="shared" si="30"/>
        <v>0</v>
      </c>
      <c r="AQ105" s="5">
        <f>IF(CreditAmort4BEST[[#This Row],[Month]]=AS$8,AO$7,0)</f>
        <v>0</v>
      </c>
      <c r="AR105" s="13">
        <f t="shared" si="31"/>
        <v>0</v>
      </c>
      <c r="AS105" s="6" t="str">
        <f t="shared" si="32"/>
        <v xml:space="preserve"> </v>
      </c>
      <c r="AT105" s="21" t="str">
        <f t="shared" si="33"/>
        <v xml:space="preserve"> </v>
      </c>
    </row>
    <row r="106" spans="3:46">
      <c r="C106" s="22">
        <f t="shared" si="18"/>
        <v>95</v>
      </c>
      <c r="D106" s="23">
        <f>IF(AND(C106&gt;='Amort. Sched.-BEST'!$I$8, C106&lt;= ($I$7+$I$8)), PMT('Amort. Sched.-BEST'!$E$8/12, 'Amort. Sched.-BEST'!$I$7, 'Amort. Sched.-BEST'!$E$7), 0)</f>
        <v>-1350.6783839027553</v>
      </c>
      <c r="E106" s="5">
        <f>IF(AND(C106&gt;='Amort. Sched.-BEST'!$I$8, C106&lt;= ($I$7+$I$8)), (IPMT($E$8/12, (C106-$I$8), $I$7, $E$7)), 0)</f>
        <v>-1007.0411831836985</v>
      </c>
      <c r="F106" s="23">
        <f>IF(AND(C106&gt;='Amort. Sched.-BEST'!$I$8, C106&lt;= ($I$7+$I$8)), (PPMT($E$8/12, (C106-$I$8), $I$7, $E$7)), 0)</f>
        <v>-343.63720071905681</v>
      </c>
      <c r="G106" s="5">
        <f>IF(MortgageAmortBEST[[#This Row],[Month]]=I$8,E$7,0)</f>
        <v>0</v>
      </c>
      <c r="H106" s="13">
        <f>IF(AND(C106&gt;='Amort. Sched.-BEST'!$I$8, C106&lt;= ($I$7+$I$8)), H105+F106, 0)</f>
        <v>150712.54027683573</v>
      </c>
      <c r="I106" s="24">
        <f>IF(AND(C106&gt;='Amort. Sched.-BEST'!$I$8, C106&lt;= ($I$7+$I$8)), E106/D106, " ")</f>
        <v>0.74558177223054045</v>
      </c>
      <c r="J106" s="25">
        <f>IF(AND(C106&gt;='Amort. Sched.-BEST'!$I$8, C106&lt;= ($I$7+$I$8)), F106/D106, " ")</f>
        <v>0.2544182277694596</v>
      </c>
      <c r="L106" s="20">
        <f t="shared" si="17"/>
        <v>95</v>
      </c>
      <c r="M106" s="5">
        <f>IF(AND(L106&gt;='Amort. Sched.-BEST'!$R$8, L106&lt;= ($R$7+$R$8)), PMT('Amort. Sched.-BEST'!$N$8/12, 'Amort. Sched.-BEST'!$R$7, 'Amort. Sched.-BEST'!$N$7), 0)</f>
        <v>0</v>
      </c>
      <c r="N106" s="5">
        <f>IF(AND(L106&gt;='Amort. Sched.-BEST'!$R$8, L106&lt;= ($R$7+$R$8)), (IPMT($N$8/12, (L106-$R$8), $R$7, $N$7)), 0)</f>
        <v>0</v>
      </c>
      <c r="O106" s="5">
        <f>IF(AND(L106&gt;='Amort. Sched.-BEST'!$R$8, L106&lt;= ($R$7+$R$8)), (PPMT($N$8/12, (L106-$R$8), $R$7, $N$7)), 0)</f>
        <v>0</v>
      </c>
      <c r="P106" s="5">
        <f>IF(CreditAmort1BEST[[#This Row],[Month]]=R$8,N$7,0)</f>
        <v>0</v>
      </c>
      <c r="Q106" s="13">
        <f>IF(AND(L106&gt;='Amort. Sched.-BEST'!$R$8, L106&lt;= ($R$7+$R$8)), Q105+O106, 0)</f>
        <v>0</v>
      </c>
      <c r="R106" s="6" t="str">
        <f>IF(AND(L106&gt;='Amort. Sched.-BEST'!$R$8, L106&lt;= ($R$7+$R$8)), N106/M106, " ")</f>
        <v xml:space="preserve"> </v>
      </c>
      <c r="S106" s="21" t="str">
        <f>IF(AND(L106&gt;='Amort. Sched.-BEST'!$R$8, L106&lt;= ($R$7+$R$8)), O106/M106, " ")</f>
        <v xml:space="preserve"> </v>
      </c>
      <c r="U106" s="20">
        <f t="shared" si="19"/>
        <v>95</v>
      </c>
      <c r="V106" s="5">
        <f>IF(AND(U106&gt;='Amort. Sched.-BEST'!$AA$8, U106&lt;= ($AA$7+$AA$8)), PMT('Amort. Sched.-BEST'!$W$8/12, 'Amort. Sched.-BEST'!$AA$7, 'Amort. Sched.-BEST'!$W$7), 0)</f>
        <v>0</v>
      </c>
      <c r="W106" s="5">
        <f>IF(AND(U106&gt;='Amort. Sched.-BEST'!$AA$8, U106&lt;= ($AA$7+$AA$8)), (IPMT($W$8/12, (U106-$AA$8), $AA$7, $W$7)), 0)</f>
        <v>0</v>
      </c>
      <c r="X106" s="5">
        <f>IF(AND(U106&gt;='Amort. Sched.-BEST'!$AA$8, U106&lt;= ($AA$7+$AA$8)), (PPMT($W$8/12, (U106-$AA$8), $AA$7, $W$7)), 0)</f>
        <v>0</v>
      </c>
      <c r="Y106" s="5">
        <f>IF(CreditAmort2BEST[[#This Row],[Month]]=AA$8,W$7,0)</f>
        <v>0</v>
      </c>
      <c r="Z106" s="13">
        <f>IF(AND(U106&gt;='Amort. Sched.-BEST'!$AA$8, U106&lt;= ($AA$7+$AA$8)), Z105+X106, 0)</f>
        <v>0</v>
      </c>
      <c r="AA106" s="6" t="str">
        <f>IF(AND(U106&gt;='Amort. Sched.-BEST'!$AA$8, U106&lt;= ($AA$7+$AA$8)), W106/V106, " ")</f>
        <v xml:space="preserve"> </v>
      </c>
      <c r="AB106" s="21" t="str">
        <f>IF(AND(U106&gt;='Amort. Sched.-BEST'!$AA$8, U106&lt;= ($AA$7+$AA$8)), X106/V106, " ")</f>
        <v xml:space="preserve"> </v>
      </c>
      <c r="AD106" s="20">
        <f t="shared" si="20"/>
        <v>95</v>
      </c>
      <c r="AE106" s="5">
        <f t="shared" si="21"/>
        <v>0</v>
      </c>
      <c r="AF106" s="5">
        <f t="shared" si="22"/>
        <v>0</v>
      </c>
      <c r="AG106" s="5">
        <f t="shared" si="23"/>
        <v>0</v>
      </c>
      <c r="AH106" s="5">
        <f>IF(CreditAmort3BEST[[#This Row],[Month]]=AJ$8,AF$7,0)</f>
        <v>0</v>
      </c>
      <c r="AI106" s="13">
        <f t="shared" si="24"/>
        <v>0</v>
      </c>
      <c r="AJ106" s="6" t="str">
        <f t="shared" si="25"/>
        <v xml:space="preserve"> </v>
      </c>
      <c r="AK106" s="21" t="str">
        <f t="shared" si="26"/>
        <v xml:space="preserve"> </v>
      </c>
      <c r="AM106" s="20">
        <f t="shared" si="27"/>
        <v>95</v>
      </c>
      <c r="AN106" s="5">
        <f t="shared" si="28"/>
        <v>0</v>
      </c>
      <c r="AO106" s="5">
        <f t="shared" si="29"/>
        <v>0</v>
      </c>
      <c r="AP106" s="5">
        <f t="shared" si="30"/>
        <v>0</v>
      </c>
      <c r="AQ106" s="5">
        <f>IF(CreditAmort4BEST[[#This Row],[Month]]=AS$8,AO$7,0)</f>
        <v>0</v>
      </c>
      <c r="AR106" s="13">
        <f t="shared" si="31"/>
        <v>0</v>
      </c>
      <c r="AS106" s="6" t="str">
        <f t="shared" si="32"/>
        <v xml:space="preserve"> </v>
      </c>
      <c r="AT106" s="21" t="str">
        <f t="shared" si="33"/>
        <v xml:space="preserve"> </v>
      </c>
    </row>
    <row r="107" spans="3:46">
      <c r="C107" s="22">
        <f t="shared" si="18"/>
        <v>96</v>
      </c>
      <c r="D107" s="23">
        <f>IF(AND(C107&gt;='Amort. Sched.-BEST'!$I$8, C107&lt;= ($I$7+$I$8)), PMT('Amort. Sched.-BEST'!$E$8/12, 'Amort. Sched.-BEST'!$I$7, 'Amort. Sched.-BEST'!$E$7), 0)</f>
        <v>-1350.6783839027553</v>
      </c>
      <c r="E107" s="5">
        <f>IF(AND(C107&gt;='Amort. Sched.-BEST'!$I$8, C107&lt;= ($I$7+$I$8)), (IPMT($E$8/12, (C107-$I$8), $I$7, $E$7)), 0)</f>
        <v>-1004.7502685122382</v>
      </c>
      <c r="F107" s="23">
        <f>IF(AND(C107&gt;='Amort. Sched.-BEST'!$I$8, C107&lt;= ($I$7+$I$8)), (PPMT($E$8/12, (C107-$I$8), $I$7, $E$7)), 0)</f>
        <v>-345.92811539051718</v>
      </c>
      <c r="G107" s="5">
        <f>IF(MortgageAmortBEST[[#This Row],[Month]]=I$8,E$7,0)</f>
        <v>0</v>
      </c>
      <c r="H107" s="13">
        <f>IF(AND(C107&gt;='Amort. Sched.-BEST'!$I$8, C107&lt;= ($I$7+$I$8)), H106+F107, 0)</f>
        <v>150366.61216144523</v>
      </c>
      <c r="I107" s="24">
        <f>IF(AND(C107&gt;='Amort. Sched.-BEST'!$I$8, C107&lt;= ($I$7+$I$8)), E107/D107, " ")</f>
        <v>0.74388565071207746</v>
      </c>
      <c r="J107" s="25">
        <f>IF(AND(C107&gt;='Amort. Sched.-BEST'!$I$8, C107&lt;= ($I$7+$I$8)), F107/D107, " ")</f>
        <v>0.25611434928792265</v>
      </c>
      <c r="L107" s="20">
        <f t="shared" si="17"/>
        <v>96</v>
      </c>
      <c r="M107" s="5">
        <f>IF(AND(L107&gt;='Amort. Sched.-BEST'!$R$8, L107&lt;= ($R$7+$R$8)), PMT('Amort. Sched.-BEST'!$N$8/12, 'Amort. Sched.-BEST'!$R$7, 'Amort. Sched.-BEST'!$N$7), 0)</f>
        <v>0</v>
      </c>
      <c r="N107" s="5">
        <f>IF(AND(L107&gt;='Amort. Sched.-BEST'!$R$8, L107&lt;= ($R$7+$R$8)), (IPMT($N$8/12, (L107-$R$8), $R$7, $N$7)), 0)</f>
        <v>0</v>
      </c>
      <c r="O107" s="5">
        <f>IF(AND(L107&gt;='Amort. Sched.-BEST'!$R$8, L107&lt;= ($R$7+$R$8)), (PPMT($N$8/12, (L107-$R$8), $R$7, $N$7)), 0)</f>
        <v>0</v>
      </c>
      <c r="P107" s="5">
        <f>IF(CreditAmort1BEST[[#This Row],[Month]]=R$8,N$7,0)</f>
        <v>0</v>
      </c>
      <c r="Q107" s="13">
        <f>IF(AND(L107&gt;='Amort. Sched.-BEST'!$R$8, L107&lt;= ($R$7+$R$8)), Q106+O107, 0)</f>
        <v>0</v>
      </c>
      <c r="R107" s="6" t="str">
        <f>IF(AND(L107&gt;='Amort. Sched.-BEST'!$R$8, L107&lt;= ($R$7+$R$8)), N107/M107, " ")</f>
        <v xml:space="preserve"> </v>
      </c>
      <c r="S107" s="21" t="str">
        <f>IF(AND(L107&gt;='Amort. Sched.-BEST'!$R$8, L107&lt;= ($R$7+$R$8)), O107/M107, " ")</f>
        <v xml:space="preserve"> </v>
      </c>
      <c r="U107" s="20">
        <f t="shared" si="19"/>
        <v>96</v>
      </c>
      <c r="V107" s="5">
        <f>IF(AND(U107&gt;='Amort. Sched.-BEST'!$AA$8, U107&lt;= ($AA$7+$AA$8)), PMT('Amort. Sched.-BEST'!$W$8/12, 'Amort. Sched.-BEST'!$AA$7, 'Amort. Sched.-BEST'!$W$7), 0)</f>
        <v>0</v>
      </c>
      <c r="W107" s="5">
        <f>IF(AND(U107&gt;='Amort. Sched.-BEST'!$AA$8, U107&lt;= ($AA$7+$AA$8)), (IPMT($W$8/12, (U107-$AA$8), $AA$7, $W$7)), 0)</f>
        <v>0</v>
      </c>
      <c r="X107" s="5">
        <f>IF(AND(U107&gt;='Amort. Sched.-BEST'!$AA$8, U107&lt;= ($AA$7+$AA$8)), (PPMT($W$8/12, (U107-$AA$8), $AA$7, $W$7)), 0)</f>
        <v>0</v>
      </c>
      <c r="Y107" s="5">
        <f>IF(CreditAmort2BEST[[#This Row],[Month]]=AA$8,W$7,0)</f>
        <v>0</v>
      </c>
      <c r="Z107" s="13">
        <f>IF(AND(U107&gt;='Amort. Sched.-BEST'!$AA$8, U107&lt;= ($AA$7+$AA$8)), Z106+X107, 0)</f>
        <v>0</v>
      </c>
      <c r="AA107" s="6" t="str">
        <f>IF(AND(U107&gt;='Amort. Sched.-BEST'!$AA$8, U107&lt;= ($AA$7+$AA$8)), W107/V107, " ")</f>
        <v xml:space="preserve"> </v>
      </c>
      <c r="AB107" s="21" t="str">
        <f>IF(AND(U107&gt;='Amort. Sched.-BEST'!$AA$8, U107&lt;= ($AA$7+$AA$8)), X107/V107, " ")</f>
        <v xml:space="preserve"> </v>
      </c>
      <c r="AD107" s="20">
        <f t="shared" si="20"/>
        <v>96</v>
      </c>
      <c r="AE107" s="5">
        <f t="shared" si="21"/>
        <v>0</v>
      </c>
      <c r="AF107" s="5">
        <f t="shared" si="22"/>
        <v>0</v>
      </c>
      <c r="AG107" s="5">
        <f t="shared" si="23"/>
        <v>0</v>
      </c>
      <c r="AH107" s="5">
        <f>IF(CreditAmort3BEST[[#This Row],[Month]]=AJ$8,AF$7,0)</f>
        <v>0</v>
      </c>
      <c r="AI107" s="13">
        <f t="shared" si="24"/>
        <v>0</v>
      </c>
      <c r="AJ107" s="6" t="str">
        <f t="shared" si="25"/>
        <v xml:space="preserve"> </v>
      </c>
      <c r="AK107" s="21" t="str">
        <f t="shared" si="26"/>
        <v xml:space="preserve"> </v>
      </c>
      <c r="AM107" s="20">
        <f t="shared" si="27"/>
        <v>96</v>
      </c>
      <c r="AN107" s="5">
        <f t="shared" si="28"/>
        <v>0</v>
      </c>
      <c r="AO107" s="5">
        <f t="shared" si="29"/>
        <v>0</v>
      </c>
      <c r="AP107" s="5">
        <f t="shared" si="30"/>
        <v>0</v>
      </c>
      <c r="AQ107" s="5">
        <f>IF(CreditAmort4BEST[[#This Row],[Month]]=AS$8,AO$7,0)</f>
        <v>0</v>
      </c>
      <c r="AR107" s="13">
        <f t="shared" si="31"/>
        <v>0</v>
      </c>
      <c r="AS107" s="6" t="str">
        <f t="shared" si="32"/>
        <v xml:space="preserve"> </v>
      </c>
      <c r="AT107" s="21" t="str">
        <f t="shared" si="33"/>
        <v xml:space="preserve"> </v>
      </c>
    </row>
    <row r="108" spans="3:46">
      <c r="C108" s="22">
        <f t="shared" si="18"/>
        <v>97</v>
      </c>
      <c r="D108" s="23">
        <f>IF(AND(C108&gt;='Amort. Sched.-BEST'!$I$8, C108&lt;= ($I$7+$I$8)), PMT('Amort. Sched.-BEST'!$E$8/12, 'Amort. Sched.-BEST'!$I$7, 'Amort. Sched.-BEST'!$E$7), 0)</f>
        <v>-1350.6783839027553</v>
      </c>
      <c r="E108" s="5">
        <f>IF(AND(C108&gt;='Amort. Sched.-BEST'!$I$8, C108&lt;= ($I$7+$I$8)), (IPMT($E$8/12, (C108-$I$8), $I$7, $E$7)), 0)</f>
        <v>-1002.4440810763014</v>
      </c>
      <c r="F108" s="23">
        <f>IF(AND(C108&gt;='Amort. Sched.-BEST'!$I$8, C108&lt;= ($I$7+$I$8)), (PPMT($E$8/12, (C108-$I$8), $I$7, $E$7)), 0)</f>
        <v>-348.23430282645393</v>
      </c>
      <c r="G108" s="5">
        <f>IF(MortgageAmortBEST[[#This Row],[Month]]=I$8,E$7,0)</f>
        <v>0</v>
      </c>
      <c r="H108" s="13">
        <f>IF(AND(C108&gt;='Amort. Sched.-BEST'!$I$8, C108&lt;= ($I$7+$I$8)), H107+F108, 0)</f>
        <v>150018.37785861877</v>
      </c>
      <c r="I108" s="24">
        <f>IF(AND(C108&gt;='Amort. Sched.-BEST'!$I$8, C108&lt;= ($I$7+$I$8)), E108/D108, " ")</f>
        <v>0.74217822171682457</v>
      </c>
      <c r="J108" s="25">
        <f>IF(AND(C108&gt;='Amort. Sched.-BEST'!$I$8, C108&lt;= ($I$7+$I$8)), F108/D108, " ")</f>
        <v>0.25782177828317548</v>
      </c>
      <c r="L108" s="20">
        <f t="shared" si="17"/>
        <v>97</v>
      </c>
      <c r="M108" s="5">
        <f>IF(AND(L108&gt;='Amort. Sched.-BEST'!$R$8, L108&lt;= ($R$7+$R$8)), PMT('Amort. Sched.-BEST'!$N$8/12, 'Amort. Sched.-BEST'!$R$7, 'Amort. Sched.-BEST'!$N$7), 0)</f>
        <v>0</v>
      </c>
      <c r="N108" s="5">
        <f>IF(AND(L108&gt;='Amort. Sched.-BEST'!$R$8, L108&lt;= ($R$7+$R$8)), (IPMT($N$8/12, (L108-$R$8), $R$7, $N$7)), 0)</f>
        <v>0</v>
      </c>
      <c r="O108" s="5">
        <f>IF(AND(L108&gt;='Amort. Sched.-BEST'!$R$8, L108&lt;= ($R$7+$R$8)), (PPMT($N$8/12, (L108-$R$8), $R$7, $N$7)), 0)</f>
        <v>0</v>
      </c>
      <c r="P108" s="5">
        <f>IF(CreditAmort1BEST[[#This Row],[Month]]=R$8,N$7,0)</f>
        <v>0</v>
      </c>
      <c r="Q108" s="13">
        <f>IF(AND(L108&gt;='Amort. Sched.-BEST'!$R$8, L108&lt;= ($R$7+$R$8)), Q107+O108, 0)</f>
        <v>0</v>
      </c>
      <c r="R108" s="6" t="str">
        <f>IF(AND(L108&gt;='Amort. Sched.-BEST'!$R$8, L108&lt;= ($R$7+$R$8)), N108/M108, " ")</f>
        <v xml:space="preserve"> </v>
      </c>
      <c r="S108" s="21" t="str">
        <f>IF(AND(L108&gt;='Amort. Sched.-BEST'!$R$8, L108&lt;= ($R$7+$R$8)), O108/M108, " ")</f>
        <v xml:space="preserve"> </v>
      </c>
      <c r="U108" s="20">
        <f t="shared" si="19"/>
        <v>97</v>
      </c>
      <c r="V108" s="5">
        <f>IF(AND(U108&gt;='Amort. Sched.-BEST'!$AA$8, U108&lt;= ($AA$7+$AA$8)), PMT('Amort. Sched.-BEST'!$W$8/12, 'Amort. Sched.-BEST'!$AA$7, 'Amort. Sched.-BEST'!$W$7), 0)</f>
        <v>0</v>
      </c>
      <c r="W108" s="5">
        <f>IF(AND(U108&gt;='Amort. Sched.-BEST'!$AA$8, U108&lt;= ($AA$7+$AA$8)), (IPMT($W$8/12, (U108-$AA$8), $AA$7, $W$7)), 0)</f>
        <v>0</v>
      </c>
      <c r="X108" s="5">
        <f>IF(AND(U108&gt;='Amort. Sched.-BEST'!$AA$8, U108&lt;= ($AA$7+$AA$8)), (PPMT($W$8/12, (U108-$AA$8), $AA$7, $W$7)), 0)</f>
        <v>0</v>
      </c>
      <c r="Y108" s="5">
        <f>IF(CreditAmort2BEST[[#This Row],[Month]]=AA$8,W$7,0)</f>
        <v>0</v>
      </c>
      <c r="Z108" s="13">
        <f>IF(AND(U108&gt;='Amort. Sched.-BEST'!$AA$8, U108&lt;= ($AA$7+$AA$8)), Z107+X108, 0)</f>
        <v>0</v>
      </c>
      <c r="AA108" s="6" t="str">
        <f>IF(AND(U108&gt;='Amort. Sched.-BEST'!$AA$8, U108&lt;= ($AA$7+$AA$8)), W108/V108, " ")</f>
        <v xml:space="preserve"> </v>
      </c>
      <c r="AB108" s="21" t="str">
        <f>IF(AND(U108&gt;='Amort. Sched.-BEST'!$AA$8, U108&lt;= ($AA$7+$AA$8)), X108/V108, " ")</f>
        <v xml:space="preserve"> </v>
      </c>
      <c r="AD108" s="20">
        <f t="shared" si="20"/>
        <v>97</v>
      </c>
      <c r="AE108" s="5">
        <f t="shared" si="21"/>
        <v>0</v>
      </c>
      <c r="AF108" s="5">
        <f t="shared" si="22"/>
        <v>0</v>
      </c>
      <c r="AG108" s="5">
        <f t="shared" si="23"/>
        <v>0</v>
      </c>
      <c r="AH108" s="5">
        <f>IF(CreditAmort3BEST[[#This Row],[Month]]=AJ$8,AF$7,0)</f>
        <v>0</v>
      </c>
      <c r="AI108" s="13">
        <f t="shared" si="24"/>
        <v>0</v>
      </c>
      <c r="AJ108" s="6" t="str">
        <f t="shared" si="25"/>
        <v xml:space="preserve"> </v>
      </c>
      <c r="AK108" s="21" t="str">
        <f t="shared" si="26"/>
        <v xml:space="preserve"> </v>
      </c>
      <c r="AM108" s="20">
        <f t="shared" si="27"/>
        <v>97</v>
      </c>
      <c r="AN108" s="5">
        <f t="shared" si="28"/>
        <v>0</v>
      </c>
      <c r="AO108" s="5">
        <f t="shared" si="29"/>
        <v>0</v>
      </c>
      <c r="AP108" s="5">
        <f t="shared" si="30"/>
        <v>0</v>
      </c>
      <c r="AQ108" s="5">
        <f>IF(CreditAmort4BEST[[#This Row],[Month]]=AS$8,AO$7,0)</f>
        <v>0</v>
      </c>
      <c r="AR108" s="13">
        <f t="shared" si="31"/>
        <v>0</v>
      </c>
      <c r="AS108" s="6" t="str">
        <f t="shared" si="32"/>
        <v xml:space="preserve"> </v>
      </c>
      <c r="AT108" s="21" t="str">
        <f t="shared" si="33"/>
        <v xml:space="preserve"> </v>
      </c>
    </row>
    <row r="109" spans="3:46">
      <c r="C109" s="22">
        <f t="shared" si="18"/>
        <v>98</v>
      </c>
      <c r="D109" s="23">
        <f>IF(AND(C109&gt;='Amort. Sched.-BEST'!$I$8, C109&lt;= ($I$7+$I$8)), PMT('Amort. Sched.-BEST'!$E$8/12, 'Amort. Sched.-BEST'!$I$7, 'Amort. Sched.-BEST'!$E$7), 0)</f>
        <v>-1350.6783839027553</v>
      </c>
      <c r="E109" s="5">
        <f>IF(AND(C109&gt;='Amort. Sched.-BEST'!$I$8, C109&lt;= ($I$7+$I$8)), (IPMT($E$8/12, (C109-$I$8), $I$7, $E$7)), 0)</f>
        <v>-1000.1225190574584</v>
      </c>
      <c r="F109" s="23">
        <f>IF(AND(C109&gt;='Amort. Sched.-BEST'!$I$8, C109&lt;= ($I$7+$I$8)), (PPMT($E$8/12, (C109-$I$8), $I$7, $E$7)), 0)</f>
        <v>-350.55586484529698</v>
      </c>
      <c r="G109" s="5">
        <f>IF(MortgageAmortBEST[[#This Row],[Month]]=I$8,E$7,0)</f>
        <v>0</v>
      </c>
      <c r="H109" s="13">
        <f>IF(AND(C109&gt;='Amort. Sched.-BEST'!$I$8, C109&lt;= ($I$7+$I$8)), H108+F109, 0)</f>
        <v>149667.82199377348</v>
      </c>
      <c r="I109" s="24">
        <f>IF(AND(C109&gt;='Amort. Sched.-BEST'!$I$8, C109&lt;= ($I$7+$I$8)), E109/D109, " ")</f>
        <v>0.74045940986160341</v>
      </c>
      <c r="J109" s="25">
        <f>IF(AND(C109&gt;='Amort. Sched.-BEST'!$I$8, C109&lt;= ($I$7+$I$8)), F109/D109, " ")</f>
        <v>0.25954059013839664</v>
      </c>
      <c r="L109" s="20">
        <f t="shared" si="17"/>
        <v>98</v>
      </c>
      <c r="M109" s="5">
        <f>IF(AND(L109&gt;='Amort. Sched.-BEST'!$R$8, L109&lt;= ($R$7+$R$8)), PMT('Amort. Sched.-BEST'!$N$8/12, 'Amort. Sched.-BEST'!$R$7, 'Amort. Sched.-BEST'!$N$7), 0)</f>
        <v>0</v>
      </c>
      <c r="N109" s="5">
        <f>IF(AND(L109&gt;='Amort. Sched.-BEST'!$R$8, L109&lt;= ($R$7+$R$8)), (IPMT($N$8/12, (L109-$R$8), $R$7, $N$7)), 0)</f>
        <v>0</v>
      </c>
      <c r="O109" s="5">
        <f>IF(AND(L109&gt;='Amort. Sched.-BEST'!$R$8, L109&lt;= ($R$7+$R$8)), (PPMT($N$8/12, (L109-$R$8), $R$7, $N$7)), 0)</f>
        <v>0</v>
      </c>
      <c r="P109" s="5">
        <f>IF(CreditAmort1BEST[[#This Row],[Month]]=R$8,N$7,0)</f>
        <v>0</v>
      </c>
      <c r="Q109" s="13">
        <f>IF(AND(L109&gt;='Amort. Sched.-BEST'!$R$8, L109&lt;= ($R$7+$R$8)), Q108+O109, 0)</f>
        <v>0</v>
      </c>
      <c r="R109" s="6" t="str">
        <f>IF(AND(L109&gt;='Amort. Sched.-BEST'!$R$8, L109&lt;= ($R$7+$R$8)), N109/M109, " ")</f>
        <v xml:space="preserve"> </v>
      </c>
      <c r="S109" s="21" t="str">
        <f>IF(AND(L109&gt;='Amort. Sched.-BEST'!$R$8, L109&lt;= ($R$7+$R$8)), O109/M109, " ")</f>
        <v xml:space="preserve"> </v>
      </c>
      <c r="U109" s="20">
        <f t="shared" si="19"/>
        <v>98</v>
      </c>
      <c r="V109" s="5">
        <f>IF(AND(U109&gt;='Amort. Sched.-BEST'!$AA$8, U109&lt;= ($AA$7+$AA$8)), PMT('Amort. Sched.-BEST'!$W$8/12, 'Amort. Sched.-BEST'!$AA$7, 'Amort. Sched.-BEST'!$W$7), 0)</f>
        <v>0</v>
      </c>
      <c r="W109" s="5">
        <f>IF(AND(U109&gt;='Amort. Sched.-BEST'!$AA$8, U109&lt;= ($AA$7+$AA$8)), (IPMT($W$8/12, (U109-$AA$8), $AA$7, $W$7)), 0)</f>
        <v>0</v>
      </c>
      <c r="X109" s="5">
        <f>IF(AND(U109&gt;='Amort. Sched.-BEST'!$AA$8, U109&lt;= ($AA$7+$AA$8)), (PPMT($W$8/12, (U109-$AA$8), $AA$7, $W$7)), 0)</f>
        <v>0</v>
      </c>
      <c r="Y109" s="5">
        <f>IF(CreditAmort2BEST[[#This Row],[Month]]=AA$8,W$7,0)</f>
        <v>0</v>
      </c>
      <c r="Z109" s="13">
        <f>IF(AND(U109&gt;='Amort. Sched.-BEST'!$AA$8, U109&lt;= ($AA$7+$AA$8)), Z108+X109, 0)</f>
        <v>0</v>
      </c>
      <c r="AA109" s="6" t="str">
        <f>IF(AND(U109&gt;='Amort. Sched.-BEST'!$AA$8, U109&lt;= ($AA$7+$AA$8)), W109/V109, " ")</f>
        <v xml:space="preserve"> </v>
      </c>
      <c r="AB109" s="21" t="str">
        <f>IF(AND(U109&gt;='Amort. Sched.-BEST'!$AA$8, U109&lt;= ($AA$7+$AA$8)), X109/V109, " ")</f>
        <v xml:space="preserve"> </v>
      </c>
      <c r="AD109" s="20">
        <f t="shared" si="20"/>
        <v>98</v>
      </c>
      <c r="AE109" s="5">
        <f t="shared" si="21"/>
        <v>0</v>
      </c>
      <c r="AF109" s="5">
        <f t="shared" si="22"/>
        <v>0</v>
      </c>
      <c r="AG109" s="5">
        <f t="shared" si="23"/>
        <v>0</v>
      </c>
      <c r="AH109" s="5">
        <f>IF(CreditAmort3BEST[[#This Row],[Month]]=AJ$8,AF$7,0)</f>
        <v>0</v>
      </c>
      <c r="AI109" s="13">
        <f t="shared" si="24"/>
        <v>0</v>
      </c>
      <c r="AJ109" s="6" t="str">
        <f t="shared" si="25"/>
        <v xml:space="preserve"> </v>
      </c>
      <c r="AK109" s="21" t="str">
        <f t="shared" si="26"/>
        <v xml:space="preserve"> </v>
      </c>
      <c r="AM109" s="20">
        <f t="shared" si="27"/>
        <v>98</v>
      </c>
      <c r="AN109" s="5">
        <f t="shared" si="28"/>
        <v>0</v>
      </c>
      <c r="AO109" s="5">
        <f t="shared" si="29"/>
        <v>0</v>
      </c>
      <c r="AP109" s="5">
        <f t="shared" si="30"/>
        <v>0</v>
      </c>
      <c r="AQ109" s="5">
        <f>IF(CreditAmort4BEST[[#This Row],[Month]]=AS$8,AO$7,0)</f>
        <v>0</v>
      </c>
      <c r="AR109" s="13">
        <f t="shared" si="31"/>
        <v>0</v>
      </c>
      <c r="AS109" s="6" t="str">
        <f t="shared" si="32"/>
        <v xml:space="preserve"> </v>
      </c>
      <c r="AT109" s="21" t="str">
        <f t="shared" si="33"/>
        <v xml:space="preserve"> </v>
      </c>
    </row>
    <row r="110" spans="3:46">
      <c r="C110" s="22">
        <f t="shared" si="18"/>
        <v>99</v>
      </c>
      <c r="D110" s="23">
        <f>IF(AND(C110&gt;='Amort. Sched.-BEST'!$I$8, C110&lt;= ($I$7+$I$8)), PMT('Amort. Sched.-BEST'!$E$8/12, 'Amort. Sched.-BEST'!$I$7, 'Amort. Sched.-BEST'!$E$7), 0)</f>
        <v>-1350.6783839027553</v>
      </c>
      <c r="E110" s="5">
        <f>IF(AND(C110&gt;='Amort. Sched.-BEST'!$I$8, C110&lt;= ($I$7+$I$8)), (IPMT($E$8/12, (C110-$I$8), $I$7, $E$7)), 0)</f>
        <v>-997.78547995848976</v>
      </c>
      <c r="F110" s="23">
        <f>IF(AND(C110&gt;='Amort. Sched.-BEST'!$I$8, C110&lt;= ($I$7+$I$8)), (PPMT($E$8/12, (C110-$I$8), $I$7, $E$7)), 0)</f>
        <v>-352.89290394426558</v>
      </c>
      <c r="G110" s="5">
        <f>IF(MortgageAmortBEST[[#This Row],[Month]]=I$8,E$7,0)</f>
        <v>0</v>
      </c>
      <c r="H110" s="13">
        <f>IF(AND(C110&gt;='Amort. Sched.-BEST'!$I$8, C110&lt;= ($I$7+$I$8)), H109+F110, 0)</f>
        <v>149314.92908982921</v>
      </c>
      <c r="I110" s="24">
        <f>IF(AND(C110&gt;='Amort. Sched.-BEST'!$I$8, C110&lt;= ($I$7+$I$8)), E110/D110, " ")</f>
        <v>0.73872913926068073</v>
      </c>
      <c r="J110" s="25">
        <f>IF(AND(C110&gt;='Amort. Sched.-BEST'!$I$8, C110&lt;= ($I$7+$I$8)), F110/D110, " ")</f>
        <v>0.26127086073931927</v>
      </c>
      <c r="L110" s="20">
        <f t="shared" si="17"/>
        <v>99</v>
      </c>
      <c r="M110" s="5">
        <f>IF(AND(L110&gt;='Amort. Sched.-BEST'!$R$8, L110&lt;= ($R$7+$R$8)), PMT('Amort. Sched.-BEST'!$N$8/12, 'Amort. Sched.-BEST'!$R$7, 'Amort. Sched.-BEST'!$N$7), 0)</f>
        <v>0</v>
      </c>
      <c r="N110" s="5">
        <f>IF(AND(L110&gt;='Amort. Sched.-BEST'!$R$8, L110&lt;= ($R$7+$R$8)), (IPMT($N$8/12, (L110-$R$8), $R$7, $N$7)), 0)</f>
        <v>0</v>
      </c>
      <c r="O110" s="5">
        <f>IF(AND(L110&gt;='Amort. Sched.-BEST'!$R$8, L110&lt;= ($R$7+$R$8)), (PPMT($N$8/12, (L110-$R$8), $R$7, $N$7)), 0)</f>
        <v>0</v>
      </c>
      <c r="P110" s="5">
        <f>IF(CreditAmort1BEST[[#This Row],[Month]]=R$8,N$7,0)</f>
        <v>0</v>
      </c>
      <c r="Q110" s="13">
        <f>IF(AND(L110&gt;='Amort. Sched.-BEST'!$R$8, L110&lt;= ($R$7+$R$8)), Q109+O110, 0)</f>
        <v>0</v>
      </c>
      <c r="R110" s="6" t="str">
        <f>IF(AND(L110&gt;='Amort. Sched.-BEST'!$R$8, L110&lt;= ($R$7+$R$8)), N110/M110, " ")</f>
        <v xml:space="preserve"> </v>
      </c>
      <c r="S110" s="21" t="str">
        <f>IF(AND(L110&gt;='Amort. Sched.-BEST'!$R$8, L110&lt;= ($R$7+$R$8)), O110/M110, " ")</f>
        <v xml:space="preserve"> </v>
      </c>
      <c r="U110" s="20">
        <f t="shared" si="19"/>
        <v>99</v>
      </c>
      <c r="V110" s="5">
        <f>IF(AND(U110&gt;='Amort. Sched.-BEST'!$AA$8, U110&lt;= ($AA$7+$AA$8)), PMT('Amort. Sched.-BEST'!$W$8/12, 'Amort. Sched.-BEST'!$AA$7, 'Amort. Sched.-BEST'!$W$7), 0)</f>
        <v>0</v>
      </c>
      <c r="W110" s="5">
        <f>IF(AND(U110&gt;='Amort. Sched.-BEST'!$AA$8, U110&lt;= ($AA$7+$AA$8)), (IPMT($W$8/12, (U110-$AA$8), $AA$7, $W$7)), 0)</f>
        <v>0</v>
      </c>
      <c r="X110" s="5">
        <f>IF(AND(U110&gt;='Amort. Sched.-BEST'!$AA$8, U110&lt;= ($AA$7+$AA$8)), (PPMT($W$8/12, (U110-$AA$8), $AA$7, $W$7)), 0)</f>
        <v>0</v>
      </c>
      <c r="Y110" s="5">
        <f>IF(CreditAmort2BEST[[#This Row],[Month]]=AA$8,W$7,0)</f>
        <v>0</v>
      </c>
      <c r="Z110" s="13">
        <f>IF(AND(U110&gt;='Amort. Sched.-BEST'!$AA$8, U110&lt;= ($AA$7+$AA$8)), Z109+X110, 0)</f>
        <v>0</v>
      </c>
      <c r="AA110" s="6" t="str">
        <f>IF(AND(U110&gt;='Amort. Sched.-BEST'!$AA$8, U110&lt;= ($AA$7+$AA$8)), W110/V110, " ")</f>
        <v xml:space="preserve"> </v>
      </c>
      <c r="AB110" s="21" t="str">
        <f>IF(AND(U110&gt;='Amort. Sched.-BEST'!$AA$8, U110&lt;= ($AA$7+$AA$8)), X110/V110, " ")</f>
        <v xml:space="preserve"> </v>
      </c>
      <c r="AD110" s="20">
        <f t="shared" si="20"/>
        <v>99</v>
      </c>
      <c r="AE110" s="5">
        <f t="shared" si="21"/>
        <v>0</v>
      </c>
      <c r="AF110" s="5">
        <f t="shared" si="22"/>
        <v>0</v>
      </c>
      <c r="AG110" s="5">
        <f t="shared" si="23"/>
        <v>0</v>
      </c>
      <c r="AH110" s="5">
        <f>IF(CreditAmort3BEST[[#This Row],[Month]]=AJ$8,AF$7,0)</f>
        <v>0</v>
      </c>
      <c r="AI110" s="13">
        <f t="shared" si="24"/>
        <v>0</v>
      </c>
      <c r="AJ110" s="6" t="str">
        <f t="shared" si="25"/>
        <v xml:space="preserve"> </v>
      </c>
      <c r="AK110" s="21" t="str">
        <f t="shared" si="26"/>
        <v xml:space="preserve"> </v>
      </c>
      <c r="AM110" s="20">
        <f t="shared" si="27"/>
        <v>99</v>
      </c>
      <c r="AN110" s="5">
        <f t="shared" si="28"/>
        <v>0</v>
      </c>
      <c r="AO110" s="5">
        <f t="shared" si="29"/>
        <v>0</v>
      </c>
      <c r="AP110" s="5">
        <f t="shared" si="30"/>
        <v>0</v>
      </c>
      <c r="AQ110" s="5">
        <f>IF(CreditAmort4BEST[[#This Row],[Month]]=AS$8,AO$7,0)</f>
        <v>0</v>
      </c>
      <c r="AR110" s="13">
        <f t="shared" si="31"/>
        <v>0</v>
      </c>
      <c r="AS110" s="6" t="str">
        <f t="shared" si="32"/>
        <v xml:space="preserve"> </v>
      </c>
      <c r="AT110" s="21" t="str">
        <f t="shared" si="33"/>
        <v xml:space="preserve"> </v>
      </c>
    </row>
    <row r="111" spans="3:46">
      <c r="C111" s="22">
        <f t="shared" si="18"/>
        <v>100</v>
      </c>
      <c r="D111" s="23">
        <f>IF(AND(C111&gt;='Amort. Sched.-BEST'!$I$8, C111&lt;= ($I$7+$I$8)), PMT('Amort. Sched.-BEST'!$E$8/12, 'Amort. Sched.-BEST'!$I$7, 'Amort. Sched.-BEST'!$E$7), 0)</f>
        <v>-1350.6783839027553</v>
      </c>
      <c r="E111" s="5">
        <f>IF(AND(C111&gt;='Amort. Sched.-BEST'!$I$8, C111&lt;= ($I$7+$I$8)), (IPMT($E$8/12, (C111-$I$8), $I$7, $E$7)), 0)</f>
        <v>-995.43286059886123</v>
      </c>
      <c r="F111" s="23">
        <f>IF(AND(C111&gt;='Amort. Sched.-BEST'!$I$8, C111&lt;= ($I$7+$I$8)), (PPMT($E$8/12, (C111-$I$8), $I$7, $E$7)), 0)</f>
        <v>-355.24552330389406</v>
      </c>
      <c r="G111" s="5">
        <f>IF(MortgageAmortBEST[[#This Row],[Month]]=I$8,E$7,0)</f>
        <v>0</v>
      </c>
      <c r="H111" s="13">
        <f>IF(AND(C111&gt;='Amort. Sched.-BEST'!$I$8, C111&lt;= ($I$7+$I$8)), H110+F111, 0)</f>
        <v>148959.68356652532</v>
      </c>
      <c r="I111" s="24">
        <f>IF(AND(C111&gt;='Amort. Sched.-BEST'!$I$8, C111&lt;= ($I$7+$I$8)), E111/D111, " ")</f>
        <v>0.73698733352241852</v>
      </c>
      <c r="J111" s="25">
        <f>IF(AND(C111&gt;='Amort. Sched.-BEST'!$I$8, C111&lt;= ($I$7+$I$8)), F111/D111, " ")</f>
        <v>0.26301266647758142</v>
      </c>
      <c r="L111" s="20">
        <f t="shared" si="17"/>
        <v>100</v>
      </c>
      <c r="M111" s="5">
        <f>IF(AND(L111&gt;='Amort. Sched.-BEST'!$R$8, L111&lt;= ($R$7+$R$8)), PMT('Amort. Sched.-BEST'!$N$8/12, 'Amort. Sched.-BEST'!$R$7, 'Amort. Sched.-BEST'!$N$7), 0)</f>
        <v>0</v>
      </c>
      <c r="N111" s="5">
        <f>IF(AND(L111&gt;='Amort. Sched.-BEST'!$R$8, L111&lt;= ($R$7+$R$8)), (IPMT($N$8/12, (L111-$R$8), $R$7, $N$7)), 0)</f>
        <v>0</v>
      </c>
      <c r="O111" s="5">
        <f>IF(AND(L111&gt;='Amort. Sched.-BEST'!$R$8, L111&lt;= ($R$7+$R$8)), (PPMT($N$8/12, (L111-$R$8), $R$7, $N$7)), 0)</f>
        <v>0</v>
      </c>
      <c r="P111" s="5">
        <f>IF(CreditAmort1BEST[[#This Row],[Month]]=R$8,N$7,0)</f>
        <v>0</v>
      </c>
      <c r="Q111" s="13">
        <f>IF(AND(L111&gt;='Amort. Sched.-BEST'!$R$8, L111&lt;= ($R$7+$R$8)), Q110+O111, 0)</f>
        <v>0</v>
      </c>
      <c r="R111" s="6" t="str">
        <f>IF(AND(L111&gt;='Amort. Sched.-BEST'!$R$8, L111&lt;= ($R$7+$R$8)), N111/M111, " ")</f>
        <v xml:space="preserve"> </v>
      </c>
      <c r="S111" s="21" t="str">
        <f>IF(AND(L111&gt;='Amort. Sched.-BEST'!$R$8, L111&lt;= ($R$7+$R$8)), O111/M111, " ")</f>
        <v xml:space="preserve"> </v>
      </c>
      <c r="U111" s="20">
        <f t="shared" si="19"/>
        <v>100</v>
      </c>
      <c r="V111" s="5">
        <f>IF(AND(U111&gt;='Amort. Sched.-BEST'!$AA$8, U111&lt;= ($AA$7+$AA$8)), PMT('Amort. Sched.-BEST'!$W$8/12, 'Amort. Sched.-BEST'!$AA$7, 'Amort. Sched.-BEST'!$W$7), 0)</f>
        <v>0</v>
      </c>
      <c r="W111" s="5">
        <f>IF(AND(U111&gt;='Amort. Sched.-BEST'!$AA$8, U111&lt;= ($AA$7+$AA$8)), (IPMT($W$8/12, (U111-$AA$8), $AA$7, $W$7)), 0)</f>
        <v>0</v>
      </c>
      <c r="X111" s="5">
        <f>IF(AND(U111&gt;='Amort. Sched.-BEST'!$AA$8, U111&lt;= ($AA$7+$AA$8)), (PPMT($W$8/12, (U111-$AA$8), $AA$7, $W$7)), 0)</f>
        <v>0</v>
      </c>
      <c r="Y111" s="5">
        <f>IF(CreditAmort2BEST[[#This Row],[Month]]=AA$8,W$7,0)</f>
        <v>0</v>
      </c>
      <c r="Z111" s="13">
        <f>IF(AND(U111&gt;='Amort. Sched.-BEST'!$AA$8, U111&lt;= ($AA$7+$AA$8)), Z110+X111, 0)</f>
        <v>0</v>
      </c>
      <c r="AA111" s="6" t="str">
        <f>IF(AND(U111&gt;='Amort. Sched.-BEST'!$AA$8, U111&lt;= ($AA$7+$AA$8)), W111/V111, " ")</f>
        <v xml:space="preserve"> </v>
      </c>
      <c r="AB111" s="21" t="str">
        <f>IF(AND(U111&gt;='Amort. Sched.-BEST'!$AA$8, U111&lt;= ($AA$7+$AA$8)), X111/V111, " ")</f>
        <v xml:space="preserve"> </v>
      </c>
      <c r="AD111" s="20">
        <f t="shared" si="20"/>
        <v>100</v>
      </c>
      <c r="AE111" s="5">
        <f t="shared" si="21"/>
        <v>0</v>
      </c>
      <c r="AF111" s="5">
        <f t="shared" si="22"/>
        <v>0</v>
      </c>
      <c r="AG111" s="5">
        <f t="shared" si="23"/>
        <v>0</v>
      </c>
      <c r="AH111" s="5">
        <f>IF(CreditAmort3BEST[[#This Row],[Month]]=AJ$8,AF$7,0)</f>
        <v>0</v>
      </c>
      <c r="AI111" s="13">
        <f t="shared" si="24"/>
        <v>0</v>
      </c>
      <c r="AJ111" s="6" t="str">
        <f t="shared" si="25"/>
        <v xml:space="preserve"> </v>
      </c>
      <c r="AK111" s="21" t="str">
        <f t="shared" si="26"/>
        <v xml:space="preserve"> </v>
      </c>
      <c r="AM111" s="20">
        <f t="shared" si="27"/>
        <v>100</v>
      </c>
      <c r="AN111" s="5">
        <f t="shared" si="28"/>
        <v>0</v>
      </c>
      <c r="AO111" s="5">
        <f t="shared" si="29"/>
        <v>0</v>
      </c>
      <c r="AP111" s="5">
        <f t="shared" si="30"/>
        <v>0</v>
      </c>
      <c r="AQ111" s="5">
        <f>IF(CreditAmort4BEST[[#This Row],[Month]]=AS$8,AO$7,0)</f>
        <v>0</v>
      </c>
      <c r="AR111" s="13">
        <f t="shared" si="31"/>
        <v>0</v>
      </c>
      <c r="AS111" s="6" t="str">
        <f t="shared" si="32"/>
        <v xml:space="preserve"> </v>
      </c>
      <c r="AT111" s="21" t="str">
        <f t="shared" si="33"/>
        <v xml:space="preserve"> </v>
      </c>
    </row>
    <row r="112" spans="3:46">
      <c r="C112" s="22">
        <f t="shared" si="18"/>
        <v>101</v>
      </c>
      <c r="D112" s="23">
        <f>IF(AND(C112&gt;='Amort. Sched.-BEST'!$I$8, C112&lt;= ($I$7+$I$8)), PMT('Amort. Sched.-BEST'!$E$8/12, 'Amort. Sched.-BEST'!$I$7, 'Amort. Sched.-BEST'!$E$7), 0)</f>
        <v>-1350.6783839027553</v>
      </c>
      <c r="E112" s="5">
        <f>IF(AND(C112&gt;='Amort. Sched.-BEST'!$I$8, C112&lt;= ($I$7+$I$8)), (IPMT($E$8/12, (C112-$I$8), $I$7, $E$7)), 0)</f>
        <v>-993.06455711016861</v>
      </c>
      <c r="F112" s="23">
        <f>IF(AND(C112&gt;='Amort. Sched.-BEST'!$I$8, C112&lt;= ($I$7+$I$8)), (PPMT($E$8/12, (C112-$I$8), $I$7, $E$7)), 0)</f>
        <v>-357.61382679258668</v>
      </c>
      <c r="G112" s="5">
        <f>IF(MortgageAmortBEST[[#This Row],[Month]]=I$8,E$7,0)</f>
        <v>0</v>
      </c>
      <c r="H112" s="13">
        <f>IF(AND(C112&gt;='Amort. Sched.-BEST'!$I$8, C112&lt;= ($I$7+$I$8)), H111+F112, 0)</f>
        <v>148602.06973973272</v>
      </c>
      <c r="I112" s="24">
        <f>IF(AND(C112&gt;='Amort. Sched.-BEST'!$I$8, C112&lt;= ($I$7+$I$8)), E112/D112, " ")</f>
        <v>0.73523391574590136</v>
      </c>
      <c r="J112" s="25">
        <f>IF(AND(C112&gt;='Amort. Sched.-BEST'!$I$8, C112&lt;= ($I$7+$I$8)), F112/D112, " ")</f>
        <v>0.26476608425409864</v>
      </c>
      <c r="L112" s="20">
        <f t="shared" si="17"/>
        <v>101</v>
      </c>
      <c r="M112" s="5">
        <f>IF(AND(L112&gt;='Amort. Sched.-BEST'!$R$8, L112&lt;= ($R$7+$R$8)), PMT('Amort. Sched.-BEST'!$N$8/12, 'Amort. Sched.-BEST'!$R$7, 'Amort. Sched.-BEST'!$N$7), 0)</f>
        <v>0</v>
      </c>
      <c r="N112" s="5">
        <f>IF(AND(L112&gt;='Amort. Sched.-BEST'!$R$8, L112&lt;= ($R$7+$R$8)), (IPMT($N$8/12, (L112-$R$8), $R$7, $N$7)), 0)</f>
        <v>0</v>
      </c>
      <c r="O112" s="5">
        <f>IF(AND(L112&gt;='Amort. Sched.-BEST'!$R$8, L112&lt;= ($R$7+$R$8)), (PPMT($N$8/12, (L112-$R$8), $R$7, $N$7)), 0)</f>
        <v>0</v>
      </c>
      <c r="P112" s="5">
        <f>IF(CreditAmort1BEST[[#This Row],[Month]]=R$8,N$7,0)</f>
        <v>0</v>
      </c>
      <c r="Q112" s="13">
        <f>IF(AND(L112&gt;='Amort. Sched.-BEST'!$R$8, L112&lt;= ($R$7+$R$8)), Q111+O112, 0)</f>
        <v>0</v>
      </c>
      <c r="R112" s="6" t="str">
        <f>IF(AND(L112&gt;='Amort. Sched.-BEST'!$R$8, L112&lt;= ($R$7+$R$8)), N112/M112, " ")</f>
        <v xml:space="preserve"> </v>
      </c>
      <c r="S112" s="21" t="str">
        <f>IF(AND(L112&gt;='Amort. Sched.-BEST'!$R$8, L112&lt;= ($R$7+$R$8)), O112/M112, " ")</f>
        <v xml:space="preserve"> </v>
      </c>
      <c r="U112" s="20">
        <f t="shared" si="19"/>
        <v>101</v>
      </c>
      <c r="V112" s="5">
        <f>IF(AND(U112&gt;='Amort. Sched.-BEST'!$AA$8, U112&lt;= ($AA$7+$AA$8)), PMT('Amort. Sched.-BEST'!$W$8/12, 'Amort. Sched.-BEST'!$AA$7, 'Amort. Sched.-BEST'!$W$7), 0)</f>
        <v>0</v>
      </c>
      <c r="W112" s="5">
        <f>IF(AND(U112&gt;='Amort. Sched.-BEST'!$AA$8, U112&lt;= ($AA$7+$AA$8)), (IPMT($W$8/12, (U112-$AA$8), $AA$7, $W$7)), 0)</f>
        <v>0</v>
      </c>
      <c r="X112" s="5">
        <f>IF(AND(U112&gt;='Amort. Sched.-BEST'!$AA$8, U112&lt;= ($AA$7+$AA$8)), (PPMT($W$8/12, (U112-$AA$8), $AA$7, $W$7)), 0)</f>
        <v>0</v>
      </c>
      <c r="Y112" s="5">
        <f>IF(CreditAmort2BEST[[#This Row],[Month]]=AA$8,W$7,0)</f>
        <v>0</v>
      </c>
      <c r="Z112" s="13">
        <f>IF(AND(U112&gt;='Amort. Sched.-BEST'!$AA$8, U112&lt;= ($AA$7+$AA$8)), Z111+X112, 0)</f>
        <v>0</v>
      </c>
      <c r="AA112" s="6" t="str">
        <f>IF(AND(U112&gt;='Amort. Sched.-BEST'!$AA$8, U112&lt;= ($AA$7+$AA$8)), W112/V112, " ")</f>
        <v xml:space="preserve"> </v>
      </c>
      <c r="AB112" s="21" t="str">
        <f>IF(AND(U112&gt;='Amort. Sched.-BEST'!$AA$8, U112&lt;= ($AA$7+$AA$8)), X112/V112, " ")</f>
        <v xml:space="preserve"> </v>
      </c>
      <c r="AD112" s="20">
        <f t="shared" si="20"/>
        <v>101</v>
      </c>
      <c r="AE112" s="5">
        <f t="shared" si="21"/>
        <v>0</v>
      </c>
      <c r="AF112" s="5">
        <f t="shared" si="22"/>
        <v>0</v>
      </c>
      <c r="AG112" s="5">
        <f t="shared" si="23"/>
        <v>0</v>
      </c>
      <c r="AH112" s="5">
        <f>IF(CreditAmort3BEST[[#This Row],[Month]]=AJ$8,AF$7,0)</f>
        <v>0</v>
      </c>
      <c r="AI112" s="13">
        <f t="shared" si="24"/>
        <v>0</v>
      </c>
      <c r="AJ112" s="6" t="str">
        <f t="shared" si="25"/>
        <v xml:space="preserve"> </v>
      </c>
      <c r="AK112" s="21" t="str">
        <f t="shared" si="26"/>
        <v xml:space="preserve"> </v>
      </c>
      <c r="AM112" s="20">
        <f t="shared" si="27"/>
        <v>101</v>
      </c>
      <c r="AN112" s="5">
        <f t="shared" si="28"/>
        <v>0</v>
      </c>
      <c r="AO112" s="5">
        <f t="shared" si="29"/>
        <v>0</v>
      </c>
      <c r="AP112" s="5">
        <f t="shared" si="30"/>
        <v>0</v>
      </c>
      <c r="AQ112" s="5">
        <f>IF(CreditAmort4BEST[[#This Row],[Month]]=AS$8,AO$7,0)</f>
        <v>0</v>
      </c>
      <c r="AR112" s="13">
        <f t="shared" si="31"/>
        <v>0</v>
      </c>
      <c r="AS112" s="6" t="str">
        <f t="shared" si="32"/>
        <v xml:space="preserve"> </v>
      </c>
      <c r="AT112" s="21" t="str">
        <f t="shared" si="33"/>
        <v xml:space="preserve"> </v>
      </c>
    </row>
    <row r="113" spans="3:46">
      <c r="C113" s="22">
        <f t="shared" si="18"/>
        <v>102</v>
      </c>
      <c r="D113" s="23">
        <f>IF(AND(C113&gt;='Amort. Sched.-BEST'!$I$8, C113&lt;= ($I$7+$I$8)), PMT('Amort. Sched.-BEST'!$E$8/12, 'Amort. Sched.-BEST'!$I$7, 'Amort. Sched.-BEST'!$E$7), 0)</f>
        <v>-1350.6783839027553</v>
      </c>
      <c r="E113" s="5">
        <f>IF(AND(C113&gt;='Amort. Sched.-BEST'!$I$8, C113&lt;= ($I$7+$I$8)), (IPMT($E$8/12, (C113-$I$8), $I$7, $E$7)), 0)</f>
        <v>-990.68046493155134</v>
      </c>
      <c r="F113" s="23">
        <f>IF(AND(C113&gt;='Amort. Sched.-BEST'!$I$8, C113&lt;= ($I$7+$I$8)), (PPMT($E$8/12, (C113-$I$8), $I$7, $E$7)), 0)</f>
        <v>-359.99791897120394</v>
      </c>
      <c r="G113" s="5">
        <f>IF(MortgageAmortBEST[[#This Row],[Month]]=I$8,E$7,0)</f>
        <v>0</v>
      </c>
      <c r="H113" s="13">
        <f>IF(AND(C113&gt;='Amort. Sched.-BEST'!$I$8, C113&lt;= ($I$7+$I$8)), H112+F113, 0)</f>
        <v>148242.07182076151</v>
      </c>
      <c r="I113" s="24">
        <f>IF(AND(C113&gt;='Amort. Sched.-BEST'!$I$8, C113&lt;= ($I$7+$I$8)), E113/D113, " ")</f>
        <v>0.7334688085175407</v>
      </c>
      <c r="J113" s="25">
        <f>IF(AND(C113&gt;='Amort. Sched.-BEST'!$I$8, C113&lt;= ($I$7+$I$8)), F113/D113, " ")</f>
        <v>0.2665311914824593</v>
      </c>
      <c r="L113" s="20">
        <f t="shared" si="17"/>
        <v>102</v>
      </c>
      <c r="M113" s="5">
        <f>IF(AND(L113&gt;='Amort. Sched.-BEST'!$R$8, L113&lt;= ($R$7+$R$8)), PMT('Amort. Sched.-BEST'!$N$8/12, 'Amort. Sched.-BEST'!$R$7, 'Amort. Sched.-BEST'!$N$7), 0)</f>
        <v>0</v>
      </c>
      <c r="N113" s="5">
        <f>IF(AND(L113&gt;='Amort. Sched.-BEST'!$R$8, L113&lt;= ($R$7+$R$8)), (IPMT($N$8/12, (L113-$R$8), $R$7, $N$7)), 0)</f>
        <v>0</v>
      </c>
      <c r="O113" s="5">
        <f>IF(AND(L113&gt;='Amort. Sched.-BEST'!$R$8, L113&lt;= ($R$7+$R$8)), (PPMT($N$8/12, (L113-$R$8), $R$7, $N$7)), 0)</f>
        <v>0</v>
      </c>
      <c r="P113" s="5">
        <f>IF(CreditAmort1BEST[[#This Row],[Month]]=R$8,N$7,0)</f>
        <v>0</v>
      </c>
      <c r="Q113" s="13">
        <f>IF(AND(L113&gt;='Amort. Sched.-BEST'!$R$8, L113&lt;= ($R$7+$R$8)), Q112+O113, 0)</f>
        <v>0</v>
      </c>
      <c r="R113" s="6" t="str">
        <f>IF(AND(L113&gt;='Amort. Sched.-BEST'!$R$8, L113&lt;= ($R$7+$R$8)), N113/M113, " ")</f>
        <v xml:space="preserve"> </v>
      </c>
      <c r="S113" s="21" t="str">
        <f>IF(AND(L113&gt;='Amort. Sched.-BEST'!$R$8, L113&lt;= ($R$7+$R$8)), O113/M113, " ")</f>
        <v xml:space="preserve"> </v>
      </c>
      <c r="U113" s="20">
        <f t="shared" si="19"/>
        <v>102</v>
      </c>
      <c r="V113" s="5">
        <f>IF(AND(U113&gt;='Amort. Sched.-BEST'!$AA$8, U113&lt;= ($AA$7+$AA$8)), PMT('Amort. Sched.-BEST'!$W$8/12, 'Amort. Sched.-BEST'!$AA$7, 'Amort. Sched.-BEST'!$W$7), 0)</f>
        <v>0</v>
      </c>
      <c r="W113" s="5">
        <f>IF(AND(U113&gt;='Amort. Sched.-BEST'!$AA$8, U113&lt;= ($AA$7+$AA$8)), (IPMT($W$8/12, (U113-$AA$8), $AA$7, $W$7)), 0)</f>
        <v>0</v>
      </c>
      <c r="X113" s="5">
        <f>IF(AND(U113&gt;='Amort. Sched.-BEST'!$AA$8, U113&lt;= ($AA$7+$AA$8)), (PPMT($W$8/12, (U113-$AA$8), $AA$7, $W$7)), 0)</f>
        <v>0</v>
      </c>
      <c r="Y113" s="5">
        <f>IF(CreditAmort2BEST[[#This Row],[Month]]=AA$8,W$7,0)</f>
        <v>0</v>
      </c>
      <c r="Z113" s="13">
        <f>IF(AND(U113&gt;='Amort. Sched.-BEST'!$AA$8, U113&lt;= ($AA$7+$AA$8)), Z112+X113, 0)</f>
        <v>0</v>
      </c>
      <c r="AA113" s="6" t="str">
        <f>IF(AND(U113&gt;='Amort. Sched.-BEST'!$AA$8, U113&lt;= ($AA$7+$AA$8)), W113/V113, " ")</f>
        <v xml:space="preserve"> </v>
      </c>
      <c r="AB113" s="21" t="str">
        <f>IF(AND(U113&gt;='Amort. Sched.-BEST'!$AA$8, U113&lt;= ($AA$7+$AA$8)), X113/V113, " ")</f>
        <v xml:space="preserve"> </v>
      </c>
      <c r="AD113" s="20">
        <f t="shared" si="20"/>
        <v>102</v>
      </c>
      <c r="AE113" s="5">
        <f t="shared" si="21"/>
        <v>0</v>
      </c>
      <c r="AF113" s="5">
        <f t="shared" si="22"/>
        <v>0</v>
      </c>
      <c r="AG113" s="5">
        <f t="shared" si="23"/>
        <v>0</v>
      </c>
      <c r="AH113" s="5">
        <f>IF(CreditAmort3BEST[[#This Row],[Month]]=AJ$8,AF$7,0)</f>
        <v>0</v>
      </c>
      <c r="AI113" s="13">
        <f t="shared" si="24"/>
        <v>0</v>
      </c>
      <c r="AJ113" s="6" t="str">
        <f t="shared" si="25"/>
        <v xml:space="preserve"> </v>
      </c>
      <c r="AK113" s="21" t="str">
        <f t="shared" si="26"/>
        <v xml:space="preserve"> </v>
      </c>
      <c r="AM113" s="20">
        <f t="shared" si="27"/>
        <v>102</v>
      </c>
      <c r="AN113" s="5">
        <f t="shared" si="28"/>
        <v>0</v>
      </c>
      <c r="AO113" s="5">
        <f t="shared" si="29"/>
        <v>0</v>
      </c>
      <c r="AP113" s="5">
        <f t="shared" si="30"/>
        <v>0</v>
      </c>
      <c r="AQ113" s="5">
        <f>IF(CreditAmort4BEST[[#This Row],[Month]]=AS$8,AO$7,0)</f>
        <v>0</v>
      </c>
      <c r="AR113" s="13">
        <f t="shared" si="31"/>
        <v>0</v>
      </c>
      <c r="AS113" s="6" t="str">
        <f t="shared" si="32"/>
        <v xml:space="preserve"> </v>
      </c>
      <c r="AT113" s="21" t="str">
        <f t="shared" si="33"/>
        <v xml:space="preserve"> </v>
      </c>
    </row>
    <row r="114" spans="3:46">
      <c r="C114" s="22">
        <f t="shared" si="18"/>
        <v>103</v>
      </c>
      <c r="D114" s="23">
        <f>IF(AND(C114&gt;='Amort. Sched.-BEST'!$I$8, C114&lt;= ($I$7+$I$8)), PMT('Amort. Sched.-BEST'!$E$8/12, 'Amort. Sched.-BEST'!$I$7, 'Amort. Sched.-BEST'!$E$7), 0)</f>
        <v>-1350.6783839027553</v>
      </c>
      <c r="E114" s="5">
        <f>IF(AND(C114&gt;='Amort. Sched.-BEST'!$I$8, C114&lt;= ($I$7+$I$8)), (IPMT($E$8/12, (C114-$I$8), $I$7, $E$7)), 0)</f>
        <v>-988.28047880507665</v>
      </c>
      <c r="F114" s="23">
        <f>IF(AND(C114&gt;='Amort. Sched.-BEST'!$I$8, C114&lt;= ($I$7+$I$8)), (PPMT($E$8/12, (C114-$I$8), $I$7, $E$7)), 0)</f>
        <v>-362.39790509767869</v>
      </c>
      <c r="G114" s="5">
        <f>IF(MortgageAmortBEST[[#This Row],[Month]]=I$8,E$7,0)</f>
        <v>0</v>
      </c>
      <c r="H114" s="13">
        <f>IF(AND(C114&gt;='Amort. Sched.-BEST'!$I$8, C114&lt;= ($I$7+$I$8)), H113+F114, 0)</f>
        <v>147879.67391566382</v>
      </c>
      <c r="I114" s="24">
        <f>IF(AND(C114&gt;='Amort. Sched.-BEST'!$I$8, C114&lt;= ($I$7+$I$8)), E114/D114, " ")</f>
        <v>0.73169193390765763</v>
      </c>
      <c r="J114" s="25">
        <f>IF(AND(C114&gt;='Amort. Sched.-BEST'!$I$8, C114&lt;= ($I$7+$I$8)), F114/D114, " ")</f>
        <v>0.26830806609234242</v>
      </c>
      <c r="L114" s="20">
        <f t="shared" si="17"/>
        <v>103</v>
      </c>
      <c r="M114" s="5">
        <f>IF(AND(L114&gt;='Amort. Sched.-BEST'!$R$8, L114&lt;= ($R$7+$R$8)), PMT('Amort. Sched.-BEST'!$N$8/12, 'Amort. Sched.-BEST'!$R$7, 'Amort. Sched.-BEST'!$N$7), 0)</f>
        <v>0</v>
      </c>
      <c r="N114" s="5">
        <f>IF(AND(L114&gt;='Amort. Sched.-BEST'!$R$8, L114&lt;= ($R$7+$R$8)), (IPMT($N$8/12, (L114-$R$8), $R$7, $N$7)), 0)</f>
        <v>0</v>
      </c>
      <c r="O114" s="5">
        <f>IF(AND(L114&gt;='Amort. Sched.-BEST'!$R$8, L114&lt;= ($R$7+$R$8)), (PPMT($N$8/12, (L114-$R$8), $R$7, $N$7)), 0)</f>
        <v>0</v>
      </c>
      <c r="P114" s="5">
        <f>IF(CreditAmort1BEST[[#This Row],[Month]]=R$8,N$7,0)</f>
        <v>0</v>
      </c>
      <c r="Q114" s="13">
        <f>IF(AND(L114&gt;='Amort. Sched.-BEST'!$R$8, L114&lt;= ($R$7+$R$8)), Q113+O114, 0)</f>
        <v>0</v>
      </c>
      <c r="R114" s="6" t="str">
        <f>IF(AND(L114&gt;='Amort. Sched.-BEST'!$R$8, L114&lt;= ($R$7+$R$8)), N114/M114, " ")</f>
        <v xml:space="preserve"> </v>
      </c>
      <c r="S114" s="21" t="str">
        <f>IF(AND(L114&gt;='Amort. Sched.-BEST'!$R$8, L114&lt;= ($R$7+$R$8)), O114/M114, " ")</f>
        <v xml:space="preserve"> </v>
      </c>
      <c r="U114" s="20">
        <f t="shared" si="19"/>
        <v>103</v>
      </c>
      <c r="V114" s="5">
        <f>IF(AND(U114&gt;='Amort. Sched.-BEST'!$AA$8, U114&lt;= ($AA$7+$AA$8)), PMT('Amort. Sched.-BEST'!$W$8/12, 'Amort. Sched.-BEST'!$AA$7, 'Amort. Sched.-BEST'!$W$7), 0)</f>
        <v>0</v>
      </c>
      <c r="W114" s="5">
        <f>IF(AND(U114&gt;='Amort. Sched.-BEST'!$AA$8, U114&lt;= ($AA$7+$AA$8)), (IPMT($W$8/12, (U114-$AA$8), $AA$7, $W$7)), 0)</f>
        <v>0</v>
      </c>
      <c r="X114" s="5">
        <f>IF(AND(U114&gt;='Amort. Sched.-BEST'!$AA$8, U114&lt;= ($AA$7+$AA$8)), (PPMT($W$8/12, (U114-$AA$8), $AA$7, $W$7)), 0)</f>
        <v>0</v>
      </c>
      <c r="Y114" s="5">
        <f>IF(CreditAmort2BEST[[#This Row],[Month]]=AA$8,W$7,0)</f>
        <v>0</v>
      </c>
      <c r="Z114" s="13">
        <f>IF(AND(U114&gt;='Amort. Sched.-BEST'!$AA$8, U114&lt;= ($AA$7+$AA$8)), Z113+X114, 0)</f>
        <v>0</v>
      </c>
      <c r="AA114" s="6" t="str">
        <f>IF(AND(U114&gt;='Amort. Sched.-BEST'!$AA$8, U114&lt;= ($AA$7+$AA$8)), W114/V114, " ")</f>
        <v xml:space="preserve"> </v>
      </c>
      <c r="AB114" s="21" t="str">
        <f>IF(AND(U114&gt;='Amort. Sched.-BEST'!$AA$8, U114&lt;= ($AA$7+$AA$8)), X114/V114, " ")</f>
        <v xml:space="preserve"> </v>
      </c>
      <c r="AD114" s="20">
        <f t="shared" si="20"/>
        <v>103</v>
      </c>
      <c r="AE114" s="5">
        <f t="shared" si="21"/>
        <v>0</v>
      </c>
      <c r="AF114" s="5">
        <f t="shared" si="22"/>
        <v>0</v>
      </c>
      <c r="AG114" s="5">
        <f t="shared" si="23"/>
        <v>0</v>
      </c>
      <c r="AH114" s="5">
        <f>IF(CreditAmort3BEST[[#This Row],[Month]]=AJ$8,AF$7,0)</f>
        <v>0</v>
      </c>
      <c r="AI114" s="13">
        <f t="shared" si="24"/>
        <v>0</v>
      </c>
      <c r="AJ114" s="6" t="str">
        <f t="shared" si="25"/>
        <v xml:space="preserve"> </v>
      </c>
      <c r="AK114" s="21" t="str">
        <f t="shared" si="26"/>
        <v xml:space="preserve"> </v>
      </c>
      <c r="AM114" s="20">
        <f t="shared" si="27"/>
        <v>103</v>
      </c>
      <c r="AN114" s="5">
        <f t="shared" si="28"/>
        <v>0</v>
      </c>
      <c r="AO114" s="5">
        <f t="shared" si="29"/>
        <v>0</v>
      </c>
      <c r="AP114" s="5">
        <f t="shared" si="30"/>
        <v>0</v>
      </c>
      <c r="AQ114" s="5">
        <f>IF(CreditAmort4BEST[[#This Row],[Month]]=AS$8,AO$7,0)</f>
        <v>0</v>
      </c>
      <c r="AR114" s="13">
        <f t="shared" si="31"/>
        <v>0</v>
      </c>
      <c r="AS114" s="6" t="str">
        <f t="shared" si="32"/>
        <v xml:space="preserve"> </v>
      </c>
      <c r="AT114" s="21" t="str">
        <f t="shared" si="33"/>
        <v xml:space="preserve"> </v>
      </c>
    </row>
    <row r="115" spans="3:46">
      <c r="C115" s="22">
        <f t="shared" si="18"/>
        <v>104</v>
      </c>
      <c r="D115" s="23">
        <f>IF(AND(C115&gt;='Amort. Sched.-BEST'!$I$8, C115&lt;= ($I$7+$I$8)), PMT('Amort. Sched.-BEST'!$E$8/12, 'Amort. Sched.-BEST'!$I$7, 'Amort. Sched.-BEST'!$E$7), 0)</f>
        <v>-1350.6783839027553</v>
      </c>
      <c r="E115" s="5">
        <f>IF(AND(C115&gt;='Amort. Sched.-BEST'!$I$8, C115&lt;= ($I$7+$I$8)), (IPMT($E$8/12, (C115-$I$8), $I$7, $E$7)), 0)</f>
        <v>-985.86449277109216</v>
      </c>
      <c r="F115" s="23">
        <f>IF(AND(C115&gt;='Amort. Sched.-BEST'!$I$8, C115&lt;= ($I$7+$I$8)), (PPMT($E$8/12, (C115-$I$8), $I$7, $E$7)), 0)</f>
        <v>-364.81389113166313</v>
      </c>
      <c r="G115" s="5">
        <f>IF(MortgageAmortBEST[[#This Row],[Month]]=I$8,E$7,0)</f>
        <v>0</v>
      </c>
      <c r="H115" s="13">
        <f>IF(AND(C115&gt;='Amort. Sched.-BEST'!$I$8, C115&lt;= ($I$7+$I$8)), H114+F115, 0)</f>
        <v>147514.86002453216</v>
      </c>
      <c r="I115" s="24">
        <f>IF(AND(C115&gt;='Amort. Sched.-BEST'!$I$8, C115&lt;= ($I$7+$I$8)), E115/D115, " ")</f>
        <v>0.72990321346704201</v>
      </c>
      <c r="J115" s="25">
        <f>IF(AND(C115&gt;='Amort. Sched.-BEST'!$I$8, C115&lt;= ($I$7+$I$8)), F115/D115, " ")</f>
        <v>0.27009678653295793</v>
      </c>
      <c r="L115" s="20">
        <f t="shared" si="17"/>
        <v>104</v>
      </c>
      <c r="M115" s="5">
        <f>IF(AND(L115&gt;='Amort. Sched.-BEST'!$R$8, L115&lt;= ($R$7+$R$8)), PMT('Amort. Sched.-BEST'!$N$8/12, 'Amort. Sched.-BEST'!$R$7, 'Amort. Sched.-BEST'!$N$7), 0)</f>
        <v>0</v>
      </c>
      <c r="N115" s="5">
        <f>IF(AND(L115&gt;='Amort. Sched.-BEST'!$R$8, L115&lt;= ($R$7+$R$8)), (IPMT($N$8/12, (L115-$R$8), $R$7, $N$7)), 0)</f>
        <v>0</v>
      </c>
      <c r="O115" s="5">
        <f>IF(AND(L115&gt;='Amort. Sched.-BEST'!$R$8, L115&lt;= ($R$7+$R$8)), (PPMT($N$8/12, (L115-$R$8), $R$7, $N$7)), 0)</f>
        <v>0</v>
      </c>
      <c r="P115" s="5">
        <f>IF(CreditAmort1BEST[[#This Row],[Month]]=R$8,N$7,0)</f>
        <v>0</v>
      </c>
      <c r="Q115" s="13">
        <f>IF(AND(L115&gt;='Amort. Sched.-BEST'!$R$8, L115&lt;= ($R$7+$R$8)), Q114+O115, 0)</f>
        <v>0</v>
      </c>
      <c r="R115" s="6" t="str">
        <f>IF(AND(L115&gt;='Amort. Sched.-BEST'!$R$8, L115&lt;= ($R$7+$R$8)), N115/M115, " ")</f>
        <v xml:space="preserve"> </v>
      </c>
      <c r="S115" s="21" t="str">
        <f>IF(AND(L115&gt;='Amort. Sched.-BEST'!$R$8, L115&lt;= ($R$7+$R$8)), O115/M115, " ")</f>
        <v xml:space="preserve"> </v>
      </c>
      <c r="U115" s="20">
        <f t="shared" si="19"/>
        <v>104</v>
      </c>
      <c r="V115" s="5">
        <f>IF(AND(U115&gt;='Amort. Sched.-BEST'!$AA$8, U115&lt;= ($AA$7+$AA$8)), PMT('Amort. Sched.-BEST'!$W$8/12, 'Amort. Sched.-BEST'!$AA$7, 'Amort. Sched.-BEST'!$W$7), 0)</f>
        <v>0</v>
      </c>
      <c r="W115" s="5">
        <f>IF(AND(U115&gt;='Amort. Sched.-BEST'!$AA$8, U115&lt;= ($AA$7+$AA$8)), (IPMT($W$8/12, (U115-$AA$8), $AA$7, $W$7)), 0)</f>
        <v>0</v>
      </c>
      <c r="X115" s="5">
        <f>IF(AND(U115&gt;='Amort. Sched.-BEST'!$AA$8, U115&lt;= ($AA$7+$AA$8)), (PPMT($W$8/12, (U115-$AA$8), $AA$7, $W$7)), 0)</f>
        <v>0</v>
      </c>
      <c r="Y115" s="5">
        <f>IF(CreditAmort2BEST[[#This Row],[Month]]=AA$8,W$7,0)</f>
        <v>0</v>
      </c>
      <c r="Z115" s="13">
        <f>IF(AND(U115&gt;='Amort. Sched.-BEST'!$AA$8, U115&lt;= ($AA$7+$AA$8)), Z114+X115, 0)</f>
        <v>0</v>
      </c>
      <c r="AA115" s="6" t="str">
        <f>IF(AND(U115&gt;='Amort. Sched.-BEST'!$AA$8, U115&lt;= ($AA$7+$AA$8)), W115/V115, " ")</f>
        <v xml:space="preserve"> </v>
      </c>
      <c r="AB115" s="21" t="str">
        <f>IF(AND(U115&gt;='Amort. Sched.-BEST'!$AA$8, U115&lt;= ($AA$7+$AA$8)), X115/V115, " ")</f>
        <v xml:space="preserve"> </v>
      </c>
      <c r="AD115" s="20">
        <f t="shared" si="20"/>
        <v>104</v>
      </c>
      <c r="AE115" s="5">
        <f t="shared" si="21"/>
        <v>0</v>
      </c>
      <c r="AF115" s="5">
        <f t="shared" si="22"/>
        <v>0</v>
      </c>
      <c r="AG115" s="5">
        <f t="shared" si="23"/>
        <v>0</v>
      </c>
      <c r="AH115" s="5">
        <f>IF(CreditAmort3BEST[[#This Row],[Month]]=AJ$8,AF$7,0)</f>
        <v>0</v>
      </c>
      <c r="AI115" s="13">
        <f t="shared" si="24"/>
        <v>0</v>
      </c>
      <c r="AJ115" s="6" t="str">
        <f t="shared" si="25"/>
        <v xml:space="preserve"> </v>
      </c>
      <c r="AK115" s="21" t="str">
        <f t="shared" si="26"/>
        <v xml:space="preserve"> </v>
      </c>
      <c r="AM115" s="20">
        <f t="shared" si="27"/>
        <v>104</v>
      </c>
      <c r="AN115" s="5">
        <f t="shared" si="28"/>
        <v>0</v>
      </c>
      <c r="AO115" s="5">
        <f t="shared" si="29"/>
        <v>0</v>
      </c>
      <c r="AP115" s="5">
        <f t="shared" si="30"/>
        <v>0</v>
      </c>
      <c r="AQ115" s="5">
        <f>IF(CreditAmort4BEST[[#This Row],[Month]]=AS$8,AO$7,0)</f>
        <v>0</v>
      </c>
      <c r="AR115" s="13">
        <f t="shared" si="31"/>
        <v>0</v>
      </c>
      <c r="AS115" s="6" t="str">
        <f t="shared" si="32"/>
        <v xml:space="preserve"> </v>
      </c>
      <c r="AT115" s="21" t="str">
        <f t="shared" si="33"/>
        <v xml:space="preserve"> </v>
      </c>
    </row>
    <row r="116" spans="3:46">
      <c r="C116" s="22">
        <f t="shared" si="18"/>
        <v>105</v>
      </c>
      <c r="D116" s="23">
        <f>IF(AND(C116&gt;='Amort. Sched.-BEST'!$I$8, C116&lt;= ($I$7+$I$8)), PMT('Amort. Sched.-BEST'!$E$8/12, 'Amort. Sched.-BEST'!$I$7, 'Amort. Sched.-BEST'!$E$7), 0)</f>
        <v>-1350.6783839027553</v>
      </c>
      <c r="E116" s="5">
        <f>IF(AND(C116&gt;='Amort. Sched.-BEST'!$I$8, C116&lt;= ($I$7+$I$8)), (IPMT($E$8/12, (C116-$I$8), $I$7, $E$7)), 0)</f>
        <v>-983.43240016354775</v>
      </c>
      <c r="F116" s="23">
        <f>IF(AND(C116&gt;='Amort. Sched.-BEST'!$I$8, C116&lt;= ($I$7+$I$8)), (PPMT($E$8/12, (C116-$I$8), $I$7, $E$7)), 0)</f>
        <v>-367.24598373920759</v>
      </c>
      <c r="G116" s="5">
        <f>IF(MortgageAmortBEST[[#This Row],[Month]]=I$8,E$7,0)</f>
        <v>0</v>
      </c>
      <c r="H116" s="13">
        <f>IF(AND(C116&gt;='Amort. Sched.-BEST'!$I$8, C116&lt;= ($I$7+$I$8)), H115+F116, 0)</f>
        <v>147147.61404079295</v>
      </c>
      <c r="I116" s="24">
        <f>IF(AND(C116&gt;='Amort. Sched.-BEST'!$I$8, C116&lt;= ($I$7+$I$8)), E116/D116, " ")</f>
        <v>0.72810256822348896</v>
      </c>
      <c r="J116" s="25">
        <f>IF(AND(C116&gt;='Amort. Sched.-BEST'!$I$8, C116&lt;= ($I$7+$I$8)), F116/D116, " ")</f>
        <v>0.27189743177651104</v>
      </c>
      <c r="L116" s="20">
        <f t="shared" si="17"/>
        <v>105</v>
      </c>
      <c r="M116" s="5">
        <f>IF(AND(L116&gt;='Amort. Sched.-BEST'!$R$8, L116&lt;= ($R$7+$R$8)), PMT('Amort. Sched.-BEST'!$N$8/12, 'Amort. Sched.-BEST'!$R$7, 'Amort. Sched.-BEST'!$N$7), 0)</f>
        <v>0</v>
      </c>
      <c r="N116" s="5">
        <f>IF(AND(L116&gt;='Amort. Sched.-BEST'!$R$8, L116&lt;= ($R$7+$R$8)), (IPMT($N$8/12, (L116-$R$8), $R$7, $N$7)), 0)</f>
        <v>0</v>
      </c>
      <c r="O116" s="5">
        <f>IF(AND(L116&gt;='Amort. Sched.-BEST'!$R$8, L116&lt;= ($R$7+$R$8)), (PPMT($N$8/12, (L116-$R$8), $R$7, $N$7)), 0)</f>
        <v>0</v>
      </c>
      <c r="P116" s="5">
        <f>IF(CreditAmort1BEST[[#This Row],[Month]]=R$8,N$7,0)</f>
        <v>0</v>
      </c>
      <c r="Q116" s="13">
        <f>IF(AND(L116&gt;='Amort. Sched.-BEST'!$R$8, L116&lt;= ($R$7+$R$8)), Q115+O116, 0)</f>
        <v>0</v>
      </c>
      <c r="R116" s="6" t="str">
        <f>IF(AND(L116&gt;='Amort. Sched.-BEST'!$R$8, L116&lt;= ($R$7+$R$8)), N116/M116, " ")</f>
        <v xml:space="preserve"> </v>
      </c>
      <c r="S116" s="21" t="str">
        <f>IF(AND(L116&gt;='Amort. Sched.-BEST'!$R$8, L116&lt;= ($R$7+$R$8)), O116/M116, " ")</f>
        <v xml:space="preserve"> </v>
      </c>
      <c r="U116" s="20">
        <f t="shared" si="19"/>
        <v>105</v>
      </c>
      <c r="V116" s="5">
        <f>IF(AND(U116&gt;='Amort. Sched.-BEST'!$AA$8, U116&lt;= ($AA$7+$AA$8)), PMT('Amort. Sched.-BEST'!$W$8/12, 'Amort. Sched.-BEST'!$AA$7, 'Amort. Sched.-BEST'!$W$7), 0)</f>
        <v>0</v>
      </c>
      <c r="W116" s="5">
        <f>IF(AND(U116&gt;='Amort. Sched.-BEST'!$AA$8, U116&lt;= ($AA$7+$AA$8)), (IPMT($W$8/12, (U116-$AA$8), $AA$7, $W$7)), 0)</f>
        <v>0</v>
      </c>
      <c r="X116" s="5">
        <f>IF(AND(U116&gt;='Amort. Sched.-BEST'!$AA$8, U116&lt;= ($AA$7+$AA$8)), (PPMT($W$8/12, (U116-$AA$8), $AA$7, $W$7)), 0)</f>
        <v>0</v>
      </c>
      <c r="Y116" s="5">
        <f>IF(CreditAmort2BEST[[#This Row],[Month]]=AA$8,W$7,0)</f>
        <v>0</v>
      </c>
      <c r="Z116" s="13">
        <f>IF(AND(U116&gt;='Amort. Sched.-BEST'!$AA$8, U116&lt;= ($AA$7+$AA$8)), Z115+X116, 0)</f>
        <v>0</v>
      </c>
      <c r="AA116" s="6" t="str">
        <f>IF(AND(U116&gt;='Amort. Sched.-BEST'!$AA$8, U116&lt;= ($AA$7+$AA$8)), W116/V116, " ")</f>
        <v xml:space="preserve"> </v>
      </c>
      <c r="AB116" s="21" t="str">
        <f>IF(AND(U116&gt;='Amort. Sched.-BEST'!$AA$8, U116&lt;= ($AA$7+$AA$8)), X116/V116, " ")</f>
        <v xml:space="preserve"> </v>
      </c>
      <c r="AD116" s="20">
        <f t="shared" si="20"/>
        <v>105</v>
      </c>
      <c r="AE116" s="5">
        <f t="shared" si="21"/>
        <v>0</v>
      </c>
      <c r="AF116" s="5">
        <f t="shared" si="22"/>
        <v>0</v>
      </c>
      <c r="AG116" s="5">
        <f t="shared" si="23"/>
        <v>0</v>
      </c>
      <c r="AH116" s="5">
        <f>IF(CreditAmort3BEST[[#This Row],[Month]]=AJ$8,AF$7,0)</f>
        <v>0</v>
      </c>
      <c r="AI116" s="13">
        <f t="shared" si="24"/>
        <v>0</v>
      </c>
      <c r="AJ116" s="6" t="str">
        <f t="shared" si="25"/>
        <v xml:space="preserve"> </v>
      </c>
      <c r="AK116" s="21" t="str">
        <f t="shared" si="26"/>
        <v xml:space="preserve"> </v>
      </c>
      <c r="AM116" s="20">
        <f t="shared" si="27"/>
        <v>105</v>
      </c>
      <c r="AN116" s="5">
        <f t="shared" si="28"/>
        <v>0</v>
      </c>
      <c r="AO116" s="5">
        <f t="shared" si="29"/>
        <v>0</v>
      </c>
      <c r="AP116" s="5">
        <f t="shared" si="30"/>
        <v>0</v>
      </c>
      <c r="AQ116" s="5">
        <f>IF(CreditAmort4BEST[[#This Row],[Month]]=AS$8,AO$7,0)</f>
        <v>0</v>
      </c>
      <c r="AR116" s="13">
        <f t="shared" si="31"/>
        <v>0</v>
      </c>
      <c r="AS116" s="6" t="str">
        <f t="shared" si="32"/>
        <v xml:space="preserve"> </v>
      </c>
      <c r="AT116" s="21" t="str">
        <f t="shared" si="33"/>
        <v xml:space="preserve"> </v>
      </c>
    </row>
    <row r="117" spans="3:46">
      <c r="C117" s="22">
        <f t="shared" si="18"/>
        <v>106</v>
      </c>
      <c r="D117" s="23">
        <f>IF(AND(C117&gt;='Amort. Sched.-BEST'!$I$8, C117&lt;= ($I$7+$I$8)), PMT('Amort. Sched.-BEST'!$E$8/12, 'Amort. Sched.-BEST'!$I$7, 'Amort. Sched.-BEST'!$E$7), 0)</f>
        <v>-1350.6783839027553</v>
      </c>
      <c r="E117" s="5">
        <f>IF(AND(C117&gt;='Amort. Sched.-BEST'!$I$8, C117&lt;= ($I$7+$I$8)), (IPMT($E$8/12, (C117-$I$8), $I$7, $E$7)), 0)</f>
        <v>-980.98409360528638</v>
      </c>
      <c r="F117" s="23">
        <f>IF(AND(C117&gt;='Amort. Sched.-BEST'!$I$8, C117&lt;= ($I$7+$I$8)), (PPMT($E$8/12, (C117-$I$8), $I$7, $E$7)), 0)</f>
        <v>-369.69429029746902</v>
      </c>
      <c r="G117" s="5">
        <f>IF(MortgageAmortBEST[[#This Row],[Month]]=I$8,E$7,0)</f>
        <v>0</v>
      </c>
      <c r="H117" s="13">
        <f>IF(AND(C117&gt;='Amort. Sched.-BEST'!$I$8, C117&lt;= ($I$7+$I$8)), H116+F117, 0)</f>
        <v>146777.91975049549</v>
      </c>
      <c r="I117" s="24">
        <f>IF(AND(C117&gt;='Amort. Sched.-BEST'!$I$8, C117&lt;= ($I$7+$I$8)), E117/D117, " ")</f>
        <v>0.72628991867831227</v>
      </c>
      <c r="J117" s="25">
        <f>IF(AND(C117&gt;='Amort. Sched.-BEST'!$I$8, C117&lt;= ($I$7+$I$8)), F117/D117, " ")</f>
        <v>0.27371008132168784</v>
      </c>
      <c r="L117" s="20">
        <f t="shared" si="17"/>
        <v>106</v>
      </c>
      <c r="M117" s="5">
        <f>IF(AND(L117&gt;='Amort. Sched.-BEST'!$R$8, L117&lt;= ($R$7+$R$8)), PMT('Amort. Sched.-BEST'!$N$8/12, 'Amort. Sched.-BEST'!$R$7, 'Amort. Sched.-BEST'!$N$7), 0)</f>
        <v>0</v>
      </c>
      <c r="N117" s="5">
        <f>IF(AND(L117&gt;='Amort. Sched.-BEST'!$R$8, L117&lt;= ($R$7+$R$8)), (IPMT($N$8/12, (L117-$R$8), $R$7, $N$7)), 0)</f>
        <v>0</v>
      </c>
      <c r="O117" s="5">
        <f>IF(AND(L117&gt;='Amort. Sched.-BEST'!$R$8, L117&lt;= ($R$7+$R$8)), (PPMT($N$8/12, (L117-$R$8), $R$7, $N$7)), 0)</f>
        <v>0</v>
      </c>
      <c r="P117" s="5">
        <f>IF(CreditAmort1BEST[[#This Row],[Month]]=R$8,N$7,0)</f>
        <v>0</v>
      </c>
      <c r="Q117" s="13">
        <f>IF(AND(L117&gt;='Amort. Sched.-BEST'!$R$8, L117&lt;= ($R$7+$R$8)), Q116+O117, 0)</f>
        <v>0</v>
      </c>
      <c r="R117" s="6" t="str">
        <f>IF(AND(L117&gt;='Amort. Sched.-BEST'!$R$8, L117&lt;= ($R$7+$R$8)), N117/M117, " ")</f>
        <v xml:space="preserve"> </v>
      </c>
      <c r="S117" s="21" t="str">
        <f>IF(AND(L117&gt;='Amort. Sched.-BEST'!$R$8, L117&lt;= ($R$7+$R$8)), O117/M117, " ")</f>
        <v xml:space="preserve"> </v>
      </c>
      <c r="U117" s="20">
        <f t="shared" si="19"/>
        <v>106</v>
      </c>
      <c r="V117" s="5">
        <f>IF(AND(U117&gt;='Amort. Sched.-BEST'!$AA$8, U117&lt;= ($AA$7+$AA$8)), PMT('Amort. Sched.-BEST'!$W$8/12, 'Amort. Sched.-BEST'!$AA$7, 'Amort. Sched.-BEST'!$W$7), 0)</f>
        <v>0</v>
      </c>
      <c r="W117" s="5">
        <f>IF(AND(U117&gt;='Amort. Sched.-BEST'!$AA$8, U117&lt;= ($AA$7+$AA$8)), (IPMT($W$8/12, (U117-$AA$8), $AA$7, $W$7)), 0)</f>
        <v>0</v>
      </c>
      <c r="X117" s="5">
        <f>IF(AND(U117&gt;='Amort. Sched.-BEST'!$AA$8, U117&lt;= ($AA$7+$AA$8)), (PPMT($W$8/12, (U117-$AA$8), $AA$7, $W$7)), 0)</f>
        <v>0</v>
      </c>
      <c r="Y117" s="5">
        <f>IF(CreditAmort2BEST[[#This Row],[Month]]=AA$8,W$7,0)</f>
        <v>0</v>
      </c>
      <c r="Z117" s="13">
        <f>IF(AND(U117&gt;='Amort. Sched.-BEST'!$AA$8, U117&lt;= ($AA$7+$AA$8)), Z116+X117, 0)</f>
        <v>0</v>
      </c>
      <c r="AA117" s="6" t="str">
        <f>IF(AND(U117&gt;='Amort. Sched.-BEST'!$AA$8, U117&lt;= ($AA$7+$AA$8)), W117/V117, " ")</f>
        <v xml:space="preserve"> </v>
      </c>
      <c r="AB117" s="21" t="str">
        <f>IF(AND(U117&gt;='Amort. Sched.-BEST'!$AA$8, U117&lt;= ($AA$7+$AA$8)), X117/V117, " ")</f>
        <v xml:space="preserve"> </v>
      </c>
      <c r="AD117" s="20">
        <f t="shared" si="20"/>
        <v>106</v>
      </c>
      <c r="AE117" s="5">
        <f t="shared" si="21"/>
        <v>0</v>
      </c>
      <c r="AF117" s="5">
        <f t="shared" si="22"/>
        <v>0</v>
      </c>
      <c r="AG117" s="5">
        <f t="shared" si="23"/>
        <v>0</v>
      </c>
      <c r="AH117" s="5">
        <f>IF(CreditAmort3BEST[[#This Row],[Month]]=AJ$8,AF$7,0)</f>
        <v>0</v>
      </c>
      <c r="AI117" s="13">
        <f t="shared" si="24"/>
        <v>0</v>
      </c>
      <c r="AJ117" s="6" t="str">
        <f t="shared" si="25"/>
        <v xml:space="preserve"> </v>
      </c>
      <c r="AK117" s="21" t="str">
        <f t="shared" si="26"/>
        <v xml:space="preserve"> </v>
      </c>
      <c r="AM117" s="20">
        <f t="shared" si="27"/>
        <v>106</v>
      </c>
      <c r="AN117" s="5">
        <f t="shared" si="28"/>
        <v>0</v>
      </c>
      <c r="AO117" s="5">
        <f t="shared" si="29"/>
        <v>0</v>
      </c>
      <c r="AP117" s="5">
        <f t="shared" si="30"/>
        <v>0</v>
      </c>
      <c r="AQ117" s="5">
        <f>IF(CreditAmort4BEST[[#This Row],[Month]]=AS$8,AO$7,0)</f>
        <v>0</v>
      </c>
      <c r="AR117" s="13">
        <f t="shared" si="31"/>
        <v>0</v>
      </c>
      <c r="AS117" s="6" t="str">
        <f t="shared" si="32"/>
        <v xml:space="preserve"> </v>
      </c>
      <c r="AT117" s="21" t="str">
        <f t="shared" si="33"/>
        <v xml:space="preserve"> </v>
      </c>
    </row>
    <row r="118" spans="3:46">
      <c r="C118" s="22">
        <f t="shared" si="18"/>
        <v>107</v>
      </c>
      <c r="D118" s="23">
        <f>IF(AND(C118&gt;='Amort. Sched.-BEST'!$I$8, C118&lt;= ($I$7+$I$8)), PMT('Amort. Sched.-BEST'!$E$8/12, 'Amort. Sched.-BEST'!$I$7, 'Amort. Sched.-BEST'!$E$7), 0)</f>
        <v>-1350.6783839027553</v>
      </c>
      <c r="E118" s="5">
        <f>IF(AND(C118&gt;='Amort. Sched.-BEST'!$I$8, C118&lt;= ($I$7+$I$8)), (IPMT($E$8/12, (C118-$I$8), $I$7, $E$7)), 0)</f>
        <v>-978.51946500330314</v>
      </c>
      <c r="F118" s="23">
        <f>IF(AND(C118&gt;='Amort. Sched.-BEST'!$I$8, C118&lt;= ($I$7+$I$8)), (PPMT($E$8/12, (C118-$I$8), $I$7, $E$7)), 0)</f>
        <v>-372.15891889945215</v>
      </c>
      <c r="G118" s="5">
        <f>IF(MortgageAmortBEST[[#This Row],[Month]]=I$8,E$7,0)</f>
        <v>0</v>
      </c>
      <c r="H118" s="13">
        <f>IF(AND(C118&gt;='Amort. Sched.-BEST'!$I$8, C118&lt;= ($I$7+$I$8)), H117+F118, 0)</f>
        <v>146405.76083159604</v>
      </c>
      <c r="I118" s="24">
        <f>IF(AND(C118&gt;='Amort. Sched.-BEST'!$I$8, C118&lt;= ($I$7+$I$8)), E118/D118, " ")</f>
        <v>0.72446518480283428</v>
      </c>
      <c r="J118" s="25">
        <f>IF(AND(C118&gt;='Amort. Sched.-BEST'!$I$8, C118&lt;= ($I$7+$I$8)), F118/D118, " ")</f>
        <v>0.27553481519716572</v>
      </c>
      <c r="L118" s="20">
        <f t="shared" si="17"/>
        <v>107</v>
      </c>
      <c r="M118" s="5">
        <f>IF(AND(L118&gt;='Amort. Sched.-BEST'!$R$8, L118&lt;= ($R$7+$R$8)), PMT('Amort. Sched.-BEST'!$N$8/12, 'Amort. Sched.-BEST'!$R$7, 'Amort. Sched.-BEST'!$N$7), 0)</f>
        <v>0</v>
      </c>
      <c r="N118" s="5">
        <f>IF(AND(L118&gt;='Amort. Sched.-BEST'!$R$8, L118&lt;= ($R$7+$R$8)), (IPMT($N$8/12, (L118-$R$8), $R$7, $N$7)), 0)</f>
        <v>0</v>
      </c>
      <c r="O118" s="5">
        <f>IF(AND(L118&gt;='Amort. Sched.-BEST'!$R$8, L118&lt;= ($R$7+$R$8)), (PPMT($N$8/12, (L118-$R$8), $R$7, $N$7)), 0)</f>
        <v>0</v>
      </c>
      <c r="P118" s="5">
        <f>IF(CreditAmort1BEST[[#This Row],[Month]]=R$8,N$7,0)</f>
        <v>0</v>
      </c>
      <c r="Q118" s="13">
        <f>IF(AND(L118&gt;='Amort. Sched.-BEST'!$R$8, L118&lt;= ($R$7+$R$8)), Q117+O118, 0)</f>
        <v>0</v>
      </c>
      <c r="R118" s="6" t="str">
        <f>IF(AND(L118&gt;='Amort. Sched.-BEST'!$R$8, L118&lt;= ($R$7+$R$8)), N118/M118, " ")</f>
        <v xml:space="preserve"> </v>
      </c>
      <c r="S118" s="21" t="str">
        <f>IF(AND(L118&gt;='Amort. Sched.-BEST'!$R$8, L118&lt;= ($R$7+$R$8)), O118/M118, " ")</f>
        <v xml:space="preserve"> </v>
      </c>
      <c r="U118" s="20">
        <f t="shared" si="19"/>
        <v>107</v>
      </c>
      <c r="V118" s="5">
        <f>IF(AND(U118&gt;='Amort. Sched.-BEST'!$AA$8, U118&lt;= ($AA$7+$AA$8)), PMT('Amort. Sched.-BEST'!$W$8/12, 'Amort. Sched.-BEST'!$AA$7, 'Amort. Sched.-BEST'!$W$7), 0)</f>
        <v>0</v>
      </c>
      <c r="W118" s="5">
        <f>IF(AND(U118&gt;='Amort. Sched.-BEST'!$AA$8, U118&lt;= ($AA$7+$AA$8)), (IPMT($W$8/12, (U118-$AA$8), $AA$7, $W$7)), 0)</f>
        <v>0</v>
      </c>
      <c r="X118" s="5">
        <f>IF(AND(U118&gt;='Amort. Sched.-BEST'!$AA$8, U118&lt;= ($AA$7+$AA$8)), (PPMT($W$8/12, (U118-$AA$8), $AA$7, $W$7)), 0)</f>
        <v>0</v>
      </c>
      <c r="Y118" s="5">
        <f>IF(CreditAmort2BEST[[#This Row],[Month]]=AA$8,W$7,0)</f>
        <v>0</v>
      </c>
      <c r="Z118" s="13">
        <f>IF(AND(U118&gt;='Amort. Sched.-BEST'!$AA$8, U118&lt;= ($AA$7+$AA$8)), Z117+X118, 0)</f>
        <v>0</v>
      </c>
      <c r="AA118" s="6" t="str">
        <f>IF(AND(U118&gt;='Amort. Sched.-BEST'!$AA$8, U118&lt;= ($AA$7+$AA$8)), W118/V118, " ")</f>
        <v xml:space="preserve"> </v>
      </c>
      <c r="AB118" s="21" t="str">
        <f>IF(AND(U118&gt;='Amort. Sched.-BEST'!$AA$8, U118&lt;= ($AA$7+$AA$8)), X118/V118, " ")</f>
        <v xml:space="preserve"> </v>
      </c>
      <c r="AD118" s="20">
        <f t="shared" si="20"/>
        <v>107</v>
      </c>
      <c r="AE118" s="5">
        <f t="shared" si="21"/>
        <v>0</v>
      </c>
      <c r="AF118" s="5">
        <f t="shared" si="22"/>
        <v>0</v>
      </c>
      <c r="AG118" s="5">
        <f t="shared" si="23"/>
        <v>0</v>
      </c>
      <c r="AH118" s="5">
        <f>IF(CreditAmort3BEST[[#This Row],[Month]]=AJ$8,AF$7,0)</f>
        <v>0</v>
      </c>
      <c r="AI118" s="13">
        <f t="shared" si="24"/>
        <v>0</v>
      </c>
      <c r="AJ118" s="6" t="str">
        <f t="shared" si="25"/>
        <v xml:space="preserve"> </v>
      </c>
      <c r="AK118" s="21" t="str">
        <f t="shared" si="26"/>
        <v xml:space="preserve"> </v>
      </c>
      <c r="AM118" s="20">
        <f t="shared" si="27"/>
        <v>107</v>
      </c>
      <c r="AN118" s="5">
        <f t="shared" si="28"/>
        <v>0</v>
      </c>
      <c r="AO118" s="5">
        <f t="shared" si="29"/>
        <v>0</v>
      </c>
      <c r="AP118" s="5">
        <f t="shared" si="30"/>
        <v>0</v>
      </c>
      <c r="AQ118" s="5">
        <f>IF(CreditAmort4BEST[[#This Row],[Month]]=AS$8,AO$7,0)</f>
        <v>0</v>
      </c>
      <c r="AR118" s="13">
        <f t="shared" si="31"/>
        <v>0</v>
      </c>
      <c r="AS118" s="6" t="str">
        <f t="shared" si="32"/>
        <v xml:space="preserve"> </v>
      </c>
      <c r="AT118" s="21" t="str">
        <f t="shared" si="33"/>
        <v xml:space="preserve"> </v>
      </c>
    </row>
    <row r="119" spans="3:46">
      <c r="C119" s="22">
        <f t="shared" si="18"/>
        <v>108</v>
      </c>
      <c r="D119" s="23">
        <f>IF(AND(C119&gt;='Amort. Sched.-BEST'!$I$8, C119&lt;= ($I$7+$I$8)), PMT('Amort. Sched.-BEST'!$E$8/12, 'Amort. Sched.-BEST'!$I$7, 'Amort. Sched.-BEST'!$E$7), 0)</f>
        <v>-1350.6783839027553</v>
      </c>
      <c r="E119" s="5">
        <f>IF(AND(C119&gt;='Amort. Sched.-BEST'!$I$8, C119&lt;= ($I$7+$I$8)), (IPMT($E$8/12, (C119-$I$8), $I$7, $E$7)), 0)</f>
        <v>-976.03840554397345</v>
      </c>
      <c r="F119" s="23">
        <f>IF(AND(C119&gt;='Amort. Sched.-BEST'!$I$8, C119&lt;= ($I$7+$I$8)), (PPMT($E$8/12, (C119-$I$8), $I$7, $E$7)), 0)</f>
        <v>-374.63997835878183</v>
      </c>
      <c r="G119" s="5">
        <f>IF(MortgageAmortBEST[[#This Row],[Month]]=I$8,E$7,0)</f>
        <v>0</v>
      </c>
      <c r="H119" s="13">
        <f>IF(AND(C119&gt;='Amort. Sched.-BEST'!$I$8, C119&lt;= ($I$7+$I$8)), H118+F119, 0)</f>
        <v>146031.12085323725</v>
      </c>
      <c r="I119" s="24">
        <f>IF(AND(C119&gt;='Amort. Sched.-BEST'!$I$8, C119&lt;= ($I$7+$I$8)), E119/D119, " ")</f>
        <v>0.72262828603485318</v>
      </c>
      <c r="J119" s="25">
        <f>IF(AND(C119&gt;='Amort. Sched.-BEST'!$I$8, C119&lt;= ($I$7+$I$8)), F119/D119, " ")</f>
        <v>0.27737171396514682</v>
      </c>
      <c r="L119" s="20">
        <f t="shared" si="17"/>
        <v>108</v>
      </c>
      <c r="M119" s="5">
        <f>IF(AND(L119&gt;='Amort. Sched.-BEST'!$R$8, L119&lt;= ($R$7+$R$8)), PMT('Amort. Sched.-BEST'!$N$8/12, 'Amort. Sched.-BEST'!$R$7, 'Amort. Sched.-BEST'!$N$7), 0)</f>
        <v>0</v>
      </c>
      <c r="N119" s="5">
        <f>IF(AND(L119&gt;='Amort. Sched.-BEST'!$R$8, L119&lt;= ($R$7+$R$8)), (IPMT($N$8/12, (L119-$R$8), $R$7, $N$7)), 0)</f>
        <v>0</v>
      </c>
      <c r="O119" s="5">
        <f>IF(AND(L119&gt;='Amort. Sched.-BEST'!$R$8, L119&lt;= ($R$7+$R$8)), (PPMT($N$8/12, (L119-$R$8), $R$7, $N$7)), 0)</f>
        <v>0</v>
      </c>
      <c r="P119" s="5">
        <f>IF(CreditAmort1BEST[[#This Row],[Month]]=R$8,N$7,0)</f>
        <v>0</v>
      </c>
      <c r="Q119" s="13">
        <f>IF(AND(L119&gt;='Amort. Sched.-BEST'!$R$8, L119&lt;= ($R$7+$R$8)), Q118+O119, 0)</f>
        <v>0</v>
      </c>
      <c r="R119" s="6" t="str">
        <f>IF(AND(L119&gt;='Amort. Sched.-BEST'!$R$8, L119&lt;= ($R$7+$R$8)), N119/M119, " ")</f>
        <v xml:space="preserve"> </v>
      </c>
      <c r="S119" s="21" t="str">
        <f>IF(AND(L119&gt;='Amort. Sched.-BEST'!$R$8, L119&lt;= ($R$7+$R$8)), O119/M119, " ")</f>
        <v xml:space="preserve"> </v>
      </c>
      <c r="U119" s="20">
        <f t="shared" si="19"/>
        <v>108</v>
      </c>
      <c r="V119" s="5">
        <f>IF(AND(U119&gt;='Amort. Sched.-BEST'!$AA$8, U119&lt;= ($AA$7+$AA$8)), PMT('Amort. Sched.-BEST'!$W$8/12, 'Amort. Sched.-BEST'!$AA$7, 'Amort. Sched.-BEST'!$W$7), 0)</f>
        <v>0</v>
      </c>
      <c r="W119" s="5">
        <f>IF(AND(U119&gt;='Amort. Sched.-BEST'!$AA$8, U119&lt;= ($AA$7+$AA$8)), (IPMT($W$8/12, (U119-$AA$8), $AA$7, $W$7)), 0)</f>
        <v>0</v>
      </c>
      <c r="X119" s="5">
        <f>IF(AND(U119&gt;='Amort. Sched.-BEST'!$AA$8, U119&lt;= ($AA$7+$AA$8)), (PPMT($W$8/12, (U119-$AA$8), $AA$7, $W$7)), 0)</f>
        <v>0</v>
      </c>
      <c r="Y119" s="5">
        <f>IF(CreditAmort2BEST[[#This Row],[Month]]=AA$8,W$7,0)</f>
        <v>0</v>
      </c>
      <c r="Z119" s="13">
        <f>IF(AND(U119&gt;='Amort. Sched.-BEST'!$AA$8, U119&lt;= ($AA$7+$AA$8)), Z118+X119, 0)</f>
        <v>0</v>
      </c>
      <c r="AA119" s="6" t="str">
        <f>IF(AND(U119&gt;='Amort. Sched.-BEST'!$AA$8, U119&lt;= ($AA$7+$AA$8)), W119/V119, " ")</f>
        <v xml:space="preserve"> </v>
      </c>
      <c r="AB119" s="21" t="str">
        <f>IF(AND(U119&gt;='Amort. Sched.-BEST'!$AA$8, U119&lt;= ($AA$7+$AA$8)), X119/V119, " ")</f>
        <v xml:space="preserve"> </v>
      </c>
      <c r="AD119" s="20">
        <f t="shared" si="20"/>
        <v>108</v>
      </c>
      <c r="AE119" s="5">
        <f t="shared" si="21"/>
        <v>0</v>
      </c>
      <c r="AF119" s="5">
        <f t="shared" si="22"/>
        <v>0</v>
      </c>
      <c r="AG119" s="5">
        <f t="shared" si="23"/>
        <v>0</v>
      </c>
      <c r="AH119" s="5">
        <f>IF(CreditAmort3BEST[[#This Row],[Month]]=AJ$8,AF$7,0)</f>
        <v>0</v>
      </c>
      <c r="AI119" s="13">
        <f t="shared" si="24"/>
        <v>0</v>
      </c>
      <c r="AJ119" s="6" t="str">
        <f t="shared" si="25"/>
        <v xml:space="preserve"> </v>
      </c>
      <c r="AK119" s="21" t="str">
        <f t="shared" si="26"/>
        <v xml:space="preserve"> </v>
      </c>
      <c r="AM119" s="20">
        <f t="shared" si="27"/>
        <v>108</v>
      </c>
      <c r="AN119" s="5">
        <f t="shared" si="28"/>
        <v>0</v>
      </c>
      <c r="AO119" s="5">
        <f t="shared" si="29"/>
        <v>0</v>
      </c>
      <c r="AP119" s="5">
        <f t="shared" si="30"/>
        <v>0</v>
      </c>
      <c r="AQ119" s="5">
        <f>IF(CreditAmort4BEST[[#This Row],[Month]]=AS$8,AO$7,0)</f>
        <v>0</v>
      </c>
      <c r="AR119" s="13">
        <f t="shared" si="31"/>
        <v>0</v>
      </c>
      <c r="AS119" s="6" t="str">
        <f t="shared" si="32"/>
        <v xml:space="preserve"> </v>
      </c>
      <c r="AT119" s="21" t="str">
        <f t="shared" si="33"/>
        <v xml:space="preserve"> </v>
      </c>
    </row>
    <row r="120" spans="3:46">
      <c r="C120" s="22">
        <f t="shared" si="18"/>
        <v>109</v>
      </c>
      <c r="D120" s="23">
        <f>IF(AND(C120&gt;='Amort. Sched.-BEST'!$I$8, C120&lt;= ($I$7+$I$8)), PMT('Amort. Sched.-BEST'!$E$8/12, 'Amort. Sched.-BEST'!$I$7, 'Amort. Sched.-BEST'!$E$7), 0)</f>
        <v>-1350.6783839027553</v>
      </c>
      <c r="E120" s="5">
        <f>IF(AND(C120&gt;='Amort. Sched.-BEST'!$I$8, C120&lt;= ($I$7+$I$8)), (IPMT($E$8/12, (C120-$I$8), $I$7, $E$7)), 0)</f>
        <v>-973.54080568824838</v>
      </c>
      <c r="F120" s="23">
        <f>IF(AND(C120&gt;='Amort. Sched.-BEST'!$I$8, C120&lt;= ($I$7+$I$8)), (PPMT($E$8/12, (C120-$I$8), $I$7, $E$7)), 0)</f>
        <v>-377.13757821450696</v>
      </c>
      <c r="G120" s="5">
        <f>IF(MortgageAmortBEST[[#This Row],[Month]]=I$8,E$7,0)</f>
        <v>0</v>
      </c>
      <c r="H120" s="13">
        <f>IF(AND(C120&gt;='Amort. Sched.-BEST'!$I$8, C120&lt;= ($I$7+$I$8)), H119+F120, 0)</f>
        <v>145653.98327502274</v>
      </c>
      <c r="I120" s="24">
        <f>IF(AND(C120&gt;='Amort. Sched.-BEST'!$I$8, C120&lt;= ($I$7+$I$8)), E120/D120, " ")</f>
        <v>0.72077914127508558</v>
      </c>
      <c r="J120" s="25">
        <f>IF(AND(C120&gt;='Amort. Sched.-BEST'!$I$8, C120&lt;= ($I$7+$I$8)), F120/D120, " ")</f>
        <v>0.27922085872491442</v>
      </c>
      <c r="L120" s="20">
        <f t="shared" si="17"/>
        <v>109</v>
      </c>
      <c r="M120" s="5">
        <f>IF(AND(L120&gt;='Amort. Sched.-BEST'!$R$8, L120&lt;= ($R$7+$R$8)), PMT('Amort. Sched.-BEST'!$N$8/12, 'Amort. Sched.-BEST'!$R$7, 'Amort. Sched.-BEST'!$N$7), 0)</f>
        <v>0</v>
      </c>
      <c r="N120" s="5">
        <f>IF(AND(L120&gt;='Amort. Sched.-BEST'!$R$8, L120&lt;= ($R$7+$R$8)), (IPMT($N$8/12, (L120-$R$8), $R$7, $N$7)), 0)</f>
        <v>0</v>
      </c>
      <c r="O120" s="5">
        <f>IF(AND(L120&gt;='Amort. Sched.-BEST'!$R$8, L120&lt;= ($R$7+$R$8)), (PPMT($N$8/12, (L120-$R$8), $R$7, $N$7)), 0)</f>
        <v>0</v>
      </c>
      <c r="P120" s="5">
        <f>IF(CreditAmort1BEST[[#This Row],[Month]]=R$8,N$7,0)</f>
        <v>0</v>
      </c>
      <c r="Q120" s="13">
        <f>IF(AND(L120&gt;='Amort. Sched.-BEST'!$R$8, L120&lt;= ($R$7+$R$8)), Q119+O120, 0)</f>
        <v>0</v>
      </c>
      <c r="R120" s="6" t="str">
        <f>IF(AND(L120&gt;='Amort. Sched.-BEST'!$R$8, L120&lt;= ($R$7+$R$8)), N120/M120, " ")</f>
        <v xml:space="preserve"> </v>
      </c>
      <c r="S120" s="21" t="str">
        <f>IF(AND(L120&gt;='Amort. Sched.-BEST'!$R$8, L120&lt;= ($R$7+$R$8)), O120/M120, " ")</f>
        <v xml:space="preserve"> </v>
      </c>
      <c r="U120" s="20">
        <f t="shared" si="19"/>
        <v>109</v>
      </c>
      <c r="V120" s="5">
        <f>IF(AND(U120&gt;='Amort. Sched.-BEST'!$AA$8, U120&lt;= ($AA$7+$AA$8)), PMT('Amort. Sched.-BEST'!$W$8/12, 'Amort. Sched.-BEST'!$AA$7, 'Amort. Sched.-BEST'!$W$7), 0)</f>
        <v>0</v>
      </c>
      <c r="W120" s="5">
        <f>IF(AND(U120&gt;='Amort. Sched.-BEST'!$AA$8, U120&lt;= ($AA$7+$AA$8)), (IPMT($W$8/12, (U120-$AA$8), $AA$7, $W$7)), 0)</f>
        <v>0</v>
      </c>
      <c r="X120" s="5">
        <f>IF(AND(U120&gt;='Amort. Sched.-BEST'!$AA$8, U120&lt;= ($AA$7+$AA$8)), (PPMT($W$8/12, (U120-$AA$8), $AA$7, $W$7)), 0)</f>
        <v>0</v>
      </c>
      <c r="Y120" s="5">
        <f>IF(CreditAmort2BEST[[#This Row],[Month]]=AA$8,W$7,0)</f>
        <v>0</v>
      </c>
      <c r="Z120" s="13">
        <f>IF(AND(U120&gt;='Amort. Sched.-BEST'!$AA$8, U120&lt;= ($AA$7+$AA$8)), Z119+X120, 0)</f>
        <v>0</v>
      </c>
      <c r="AA120" s="6" t="str">
        <f>IF(AND(U120&gt;='Amort. Sched.-BEST'!$AA$8, U120&lt;= ($AA$7+$AA$8)), W120/V120, " ")</f>
        <v xml:space="preserve"> </v>
      </c>
      <c r="AB120" s="21" t="str">
        <f>IF(AND(U120&gt;='Amort. Sched.-BEST'!$AA$8, U120&lt;= ($AA$7+$AA$8)), X120/V120, " ")</f>
        <v xml:space="preserve"> </v>
      </c>
      <c r="AD120" s="20">
        <f t="shared" si="20"/>
        <v>109</v>
      </c>
      <c r="AE120" s="5">
        <f t="shared" si="21"/>
        <v>0</v>
      </c>
      <c r="AF120" s="5">
        <f t="shared" si="22"/>
        <v>0</v>
      </c>
      <c r="AG120" s="5">
        <f t="shared" si="23"/>
        <v>0</v>
      </c>
      <c r="AH120" s="5">
        <f>IF(CreditAmort3BEST[[#This Row],[Month]]=AJ$8,AF$7,0)</f>
        <v>0</v>
      </c>
      <c r="AI120" s="13">
        <f t="shared" si="24"/>
        <v>0</v>
      </c>
      <c r="AJ120" s="6" t="str">
        <f t="shared" si="25"/>
        <v xml:space="preserve"> </v>
      </c>
      <c r="AK120" s="21" t="str">
        <f t="shared" si="26"/>
        <v xml:space="preserve"> </v>
      </c>
      <c r="AM120" s="20">
        <f t="shared" si="27"/>
        <v>109</v>
      </c>
      <c r="AN120" s="5">
        <f t="shared" si="28"/>
        <v>0</v>
      </c>
      <c r="AO120" s="5">
        <f t="shared" si="29"/>
        <v>0</v>
      </c>
      <c r="AP120" s="5">
        <f t="shared" si="30"/>
        <v>0</v>
      </c>
      <c r="AQ120" s="5">
        <f>IF(CreditAmort4BEST[[#This Row],[Month]]=AS$8,AO$7,0)</f>
        <v>0</v>
      </c>
      <c r="AR120" s="13">
        <f t="shared" si="31"/>
        <v>0</v>
      </c>
      <c r="AS120" s="6" t="str">
        <f t="shared" si="32"/>
        <v xml:space="preserve"> </v>
      </c>
      <c r="AT120" s="21" t="str">
        <f t="shared" si="33"/>
        <v xml:space="preserve"> </v>
      </c>
    </row>
    <row r="121" spans="3:46">
      <c r="C121" s="22">
        <f t="shared" si="18"/>
        <v>110</v>
      </c>
      <c r="D121" s="23">
        <f>IF(AND(C121&gt;='Amort. Sched.-BEST'!$I$8, C121&lt;= ($I$7+$I$8)), PMT('Amort. Sched.-BEST'!$E$8/12, 'Amort. Sched.-BEST'!$I$7, 'Amort. Sched.-BEST'!$E$7), 0)</f>
        <v>-1350.6783839027553</v>
      </c>
      <c r="E121" s="5">
        <f>IF(AND(C121&gt;='Amort. Sched.-BEST'!$I$8, C121&lt;= ($I$7+$I$8)), (IPMT($E$8/12, (C121-$I$8), $I$7, $E$7)), 0)</f>
        <v>-971.0265551668183</v>
      </c>
      <c r="F121" s="23">
        <f>IF(AND(C121&gt;='Amort. Sched.-BEST'!$I$8, C121&lt;= ($I$7+$I$8)), (PPMT($E$8/12, (C121-$I$8), $I$7, $E$7)), 0)</f>
        <v>-379.65182873593699</v>
      </c>
      <c r="G121" s="5">
        <f>IF(MortgageAmortBEST[[#This Row],[Month]]=I$8,E$7,0)</f>
        <v>0</v>
      </c>
      <c r="H121" s="13">
        <f>IF(AND(C121&gt;='Amort. Sched.-BEST'!$I$8, C121&lt;= ($I$7+$I$8)), H120+F121, 0)</f>
        <v>145274.33144628679</v>
      </c>
      <c r="I121" s="24">
        <f>IF(AND(C121&gt;='Amort. Sched.-BEST'!$I$8, C121&lt;= ($I$7+$I$8)), E121/D121, " ")</f>
        <v>0.71891766888358621</v>
      </c>
      <c r="J121" s="25">
        <f>IF(AND(C121&gt;='Amort. Sched.-BEST'!$I$8, C121&lt;= ($I$7+$I$8)), F121/D121, " ")</f>
        <v>0.28108233111641384</v>
      </c>
      <c r="L121" s="20">
        <f t="shared" si="17"/>
        <v>110</v>
      </c>
      <c r="M121" s="5">
        <f>IF(AND(L121&gt;='Amort. Sched.-BEST'!$R$8, L121&lt;= ($R$7+$R$8)), PMT('Amort. Sched.-BEST'!$N$8/12, 'Amort. Sched.-BEST'!$R$7, 'Amort. Sched.-BEST'!$N$7), 0)</f>
        <v>0</v>
      </c>
      <c r="N121" s="5">
        <f>IF(AND(L121&gt;='Amort. Sched.-BEST'!$R$8, L121&lt;= ($R$7+$R$8)), (IPMT($N$8/12, (L121-$R$8), $R$7, $N$7)), 0)</f>
        <v>0</v>
      </c>
      <c r="O121" s="5">
        <f>IF(AND(L121&gt;='Amort. Sched.-BEST'!$R$8, L121&lt;= ($R$7+$R$8)), (PPMT($N$8/12, (L121-$R$8), $R$7, $N$7)), 0)</f>
        <v>0</v>
      </c>
      <c r="P121" s="5">
        <f>IF(CreditAmort1BEST[[#This Row],[Month]]=R$8,N$7,0)</f>
        <v>0</v>
      </c>
      <c r="Q121" s="13">
        <f>IF(AND(L121&gt;='Amort. Sched.-BEST'!$R$8, L121&lt;= ($R$7+$R$8)), Q120+O121, 0)</f>
        <v>0</v>
      </c>
      <c r="R121" s="6" t="str">
        <f>IF(AND(L121&gt;='Amort. Sched.-BEST'!$R$8, L121&lt;= ($R$7+$R$8)), N121/M121, " ")</f>
        <v xml:space="preserve"> </v>
      </c>
      <c r="S121" s="21" t="str">
        <f>IF(AND(L121&gt;='Amort. Sched.-BEST'!$R$8, L121&lt;= ($R$7+$R$8)), O121/M121, " ")</f>
        <v xml:space="preserve"> </v>
      </c>
      <c r="U121" s="20">
        <f t="shared" si="19"/>
        <v>110</v>
      </c>
      <c r="V121" s="5">
        <f>IF(AND(U121&gt;='Amort. Sched.-BEST'!$AA$8, U121&lt;= ($AA$7+$AA$8)), PMT('Amort. Sched.-BEST'!$W$8/12, 'Amort. Sched.-BEST'!$AA$7, 'Amort. Sched.-BEST'!$W$7), 0)</f>
        <v>0</v>
      </c>
      <c r="W121" s="5">
        <f>IF(AND(U121&gt;='Amort. Sched.-BEST'!$AA$8, U121&lt;= ($AA$7+$AA$8)), (IPMT($W$8/12, (U121-$AA$8), $AA$7, $W$7)), 0)</f>
        <v>0</v>
      </c>
      <c r="X121" s="5">
        <f>IF(AND(U121&gt;='Amort. Sched.-BEST'!$AA$8, U121&lt;= ($AA$7+$AA$8)), (PPMT($W$8/12, (U121-$AA$8), $AA$7, $W$7)), 0)</f>
        <v>0</v>
      </c>
      <c r="Y121" s="5">
        <f>IF(CreditAmort2BEST[[#This Row],[Month]]=AA$8,W$7,0)</f>
        <v>0</v>
      </c>
      <c r="Z121" s="13">
        <f>IF(AND(U121&gt;='Amort. Sched.-BEST'!$AA$8, U121&lt;= ($AA$7+$AA$8)), Z120+X121, 0)</f>
        <v>0</v>
      </c>
      <c r="AA121" s="6" t="str">
        <f>IF(AND(U121&gt;='Amort. Sched.-BEST'!$AA$8, U121&lt;= ($AA$7+$AA$8)), W121/V121, " ")</f>
        <v xml:space="preserve"> </v>
      </c>
      <c r="AB121" s="21" t="str">
        <f>IF(AND(U121&gt;='Amort. Sched.-BEST'!$AA$8, U121&lt;= ($AA$7+$AA$8)), X121/V121, " ")</f>
        <v xml:space="preserve"> </v>
      </c>
      <c r="AD121" s="20">
        <f t="shared" si="20"/>
        <v>110</v>
      </c>
      <c r="AE121" s="5">
        <f t="shared" si="21"/>
        <v>0</v>
      </c>
      <c r="AF121" s="5">
        <f t="shared" si="22"/>
        <v>0</v>
      </c>
      <c r="AG121" s="5">
        <f t="shared" si="23"/>
        <v>0</v>
      </c>
      <c r="AH121" s="5">
        <f>IF(CreditAmort3BEST[[#This Row],[Month]]=AJ$8,AF$7,0)</f>
        <v>0</v>
      </c>
      <c r="AI121" s="13">
        <f t="shared" si="24"/>
        <v>0</v>
      </c>
      <c r="AJ121" s="6" t="str">
        <f t="shared" si="25"/>
        <v xml:space="preserve"> </v>
      </c>
      <c r="AK121" s="21" t="str">
        <f t="shared" si="26"/>
        <v xml:space="preserve"> </v>
      </c>
      <c r="AM121" s="20">
        <f t="shared" si="27"/>
        <v>110</v>
      </c>
      <c r="AN121" s="5">
        <f t="shared" si="28"/>
        <v>0</v>
      </c>
      <c r="AO121" s="5">
        <f t="shared" si="29"/>
        <v>0</v>
      </c>
      <c r="AP121" s="5">
        <f t="shared" si="30"/>
        <v>0</v>
      </c>
      <c r="AQ121" s="5">
        <f>IF(CreditAmort4BEST[[#This Row],[Month]]=AS$8,AO$7,0)</f>
        <v>0</v>
      </c>
      <c r="AR121" s="13">
        <f t="shared" si="31"/>
        <v>0</v>
      </c>
      <c r="AS121" s="6" t="str">
        <f t="shared" si="32"/>
        <v xml:space="preserve"> </v>
      </c>
      <c r="AT121" s="21" t="str">
        <f t="shared" si="33"/>
        <v xml:space="preserve"> </v>
      </c>
    </row>
    <row r="122" spans="3:46">
      <c r="C122" s="22">
        <f t="shared" si="18"/>
        <v>111</v>
      </c>
      <c r="D122" s="23">
        <f>IF(AND(C122&gt;='Amort. Sched.-BEST'!$I$8, C122&lt;= ($I$7+$I$8)), PMT('Amort. Sched.-BEST'!$E$8/12, 'Amort. Sched.-BEST'!$I$7, 'Amort. Sched.-BEST'!$E$7), 0)</f>
        <v>-1350.6783839027553</v>
      </c>
      <c r="E122" s="5">
        <f>IF(AND(C122&gt;='Amort. Sched.-BEST'!$I$8, C122&lt;= ($I$7+$I$8)), (IPMT($E$8/12, (C122-$I$8), $I$7, $E$7)), 0)</f>
        <v>-968.49554297524548</v>
      </c>
      <c r="F122" s="23">
        <f>IF(AND(C122&gt;='Amort. Sched.-BEST'!$I$8, C122&lt;= ($I$7+$I$8)), (PPMT($E$8/12, (C122-$I$8), $I$7, $E$7)), 0)</f>
        <v>-382.18284092750997</v>
      </c>
      <c r="G122" s="5">
        <f>IF(MortgageAmortBEST[[#This Row],[Month]]=I$8,E$7,0)</f>
        <v>0</v>
      </c>
      <c r="H122" s="13">
        <f>IF(AND(C122&gt;='Amort. Sched.-BEST'!$I$8, C122&lt;= ($I$7+$I$8)), H121+F122, 0)</f>
        <v>144892.14860535928</v>
      </c>
      <c r="I122" s="24">
        <f>IF(AND(C122&gt;='Amort. Sched.-BEST'!$I$8, C122&lt;= ($I$7+$I$8)), E122/D122, " ")</f>
        <v>0.71704378667614344</v>
      </c>
      <c r="J122" s="25">
        <f>IF(AND(C122&gt;='Amort. Sched.-BEST'!$I$8, C122&lt;= ($I$7+$I$8)), F122/D122, " ")</f>
        <v>0.28295621332385668</v>
      </c>
      <c r="L122" s="20">
        <f t="shared" si="17"/>
        <v>111</v>
      </c>
      <c r="M122" s="5">
        <f>IF(AND(L122&gt;='Amort. Sched.-BEST'!$R$8, L122&lt;= ($R$7+$R$8)), PMT('Amort. Sched.-BEST'!$N$8/12, 'Amort. Sched.-BEST'!$R$7, 'Amort. Sched.-BEST'!$N$7), 0)</f>
        <v>0</v>
      </c>
      <c r="N122" s="5">
        <f>IF(AND(L122&gt;='Amort. Sched.-BEST'!$R$8, L122&lt;= ($R$7+$R$8)), (IPMT($N$8/12, (L122-$R$8), $R$7, $N$7)), 0)</f>
        <v>0</v>
      </c>
      <c r="O122" s="5">
        <f>IF(AND(L122&gt;='Amort. Sched.-BEST'!$R$8, L122&lt;= ($R$7+$R$8)), (PPMT($N$8/12, (L122-$R$8), $R$7, $N$7)), 0)</f>
        <v>0</v>
      </c>
      <c r="P122" s="5">
        <f>IF(CreditAmort1BEST[[#This Row],[Month]]=R$8,N$7,0)</f>
        <v>0</v>
      </c>
      <c r="Q122" s="13">
        <f>IF(AND(L122&gt;='Amort. Sched.-BEST'!$R$8, L122&lt;= ($R$7+$R$8)), Q121+O122, 0)</f>
        <v>0</v>
      </c>
      <c r="R122" s="6" t="str">
        <f>IF(AND(L122&gt;='Amort. Sched.-BEST'!$R$8, L122&lt;= ($R$7+$R$8)), N122/M122, " ")</f>
        <v xml:space="preserve"> </v>
      </c>
      <c r="S122" s="21" t="str">
        <f>IF(AND(L122&gt;='Amort. Sched.-BEST'!$R$8, L122&lt;= ($R$7+$R$8)), O122/M122, " ")</f>
        <v xml:space="preserve"> </v>
      </c>
      <c r="U122" s="20">
        <f t="shared" si="19"/>
        <v>111</v>
      </c>
      <c r="V122" s="5">
        <f>IF(AND(U122&gt;='Amort. Sched.-BEST'!$AA$8, U122&lt;= ($AA$7+$AA$8)), PMT('Amort. Sched.-BEST'!$W$8/12, 'Amort. Sched.-BEST'!$AA$7, 'Amort. Sched.-BEST'!$W$7), 0)</f>
        <v>0</v>
      </c>
      <c r="W122" s="5">
        <f>IF(AND(U122&gt;='Amort. Sched.-BEST'!$AA$8, U122&lt;= ($AA$7+$AA$8)), (IPMT($W$8/12, (U122-$AA$8), $AA$7, $W$7)), 0)</f>
        <v>0</v>
      </c>
      <c r="X122" s="5">
        <f>IF(AND(U122&gt;='Amort. Sched.-BEST'!$AA$8, U122&lt;= ($AA$7+$AA$8)), (PPMT($W$8/12, (U122-$AA$8), $AA$7, $W$7)), 0)</f>
        <v>0</v>
      </c>
      <c r="Y122" s="5">
        <f>IF(CreditAmort2BEST[[#This Row],[Month]]=AA$8,W$7,0)</f>
        <v>0</v>
      </c>
      <c r="Z122" s="13">
        <f>IF(AND(U122&gt;='Amort. Sched.-BEST'!$AA$8, U122&lt;= ($AA$7+$AA$8)), Z121+X122, 0)</f>
        <v>0</v>
      </c>
      <c r="AA122" s="6" t="str">
        <f>IF(AND(U122&gt;='Amort. Sched.-BEST'!$AA$8, U122&lt;= ($AA$7+$AA$8)), W122/V122, " ")</f>
        <v xml:space="preserve"> </v>
      </c>
      <c r="AB122" s="21" t="str">
        <f>IF(AND(U122&gt;='Amort. Sched.-BEST'!$AA$8, U122&lt;= ($AA$7+$AA$8)), X122/V122, " ")</f>
        <v xml:space="preserve"> </v>
      </c>
      <c r="AD122" s="20">
        <f t="shared" si="20"/>
        <v>111</v>
      </c>
      <c r="AE122" s="5">
        <f t="shared" si="21"/>
        <v>0</v>
      </c>
      <c r="AF122" s="5">
        <f t="shared" si="22"/>
        <v>0</v>
      </c>
      <c r="AG122" s="5">
        <f t="shared" si="23"/>
        <v>0</v>
      </c>
      <c r="AH122" s="5">
        <f>IF(CreditAmort3BEST[[#This Row],[Month]]=AJ$8,AF$7,0)</f>
        <v>0</v>
      </c>
      <c r="AI122" s="13">
        <f t="shared" si="24"/>
        <v>0</v>
      </c>
      <c r="AJ122" s="6" t="str">
        <f t="shared" si="25"/>
        <v xml:space="preserve"> </v>
      </c>
      <c r="AK122" s="21" t="str">
        <f t="shared" si="26"/>
        <v xml:space="preserve"> </v>
      </c>
      <c r="AM122" s="20">
        <f t="shared" si="27"/>
        <v>111</v>
      </c>
      <c r="AN122" s="5">
        <f t="shared" si="28"/>
        <v>0</v>
      </c>
      <c r="AO122" s="5">
        <f t="shared" si="29"/>
        <v>0</v>
      </c>
      <c r="AP122" s="5">
        <f t="shared" si="30"/>
        <v>0</v>
      </c>
      <c r="AQ122" s="5">
        <f>IF(CreditAmort4BEST[[#This Row],[Month]]=AS$8,AO$7,0)</f>
        <v>0</v>
      </c>
      <c r="AR122" s="13">
        <f t="shared" si="31"/>
        <v>0</v>
      </c>
      <c r="AS122" s="6" t="str">
        <f t="shared" si="32"/>
        <v xml:space="preserve"> </v>
      </c>
      <c r="AT122" s="21" t="str">
        <f t="shared" si="33"/>
        <v xml:space="preserve"> </v>
      </c>
    </row>
    <row r="123" spans="3:46">
      <c r="C123" s="22">
        <f t="shared" si="18"/>
        <v>112</v>
      </c>
      <c r="D123" s="23">
        <f>IF(AND(C123&gt;='Amort. Sched.-BEST'!$I$8, C123&lt;= ($I$7+$I$8)), PMT('Amort. Sched.-BEST'!$E$8/12, 'Amort. Sched.-BEST'!$I$7, 'Amort. Sched.-BEST'!$E$7), 0)</f>
        <v>-1350.6783839027553</v>
      </c>
      <c r="E123" s="5">
        <f>IF(AND(C123&gt;='Amort. Sched.-BEST'!$I$8, C123&lt;= ($I$7+$I$8)), (IPMT($E$8/12, (C123-$I$8), $I$7, $E$7)), 0)</f>
        <v>-965.94765736906197</v>
      </c>
      <c r="F123" s="23">
        <f>IF(AND(C123&gt;='Amort. Sched.-BEST'!$I$8, C123&lt;= ($I$7+$I$8)), (PPMT($E$8/12, (C123-$I$8), $I$7, $E$7)), 0)</f>
        <v>-384.73072653369331</v>
      </c>
      <c r="G123" s="5">
        <f>IF(MortgageAmortBEST[[#This Row],[Month]]=I$8,E$7,0)</f>
        <v>0</v>
      </c>
      <c r="H123" s="13">
        <f>IF(AND(C123&gt;='Amort. Sched.-BEST'!$I$8, C123&lt;= ($I$7+$I$8)), H122+F123, 0)</f>
        <v>144507.4178788256</v>
      </c>
      <c r="I123" s="24">
        <f>IF(AND(C123&gt;='Amort. Sched.-BEST'!$I$8, C123&lt;= ($I$7+$I$8)), E123/D123, " ")</f>
        <v>0.71515741192065096</v>
      </c>
      <c r="J123" s="25">
        <f>IF(AND(C123&gt;='Amort. Sched.-BEST'!$I$8, C123&lt;= ($I$7+$I$8)), F123/D123, " ")</f>
        <v>0.28484258807934898</v>
      </c>
      <c r="L123" s="20">
        <f t="shared" si="17"/>
        <v>112</v>
      </c>
      <c r="M123" s="5">
        <f>IF(AND(L123&gt;='Amort. Sched.-BEST'!$R$8, L123&lt;= ($R$7+$R$8)), PMT('Amort. Sched.-BEST'!$N$8/12, 'Amort. Sched.-BEST'!$R$7, 'Amort. Sched.-BEST'!$N$7), 0)</f>
        <v>0</v>
      </c>
      <c r="N123" s="5">
        <f>IF(AND(L123&gt;='Amort. Sched.-BEST'!$R$8, L123&lt;= ($R$7+$R$8)), (IPMT($N$8/12, (L123-$R$8), $R$7, $N$7)), 0)</f>
        <v>0</v>
      </c>
      <c r="O123" s="5">
        <f>IF(AND(L123&gt;='Amort. Sched.-BEST'!$R$8, L123&lt;= ($R$7+$R$8)), (PPMT($N$8/12, (L123-$R$8), $R$7, $N$7)), 0)</f>
        <v>0</v>
      </c>
      <c r="P123" s="5">
        <f>IF(CreditAmort1BEST[[#This Row],[Month]]=R$8,N$7,0)</f>
        <v>0</v>
      </c>
      <c r="Q123" s="13">
        <f>IF(AND(L123&gt;='Amort. Sched.-BEST'!$R$8, L123&lt;= ($R$7+$R$8)), Q122+O123, 0)</f>
        <v>0</v>
      </c>
      <c r="R123" s="6" t="str">
        <f>IF(AND(L123&gt;='Amort. Sched.-BEST'!$R$8, L123&lt;= ($R$7+$R$8)), N123/M123, " ")</f>
        <v xml:space="preserve"> </v>
      </c>
      <c r="S123" s="21" t="str">
        <f>IF(AND(L123&gt;='Amort. Sched.-BEST'!$R$8, L123&lt;= ($R$7+$R$8)), O123/M123, " ")</f>
        <v xml:space="preserve"> </v>
      </c>
      <c r="U123" s="20">
        <f t="shared" si="19"/>
        <v>112</v>
      </c>
      <c r="V123" s="5">
        <f>IF(AND(U123&gt;='Amort. Sched.-BEST'!$AA$8, U123&lt;= ($AA$7+$AA$8)), PMT('Amort. Sched.-BEST'!$W$8/12, 'Amort. Sched.-BEST'!$AA$7, 'Amort. Sched.-BEST'!$W$7), 0)</f>
        <v>0</v>
      </c>
      <c r="W123" s="5">
        <f>IF(AND(U123&gt;='Amort. Sched.-BEST'!$AA$8, U123&lt;= ($AA$7+$AA$8)), (IPMT($W$8/12, (U123-$AA$8), $AA$7, $W$7)), 0)</f>
        <v>0</v>
      </c>
      <c r="X123" s="5">
        <f>IF(AND(U123&gt;='Amort. Sched.-BEST'!$AA$8, U123&lt;= ($AA$7+$AA$8)), (PPMT($W$8/12, (U123-$AA$8), $AA$7, $W$7)), 0)</f>
        <v>0</v>
      </c>
      <c r="Y123" s="5">
        <f>IF(CreditAmort2BEST[[#This Row],[Month]]=AA$8,W$7,0)</f>
        <v>0</v>
      </c>
      <c r="Z123" s="13">
        <f>IF(AND(U123&gt;='Amort. Sched.-BEST'!$AA$8, U123&lt;= ($AA$7+$AA$8)), Z122+X123, 0)</f>
        <v>0</v>
      </c>
      <c r="AA123" s="6" t="str">
        <f>IF(AND(U123&gt;='Amort. Sched.-BEST'!$AA$8, U123&lt;= ($AA$7+$AA$8)), W123/V123, " ")</f>
        <v xml:space="preserve"> </v>
      </c>
      <c r="AB123" s="21" t="str">
        <f>IF(AND(U123&gt;='Amort. Sched.-BEST'!$AA$8, U123&lt;= ($AA$7+$AA$8)), X123/V123, " ")</f>
        <v xml:space="preserve"> </v>
      </c>
      <c r="AD123" s="20">
        <f t="shared" si="20"/>
        <v>112</v>
      </c>
      <c r="AE123" s="5">
        <f t="shared" si="21"/>
        <v>0</v>
      </c>
      <c r="AF123" s="5">
        <f t="shared" si="22"/>
        <v>0</v>
      </c>
      <c r="AG123" s="5">
        <f t="shared" si="23"/>
        <v>0</v>
      </c>
      <c r="AH123" s="5">
        <f>IF(CreditAmort3BEST[[#This Row],[Month]]=AJ$8,AF$7,0)</f>
        <v>0</v>
      </c>
      <c r="AI123" s="13">
        <f t="shared" si="24"/>
        <v>0</v>
      </c>
      <c r="AJ123" s="6" t="str">
        <f t="shared" si="25"/>
        <v xml:space="preserve"> </v>
      </c>
      <c r="AK123" s="21" t="str">
        <f t="shared" si="26"/>
        <v xml:space="preserve"> </v>
      </c>
      <c r="AM123" s="20">
        <f t="shared" si="27"/>
        <v>112</v>
      </c>
      <c r="AN123" s="5">
        <f t="shared" si="28"/>
        <v>0</v>
      </c>
      <c r="AO123" s="5">
        <f t="shared" si="29"/>
        <v>0</v>
      </c>
      <c r="AP123" s="5">
        <f t="shared" si="30"/>
        <v>0</v>
      </c>
      <c r="AQ123" s="5">
        <f>IF(CreditAmort4BEST[[#This Row],[Month]]=AS$8,AO$7,0)</f>
        <v>0</v>
      </c>
      <c r="AR123" s="13">
        <f t="shared" si="31"/>
        <v>0</v>
      </c>
      <c r="AS123" s="6" t="str">
        <f t="shared" si="32"/>
        <v xml:space="preserve"> </v>
      </c>
      <c r="AT123" s="21" t="str">
        <f t="shared" si="33"/>
        <v xml:space="preserve"> </v>
      </c>
    </row>
    <row r="124" spans="3:46">
      <c r="C124" s="22">
        <f t="shared" si="18"/>
        <v>113</v>
      </c>
      <c r="D124" s="23">
        <f>IF(AND(C124&gt;='Amort. Sched.-BEST'!$I$8, C124&lt;= ($I$7+$I$8)), PMT('Amort. Sched.-BEST'!$E$8/12, 'Amort. Sched.-BEST'!$I$7, 'Amort. Sched.-BEST'!$E$7), 0)</f>
        <v>-1350.6783839027553</v>
      </c>
      <c r="E124" s="5">
        <f>IF(AND(C124&gt;='Amort. Sched.-BEST'!$I$8, C124&lt;= ($I$7+$I$8)), (IPMT($E$8/12, (C124-$I$8), $I$7, $E$7)), 0)</f>
        <v>-963.38278585883734</v>
      </c>
      <c r="F124" s="23">
        <f>IF(AND(C124&gt;='Amort. Sched.-BEST'!$I$8, C124&lt;= ($I$7+$I$8)), (PPMT($E$8/12, (C124-$I$8), $I$7, $E$7)), 0)</f>
        <v>-387.29559804391795</v>
      </c>
      <c r="G124" s="5">
        <f>IF(MortgageAmortBEST[[#This Row],[Month]]=I$8,E$7,0)</f>
        <v>0</v>
      </c>
      <c r="H124" s="13">
        <f>IF(AND(C124&gt;='Amort. Sched.-BEST'!$I$8, C124&lt;= ($I$7+$I$8)), H123+F124, 0)</f>
        <v>144120.12228078168</v>
      </c>
      <c r="I124" s="24">
        <f>IF(AND(C124&gt;='Amort. Sched.-BEST'!$I$8, C124&lt;= ($I$7+$I$8)), E124/D124, " ")</f>
        <v>0.71325846133345538</v>
      </c>
      <c r="J124" s="25">
        <f>IF(AND(C124&gt;='Amort. Sched.-BEST'!$I$8, C124&lt;= ($I$7+$I$8)), F124/D124, " ")</f>
        <v>0.28674153866654467</v>
      </c>
      <c r="L124" s="20">
        <f t="shared" si="17"/>
        <v>113</v>
      </c>
      <c r="M124" s="5">
        <f>IF(AND(L124&gt;='Amort. Sched.-BEST'!$R$8, L124&lt;= ($R$7+$R$8)), PMT('Amort. Sched.-BEST'!$N$8/12, 'Amort. Sched.-BEST'!$R$7, 'Amort. Sched.-BEST'!$N$7), 0)</f>
        <v>0</v>
      </c>
      <c r="N124" s="5">
        <f>IF(AND(L124&gt;='Amort. Sched.-BEST'!$R$8, L124&lt;= ($R$7+$R$8)), (IPMT($N$8/12, (L124-$R$8), $R$7, $N$7)), 0)</f>
        <v>0</v>
      </c>
      <c r="O124" s="5">
        <f>IF(AND(L124&gt;='Amort. Sched.-BEST'!$R$8, L124&lt;= ($R$7+$R$8)), (PPMT($N$8/12, (L124-$R$8), $R$7, $N$7)), 0)</f>
        <v>0</v>
      </c>
      <c r="P124" s="5">
        <f>IF(CreditAmort1BEST[[#This Row],[Month]]=R$8,N$7,0)</f>
        <v>0</v>
      </c>
      <c r="Q124" s="13">
        <f>IF(AND(L124&gt;='Amort. Sched.-BEST'!$R$8, L124&lt;= ($R$7+$R$8)), Q123+O124, 0)</f>
        <v>0</v>
      </c>
      <c r="R124" s="6" t="str">
        <f>IF(AND(L124&gt;='Amort. Sched.-BEST'!$R$8, L124&lt;= ($R$7+$R$8)), N124/M124, " ")</f>
        <v xml:space="preserve"> </v>
      </c>
      <c r="S124" s="21" t="str">
        <f>IF(AND(L124&gt;='Amort. Sched.-BEST'!$R$8, L124&lt;= ($R$7+$R$8)), O124/M124, " ")</f>
        <v xml:space="preserve"> </v>
      </c>
      <c r="U124" s="20">
        <f t="shared" si="19"/>
        <v>113</v>
      </c>
      <c r="V124" s="5">
        <f>IF(AND(U124&gt;='Amort. Sched.-BEST'!$AA$8, U124&lt;= ($AA$7+$AA$8)), PMT('Amort. Sched.-BEST'!$W$8/12, 'Amort. Sched.-BEST'!$AA$7, 'Amort. Sched.-BEST'!$W$7), 0)</f>
        <v>0</v>
      </c>
      <c r="W124" s="5">
        <f>IF(AND(U124&gt;='Amort. Sched.-BEST'!$AA$8, U124&lt;= ($AA$7+$AA$8)), (IPMT($W$8/12, (U124-$AA$8), $AA$7, $W$7)), 0)</f>
        <v>0</v>
      </c>
      <c r="X124" s="5">
        <f>IF(AND(U124&gt;='Amort. Sched.-BEST'!$AA$8, U124&lt;= ($AA$7+$AA$8)), (PPMT($W$8/12, (U124-$AA$8), $AA$7, $W$7)), 0)</f>
        <v>0</v>
      </c>
      <c r="Y124" s="5">
        <f>IF(CreditAmort2BEST[[#This Row],[Month]]=AA$8,W$7,0)</f>
        <v>0</v>
      </c>
      <c r="Z124" s="13">
        <f>IF(AND(U124&gt;='Amort. Sched.-BEST'!$AA$8, U124&lt;= ($AA$7+$AA$8)), Z123+X124, 0)</f>
        <v>0</v>
      </c>
      <c r="AA124" s="6" t="str">
        <f>IF(AND(U124&gt;='Amort. Sched.-BEST'!$AA$8, U124&lt;= ($AA$7+$AA$8)), W124/V124, " ")</f>
        <v xml:space="preserve"> </v>
      </c>
      <c r="AB124" s="21" t="str">
        <f>IF(AND(U124&gt;='Amort. Sched.-BEST'!$AA$8, U124&lt;= ($AA$7+$AA$8)), X124/V124, " ")</f>
        <v xml:space="preserve"> </v>
      </c>
      <c r="AD124" s="20">
        <f t="shared" si="20"/>
        <v>113</v>
      </c>
      <c r="AE124" s="5">
        <f t="shared" si="21"/>
        <v>0</v>
      </c>
      <c r="AF124" s="5">
        <f t="shared" si="22"/>
        <v>0</v>
      </c>
      <c r="AG124" s="5">
        <f t="shared" si="23"/>
        <v>0</v>
      </c>
      <c r="AH124" s="5">
        <f>IF(CreditAmort3BEST[[#This Row],[Month]]=AJ$8,AF$7,0)</f>
        <v>0</v>
      </c>
      <c r="AI124" s="13">
        <f t="shared" si="24"/>
        <v>0</v>
      </c>
      <c r="AJ124" s="6" t="str">
        <f t="shared" si="25"/>
        <v xml:space="preserve"> </v>
      </c>
      <c r="AK124" s="21" t="str">
        <f t="shared" si="26"/>
        <v xml:space="preserve"> </v>
      </c>
      <c r="AM124" s="20">
        <f t="shared" si="27"/>
        <v>113</v>
      </c>
      <c r="AN124" s="5">
        <f t="shared" si="28"/>
        <v>0</v>
      </c>
      <c r="AO124" s="5">
        <f t="shared" si="29"/>
        <v>0</v>
      </c>
      <c r="AP124" s="5">
        <f t="shared" si="30"/>
        <v>0</v>
      </c>
      <c r="AQ124" s="5">
        <f>IF(CreditAmort4BEST[[#This Row],[Month]]=AS$8,AO$7,0)</f>
        <v>0</v>
      </c>
      <c r="AR124" s="13">
        <f t="shared" si="31"/>
        <v>0</v>
      </c>
      <c r="AS124" s="6" t="str">
        <f t="shared" si="32"/>
        <v xml:space="preserve"> </v>
      </c>
      <c r="AT124" s="21" t="str">
        <f t="shared" si="33"/>
        <v xml:space="preserve"> </v>
      </c>
    </row>
    <row r="125" spans="3:46">
      <c r="C125" s="22">
        <f t="shared" si="18"/>
        <v>114</v>
      </c>
      <c r="D125" s="23">
        <f>IF(AND(C125&gt;='Amort. Sched.-BEST'!$I$8, C125&lt;= ($I$7+$I$8)), PMT('Amort. Sched.-BEST'!$E$8/12, 'Amort. Sched.-BEST'!$I$7, 'Amort. Sched.-BEST'!$E$7), 0)</f>
        <v>-1350.6783839027553</v>
      </c>
      <c r="E125" s="5">
        <f>IF(AND(C125&gt;='Amort. Sched.-BEST'!$I$8, C125&lt;= ($I$7+$I$8)), (IPMT($E$8/12, (C125-$I$8), $I$7, $E$7)), 0)</f>
        <v>-960.80081520521128</v>
      </c>
      <c r="F125" s="23">
        <f>IF(AND(C125&gt;='Amort. Sched.-BEST'!$I$8, C125&lt;= ($I$7+$I$8)), (PPMT($E$8/12, (C125-$I$8), $I$7, $E$7)), 0)</f>
        <v>-389.87756869754412</v>
      </c>
      <c r="G125" s="5">
        <f>IF(MortgageAmortBEST[[#This Row],[Month]]=I$8,E$7,0)</f>
        <v>0</v>
      </c>
      <c r="H125" s="13">
        <f>IF(AND(C125&gt;='Amort. Sched.-BEST'!$I$8, C125&lt;= ($I$7+$I$8)), H124+F125, 0)</f>
        <v>143730.24471208412</v>
      </c>
      <c r="I125" s="24">
        <f>IF(AND(C125&gt;='Amort. Sched.-BEST'!$I$8, C125&lt;= ($I$7+$I$8)), E125/D125, " ")</f>
        <v>0.71134685107567841</v>
      </c>
      <c r="J125" s="25">
        <f>IF(AND(C125&gt;='Amort. Sched.-BEST'!$I$8, C125&lt;= ($I$7+$I$8)), F125/D125, " ")</f>
        <v>0.28865314892432165</v>
      </c>
      <c r="L125" s="20">
        <f t="shared" si="17"/>
        <v>114</v>
      </c>
      <c r="M125" s="5">
        <f>IF(AND(L125&gt;='Amort. Sched.-BEST'!$R$8, L125&lt;= ($R$7+$R$8)), PMT('Amort. Sched.-BEST'!$N$8/12, 'Amort. Sched.-BEST'!$R$7, 'Amort. Sched.-BEST'!$N$7), 0)</f>
        <v>0</v>
      </c>
      <c r="N125" s="5">
        <f>IF(AND(L125&gt;='Amort. Sched.-BEST'!$R$8, L125&lt;= ($R$7+$R$8)), (IPMT($N$8/12, (L125-$R$8), $R$7, $N$7)), 0)</f>
        <v>0</v>
      </c>
      <c r="O125" s="5">
        <f>IF(AND(L125&gt;='Amort. Sched.-BEST'!$R$8, L125&lt;= ($R$7+$R$8)), (PPMT($N$8/12, (L125-$R$8), $R$7, $N$7)), 0)</f>
        <v>0</v>
      </c>
      <c r="P125" s="5">
        <f>IF(CreditAmort1BEST[[#This Row],[Month]]=R$8,N$7,0)</f>
        <v>0</v>
      </c>
      <c r="Q125" s="13">
        <f>IF(AND(L125&gt;='Amort. Sched.-BEST'!$R$8, L125&lt;= ($R$7+$R$8)), Q124+O125, 0)</f>
        <v>0</v>
      </c>
      <c r="R125" s="6" t="str">
        <f>IF(AND(L125&gt;='Amort. Sched.-BEST'!$R$8, L125&lt;= ($R$7+$R$8)), N125/M125, " ")</f>
        <v xml:space="preserve"> </v>
      </c>
      <c r="S125" s="21" t="str">
        <f>IF(AND(L125&gt;='Amort. Sched.-BEST'!$R$8, L125&lt;= ($R$7+$R$8)), O125/M125, " ")</f>
        <v xml:space="preserve"> </v>
      </c>
      <c r="U125" s="20">
        <f t="shared" si="19"/>
        <v>114</v>
      </c>
      <c r="V125" s="5">
        <f>IF(AND(U125&gt;='Amort. Sched.-BEST'!$AA$8, U125&lt;= ($AA$7+$AA$8)), PMT('Amort. Sched.-BEST'!$W$8/12, 'Amort. Sched.-BEST'!$AA$7, 'Amort. Sched.-BEST'!$W$7), 0)</f>
        <v>0</v>
      </c>
      <c r="W125" s="5">
        <f>IF(AND(U125&gt;='Amort. Sched.-BEST'!$AA$8, U125&lt;= ($AA$7+$AA$8)), (IPMT($W$8/12, (U125-$AA$8), $AA$7, $W$7)), 0)</f>
        <v>0</v>
      </c>
      <c r="X125" s="5">
        <f>IF(AND(U125&gt;='Amort. Sched.-BEST'!$AA$8, U125&lt;= ($AA$7+$AA$8)), (PPMT($W$8/12, (U125-$AA$8), $AA$7, $W$7)), 0)</f>
        <v>0</v>
      </c>
      <c r="Y125" s="5">
        <f>IF(CreditAmort2BEST[[#This Row],[Month]]=AA$8,W$7,0)</f>
        <v>0</v>
      </c>
      <c r="Z125" s="13">
        <f>IF(AND(U125&gt;='Amort. Sched.-BEST'!$AA$8, U125&lt;= ($AA$7+$AA$8)), Z124+X125, 0)</f>
        <v>0</v>
      </c>
      <c r="AA125" s="6" t="str">
        <f>IF(AND(U125&gt;='Amort. Sched.-BEST'!$AA$8, U125&lt;= ($AA$7+$AA$8)), W125/V125, " ")</f>
        <v xml:space="preserve"> </v>
      </c>
      <c r="AB125" s="21" t="str">
        <f>IF(AND(U125&gt;='Amort. Sched.-BEST'!$AA$8, U125&lt;= ($AA$7+$AA$8)), X125/V125, " ")</f>
        <v xml:space="preserve"> </v>
      </c>
      <c r="AD125" s="20">
        <f t="shared" si="20"/>
        <v>114</v>
      </c>
      <c r="AE125" s="5">
        <f t="shared" si="21"/>
        <v>0</v>
      </c>
      <c r="AF125" s="5">
        <f t="shared" si="22"/>
        <v>0</v>
      </c>
      <c r="AG125" s="5">
        <f t="shared" si="23"/>
        <v>0</v>
      </c>
      <c r="AH125" s="5">
        <f>IF(CreditAmort3BEST[[#This Row],[Month]]=AJ$8,AF$7,0)</f>
        <v>0</v>
      </c>
      <c r="AI125" s="13">
        <f t="shared" si="24"/>
        <v>0</v>
      </c>
      <c r="AJ125" s="6" t="str">
        <f t="shared" si="25"/>
        <v xml:space="preserve"> </v>
      </c>
      <c r="AK125" s="21" t="str">
        <f t="shared" si="26"/>
        <v xml:space="preserve"> </v>
      </c>
      <c r="AM125" s="20">
        <f t="shared" si="27"/>
        <v>114</v>
      </c>
      <c r="AN125" s="5">
        <f t="shared" si="28"/>
        <v>0</v>
      </c>
      <c r="AO125" s="5">
        <f t="shared" si="29"/>
        <v>0</v>
      </c>
      <c r="AP125" s="5">
        <f t="shared" si="30"/>
        <v>0</v>
      </c>
      <c r="AQ125" s="5">
        <f>IF(CreditAmort4BEST[[#This Row],[Month]]=AS$8,AO$7,0)</f>
        <v>0</v>
      </c>
      <c r="AR125" s="13">
        <f t="shared" si="31"/>
        <v>0</v>
      </c>
      <c r="AS125" s="6" t="str">
        <f t="shared" si="32"/>
        <v xml:space="preserve"> </v>
      </c>
      <c r="AT125" s="21" t="str">
        <f t="shared" si="33"/>
        <v xml:space="preserve"> </v>
      </c>
    </row>
    <row r="126" spans="3:46">
      <c r="C126" s="22">
        <f t="shared" si="18"/>
        <v>115</v>
      </c>
      <c r="D126" s="23">
        <f>IF(AND(C126&gt;='Amort. Sched.-BEST'!$I$8, C126&lt;= ($I$7+$I$8)), PMT('Amort. Sched.-BEST'!$E$8/12, 'Amort. Sched.-BEST'!$I$7, 'Amort. Sched.-BEST'!$E$7), 0)</f>
        <v>-1350.6783839027553</v>
      </c>
      <c r="E126" s="5">
        <f>IF(AND(C126&gt;='Amort. Sched.-BEST'!$I$8, C126&lt;= ($I$7+$I$8)), (IPMT($E$8/12, (C126-$I$8), $I$7, $E$7)), 0)</f>
        <v>-958.20163141389423</v>
      </c>
      <c r="F126" s="23">
        <f>IF(AND(C126&gt;='Amort. Sched.-BEST'!$I$8, C126&lt;= ($I$7+$I$8)), (PPMT($E$8/12, (C126-$I$8), $I$7, $E$7)), 0)</f>
        <v>-392.476752488861</v>
      </c>
      <c r="G126" s="5">
        <f>IF(MortgageAmortBEST[[#This Row],[Month]]=I$8,E$7,0)</f>
        <v>0</v>
      </c>
      <c r="H126" s="13">
        <f>IF(AND(C126&gt;='Amort. Sched.-BEST'!$I$8, C126&lt;= ($I$7+$I$8)), H125+F126, 0)</f>
        <v>143337.76795959525</v>
      </c>
      <c r="I126" s="24">
        <f>IF(AND(C126&gt;='Amort. Sched.-BEST'!$I$8, C126&lt;= ($I$7+$I$8)), E126/D126, " ")</f>
        <v>0.70942249674951618</v>
      </c>
      <c r="J126" s="25">
        <f>IF(AND(C126&gt;='Amort. Sched.-BEST'!$I$8, C126&lt;= ($I$7+$I$8)), F126/D126, " ")</f>
        <v>0.29057750325048376</v>
      </c>
      <c r="L126" s="20">
        <f t="shared" si="17"/>
        <v>115</v>
      </c>
      <c r="M126" s="5">
        <f>IF(AND(L126&gt;='Amort. Sched.-BEST'!$R$8, L126&lt;= ($R$7+$R$8)), PMT('Amort. Sched.-BEST'!$N$8/12, 'Amort. Sched.-BEST'!$R$7, 'Amort. Sched.-BEST'!$N$7), 0)</f>
        <v>0</v>
      </c>
      <c r="N126" s="5">
        <f>IF(AND(L126&gt;='Amort. Sched.-BEST'!$R$8, L126&lt;= ($R$7+$R$8)), (IPMT($N$8/12, (L126-$R$8), $R$7, $N$7)), 0)</f>
        <v>0</v>
      </c>
      <c r="O126" s="5">
        <f>IF(AND(L126&gt;='Amort. Sched.-BEST'!$R$8, L126&lt;= ($R$7+$R$8)), (PPMT($N$8/12, (L126-$R$8), $R$7, $N$7)), 0)</f>
        <v>0</v>
      </c>
      <c r="P126" s="5">
        <f>IF(CreditAmort1BEST[[#This Row],[Month]]=R$8,N$7,0)</f>
        <v>0</v>
      </c>
      <c r="Q126" s="13">
        <f>IF(AND(L126&gt;='Amort. Sched.-BEST'!$R$8, L126&lt;= ($R$7+$R$8)), Q125+O126, 0)</f>
        <v>0</v>
      </c>
      <c r="R126" s="6" t="str">
        <f>IF(AND(L126&gt;='Amort. Sched.-BEST'!$R$8, L126&lt;= ($R$7+$R$8)), N126/M126, " ")</f>
        <v xml:space="preserve"> </v>
      </c>
      <c r="S126" s="21" t="str">
        <f>IF(AND(L126&gt;='Amort. Sched.-BEST'!$R$8, L126&lt;= ($R$7+$R$8)), O126/M126, " ")</f>
        <v xml:space="preserve"> </v>
      </c>
      <c r="U126" s="20">
        <f t="shared" si="19"/>
        <v>115</v>
      </c>
      <c r="V126" s="5">
        <f>IF(AND(U126&gt;='Amort. Sched.-BEST'!$AA$8, U126&lt;= ($AA$7+$AA$8)), PMT('Amort. Sched.-BEST'!$W$8/12, 'Amort. Sched.-BEST'!$AA$7, 'Amort. Sched.-BEST'!$W$7), 0)</f>
        <v>0</v>
      </c>
      <c r="W126" s="5">
        <f>IF(AND(U126&gt;='Amort. Sched.-BEST'!$AA$8, U126&lt;= ($AA$7+$AA$8)), (IPMT($W$8/12, (U126-$AA$8), $AA$7, $W$7)), 0)</f>
        <v>0</v>
      </c>
      <c r="X126" s="5">
        <f>IF(AND(U126&gt;='Amort. Sched.-BEST'!$AA$8, U126&lt;= ($AA$7+$AA$8)), (PPMT($W$8/12, (U126-$AA$8), $AA$7, $W$7)), 0)</f>
        <v>0</v>
      </c>
      <c r="Y126" s="5">
        <f>IF(CreditAmort2BEST[[#This Row],[Month]]=AA$8,W$7,0)</f>
        <v>0</v>
      </c>
      <c r="Z126" s="13">
        <f>IF(AND(U126&gt;='Amort. Sched.-BEST'!$AA$8, U126&lt;= ($AA$7+$AA$8)), Z125+X126, 0)</f>
        <v>0</v>
      </c>
      <c r="AA126" s="6" t="str">
        <f>IF(AND(U126&gt;='Amort. Sched.-BEST'!$AA$8, U126&lt;= ($AA$7+$AA$8)), W126/V126, " ")</f>
        <v xml:space="preserve"> </v>
      </c>
      <c r="AB126" s="21" t="str">
        <f>IF(AND(U126&gt;='Amort. Sched.-BEST'!$AA$8, U126&lt;= ($AA$7+$AA$8)), X126/V126, " ")</f>
        <v xml:space="preserve"> </v>
      </c>
      <c r="AD126" s="20">
        <f t="shared" si="20"/>
        <v>115</v>
      </c>
      <c r="AE126" s="5">
        <f t="shared" si="21"/>
        <v>0</v>
      </c>
      <c r="AF126" s="5">
        <f t="shared" si="22"/>
        <v>0</v>
      </c>
      <c r="AG126" s="5">
        <f t="shared" si="23"/>
        <v>0</v>
      </c>
      <c r="AH126" s="5">
        <f>IF(CreditAmort3BEST[[#This Row],[Month]]=AJ$8,AF$7,0)</f>
        <v>0</v>
      </c>
      <c r="AI126" s="13">
        <f t="shared" si="24"/>
        <v>0</v>
      </c>
      <c r="AJ126" s="6" t="str">
        <f t="shared" si="25"/>
        <v xml:space="preserve"> </v>
      </c>
      <c r="AK126" s="21" t="str">
        <f t="shared" si="26"/>
        <v xml:space="preserve"> </v>
      </c>
      <c r="AM126" s="20">
        <f t="shared" si="27"/>
        <v>115</v>
      </c>
      <c r="AN126" s="5">
        <f t="shared" si="28"/>
        <v>0</v>
      </c>
      <c r="AO126" s="5">
        <f t="shared" si="29"/>
        <v>0</v>
      </c>
      <c r="AP126" s="5">
        <f t="shared" si="30"/>
        <v>0</v>
      </c>
      <c r="AQ126" s="5">
        <f>IF(CreditAmort4BEST[[#This Row],[Month]]=AS$8,AO$7,0)</f>
        <v>0</v>
      </c>
      <c r="AR126" s="13">
        <f t="shared" si="31"/>
        <v>0</v>
      </c>
      <c r="AS126" s="6" t="str">
        <f t="shared" si="32"/>
        <v xml:space="preserve"> </v>
      </c>
      <c r="AT126" s="21" t="str">
        <f t="shared" si="33"/>
        <v xml:space="preserve"> </v>
      </c>
    </row>
    <row r="127" spans="3:46">
      <c r="C127" s="22">
        <f t="shared" si="18"/>
        <v>116</v>
      </c>
      <c r="D127" s="23">
        <f>IF(AND(C127&gt;='Amort. Sched.-BEST'!$I$8, C127&lt;= ($I$7+$I$8)), PMT('Amort. Sched.-BEST'!$E$8/12, 'Amort. Sched.-BEST'!$I$7, 'Amort. Sched.-BEST'!$E$7), 0)</f>
        <v>-1350.6783839027553</v>
      </c>
      <c r="E127" s="5">
        <f>IF(AND(C127&gt;='Amort. Sched.-BEST'!$I$8, C127&lt;= ($I$7+$I$8)), (IPMT($E$8/12, (C127-$I$8), $I$7, $E$7)), 0)</f>
        <v>-955.58511973063526</v>
      </c>
      <c r="F127" s="23">
        <f>IF(AND(C127&gt;='Amort. Sched.-BEST'!$I$8, C127&lt;= ($I$7+$I$8)), (PPMT($E$8/12, (C127-$I$8), $I$7, $E$7)), 0)</f>
        <v>-395.09326417212009</v>
      </c>
      <c r="G127" s="5">
        <f>IF(MortgageAmortBEST[[#This Row],[Month]]=I$8,E$7,0)</f>
        <v>0</v>
      </c>
      <c r="H127" s="13">
        <f>IF(AND(C127&gt;='Amort. Sched.-BEST'!$I$8, C127&lt;= ($I$7+$I$8)), H126+F127, 0)</f>
        <v>142942.67469542313</v>
      </c>
      <c r="I127" s="24">
        <f>IF(AND(C127&gt;='Amort. Sched.-BEST'!$I$8, C127&lt;= ($I$7+$I$8)), E127/D127, " ")</f>
        <v>0.70748531339451304</v>
      </c>
      <c r="J127" s="25">
        <f>IF(AND(C127&gt;='Amort. Sched.-BEST'!$I$8, C127&lt;= ($I$7+$I$8)), F127/D127, " ")</f>
        <v>0.29251468660548696</v>
      </c>
      <c r="L127" s="20">
        <f t="shared" si="17"/>
        <v>116</v>
      </c>
      <c r="M127" s="5">
        <f>IF(AND(L127&gt;='Amort. Sched.-BEST'!$R$8, L127&lt;= ($R$7+$R$8)), PMT('Amort. Sched.-BEST'!$N$8/12, 'Amort. Sched.-BEST'!$R$7, 'Amort. Sched.-BEST'!$N$7), 0)</f>
        <v>0</v>
      </c>
      <c r="N127" s="5">
        <f>IF(AND(L127&gt;='Amort. Sched.-BEST'!$R$8, L127&lt;= ($R$7+$R$8)), (IPMT($N$8/12, (L127-$R$8), $R$7, $N$7)), 0)</f>
        <v>0</v>
      </c>
      <c r="O127" s="5">
        <f>IF(AND(L127&gt;='Amort. Sched.-BEST'!$R$8, L127&lt;= ($R$7+$R$8)), (PPMT($N$8/12, (L127-$R$8), $R$7, $N$7)), 0)</f>
        <v>0</v>
      </c>
      <c r="P127" s="5">
        <f>IF(CreditAmort1BEST[[#This Row],[Month]]=R$8,N$7,0)</f>
        <v>0</v>
      </c>
      <c r="Q127" s="13">
        <f>IF(AND(L127&gt;='Amort. Sched.-BEST'!$R$8, L127&lt;= ($R$7+$R$8)), Q126+O127, 0)</f>
        <v>0</v>
      </c>
      <c r="R127" s="6" t="str">
        <f>IF(AND(L127&gt;='Amort. Sched.-BEST'!$R$8, L127&lt;= ($R$7+$R$8)), N127/M127, " ")</f>
        <v xml:space="preserve"> </v>
      </c>
      <c r="S127" s="21" t="str">
        <f>IF(AND(L127&gt;='Amort. Sched.-BEST'!$R$8, L127&lt;= ($R$7+$R$8)), O127/M127, " ")</f>
        <v xml:space="preserve"> </v>
      </c>
      <c r="U127" s="20">
        <f t="shared" si="19"/>
        <v>116</v>
      </c>
      <c r="V127" s="5">
        <f>IF(AND(U127&gt;='Amort. Sched.-BEST'!$AA$8, U127&lt;= ($AA$7+$AA$8)), PMT('Amort. Sched.-BEST'!$W$8/12, 'Amort. Sched.-BEST'!$AA$7, 'Amort. Sched.-BEST'!$W$7), 0)</f>
        <v>0</v>
      </c>
      <c r="W127" s="5">
        <f>IF(AND(U127&gt;='Amort. Sched.-BEST'!$AA$8, U127&lt;= ($AA$7+$AA$8)), (IPMT($W$8/12, (U127-$AA$8), $AA$7, $W$7)), 0)</f>
        <v>0</v>
      </c>
      <c r="X127" s="5">
        <f>IF(AND(U127&gt;='Amort. Sched.-BEST'!$AA$8, U127&lt;= ($AA$7+$AA$8)), (PPMT($W$8/12, (U127-$AA$8), $AA$7, $W$7)), 0)</f>
        <v>0</v>
      </c>
      <c r="Y127" s="5">
        <f>IF(CreditAmort2BEST[[#This Row],[Month]]=AA$8,W$7,0)</f>
        <v>0</v>
      </c>
      <c r="Z127" s="13">
        <f>IF(AND(U127&gt;='Amort. Sched.-BEST'!$AA$8, U127&lt;= ($AA$7+$AA$8)), Z126+X127, 0)</f>
        <v>0</v>
      </c>
      <c r="AA127" s="6" t="str">
        <f>IF(AND(U127&gt;='Amort. Sched.-BEST'!$AA$8, U127&lt;= ($AA$7+$AA$8)), W127/V127, " ")</f>
        <v xml:space="preserve"> </v>
      </c>
      <c r="AB127" s="21" t="str">
        <f>IF(AND(U127&gt;='Amort. Sched.-BEST'!$AA$8, U127&lt;= ($AA$7+$AA$8)), X127/V127, " ")</f>
        <v xml:space="preserve"> </v>
      </c>
      <c r="AD127" s="20">
        <f t="shared" si="20"/>
        <v>116</v>
      </c>
      <c r="AE127" s="5">
        <f t="shared" si="21"/>
        <v>0</v>
      </c>
      <c r="AF127" s="5">
        <f t="shared" si="22"/>
        <v>0</v>
      </c>
      <c r="AG127" s="5">
        <f t="shared" si="23"/>
        <v>0</v>
      </c>
      <c r="AH127" s="5">
        <f>IF(CreditAmort3BEST[[#This Row],[Month]]=AJ$8,AF$7,0)</f>
        <v>0</v>
      </c>
      <c r="AI127" s="13">
        <f t="shared" si="24"/>
        <v>0</v>
      </c>
      <c r="AJ127" s="6" t="str">
        <f t="shared" si="25"/>
        <v xml:space="preserve"> </v>
      </c>
      <c r="AK127" s="21" t="str">
        <f t="shared" si="26"/>
        <v xml:space="preserve"> </v>
      </c>
      <c r="AM127" s="20">
        <f t="shared" si="27"/>
        <v>116</v>
      </c>
      <c r="AN127" s="5">
        <f t="shared" si="28"/>
        <v>0</v>
      </c>
      <c r="AO127" s="5">
        <f t="shared" si="29"/>
        <v>0</v>
      </c>
      <c r="AP127" s="5">
        <f t="shared" si="30"/>
        <v>0</v>
      </c>
      <c r="AQ127" s="5">
        <f>IF(CreditAmort4BEST[[#This Row],[Month]]=AS$8,AO$7,0)</f>
        <v>0</v>
      </c>
      <c r="AR127" s="13">
        <f t="shared" si="31"/>
        <v>0</v>
      </c>
      <c r="AS127" s="6" t="str">
        <f t="shared" si="32"/>
        <v xml:space="preserve"> </v>
      </c>
      <c r="AT127" s="21" t="str">
        <f t="shared" si="33"/>
        <v xml:space="preserve"> </v>
      </c>
    </row>
    <row r="128" spans="3:46">
      <c r="C128" s="22">
        <f t="shared" si="18"/>
        <v>117</v>
      </c>
      <c r="D128" s="23">
        <f>IF(AND(C128&gt;='Amort. Sched.-BEST'!$I$8, C128&lt;= ($I$7+$I$8)), PMT('Amort. Sched.-BEST'!$E$8/12, 'Amort. Sched.-BEST'!$I$7, 'Amort. Sched.-BEST'!$E$7), 0)</f>
        <v>-1350.6783839027553</v>
      </c>
      <c r="E128" s="5">
        <f>IF(AND(C128&gt;='Amort. Sched.-BEST'!$I$8, C128&lt;= ($I$7+$I$8)), (IPMT($E$8/12, (C128-$I$8), $I$7, $E$7)), 0)</f>
        <v>-952.95116463615432</v>
      </c>
      <c r="F128" s="23">
        <f>IF(AND(C128&gt;='Amort. Sched.-BEST'!$I$8, C128&lt;= ($I$7+$I$8)), (PPMT($E$8/12, (C128-$I$8), $I$7, $E$7)), 0)</f>
        <v>-397.72721926660091</v>
      </c>
      <c r="G128" s="5">
        <f>IF(MortgageAmortBEST[[#This Row],[Month]]=I$8,E$7,0)</f>
        <v>0</v>
      </c>
      <c r="H128" s="13">
        <f>IF(AND(C128&gt;='Amort. Sched.-BEST'!$I$8, C128&lt;= ($I$7+$I$8)), H127+F128, 0)</f>
        <v>142544.94747615652</v>
      </c>
      <c r="I128" s="24">
        <f>IF(AND(C128&gt;='Amort. Sched.-BEST'!$I$8, C128&lt;= ($I$7+$I$8)), E128/D128, " ")</f>
        <v>0.70553521548380971</v>
      </c>
      <c r="J128" s="25">
        <f>IF(AND(C128&gt;='Amort. Sched.-BEST'!$I$8, C128&lt;= ($I$7+$I$8)), F128/D128, " ")</f>
        <v>0.29446478451619024</v>
      </c>
      <c r="L128" s="20">
        <f t="shared" si="17"/>
        <v>117</v>
      </c>
      <c r="M128" s="5">
        <f>IF(AND(L128&gt;='Amort. Sched.-BEST'!$R$8, L128&lt;= ($R$7+$R$8)), PMT('Amort. Sched.-BEST'!$N$8/12, 'Amort. Sched.-BEST'!$R$7, 'Amort. Sched.-BEST'!$N$7), 0)</f>
        <v>0</v>
      </c>
      <c r="N128" s="5">
        <f>IF(AND(L128&gt;='Amort. Sched.-BEST'!$R$8, L128&lt;= ($R$7+$R$8)), (IPMT($N$8/12, (L128-$R$8), $R$7, $N$7)), 0)</f>
        <v>0</v>
      </c>
      <c r="O128" s="5">
        <f>IF(AND(L128&gt;='Amort. Sched.-BEST'!$R$8, L128&lt;= ($R$7+$R$8)), (PPMT($N$8/12, (L128-$R$8), $R$7, $N$7)), 0)</f>
        <v>0</v>
      </c>
      <c r="P128" s="5">
        <f>IF(CreditAmort1BEST[[#This Row],[Month]]=R$8,N$7,0)</f>
        <v>0</v>
      </c>
      <c r="Q128" s="13">
        <f>IF(AND(L128&gt;='Amort. Sched.-BEST'!$R$8, L128&lt;= ($R$7+$R$8)), Q127+O128, 0)</f>
        <v>0</v>
      </c>
      <c r="R128" s="6" t="str">
        <f>IF(AND(L128&gt;='Amort. Sched.-BEST'!$R$8, L128&lt;= ($R$7+$R$8)), N128/M128, " ")</f>
        <v xml:space="preserve"> </v>
      </c>
      <c r="S128" s="21" t="str">
        <f>IF(AND(L128&gt;='Amort. Sched.-BEST'!$R$8, L128&lt;= ($R$7+$R$8)), O128/M128, " ")</f>
        <v xml:space="preserve"> </v>
      </c>
      <c r="U128" s="20">
        <f t="shared" si="19"/>
        <v>117</v>
      </c>
      <c r="V128" s="5">
        <f>IF(AND(U128&gt;='Amort. Sched.-BEST'!$AA$8, U128&lt;= ($AA$7+$AA$8)), PMT('Amort. Sched.-BEST'!$W$8/12, 'Amort. Sched.-BEST'!$AA$7, 'Amort. Sched.-BEST'!$W$7), 0)</f>
        <v>0</v>
      </c>
      <c r="W128" s="5">
        <f>IF(AND(U128&gt;='Amort. Sched.-BEST'!$AA$8, U128&lt;= ($AA$7+$AA$8)), (IPMT($W$8/12, (U128-$AA$8), $AA$7, $W$7)), 0)</f>
        <v>0</v>
      </c>
      <c r="X128" s="5">
        <f>IF(AND(U128&gt;='Amort. Sched.-BEST'!$AA$8, U128&lt;= ($AA$7+$AA$8)), (PPMT($W$8/12, (U128-$AA$8), $AA$7, $W$7)), 0)</f>
        <v>0</v>
      </c>
      <c r="Y128" s="5">
        <f>IF(CreditAmort2BEST[[#This Row],[Month]]=AA$8,W$7,0)</f>
        <v>0</v>
      </c>
      <c r="Z128" s="13">
        <f>IF(AND(U128&gt;='Amort. Sched.-BEST'!$AA$8, U128&lt;= ($AA$7+$AA$8)), Z127+X128, 0)</f>
        <v>0</v>
      </c>
      <c r="AA128" s="6" t="str">
        <f>IF(AND(U128&gt;='Amort. Sched.-BEST'!$AA$8, U128&lt;= ($AA$7+$AA$8)), W128/V128, " ")</f>
        <v xml:space="preserve"> </v>
      </c>
      <c r="AB128" s="21" t="str">
        <f>IF(AND(U128&gt;='Amort. Sched.-BEST'!$AA$8, U128&lt;= ($AA$7+$AA$8)), X128/V128, " ")</f>
        <v xml:space="preserve"> </v>
      </c>
      <c r="AD128" s="20">
        <f t="shared" si="20"/>
        <v>117</v>
      </c>
      <c r="AE128" s="5">
        <f t="shared" si="21"/>
        <v>0</v>
      </c>
      <c r="AF128" s="5">
        <f t="shared" si="22"/>
        <v>0</v>
      </c>
      <c r="AG128" s="5">
        <f t="shared" si="23"/>
        <v>0</v>
      </c>
      <c r="AH128" s="5">
        <f>IF(CreditAmort3BEST[[#This Row],[Month]]=AJ$8,AF$7,0)</f>
        <v>0</v>
      </c>
      <c r="AI128" s="13">
        <f t="shared" si="24"/>
        <v>0</v>
      </c>
      <c r="AJ128" s="6" t="str">
        <f t="shared" si="25"/>
        <v xml:space="preserve"> </v>
      </c>
      <c r="AK128" s="21" t="str">
        <f t="shared" si="26"/>
        <v xml:space="preserve"> </v>
      </c>
      <c r="AM128" s="20">
        <f t="shared" si="27"/>
        <v>117</v>
      </c>
      <c r="AN128" s="5">
        <f t="shared" si="28"/>
        <v>0</v>
      </c>
      <c r="AO128" s="5">
        <f t="shared" si="29"/>
        <v>0</v>
      </c>
      <c r="AP128" s="5">
        <f t="shared" si="30"/>
        <v>0</v>
      </c>
      <c r="AQ128" s="5">
        <f>IF(CreditAmort4BEST[[#This Row],[Month]]=AS$8,AO$7,0)</f>
        <v>0</v>
      </c>
      <c r="AR128" s="13">
        <f t="shared" si="31"/>
        <v>0</v>
      </c>
      <c r="AS128" s="6" t="str">
        <f t="shared" si="32"/>
        <v xml:space="preserve"> </v>
      </c>
      <c r="AT128" s="21" t="str">
        <f t="shared" si="33"/>
        <v xml:space="preserve"> </v>
      </c>
    </row>
    <row r="129" spans="3:46">
      <c r="C129" s="22">
        <f t="shared" si="18"/>
        <v>118</v>
      </c>
      <c r="D129" s="23">
        <f>IF(AND(C129&gt;='Amort. Sched.-BEST'!$I$8, C129&lt;= ($I$7+$I$8)), PMT('Amort. Sched.-BEST'!$E$8/12, 'Amort. Sched.-BEST'!$I$7, 'Amort. Sched.-BEST'!$E$7), 0)</f>
        <v>-1350.6783839027553</v>
      </c>
      <c r="E129" s="5">
        <f>IF(AND(C129&gt;='Amort. Sched.-BEST'!$I$8, C129&lt;= ($I$7+$I$8)), (IPMT($E$8/12, (C129-$I$8), $I$7, $E$7)), 0)</f>
        <v>-950.2996498410439</v>
      </c>
      <c r="F129" s="23">
        <f>IF(AND(C129&gt;='Amort. Sched.-BEST'!$I$8, C129&lt;= ($I$7+$I$8)), (PPMT($E$8/12, (C129-$I$8), $I$7, $E$7)), 0)</f>
        <v>-400.37873406171155</v>
      </c>
      <c r="G129" s="5">
        <f>IF(MortgageAmortBEST[[#This Row],[Month]]=I$8,E$7,0)</f>
        <v>0</v>
      </c>
      <c r="H129" s="13">
        <f>IF(AND(C129&gt;='Amort. Sched.-BEST'!$I$8, C129&lt;= ($I$7+$I$8)), H128+F129, 0)</f>
        <v>142144.56874209482</v>
      </c>
      <c r="I129" s="24">
        <f>IF(AND(C129&gt;='Amort. Sched.-BEST'!$I$8, C129&lt;= ($I$7+$I$8)), E129/D129, " ")</f>
        <v>0.70357211692036858</v>
      </c>
      <c r="J129" s="25">
        <f>IF(AND(C129&gt;='Amort. Sched.-BEST'!$I$8, C129&lt;= ($I$7+$I$8)), F129/D129, " ")</f>
        <v>0.29642788307963147</v>
      </c>
      <c r="L129" s="20">
        <f t="shared" si="17"/>
        <v>118</v>
      </c>
      <c r="M129" s="5">
        <f>IF(AND(L129&gt;='Amort. Sched.-BEST'!$R$8, L129&lt;= ($R$7+$R$8)), PMT('Amort. Sched.-BEST'!$N$8/12, 'Amort. Sched.-BEST'!$R$7, 'Amort. Sched.-BEST'!$N$7), 0)</f>
        <v>0</v>
      </c>
      <c r="N129" s="5">
        <f>IF(AND(L129&gt;='Amort. Sched.-BEST'!$R$8, L129&lt;= ($R$7+$R$8)), (IPMT($N$8/12, (L129-$R$8), $R$7, $N$7)), 0)</f>
        <v>0</v>
      </c>
      <c r="O129" s="5">
        <f>IF(AND(L129&gt;='Amort. Sched.-BEST'!$R$8, L129&lt;= ($R$7+$R$8)), (PPMT($N$8/12, (L129-$R$8), $R$7, $N$7)), 0)</f>
        <v>0</v>
      </c>
      <c r="P129" s="5">
        <f>IF(CreditAmort1BEST[[#This Row],[Month]]=R$8,N$7,0)</f>
        <v>0</v>
      </c>
      <c r="Q129" s="13">
        <f>IF(AND(L129&gt;='Amort. Sched.-BEST'!$R$8, L129&lt;= ($R$7+$R$8)), Q128+O129, 0)</f>
        <v>0</v>
      </c>
      <c r="R129" s="6" t="str">
        <f>IF(AND(L129&gt;='Amort. Sched.-BEST'!$R$8, L129&lt;= ($R$7+$R$8)), N129/M129, " ")</f>
        <v xml:space="preserve"> </v>
      </c>
      <c r="S129" s="21" t="str">
        <f>IF(AND(L129&gt;='Amort. Sched.-BEST'!$R$8, L129&lt;= ($R$7+$R$8)), O129/M129, " ")</f>
        <v xml:space="preserve"> </v>
      </c>
      <c r="U129" s="20">
        <f t="shared" si="19"/>
        <v>118</v>
      </c>
      <c r="V129" s="5">
        <f>IF(AND(U129&gt;='Amort. Sched.-BEST'!$AA$8, U129&lt;= ($AA$7+$AA$8)), PMT('Amort. Sched.-BEST'!$W$8/12, 'Amort. Sched.-BEST'!$AA$7, 'Amort. Sched.-BEST'!$W$7), 0)</f>
        <v>0</v>
      </c>
      <c r="W129" s="5">
        <f>IF(AND(U129&gt;='Amort. Sched.-BEST'!$AA$8, U129&lt;= ($AA$7+$AA$8)), (IPMT($W$8/12, (U129-$AA$8), $AA$7, $W$7)), 0)</f>
        <v>0</v>
      </c>
      <c r="X129" s="5">
        <f>IF(AND(U129&gt;='Amort. Sched.-BEST'!$AA$8, U129&lt;= ($AA$7+$AA$8)), (PPMT($W$8/12, (U129-$AA$8), $AA$7, $W$7)), 0)</f>
        <v>0</v>
      </c>
      <c r="Y129" s="5">
        <f>IF(CreditAmort2BEST[[#This Row],[Month]]=AA$8,W$7,0)</f>
        <v>0</v>
      </c>
      <c r="Z129" s="13">
        <f>IF(AND(U129&gt;='Amort. Sched.-BEST'!$AA$8, U129&lt;= ($AA$7+$AA$8)), Z128+X129, 0)</f>
        <v>0</v>
      </c>
      <c r="AA129" s="6" t="str">
        <f>IF(AND(U129&gt;='Amort. Sched.-BEST'!$AA$8, U129&lt;= ($AA$7+$AA$8)), W129/V129, " ")</f>
        <v xml:space="preserve"> </v>
      </c>
      <c r="AB129" s="21" t="str">
        <f>IF(AND(U129&gt;='Amort. Sched.-BEST'!$AA$8, U129&lt;= ($AA$7+$AA$8)), X129/V129, " ")</f>
        <v xml:space="preserve"> </v>
      </c>
      <c r="AD129" s="20">
        <f t="shared" si="20"/>
        <v>118</v>
      </c>
      <c r="AE129" s="5">
        <f t="shared" si="21"/>
        <v>0</v>
      </c>
      <c r="AF129" s="5">
        <f t="shared" si="22"/>
        <v>0</v>
      </c>
      <c r="AG129" s="5">
        <f t="shared" si="23"/>
        <v>0</v>
      </c>
      <c r="AH129" s="5">
        <f>IF(CreditAmort3BEST[[#This Row],[Month]]=AJ$8,AF$7,0)</f>
        <v>0</v>
      </c>
      <c r="AI129" s="13">
        <f t="shared" si="24"/>
        <v>0</v>
      </c>
      <c r="AJ129" s="6" t="str">
        <f t="shared" si="25"/>
        <v xml:space="preserve"> </v>
      </c>
      <c r="AK129" s="21" t="str">
        <f t="shared" si="26"/>
        <v xml:space="preserve"> </v>
      </c>
      <c r="AM129" s="20">
        <f t="shared" si="27"/>
        <v>118</v>
      </c>
      <c r="AN129" s="5">
        <f t="shared" si="28"/>
        <v>0</v>
      </c>
      <c r="AO129" s="5">
        <f t="shared" si="29"/>
        <v>0</v>
      </c>
      <c r="AP129" s="5">
        <f t="shared" si="30"/>
        <v>0</v>
      </c>
      <c r="AQ129" s="5">
        <f>IF(CreditAmort4BEST[[#This Row],[Month]]=AS$8,AO$7,0)</f>
        <v>0</v>
      </c>
      <c r="AR129" s="13">
        <f t="shared" si="31"/>
        <v>0</v>
      </c>
      <c r="AS129" s="6" t="str">
        <f t="shared" si="32"/>
        <v xml:space="preserve"> </v>
      </c>
      <c r="AT129" s="21" t="str">
        <f t="shared" si="33"/>
        <v xml:space="preserve"> </v>
      </c>
    </row>
    <row r="130" spans="3:46">
      <c r="C130" s="22">
        <f t="shared" si="18"/>
        <v>119</v>
      </c>
      <c r="D130" s="23">
        <f>IF(AND(C130&gt;='Amort. Sched.-BEST'!$I$8, C130&lt;= ($I$7+$I$8)), PMT('Amort. Sched.-BEST'!$E$8/12, 'Amort. Sched.-BEST'!$I$7, 'Amort. Sched.-BEST'!$E$7), 0)</f>
        <v>-1350.6783839027553</v>
      </c>
      <c r="E130" s="5">
        <f>IF(AND(C130&gt;='Amort. Sched.-BEST'!$I$8, C130&lt;= ($I$7+$I$8)), (IPMT($E$8/12, (C130-$I$8), $I$7, $E$7)), 0)</f>
        <v>-947.63045828063241</v>
      </c>
      <c r="F130" s="23">
        <f>IF(AND(C130&gt;='Amort. Sched.-BEST'!$I$8, C130&lt;= ($I$7+$I$8)), (PPMT($E$8/12, (C130-$I$8), $I$7, $E$7)), 0)</f>
        <v>-403.0479256221231</v>
      </c>
      <c r="G130" s="5">
        <f>IF(MortgageAmortBEST[[#This Row],[Month]]=I$8,E$7,0)</f>
        <v>0</v>
      </c>
      <c r="H130" s="13">
        <f>IF(AND(C130&gt;='Amort. Sched.-BEST'!$I$8, C130&lt;= ($I$7+$I$8)), H129+F130, 0)</f>
        <v>141741.52081647271</v>
      </c>
      <c r="I130" s="24">
        <f>IF(AND(C130&gt;='Amort. Sched.-BEST'!$I$8, C130&lt;= ($I$7+$I$8)), E130/D130, " ")</f>
        <v>0.70159593103317108</v>
      </c>
      <c r="J130" s="25">
        <f>IF(AND(C130&gt;='Amort. Sched.-BEST'!$I$8, C130&lt;= ($I$7+$I$8)), F130/D130, " ")</f>
        <v>0.29840406896682914</v>
      </c>
      <c r="L130" s="20">
        <f t="shared" si="17"/>
        <v>119</v>
      </c>
      <c r="M130" s="5">
        <f>IF(AND(L130&gt;='Amort. Sched.-BEST'!$R$8, L130&lt;= ($R$7+$R$8)), PMT('Amort. Sched.-BEST'!$N$8/12, 'Amort. Sched.-BEST'!$R$7, 'Amort. Sched.-BEST'!$N$7), 0)</f>
        <v>0</v>
      </c>
      <c r="N130" s="5">
        <f>IF(AND(L130&gt;='Amort. Sched.-BEST'!$R$8, L130&lt;= ($R$7+$R$8)), (IPMT($N$8/12, (L130-$R$8), $R$7, $N$7)), 0)</f>
        <v>0</v>
      </c>
      <c r="O130" s="5">
        <f>IF(AND(L130&gt;='Amort. Sched.-BEST'!$R$8, L130&lt;= ($R$7+$R$8)), (PPMT($N$8/12, (L130-$R$8), $R$7, $N$7)), 0)</f>
        <v>0</v>
      </c>
      <c r="P130" s="5">
        <f>IF(CreditAmort1BEST[[#This Row],[Month]]=R$8,N$7,0)</f>
        <v>0</v>
      </c>
      <c r="Q130" s="13">
        <f>IF(AND(L130&gt;='Amort. Sched.-BEST'!$R$8, L130&lt;= ($R$7+$R$8)), Q129+O130, 0)</f>
        <v>0</v>
      </c>
      <c r="R130" s="6" t="str">
        <f>IF(AND(L130&gt;='Amort. Sched.-BEST'!$R$8, L130&lt;= ($R$7+$R$8)), N130/M130, " ")</f>
        <v xml:space="preserve"> </v>
      </c>
      <c r="S130" s="21" t="str">
        <f>IF(AND(L130&gt;='Amort. Sched.-BEST'!$R$8, L130&lt;= ($R$7+$R$8)), O130/M130, " ")</f>
        <v xml:space="preserve"> </v>
      </c>
      <c r="U130" s="22">
        <f t="shared" si="19"/>
        <v>119</v>
      </c>
      <c r="V130" s="23">
        <f>IF(AND(U130&gt;='Amort. Sched.-BEST'!$AA$8, U130&lt;= ($AA$7+$AA$8)), PMT('Amort. Sched.-BEST'!$W$8/12, 'Amort. Sched.-BEST'!$AA$7, 'Amort. Sched.-BEST'!$W$7), 0)</f>
        <v>0</v>
      </c>
      <c r="W130" s="5">
        <f>IF(AND(U130&gt;='Amort. Sched.-BEST'!$AA$8, U130&lt;= ($AA$7+$AA$8)), (IPMT($W$8/12, (U130-$AA$8), $AA$7, $W$7)), 0)</f>
        <v>0</v>
      </c>
      <c r="X130" s="23">
        <f>IF(AND(U130&gt;='Amort. Sched.-BEST'!$AA$8, U130&lt;= ($AA$7+$AA$8)), (PPMT($W$8/12, (U130-$AA$8), $AA$7, $W$7)), 0)</f>
        <v>0</v>
      </c>
      <c r="Y130" s="5">
        <f>IF(CreditAmort2BEST[[#This Row],[Month]]=AA$8,W$7,0)</f>
        <v>0</v>
      </c>
      <c r="Z130" s="13">
        <f>IF(AND(U130&gt;='Amort. Sched.-BEST'!$AA$8, U130&lt;= ($AA$7+$AA$8)), Z129+X130, 0)</f>
        <v>0</v>
      </c>
      <c r="AA130" s="24" t="str">
        <f>IF(AND(U130&gt;='Amort. Sched.-BEST'!$AA$8, U130&lt;= ($AA$7+$AA$8)), W130/V130, " ")</f>
        <v xml:space="preserve"> </v>
      </c>
      <c r="AB130" s="25" t="str">
        <f>IF(AND(U130&gt;='Amort. Sched.-BEST'!$AA$8, U130&lt;= ($AA$7+$AA$8)), X130/V130, " ")</f>
        <v xml:space="preserve"> </v>
      </c>
      <c r="AD130" s="22">
        <f t="shared" si="20"/>
        <v>119</v>
      </c>
      <c r="AE130" s="5">
        <f t="shared" si="21"/>
        <v>0</v>
      </c>
      <c r="AF130" s="5">
        <f t="shared" si="22"/>
        <v>0</v>
      </c>
      <c r="AG130" s="5">
        <f t="shared" si="23"/>
        <v>0</v>
      </c>
      <c r="AH130" s="5">
        <f>IF(CreditAmort3BEST[[#This Row],[Month]]=AJ$8,AF$7,0)</f>
        <v>0</v>
      </c>
      <c r="AI130" s="13">
        <f t="shared" si="24"/>
        <v>0</v>
      </c>
      <c r="AJ130" s="6" t="str">
        <f t="shared" si="25"/>
        <v xml:space="preserve"> </v>
      </c>
      <c r="AK130" s="21" t="str">
        <f t="shared" si="26"/>
        <v xml:space="preserve"> </v>
      </c>
      <c r="AM130" s="20">
        <f t="shared" si="27"/>
        <v>119</v>
      </c>
      <c r="AN130" s="5">
        <f t="shared" si="28"/>
        <v>0</v>
      </c>
      <c r="AO130" s="5">
        <f t="shared" si="29"/>
        <v>0</v>
      </c>
      <c r="AP130" s="5">
        <f t="shared" si="30"/>
        <v>0</v>
      </c>
      <c r="AQ130" s="5">
        <f>IF(CreditAmort4BEST[[#This Row],[Month]]=AS$8,AO$7,0)</f>
        <v>0</v>
      </c>
      <c r="AR130" s="13">
        <f t="shared" si="31"/>
        <v>0</v>
      </c>
      <c r="AS130" s="6" t="str">
        <f t="shared" si="32"/>
        <v xml:space="preserve"> </v>
      </c>
      <c r="AT130" s="21" t="str">
        <f t="shared" si="33"/>
        <v xml:space="preserve"> </v>
      </c>
    </row>
    <row r="131" spans="3:46">
      <c r="C131" s="22">
        <f t="shared" si="18"/>
        <v>120</v>
      </c>
      <c r="D131" s="23">
        <f>IF(AND(C131&gt;='Amort. Sched.-BEST'!$I$8, C131&lt;= ($I$7+$I$8)), PMT('Amort. Sched.-BEST'!$E$8/12, 'Amort. Sched.-BEST'!$I$7, 'Amort. Sched.-BEST'!$E$7), 0)</f>
        <v>-1350.6783839027553</v>
      </c>
      <c r="E131" s="5">
        <f>IF(AND(C131&gt;='Amort. Sched.-BEST'!$I$8, C131&lt;= ($I$7+$I$8)), (IPMT($E$8/12, (C131-$I$8), $I$7, $E$7)), 0)</f>
        <v>-944.94347210981812</v>
      </c>
      <c r="F131" s="23">
        <f>IF(AND(C131&gt;='Amort. Sched.-BEST'!$I$8, C131&lt;= ($I$7+$I$8)), (PPMT($E$8/12, (C131-$I$8), $I$7, $E$7)), 0)</f>
        <v>-405.73491179293717</v>
      </c>
      <c r="G131" s="5">
        <f>IF(MortgageAmortBEST[[#This Row],[Month]]=I$8,E$7,0)</f>
        <v>0</v>
      </c>
      <c r="H131" s="13">
        <f>IF(AND(C131&gt;='Amort. Sched.-BEST'!$I$8, C131&lt;= ($I$7+$I$8)), H130+F131, 0)</f>
        <v>141335.78590467977</v>
      </c>
      <c r="I131" s="24">
        <f>IF(AND(C131&gt;='Amort. Sched.-BEST'!$I$8, C131&lt;= ($I$7+$I$8)), E131/D131, " ")</f>
        <v>0.69960657057339204</v>
      </c>
      <c r="J131" s="25">
        <f>IF(AND(C131&gt;='Amort. Sched.-BEST'!$I$8, C131&lt;= ($I$7+$I$8)), F131/D131, " ")</f>
        <v>0.30039342942660791</v>
      </c>
      <c r="L131" s="20">
        <f t="shared" si="17"/>
        <v>120</v>
      </c>
      <c r="M131" s="5">
        <f>IF(AND(L131&gt;='Amort. Sched.-BEST'!$R$8, L131&lt;= ($R$7+$R$8)), PMT('Amort. Sched.-BEST'!$N$8/12, 'Amort. Sched.-BEST'!$R$7, 'Amort. Sched.-BEST'!$N$7), 0)</f>
        <v>0</v>
      </c>
      <c r="N131" s="5">
        <f>IF(AND(L131&gt;='Amort. Sched.-BEST'!$R$8, L131&lt;= ($R$7+$R$8)), (IPMT($N$8/12, (L131-$R$8), $R$7, $N$7)), 0)</f>
        <v>0</v>
      </c>
      <c r="O131" s="5">
        <f>IF(AND(L131&gt;='Amort. Sched.-BEST'!$R$8, L131&lt;= ($R$7+$R$8)), (PPMT($N$8/12, (L131-$R$8), $R$7, $N$7)), 0)</f>
        <v>0</v>
      </c>
      <c r="P131" s="5">
        <f>IF(CreditAmort1BEST[[#This Row],[Month]]=R$8,N$7,0)</f>
        <v>0</v>
      </c>
      <c r="Q131" s="13">
        <f>IF(AND(L131&gt;='Amort. Sched.-BEST'!$R$8, L131&lt;= ($R$7+$R$8)), Q130+O131, 0)</f>
        <v>0</v>
      </c>
      <c r="R131" s="6" t="str">
        <f>IF(AND(L131&gt;='Amort. Sched.-BEST'!$R$8, L131&lt;= ($R$7+$R$8)), N131/M131, " ")</f>
        <v xml:space="preserve"> </v>
      </c>
      <c r="S131" s="21" t="str">
        <f>IF(AND(L131&gt;='Amort. Sched.-BEST'!$R$8, L131&lt;= ($R$7+$R$8)), O131/M131, " ")</f>
        <v xml:space="preserve"> </v>
      </c>
      <c r="U131" s="22">
        <f t="shared" si="19"/>
        <v>120</v>
      </c>
      <c r="V131" s="23">
        <f>IF(AND(U131&gt;='Amort. Sched.-BEST'!$AA$8, U131&lt;= ($AA$7+$AA$8)), PMT('Amort. Sched.-BEST'!$W$8/12, 'Amort. Sched.-BEST'!$AA$7, 'Amort. Sched.-BEST'!$W$7), 0)</f>
        <v>0</v>
      </c>
      <c r="W131" s="5">
        <f>IF(AND(U131&gt;='Amort. Sched.-BEST'!$AA$8, U131&lt;= ($AA$7+$AA$8)), (IPMT($W$8/12, (U131-$AA$8), $AA$7, $W$7)), 0)</f>
        <v>0</v>
      </c>
      <c r="X131" s="23">
        <f>IF(AND(U131&gt;='Amort. Sched.-BEST'!$AA$8, U131&lt;= ($AA$7+$AA$8)), (PPMT($W$8/12, (U131-$AA$8), $AA$7, $W$7)), 0)</f>
        <v>0</v>
      </c>
      <c r="Y131" s="5">
        <f>IF(CreditAmort2BEST[[#This Row],[Month]]=AA$8,W$7,0)</f>
        <v>0</v>
      </c>
      <c r="Z131" s="13">
        <f>IF(AND(U131&gt;='Amort. Sched.-BEST'!$AA$8, U131&lt;= ($AA$7+$AA$8)), Z130+X131, 0)</f>
        <v>0</v>
      </c>
      <c r="AA131" s="24" t="str">
        <f>IF(AND(U131&gt;='Amort. Sched.-BEST'!$AA$8, U131&lt;= ($AA$7+$AA$8)), W131/V131, " ")</f>
        <v xml:space="preserve"> </v>
      </c>
      <c r="AB131" s="25" t="str">
        <f>IF(AND(U131&gt;='Amort. Sched.-BEST'!$AA$8, U131&lt;= ($AA$7+$AA$8)), X131/V131, " ")</f>
        <v xml:space="preserve"> </v>
      </c>
      <c r="AD131" s="22">
        <f t="shared" si="20"/>
        <v>120</v>
      </c>
      <c r="AE131" s="5">
        <f t="shared" si="21"/>
        <v>0</v>
      </c>
      <c r="AF131" s="5">
        <f t="shared" si="22"/>
        <v>0</v>
      </c>
      <c r="AG131" s="5">
        <f t="shared" si="23"/>
        <v>0</v>
      </c>
      <c r="AH131" s="5">
        <f>IF(CreditAmort3BEST[[#This Row],[Month]]=AJ$8,AF$7,0)</f>
        <v>0</v>
      </c>
      <c r="AI131" s="13">
        <f t="shared" si="24"/>
        <v>0</v>
      </c>
      <c r="AJ131" s="6" t="str">
        <f t="shared" si="25"/>
        <v xml:space="preserve"> </v>
      </c>
      <c r="AK131" s="21" t="str">
        <f t="shared" si="26"/>
        <v xml:space="preserve"> </v>
      </c>
      <c r="AM131" s="20">
        <f t="shared" si="27"/>
        <v>120</v>
      </c>
      <c r="AN131" s="5">
        <f t="shared" si="28"/>
        <v>0</v>
      </c>
      <c r="AO131" s="5">
        <f t="shared" si="29"/>
        <v>0</v>
      </c>
      <c r="AP131" s="5">
        <f t="shared" si="30"/>
        <v>0</v>
      </c>
      <c r="AQ131" s="5">
        <f>IF(CreditAmort4BEST[[#This Row],[Month]]=AS$8,AO$7,0)</f>
        <v>0</v>
      </c>
      <c r="AR131" s="13">
        <f t="shared" si="31"/>
        <v>0</v>
      </c>
      <c r="AS131" s="6" t="str">
        <f t="shared" si="32"/>
        <v xml:space="preserve"> </v>
      </c>
      <c r="AT131" s="21" t="str">
        <f t="shared" si="33"/>
        <v xml:space="preserve"> </v>
      </c>
    </row>
    <row r="132" spans="3:46">
      <c r="C132" s="22">
        <f t="shared" si="18"/>
        <v>121</v>
      </c>
      <c r="D132" s="23">
        <f>IF(AND(C132&gt;='Amort. Sched.-BEST'!$I$8, C132&lt;= ($I$7+$I$8)), PMT('Amort. Sched.-BEST'!$E$8/12, 'Amort. Sched.-BEST'!$I$7, 'Amort. Sched.-BEST'!$E$7), 0)</f>
        <v>-1350.6783839027553</v>
      </c>
      <c r="E132" s="5">
        <f>IF(AND(C132&gt;='Amort. Sched.-BEST'!$I$8, C132&lt;= ($I$7+$I$8)), (IPMT($E$8/12, (C132-$I$8), $I$7, $E$7)), 0)</f>
        <v>-942.23857269786515</v>
      </c>
      <c r="F132" s="23">
        <f>IF(AND(C132&gt;='Amort. Sched.-BEST'!$I$8, C132&lt;= ($I$7+$I$8)), (PPMT($E$8/12, (C132-$I$8), $I$7, $E$7)), 0)</f>
        <v>-408.43981120489013</v>
      </c>
      <c r="G132" s="5">
        <f>IF(MortgageAmortBEST[[#This Row],[Month]]=I$8,E$7,0)</f>
        <v>0</v>
      </c>
      <c r="H132" s="13">
        <f>IF(AND(C132&gt;='Amort. Sched.-BEST'!$I$8, C132&lt;= ($I$7+$I$8)), H131+F132, 0)</f>
        <v>140927.34609347489</v>
      </c>
      <c r="I132" s="24">
        <f>IF(AND(C132&gt;='Amort. Sched.-BEST'!$I$8, C132&lt;= ($I$7+$I$8)), E132/D132, " ")</f>
        <v>0.69760394771054801</v>
      </c>
      <c r="J132" s="25">
        <f>IF(AND(C132&gt;='Amort. Sched.-BEST'!$I$8, C132&lt;= ($I$7+$I$8)), F132/D132, " ")</f>
        <v>0.30239605228945204</v>
      </c>
      <c r="L132" s="20">
        <f t="shared" si="17"/>
        <v>121</v>
      </c>
      <c r="M132" s="5">
        <f>IF(AND(L132&gt;='Amort. Sched.-BEST'!$R$8, L132&lt;= ($R$7+$R$8)), PMT('Amort. Sched.-BEST'!$N$8/12, 'Amort. Sched.-BEST'!$R$7, 'Amort. Sched.-BEST'!$N$7), 0)</f>
        <v>0</v>
      </c>
      <c r="N132" s="5">
        <f>IF(AND(L132&gt;='Amort. Sched.-BEST'!$R$8, L132&lt;= ($R$7+$R$8)), (IPMT($N$8/12, (L132-$R$8), $R$7, $N$7)), 0)</f>
        <v>0</v>
      </c>
      <c r="O132" s="5">
        <f>IF(AND(L132&gt;='Amort. Sched.-BEST'!$R$8, L132&lt;= ($R$7+$R$8)), (PPMT($N$8/12, (L132-$R$8), $R$7, $N$7)), 0)</f>
        <v>0</v>
      </c>
      <c r="P132" s="5">
        <f>IF(CreditAmort1BEST[[#This Row],[Month]]=R$8,N$7,0)</f>
        <v>0</v>
      </c>
      <c r="Q132" s="13">
        <f>IF(AND(L132&gt;='Amort. Sched.-BEST'!$R$8, L132&lt;= ($R$7+$R$8)), Q131+O132, 0)</f>
        <v>0</v>
      </c>
      <c r="R132" s="6" t="str">
        <f>IF(AND(L132&gt;='Amort. Sched.-BEST'!$R$8, L132&lt;= ($R$7+$R$8)), N132/M132, " ")</f>
        <v xml:space="preserve"> </v>
      </c>
      <c r="S132" s="21" t="str">
        <f>IF(AND(L132&gt;='Amort. Sched.-BEST'!$R$8, L132&lt;= ($R$7+$R$8)), O132/M132, " ")</f>
        <v xml:space="preserve"> </v>
      </c>
      <c r="U132" s="22">
        <f t="shared" si="19"/>
        <v>121</v>
      </c>
      <c r="V132" s="23">
        <f>IF(AND(U132&gt;='Amort. Sched.-BEST'!$AA$8, U132&lt;= ($AA$7+$AA$8)), PMT('Amort. Sched.-BEST'!$W$8/12, 'Amort. Sched.-BEST'!$AA$7, 'Amort. Sched.-BEST'!$W$7), 0)</f>
        <v>0</v>
      </c>
      <c r="W132" s="5">
        <f>IF(AND(U132&gt;='Amort. Sched.-BEST'!$AA$8, U132&lt;= ($AA$7+$AA$8)), (IPMT($W$8/12, (U132-$AA$8), $AA$7, $W$7)), 0)</f>
        <v>0</v>
      </c>
      <c r="X132" s="23">
        <f>IF(AND(U132&gt;='Amort. Sched.-BEST'!$AA$8, U132&lt;= ($AA$7+$AA$8)), (PPMT($W$8/12, (U132-$AA$8), $AA$7, $W$7)), 0)</f>
        <v>0</v>
      </c>
      <c r="Y132" s="5">
        <f>IF(CreditAmort2BEST[[#This Row],[Month]]=AA$8,W$7,0)</f>
        <v>0</v>
      </c>
      <c r="Z132" s="13">
        <f>IF(AND(U132&gt;='Amort. Sched.-BEST'!$AA$8, U132&lt;= ($AA$7+$AA$8)), Z131+X132, 0)</f>
        <v>0</v>
      </c>
      <c r="AA132" s="24" t="str">
        <f>IF(AND(U132&gt;='Amort. Sched.-BEST'!$AA$8, U132&lt;= ($AA$7+$AA$8)), W132/V132, " ")</f>
        <v xml:space="preserve"> </v>
      </c>
      <c r="AB132" s="25" t="str">
        <f>IF(AND(U132&gt;='Amort. Sched.-BEST'!$AA$8, U132&lt;= ($AA$7+$AA$8)), X132/V132, " ")</f>
        <v xml:space="preserve"> </v>
      </c>
      <c r="AD132" s="22">
        <f t="shared" si="20"/>
        <v>121</v>
      </c>
      <c r="AE132" s="5">
        <f t="shared" si="21"/>
        <v>0</v>
      </c>
      <c r="AF132" s="5">
        <f t="shared" si="22"/>
        <v>0</v>
      </c>
      <c r="AG132" s="5">
        <f t="shared" si="23"/>
        <v>0</v>
      </c>
      <c r="AH132" s="5">
        <f>IF(CreditAmort3BEST[[#This Row],[Month]]=AJ$8,AF$7,0)</f>
        <v>0</v>
      </c>
      <c r="AI132" s="13">
        <f t="shared" si="24"/>
        <v>0</v>
      </c>
      <c r="AJ132" s="6" t="str">
        <f t="shared" si="25"/>
        <v xml:space="preserve"> </v>
      </c>
      <c r="AK132" s="21" t="str">
        <f t="shared" si="26"/>
        <v xml:space="preserve"> </v>
      </c>
      <c r="AM132" s="20">
        <f t="shared" si="27"/>
        <v>121</v>
      </c>
      <c r="AN132" s="5">
        <f t="shared" si="28"/>
        <v>0</v>
      </c>
      <c r="AO132" s="5">
        <f t="shared" si="29"/>
        <v>0</v>
      </c>
      <c r="AP132" s="5">
        <f t="shared" si="30"/>
        <v>0</v>
      </c>
      <c r="AQ132" s="5">
        <f>IF(CreditAmort4BEST[[#This Row],[Month]]=AS$8,AO$7,0)</f>
        <v>0</v>
      </c>
      <c r="AR132" s="13">
        <f t="shared" si="31"/>
        <v>0</v>
      </c>
      <c r="AS132" s="6" t="str">
        <f t="shared" si="32"/>
        <v xml:space="preserve"> </v>
      </c>
      <c r="AT132" s="21" t="str">
        <f t="shared" si="33"/>
        <v xml:space="preserve"> </v>
      </c>
    </row>
    <row r="133" spans="3:46">
      <c r="C133" s="22">
        <f t="shared" si="18"/>
        <v>122</v>
      </c>
      <c r="D133" s="23">
        <f>IF(AND(C133&gt;='Amort. Sched.-BEST'!$I$8, C133&lt;= ($I$7+$I$8)), PMT('Amort. Sched.-BEST'!$E$8/12, 'Amort. Sched.-BEST'!$I$7, 'Amort. Sched.-BEST'!$E$7), 0)</f>
        <v>-1350.6783839027553</v>
      </c>
      <c r="E133" s="5">
        <f>IF(AND(C133&gt;='Amort. Sched.-BEST'!$I$8, C133&lt;= ($I$7+$I$8)), (IPMT($E$8/12, (C133-$I$8), $I$7, $E$7)), 0)</f>
        <v>-939.51564062316595</v>
      </c>
      <c r="F133" s="23">
        <f>IF(AND(C133&gt;='Amort. Sched.-BEST'!$I$8, C133&lt;= ($I$7+$I$8)), (PPMT($E$8/12, (C133-$I$8), $I$7, $E$7)), 0)</f>
        <v>-411.16274327958934</v>
      </c>
      <c r="G133" s="5">
        <f>IF(MortgageAmortBEST[[#This Row],[Month]]=I$8,E$7,0)</f>
        <v>0</v>
      </c>
      <c r="H133" s="13">
        <f>IF(AND(C133&gt;='Amort. Sched.-BEST'!$I$8, C133&lt;= ($I$7+$I$8)), H132+F133, 0)</f>
        <v>140516.18335019529</v>
      </c>
      <c r="I133" s="24">
        <f>IF(AND(C133&gt;='Amort. Sched.-BEST'!$I$8, C133&lt;= ($I$7+$I$8)), E133/D133, " ")</f>
        <v>0.69558797402861838</v>
      </c>
      <c r="J133" s="25">
        <f>IF(AND(C133&gt;='Amort. Sched.-BEST'!$I$8, C133&lt;= ($I$7+$I$8)), F133/D133, " ")</f>
        <v>0.30441202597138167</v>
      </c>
      <c r="L133" s="20">
        <f t="shared" si="17"/>
        <v>122</v>
      </c>
      <c r="M133" s="5">
        <f>IF(AND(L133&gt;='Amort. Sched.-BEST'!$R$8, L133&lt;= ($R$7+$R$8)), PMT('Amort. Sched.-BEST'!$N$8/12, 'Amort. Sched.-BEST'!$R$7, 'Amort. Sched.-BEST'!$N$7), 0)</f>
        <v>0</v>
      </c>
      <c r="N133" s="5">
        <f>IF(AND(L133&gt;='Amort. Sched.-BEST'!$R$8, L133&lt;= ($R$7+$R$8)), (IPMT($N$8/12, (L133-$R$8), $R$7, $N$7)), 0)</f>
        <v>0</v>
      </c>
      <c r="O133" s="5">
        <f>IF(AND(L133&gt;='Amort. Sched.-BEST'!$R$8, L133&lt;= ($R$7+$R$8)), (PPMT($N$8/12, (L133-$R$8), $R$7, $N$7)), 0)</f>
        <v>0</v>
      </c>
      <c r="P133" s="5">
        <f>IF(CreditAmort1BEST[[#This Row],[Month]]=R$8,N$7,0)</f>
        <v>0</v>
      </c>
      <c r="Q133" s="13">
        <f>IF(AND(L133&gt;='Amort. Sched.-BEST'!$R$8, L133&lt;= ($R$7+$R$8)), Q132+O133, 0)</f>
        <v>0</v>
      </c>
      <c r="R133" s="6" t="str">
        <f>IF(AND(L133&gt;='Amort. Sched.-BEST'!$R$8, L133&lt;= ($R$7+$R$8)), N133/M133, " ")</f>
        <v xml:space="preserve"> </v>
      </c>
      <c r="S133" s="21" t="str">
        <f>IF(AND(L133&gt;='Amort. Sched.-BEST'!$R$8, L133&lt;= ($R$7+$R$8)), O133/M133, " ")</f>
        <v xml:space="preserve"> </v>
      </c>
      <c r="U133" s="22">
        <f t="shared" si="19"/>
        <v>122</v>
      </c>
      <c r="V133" s="23">
        <f>IF(AND(U133&gt;='Amort. Sched.-BEST'!$AA$8, U133&lt;= ($AA$7+$AA$8)), PMT('Amort. Sched.-BEST'!$W$8/12, 'Amort. Sched.-BEST'!$AA$7, 'Amort. Sched.-BEST'!$W$7), 0)</f>
        <v>0</v>
      </c>
      <c r="W133" s="5">
        <f>IF(AND(U133&gt;='Amort. Sched.-BEST'!$AA$8, U133&lt;= ($AA$7+$AA$8)), (IPMT($W$8/12, (U133-$AA$8), $AA$7, $W$7)), 0)</f>
        <v>0</v>
      </c>
      <c r="X133" s="23">
        <f>IF(AND(U133&gt;='Amort. Sched.-BEST'!$AA$8, U133&lt;= ($AA$7+$AA$8)), (PPMT($W$8/12, (U133-$AA$8), $AA$7, $W$7)), 0)</f>
        <v>0</v>
      </c>
      <c r="Y133" s="5">
        <f>IF(CreditAmort2BEST[[#This Row],[Month]]=AA$8,W$7,0)</f>
        <v>0</v>
      </c>
      <c r="Z133" s="13">
        <f>IF(AND(U133&gt;='Amort. Sched.-BEST'!$AA$8, U133&lt;= ($AA$7+$AA$8)), Z132+X133, 0)</f>
        <v>0</v>
      </c>
      <c r="AA133" s="24" t="str">
        <f>IF(AND(U133&gt;='Amort. Sched.-BEST'!$AA$8, U133&lt;= ($AA$7+$AA$8)), W133/V133, " ")</f>
        <v xml:space="preserve"> </v>
      </c>
      <c r="AB133" s="25" t="str">
        <f>IF(AND(U133&gt;='Amort. Sched.-BEST'!$AA$8, U133&lt;= ($AA$7+$AA$8)), X133/V133, " ")</f>
        <v xml:space="preserve"> </v>
      </c>
      <c r="AD133" s="22">
        <f t="shared" si="20"/>
        <v>122</v>
      </c>
      <c r="AE133" s="5">
        <f t="shared" si="21"/>
        <v>0</v>
      </c>
      <c r="AF133" s="5">
        <f t="shared" si="22"/>
        <v>0</v>
      </c>
      <c r="AG133" s="5">
        <f t="shared" si="23"/>
        <v>0</v>
      </c>
      <c r="AH133" s="5">
        <f>IF(CreditAmort3BEST[[#This Row],[Month]]=AJ$8,AF$7,0)</f>
        <v>0</v>
      </c>
      <c r="AI133" s="13">
        <f t="shared" si="24"/>
        <v>0</v>
      </c>
      <c r="AJ133" s="6" t="str">
        <f t="shared" si="25"/>
        <v xml:space="preserve"> </v>
      </c>
      <c r="AK133" s="21" t="str">
        <f t="shared" si="26"/>
        <v xml:space="preserve"> </v>
      </c>
      <c r="AM133" s="20">
        <f t="shared" si="27"/>
        <v>122</v>
      </c>
      <c r="AN133" s="5">
        <f t="shared" si="28"/>
        <v>0</v>
      </c>
      <c r="AO133" s="5">
        <f t="shared" si="29"/>
        <v>0</v>
      </c>
      <c r="AP133" s="5">
        <f t="shared" si="30"/>
        <v>0</v>
      </c>
      <c r="AQ133" s="5">
        <f>IF(CreditAmort4BEST[[#This Row],[Month]]=AS$8,AO$7,0)</f>
        <v>0</v>
      </c>
      <c r="AR133" s="13">
        <f t="shared" si="31"/>
        <v>0</v>
      </c>
      <c r="AS133" s="6" t="str">
        <f t="shared" si="32"/>
        <v xml:space="preserve"> </v>
      </c>
      <c r="AT133" s="21" t="str">
        <f t="shared" si="33"/>
        <v xml:space="preserve"> </v>
      </c>
    </row>
    <row r="134" spans="3:46">
      <c r="C134" s="22">
        <f t="shared" si="18"/>
        <v>123</v>
      </c>
      <c r="D134" s="23">
        <f>IF(AND(C134&gt;='Amort. Sched.-BEST'!$I$8, C134&lt;= ($I$7+$I$8)), PMT('Amort. Sched.-BEST'!$E$8/12, 'Amort. Sched.-BEST'!$I$7, 'Amort. Sched.-BEST'!$E$7), 0)</f>
        <v>-1350.6783839027553</v>
      </c>
      <c r="E134" s="5">
        <f>IF(AND(C134&gt;='Amort. Sched.-BEST'!$I$8, C134&lt;= ($I$7+$I$8)), (IPMT($E$8/12, (C134-$I$8), $I$7, $E$7)), 0)</f>
        <v>-936.77455566796868</v>
      </c>
      <c r="F134" s="23">
        <f>IF(AND(C134&gt;='Amort. Sched.-BEST'!$I$8, C134&lt;= ($I$7+$I$8)), (PPMT($E$8/12, (C134-$I$8), $I$7, $E$7)), 0)</f>
        <v>-413.9038282347866</v>
      </c>
      <c r="G134" s="5">
        <f>IF(MortgageAmortBEST[[#This Row],[Month]]=I$8,E$7,0)</f>
        <v>0</v>
      </c>
      <c r="H134" s="13">
        <f>IF(AND(C134&gt;='Amort. Sched.-BEST'!$I$8, C134&lt;= ($I$7+$I$8)), H133+F134, 0)</f>
        <v>140102.2795219605</v>
      </c>
      <c r="I134" s="24">
        <f>IF(AND(C134&gt;='Amort. Sched.-BEST'!$I$8, C134&lt;= ($I$7+$I$8)), E134/D134, " ")</f>
        <v>0.69355856052214249</v>
      </c>
      <c r="J134" s="25">
        <f>IF(AND(C134&gt;='Amort. Sched.-BEST'!$I$8, C134&lt;= ($I$7+$I$8)), F134/D134, " ")</f>
        <v>0.30644143947785751</v>
      </c>
      <c r="L134" s="20">
        <f t="shared" si="17"/>
        <v>123</v>
      </c>
      <c r="M134" s="5">
        <f>IF(AND(L134&gt;='Amort. Sched.-BEST'!$R$8, L134&lt;= ($R$7+$R$8)), PMT('Amort. Sched.-BEST'!$N$8/12, 'Amort. Sched.-BEST'!$R$7, 'Amort. Sched.-BEST'!$N$7), 0)</f>
        <v>0</v>
      </c>
      <c r="N134" s="5">
        <f>IF(AND(L134&gt;='Amort. Sched.-BEST'!$R$8, L134&lt;= ($R$7+$R$8)), (IPMT($N$8/12, (L134-$R$8), $R$7, $N$7)), 0)</f>
        <v>0</v>
      </c>
      <c r="O134" s="5">
        <f>IF(AND(L134&gt;='Amort. Sched.-BEST'!$R$8, L134&lt;= ($R$7+$R$8)), (PPMT($N$8/12, (L134-$R$8), $R$7, $N$7)), 0)</f>
        <v>0</v>
      </c>
      <c r="P134" s="5">
        <f>IF(CreditAmort1BEST[[#This Row],[Month]]=R$8,N$7,0)</f>
        <v>0</v>
      </c>
      <c r="Q134" s="13">
        <f>IF(AND(L134&gt;='Amort. Sched.-BEST'!$R$8, L134&lt;= ($R$7+$R$8)), Q133+O134, 0)</f>
        <v>0</v>
      </c>
      <c r="R134" s="6" t="str">
        <f>IF(AND(L134&gt;='Amort. Sched.-BEST'!$R$8, L134&lt;= ($R$7+$R$8)), N134/M134, " ")</f>
        <v xml:space="preserve"> </v>
      </c>
      <c r="S134" s="21" t="str">
        <f>IF(AND(L134&gt;='Amort. Sched.-BEST'!$R$8, L134&lt;= ($R$7+$R$8)), O134/M134, " ")</f>
        <v xml:space="preserve"> </v>
      </c>
      <c r="U134" s="22">
        <f t="shared" si="19"/>
        <v>123</v>
      </c>
      <c r="V134" s="23">
        <f>IF(AND(U134&gt;='Amort. Sched.-BEST'!$AA$8, U134&lt;= ($AA$7+$AA$8)), PMT('Amort. Sched.-BEST'!$W$8/12, 'Amort. Sched.-BEST'!$AA$7, 'Amort. Sched.-BEST'!$W$7), 0)</f>
        <v>0</v>
      </c>
      <c r="W134" s="5">
        <f>IF(AND(U134&gt;='Amort. Sched.-BEST'!$AA$8, U134&lt;= ($AA$7+$AA$8)), (IPMT($W$8/12, (U134-$AA$8), $AA$7, $W$7)), 0)</f>
        <v>0</v>
      </c>
      <c r="X134" s="23">
        <f>IF(AND(U134&gt;='Amort. Sched.-BEST'!$AA$8, U134&lt;= ($AA$7+$AA$8)), (PPMT($W$8/12, (U134-$AA$8), $AA$7, $W$7)), 0)</f>
        <v>0</v>
      </c>
      <c r="Y134" s="5">
        <f>IF(CreditAmort2BEST[[#This Row],[Month]]=AA$8,W$7,0)</f>
        <v>0</v>
      </c>
      <c r="Z134" s="13">
        <f>IF(AND(U134&gt;='Amort. Sched.-BEST'!$AA$8, U134&lt;= ($AA$7+$AA$8)), Z133+X134, 0)</f>
        <v>0</v>
      </c>
      <c r="AA134" s="24" t="str">
        <f>IF(AND(U134&gt;='Amort. Sched.-BEST'!$AA$8, U134&lt;= ($AA$7+$AA$8)), W134/V134, " ")</f>
        <v xml:space="preserve"> </v>
      </c>
      <c r="AB134" s="25" t="str">
        <f>IF(AND(U134&gt;='Amort. Sched.-BEST'!$AA$8, U134&lt;= ($AA$7+$AA$8)), X134/V134, " ")</f>
        <v xml:space="preserve"> </v>
      </c>
      <c r="AD134" s="22">
        <f t="shared" si="20"/>
        <v>123</v>
      </c>
      <c r="AE134" s="5">
        <f t="shared" si="21"/>
        <v>0</v>
      </c>
      <c r="AF134" s="5">
        <f t="shared" si="22"/>
        <v>0</v>
      </c>
      <c r="AG134" s="5">
        <f t="shared" si="23"/>
        <v>0</v>
      </c>
      <c r="AH134" s="5">
        <f>IF(CreditAmort3BEST[[#This Row],[Month]]=AJ$8,AF$7,0)</f>
        <v>0</v>
      </c>
      <c r="AI134" s="13">
        <f t="shared" si="24"/>
        <v>0</v>
      </c>
      <c r="AJ134" s="6" t="str">
        <f t="shared" si="25"/>
        <v xml:space="preserve"> </v>
      </c>
      <c r="AK134" s="21" t="str">
        <f t="shared" si="26"/>
        <v xml:space="preserve"> </v>
      </c>
      <c r="AM134" s="20">
        <f t="shared" si="27"/>
        <v>123</v>
      </c>
      <c r="AN134" s="5">
        <f t="shared" si="28"/>
        <v>0</v>
      </c>
      <c r="AO134" s="5">
        <f t="shared" si="29"/>
        <v>0</v>
      </c>
      <c r="AP134" s="5">
        <f t="shared" si="30"/>
        <v>0</v>
      </c>
      <c r="AQ134" s="5">
        <f>IF(CreditAmort4BEST[[#This Row],[Month]]=AS$8,AO$7,0)</f>
        <v>0</v>
      </c>
      <c r="AR134" s="13">
        <f t="shared" si="31"/>
        <v>0</v>
      </c>
      <c r="AS134" s="6" t="str">
        <f t="shared" si="32"/>
        <v xml:space="preserve"> </v>
      </c>
      <c r="AT134" s="21" t="str">
        <f t="shared" si="33"/>
        <v xml:space="preserve"> </v>
      </c>
    </row>
    <row r="135" spans="3:46">
      <c r="C135" s="22">
        <f t="shared" si="18"/>
        <v>124</v>
      </c>
      <c r="D135" s="23">
        <f>IF(AND(C135&gt;='Amort. Sched.-BEST'!$I$8, C135&lt;= ($I$7+$I$8)), PMT('Amort. Sched.-BEST'!$E$8/12, 'Amort. Sched.-BEST'!$I$7, 'Amort. Sched.-BEST'!$E$7), 0)</f>
        <v>-1350.6783839027553</v>
      </c>
      <c r="E135" s="5">
        <f>IF(AND(C135&gt;='Amort. Sched.-BEST'!$I$8, C135&lt;= ($I$7+$I$8)), (IPMT($E$8/12, (C135-$I$8), $I$7, $E$7)), 0)</f>
        <v>-934.01519681307013</v>
      </c>
      <c r="F135" s="23">
        <f>IF(AND(C135&gt;='Amort. Sched.-BEST'!$I$8, C135&lt;= ($I$7+$I$8)), (PPMT($E$8/12, (C135-$I$8), $I$7, $E$7)), 0)</f>
        <v>-416.6631870896851</v>
      </c>
      <c r="G135" s="5">
        <f>IF(MortgageAmortBEST[[#This Row],[Month]]=I$8,E$7,0)</f>
        <v>0</v>
      </c>
      <c r="H135" s="13">
        <f>IF(AND(C135&gt;='Amort. Sched.-BEST'!$I$8, C135&lt;= ($I$7+$I$8)), H134+F135, 0)</f>
        <v>139685.61633487081</v>
      </c>
      <c r="I135" s="24">
        <f>IF(AND(C135&gt;='Amort. Sched.-BEST'!$I$8, C135&lt;= ($I$7+$I$8)), E135/D135, " ")</f>
        <v>0.69151561759229008</v>
      </c>
      <c r="J135" s="25">
        <f>IF(AND(C135&gt;='Amort. Sched.-BEST'!$I$8, C135&lt;= ($I$7+$I$8)), F135/D135, " ")</f>
        <v>0.30848438240770987</v>
      </c>
      <c r="L135" s="20">
        <f t="shared" si="17"/>
        <v>124</v>
      </c>
      <c r="M135" s="5">
        <f>IF(AND(L135&gt;='Amort. Sched.-BEST'!$R$8, L135&lt;= ($R$7+$R$8)), PMT('Amort. Sched.-BEST'!$N$8/12, 'Amort. Sched.-BEST'!$R$7, 'Amort. Sched.-BEST'!$N$7), 0)</f>
        <v>0</v>
      </c>
      <c r="N135" s="5">
        <f>IF(AND(L135&gt;='Amort. Sched.-BEST'!$R$8, L135&lt;= ($R$7+$R$8)), (IPMT($N$8/12, (L135-$R$8), $R$7, $N$7)), 0)</f>
        <v>0</v>
      </c>
      <c r="O135" s="5">
        <f>IF(AND(L135&gt;='Amort. Sched.-BEST'!$R$8, L135&lt;= ($R$7+$R$8)), (PPMT($N$8/12, (L135-$R$8), $R$7, $N$7)), 0)</f>
        <v>0</v>
      </c>
      <c r="P135" s="5">
        <f>IF(CreditAmort1BEST[[#This Row],[Month]]=R$8,N$7,0)</f>
        <v>0</v>
      </c>
      <c r="Q135" s="13">
        <f>IF(AND(L135&gt;='Amort. Sched.-BEST'!$R$8, L135&lt;= ($R$7+$R$8)), Q134+O135, 0)</f>
        <v>0</v>
      </c>
      <c r="R135" s="6" t="str">
        <f>IF(AND(L135&gt;='Amort. Sched.-BEST'!$R$8, L135&lt;= ($R$7+$R$8)), N135/M135, " ")</f>
        <v xml:space="preserve"> </v>
      </c>
      <c r="S135" s="21" t="str">
        <f>IF(AND(L135&gt;='Amort. Sched.-BEST'!$R$8, L135&lt;= ($R$7+$R$8)), O135/M135, " ")</f>
        <v xml:space="preserve"> </v>
      </c>
      <c r="U135" s="22">
        <f t="shared" si="19"/>
        <v>124</v>
      </c>
      <c r="V135" s="23">
        <f>IF(AND(U135&gt;='Amort. Sched.-BEST'!$AA$8, U135&lt;= ($AA$7+$AA$8)), PMT('Amort. Sched.-BEST'!$W$8/12, 'Amort. Sched.-BEST'!$AA$7, 'Amort. Sched.-BEST'!$W$7), 0)</f>
        <v>0</v>
      </c>
      <c r="W135" s="5">
        <f>IF(AND(U135&gt;='Amort. Sched.-BEST'!$AA$8, U135&lt;= ($AA$7+$AA$8)), (IPMT($W$8/12, (U135-$AA$8), $AA$7, $W$7)), 0)</f>
        <v>0</v>
      </c>
      <c r="X135" s="23">
        <f>IF(AND(U135&gt;='Amort. Sched.-BEST'!$AA$8, U135&lt;= ($AA$7+$AA$8)), (PPMT($W$8/12, (U135-$AA$8), $AA$7, $W$7)), 0)</f>
        <v>0</v>
      </c>
      <c r="Y135" s="5">
        <f>IF(CreditAmort2BEST[[#This Row],[Month]]=AA$8,W$7,0)</f>
        <v>0</v>
      </c>
      <c r="Z135" s="13">
        <f>IF(AND(U135&gt;='Amort. Sched.-BEST'!$AA$8, U135&lt;= ($AA$7+$AA$8)), Z134+X135, 0)</f>
        <v>0</v>
      </c>
      <c r="AA135" s="24" t="str">
        <f>IF(AND(U135&gt;='Amort. Sched.-BEST'!$AA$8, U135&lt;= ($AA$7+$AA$8)), W135/V135, " ")</f>
        <v xml:space="preserve"> </v>
      </c>
      <c r="AB135" s="25" t="str">
        <f>IF(AND(U135&gt;='Amort. Sched.-BEST'!$AA$8, U135&lt;= ($AA$7+$AA$8)), X135/V135, " ")</f>
        <v xml:space="preserve"> </v>
      </c>
      <c r="AD135" s="22">
        <f t="shared" si="20"/>
        <v>124</v>
      </c>
      <c r="AE135" s="5">
        <f t="shared" si="21"/>
        <v>0</v>
      </c>
      <c r="AF135" s="5">
        <f t="shared" si="22"/>
        <v>0</v>
      </c>
      <c r="AG135" s="5">
        <f t="shared" si="23"/>
        <v>0</v>
      </c>
      <c r="AH135" s="5">
        <f>IF(CreditAmort3BEST[[#This Row],[Month]]=AJ$8,AF$7,0)</f>
        <v>0</v>
      </c>
      <c r="AI135" s="13">
        <f t="shared" si="24"/>
        <v>0</v>
      </c>
      <c r="AJ135" s="6" t="str">
        <f t="shared" si="25"/>
        <v xml:space="preserve"> </v>
      </c>
      <c r="AK135" s="21" t="str">
        <f t="shared" si="26"/>
        <v xml:space="preserve"> </v>
      </c>
      <c r="AM135" s="20">
        <f t="shared" si="27"/>
        <v>124</v>
      </c>
      <c r="AN135" s="5">
        <f t="shared" si="28"/>
        <v>0</v>
      </c>
      <c r="AO135" s="5">
        <f t="shared" si="29"/>
        <v>0</v>
      </c>
      <c r="AP135" s="5">
        <f t="shared" si="30"/>
        <v>0</v>
      </c>
      <c r="AQ135" s="5">
        <f>IF(CreditAmort4BEST[[#This Row],[Month]]=AS$8,AO$7,0)</f>
        <v>0</v>
      </c>
      <c r="AR135" s="13">
        <f t="shared" si="31"/>
        <v>0</v>
      </c>
      <c r="AS135" s="6" t="str">
        <f t="shared" si="32"/>
        <v xml:space="preserve"> </v>
      </c>
      <c r="AT135" s="21" t="str">
        <f t="shared" si="33"/>
        <v xml:space="preserve"> </v>
      </c>
    </row>
    <row r="136" spans="3:46">
      <c r="C136" s="22">
        <f t="shared" si="18"/>
        <v>125</v>
      </c>
      <c r="D136" s="23">
        <f>IF(AND(C136&gt;='Amort. Sched.-BEST'!$I$8, C136&lt;= ($I$7+$I$8)), PMT('Amort. Sched.-BEST'!$E$8/12, 'Amort. Sched.-BEST'!$I$7, 'Amort. Sched.-BEST'!$E$7), 0)</f>
        <v>-1350.6783839027553</v>
      </c>
      <c r="E136" s="5">
        <f>IF(AND(C136&gt;='Amort. Sched.-BEST'!$I$8, C136&lt;= ($I$7+$I$8)), (IPMT($E$8/12, (C136-$I$8), $I$7, $E$7)), 0)</f>
        <v>-931.23744223247229</v>
      </c>
      <c r="F136" s="23">
        <f>IF(AND(C136&gt;='Amort. Sched.-BEST'!$I$8, C136&lt;= ($I$7+$I$8)), (PPMT($E$8/12, (C136-$I$8), $I$7, $E$7)), 0)</f>
        <v>-419.44094167028305</v>
      </c>
      <c r="G136" s="5">
        <f>IF(MortgageAmortBEST[[#This Row],[Month]]=I$8,E$7,0)</f>
        <v>0</v>
      </c>
      <c r="H136" s="13">
        <f>IF(AND(C136&gt;='Amort. Sched.-BEST'!$I$8, C136&lt;= ($I$7+$I$8)), H135+F136, 0)</f>
        <v>139266.17539320054</v>
      </c>
      <c r="I136" s="24">
        <f>IF(AND(C136&gt;='Amort. Sched.-BEST'!$I$8, C136&lt;= ($I$7+$I$8)), E136/D136, " ")</f>
        <v>0.68945905504290539</v>
      </c>
      <c r="J136" s="25">
        <f>IF(AND(C136&gt;='Amort. Sched.-BEST'!$I$8, C136&lt;= ($I$7+$I$8)), F136/D136, " ")</f>
        <v>0.31054094495709461</v>
      </c>
      <c r="L136" s="20">
        <f t="shared" si="17"/>
        <v>125</v>
      </c>
      <c r="M136" s="5">
        <f>IF(AND(L136&gt;='Amort. Sched.-BEST'!$R$8, L136&lt;= ($R$7+$R$8)), PMT('Amort. Sched.-BEST'!$N$8/12, 'Amort. Sched.-BEST'!$R$7, 'Amort. Sched.-BEST'!$N$7), 0)</f>
        <v>0</v>
      </c>
      <c r="N136" s="5">
        <f>IF(AND(L136&gt;='Amort. Sched.-BEST'!$R$8, L136&lt;= ($R$7+$R$8)), (IPMT($N$8/12, (L136-$R$8), $R$7, $N$7)), 0)</f>
        <v>0</v>
      </c>
      <c r="O136" s="5">
        <f>IF(AND(L136&gt;='Amort. Sched.-BEST'!$R$8, L136&lt;= ($R$7+$R$8)), (PPMT($N$8/12, (L136-$R$8), $R$7, $N$7)), 0)</f>
        <v>0</v>
      </c>
      <c r="P136" s="5">
        <f>IF(CreditAmort1BEST[[#This Row],[Month]]=R$8,N$7,0)</f>
        <v>0</v>
      </c>
      <c r="Q136" s="13">
        <f>IF(AND(L136&gt;='Amort. Sched.-BEST'!$R$8, L136&lt;= ($R$7+$R$8)), Q135+O136, 0)</f>
        <v>0</v>
      </c>
      <c r="R136" s="6" t="str">
        <f>IF(AND(L136&gt;='Amort. Sched.-BEST'!$R$8, L136&lt;= ($R$7+$R$8)), N136/M136, " ")</f>
        <v xml:space="preserve"> </v>
      </c>
      <c r="S136" s="21" t="str">
        <f>IF(AND(L136&gt;='Amort. Sched.-BEST'!$R$8, L136&lt;= ($R$7+$R$8)), O136/M136, " ")</f>
        <v xml:space="preserve"> </v>
      </c>
      <c r="U136" s="22">
        <f t="shared" si="19"/>
        <v>125</v>
      </c>
      <c r="V136" s="23">
        <f>IF(AND(U136&gt;='Amort. Sched.-BEST'!$AA$8, U136&lt;= ($AA$7+$AA$8)), PMT('Amort. Sched.-BEST'!$W$8/12, 'Amort. Sched.-BEST'!$AA$7, 'Amort. Sched.-BEST'!$W$7), 0)</f>
        <v>0</v>
      </c>
      <c r="W136" s="5">
        <f>IF(AND(U136&gt;='Amort. Sched.-BEST'!$AA$8, U136&lt;= ($AA$7+$AA$8)), (IPMT($W$8/12, (U136-$AA$8), $AA$7, $W$7)), 0)</f>
        <v>0</v>
      </c>
      <c r="X136" s="23">
        <f>IF(AND(U136&gt;='Amort. Sched.-BEST'!$AA$8, U136&lt;= ($AA$7+$AA$8)), (PPMT($W$8/12, (U136-$AA$8), $AA$7, $W$7)), 0)</f>
        <v>0</v>
      </c>
      <c r="Y136" s="5">
        <f>IF(CreditAmort2BEST[[#This Row],[Month]]=AA$8,W$7,0)</f>
        <v>0</v>
      </c>
      <c r="Z136" s="13">
        <f>IF(AND(U136&gt;='Amort. Sched.-BEST'!$AA$8, U136&lt;= ($AA$7+$AA$8)), Z135+X136, 0)</f>
        <v>0</v>
      </c>
      <c r="AA136" s="24" t="str">
        <f>IF(AND(U136&gt;='Amort. Sched.-BEST'!$AA$8, U136&lt;= ($AA$7+$AA$8)), W136/V136, " ")</f>
        <v xml:space="preserve"> </v>
      </c>
      <c r="AB136" s="25" t="str">
        <f>IF(AND(U136&gt;='Amort. Sched.-BEST'!$AA$8, U136&lt;= ($AA$7+$AA$8)), X136/V136, " ")</f>
        <v xml:space="preserve"> </v>
      </c>
      <c r="AD136" s="22">
        <f t="shared" si="20"/>
        <v>125</v>
      </c>
      <c r="AE136" s="5">
        <f t="shared" si="21"/>
        <v>0</v>
      </c>
      <c r="AF136" s="5">
        <f t="shared" si="22"/>
        <v>0</v>
      </c>
      <c r="AG136" s="5">
        <f t="shared" si="23"/>
        <v>0</v>
      </c>
      <c r="AH136" s="5">
        <f>IF(CreditAmort3BEST[[#This Row],[Month]]=AJ$8,AF$7,0)</f>
        <v>0</v>
      </c>
      <c r="AI136" s="13">
        <f t="shared" si="24"/>
        <v>0</v>
      </c>
      <c r="AJ136" s="6" t="str">
        <f t="shared" si="25"/>
        <v xml:space="preserve"> </v>
      </c>
      <c r="AK136" s="21" t="str">
        <f t="shared" si="26"/>
        <v xml:space="preserve"> </v>
      </c>
      <c r="AM136" s="20">
        <f t="shared" si="27"/>
        <v>125</v>
      </c>
      <c r="AN136" s="5">
        <f t="shared" si="28"/>
        <v>0</v>
      </c>
      <c r="AO136" s="5">
        <f t="shared" si="29"/>
        <v>0</v>
      </c>
      <c r="AP136" s="5">
        <f t="shared" si="30"/>
        <v>0</v>
      </c>
      <c r="AQ136" s="5">
        <f>IF(CreditAmort4BEST[[#This Row],[Month]]=AS$8,AO$7,0)</f>
        <v>0</v>
      </c>
      <c r="AR136" s="13">
        <f t="shared" si="31"/>
        <v>0</v>
      </c>
      <c r="AS136" s="6" t="str">
        <f t="shared" si="32"/>
        <v xml:space="preserve"> </v>
      </c>
      <c r="AT136" s="21" t="str">
        <f t="shared" si="33"/>
        <v xml:space="preserve"> </v>
      </c>
    </row>
    <row r="137" spans="3:46">
      <c r="C137" s="22">
        <f t="shared" si="18"/>
        <v>126</v>
      </c>
      <c r="D137" s="23">
        <f>IF(AND(C137&gt;='Amort. Sched.-BEST'!$I$8, C137&lt;= ($I$7+$I$8)), PMT('Amort. Sched.-BEST'!$E$8/12, 'Amort. Sched.-BEST'!$I$7, 'Amort. Sched.-BEST'!$E$7), 0)</f>
        <v>-1350.6783839027553</v>
      </c>
      <c r="E137" s="5">
        <f>IF(AND(C137&gt;='Amort. Sched.-BEST'!$I$8, C137&lt;= ($I$7+$I$8)), (IPMT($E$8/12, (C137-$I$8), $I$7, $E$7)), 0)</f>
        <v>-928.44116928800383</v>
      </c>
      <c r="F137" s="23">
        <f>IF(AND(C137&gt;='Amort. Sched.-BEST'!$I$8, C137&lt;= ($I$7+$I$8)), (PPMT($E$8/12, (C137-$I$8), $I$7, $E$7)), 0)</f>
        <v>-422.23721461475162</v>
      </c>
      <c r="G137" s="5">
        <f>IF(MortgageAmortBEST[[#This Row],[Month]]=I$8,E$7,0)</f>
        <v>0</v>
      </c>
      <c r="H137" s="13">
        <f>IF(AND(C137&gt;='Amort. Sched.-BEST'!$I$8, C137&lt;= ($I$7+$I$8)), H136+F137, 0)</f>
        <v>138843.93817858578</v>
      </c>
      <c r="I137" s="24">
        <f>IF(AND(C137&gt;='Amort. Sched.-BEST'!$I$8, C137&lt;= ($I$7+$I$8)), E137/D137, " ")</f>
        <v>0.68738878207652487</v>
      </c>
      <c r="J137" s="25">
        <f>IF(AND(C137&gt;='Amort. Sched.-BEST'!$I$8, C137&lt;= ($I$7+$I$8)), F137/D137, " ")</f>
        <v>0.31261121792347529</v>
      </c>
      <c r="L137" s="20">
        <f t="shared" si="17"/>
        <v>126</v>
      </c>
      <c r="M137" s="5">
        <f>IF(AND(L137&gt;='Amort. Sched.-BEST'!$R$8, L137&lt;= ($R$7+$R$8)), PMT('Amort. Sched.-BEST'!$N$8/12, 'Amort. Sched.-BEST'!$R$7, 'Amort. Sched.-BEST'!$N$7), 0)</f>
        <v>0</v>
      </c>
      <c r="N137" s="5">
        <f>IF(AND(L137&gt;='Amort. Sched.-BEST'!$R$8, L137&lt;= ($R$7+$R$8)), (IPMT($N$8/12, (L137-$R$8), $R$7, $N$7)), 0)</f>
        <v>0</v>
      </c>
      <c r="O137" s="5">
        <f>IF(AND(L137&gt;='Amort. Sched.-BEST'!$R$8, L137&lt;= ($R$7+$R$8)), (PPMT($N$8/12, (L137-$R$8), $R$7, $N$7)), 0)</f>
        <v>0</v>
      </c>
      <c r="P137" s="5">
        <f>IF(CreditAmort1BEST[[#This Row],[Month]]=R$8,N$7,0)</f>
        <v>0</v>
      </c>
      <c r="Q137" s="13">
        <f>IF(AND(L137&gt;='Amort. Sched.-BEST'!$R$8, L137&lt;= ($R$7+$R$8)), Q136+O137, 0)</f>
        <v>0</v>
      </c>
      <c r="R137" s="6" t="str">
        <f>IF(AND(L137&gt;='Amort. Sched.-BEST'!$R$8, L137&lt;= ($R$7+$R$8)), N137/M137, " ")</f>
        <v xml:space="preserve"> </v>
      </c>
      <c r="S137" s="21" t="str">
        <f>IF(AND(L137&gt;='Amort. Sched.-BEST'!$R$8, L137&lt;= ($R$7+$R$8)), O137/M137, " ")</f>
        <v xml:space="preserve"> </v>
      </c>
      <c r="U137" s="22">
        <f t="shared" si="19"/>
        <v>126</v>
      </c>
      <c r="V137" s="23">
        <f>IF(AND(U137&gt;='Amort. Sched.-BEST'!$AA$8, U137&lt;= ($AA$7+$AA$8)), PMT('Amort. Sched.-BEST'!$W$8/12, 'Amort. Sched.-BEST'!$AA$7, 'Amort. Sched.-BEST'!$W$7), 0)</f>
        <v>0</v>
      </c>
      <c r="W137" s="5">
        <f>IF(AND(U137&gt;='Amort. Sched.-BEST'!$AA$8, U137&lt;= ($AA$7+$AA$8)), (IPMT($W$8/12, (U137-$AA$8), $AA$7, $W$7)), 0)</f>
        <v>0</v>
      </c>
      <c r="X137" s="23">
        <f>IF(AND(U137&gt;='Amort. Sched.-BEST'!$AA$8, U137&lt;= ($AA$7+$AA$8)), (PPMT($W$8/12, (U137-$AA$8), $AA$7, $W$7)), 0)</f>
        <v>0</v>
      </c>
      <c r="Y137" s="5">
        <f>IF(CreditAmort2BEST[[#This Row],[Month]]=AA$8,W$7,0)</f>
        <v>0</v>
      </c>
      <c r="Z137" s="13">
        <f>IF(AND(U137&gt;='Amort. Sched.-BEST'!$AA$8, U137&lt;= ($AA$7+$AA$8)), Z136+X137, 0)</f>
        <v>0</v>
      </c>
      <c r="AA137" s="24" t="str">
        <f>IF(AND(U137&gt;='Amort. Sched.-BEST'!$AA$8, U137&lt;= ($AA$7+$AA$8)), W137/V137, " ")</f>
        <v xml:space="preserve"> </v>
      </c>
      <c r="AB137" s="25" t="str">
        <f>IF(AND(U137&gt;='Amort. Sched.-BEST'!$AA$8, U137&lt;= ($AA$7+$AA$8)), X137/V137, " ")</f>
        <v xml:space="preserve"> </v>
      </c>
      <c r="AD137" s="22">
        <f t="shared" si="20"/>
        <v>126</v>
      </c>
      <c r="AE137" s="5">
        <f t="shared" si="21"/>
        <v>0</v>
      </c>
      <c r="AF137" s="5">
        <f t="shared" si="22"/>
        <v>0</v>
      </c>
      <c r="AG137" s="5">
        <f t="shared" si="23"/>
        <v>0</v>
      </c>
      <c r="AH137" s="5">
        <f>IF(CreditAmort3BEST[[#This Row],[Month]]=AJ$8,AF$7,0)</f>
        <v>0</v>
      </c>
      <c r="AI137" s="13">
        <f t="shared" si="24"/>
        <v>0</v>
      </c>
      <c r="AJ137" s="6" t="str">
        <f t="shared" si="25"/>
        <v xml:space="preserve"> </v>
      </c>
      <c r="AK137" s="21" t="str">
        <f t="shared" si="26"/>
        <v xml:space="preserve"> </v>
      </c>
      <c r="AM137" s="20">
        <f t="shared" si="27"/>
        <v>126</v>
      </c>
      <c r="AN137" s="5">
        <f t="shared" si="28"/>
        <v>0</v>
      </c>
      <c r="AO137" s="5">
        <f t="shared" si="29"/>
        <v>0</v>
      </c>
      <c r="AP137" s="5">
        <f t="shared" si="30"/>
        <v>0</v>
      </c>
      <c r="AQ137" s="5">
        <f>IF(CreditAmort4BEST[[#This Row],[Month]]=AS$8,AO$7,0)</f>
        <v>0</v>
      </c>
      <c r="AR137" s="13">
        <f t="shared" si="31"/>
        <v>0</v>
      </c>
      <c r="AS137" s="6" t="str">
        <f t="shared" si="32"/>
        <v xml:space="preserve"> </v>
      </c>
      <c r="AT137" s="21" t="str">
        <f t="shared" si="33"/>
        <v xml:space="preserve"> </v>
      </c>
    </row>
    <row r="138" spans="3:46">
      <c r="C138" s="22">
        <f t="shared" si="18"/>
        <v>127</v>
      </c>
      <c r="D138" s="23">
        <f>IF(AND(C138&gt;='Amort. Sched.-BEST'!$I$8, C138&lt;= ($I$7+$I$8)), PMT('Amort. Sched.-BEST'!$E$8/12, 'Amort. Sched.-BEST'!$I$7, 'Amort. Sched.-BEST'!$E$7), 0)</f>
        <v>-1350.6783839027553</v>
      </c>
      <c r="E138" s="5">
        <f>IF(AND(C138&gt;='Amort. Sched.-BEST'!$I$8, C138&lt;= ($I$7+$I$8)), (IPMT($E$8/12, (C138-$I$8), $I$7, $E$7)), 0)</f>
        <v>-925.62625452390523</v>
      </c>
      <c r="F138" s="23">
        <f>IF(AND(C138&gt;='Amort. Sched.-BEST'!$I$8, C138&lt;= ($I$7+$I$8)), (PPMT($E$8/12, (C138-$I$8), $I$7, $E$7)), 0)</f>
        <v>-425.05212937884994</v>
      </c>
      <c r="G138" s="5">
        <f>IF(MortgageAmortBEST[[#This Row],[Month]]=I$8,E$7,0)</f>
        <v>0</v>
      </c>
      <c r="H138" s="13">
        <f>IF(AND(C138&gt;='Amort. Sched.-BEST'!$I$8, C138&lt;= ($I$7+$I$8)), H137+F138, 0)</f>
        <v>138418.88604920692</v>
      </c>
      <c r="I138" s="24">
        <f>IF(AND(C138&gt;='Amort. Sched.-BEST'!$I$8, C138&lt;= ($I$7+$I$8)), E138/D138, " ")</f>
        <v>0.68530470729036819</v>
      </c>
      <c r="J138" s="25">
        <f>IF(AND(C138&gt;='Amort. Sched.-BEST'!$I$8, C138&lt;= ($I$7+$I$8)), F138/D138, " ")</f>
        <v>0.31469529270963176</v>
      </c>
      <c r="L138" s="20">
        <f t="shared" si="17"/>
        <v>127</v>
      </c>
      <c r="M138" s="5">
        <f>IF(AND(L138&gt;='Amort. Sched.-BEST'!$R$8, L138&lt;= ($R$7+$R$8)), PMT('Amort. Sched.-BEST'!$N$8/12, 'Amort. Sched.-BEST'!$R$7, 'Amort. Sched.-BEST'!$N$7), 0)</f>
        <v>0</v>
      </c>
      <c r="N138" s="5">
        <f>IF(AND(L138&gt;='Amort. Sched.-BEST'!$R$8, L138&lt;= ($R$7+$R$8)), (IPMT($N$8/12, (L138-$R$8), $R$7, $N$7)), 0)</f>
        <v>0</v>
      </c>
      <c r="O138" s="5">
        <f>IF(AND(L138&gt;='Amort. Sched.-BEST'!$R$8, L138&lt;= ($R$7+$R$8)), (PPMT($N$8/12, (L138-$R$8), $R$7, $N$7)), 0)</f>
        <v>0</v>
      </c>
      <c r="P138" s="5">
        <f>IF(CreditAmort1BEST[[#This Row],[Month]]=R$8,N$7,0)</f>
        <v>0</v>
      </c>
      <c r="Q138" s="13">
        <f>IF(AND(L138&gt;='Amort. Sched.-BEST'!$R$8, L138&lt;= ($R$7+$R$8)), Q137+O138, 0)</f>
        <v>0</v>
      </c>
      <c r="R138" s="6" t="str">
        <f>IF(AND(L138&gt;='Amort. Sched.-BEST'!$R$8, L138&lt;= ($R$7+$R$8)), N138/M138, " ")</f>
        <v xml:space="preserve"> </v>
      </c>
      <c r="S138" s="21" t="str">
        <f>IF(AND(L138&gt;='Amort. Sched.-BEST'!$R$8, L138&lt;= ($R$7+$R$8)), O138/M138, " ")</f>
        <v xml:space="preserve"> </v>
      </c>
      <c r="U138" s="22">
        <f t="shared" si="19"/>
        <v>127</v>
      </c>
      <c r="V138" s="23">
        <f>IF(AND(U138&gt;='Amort. Sched.-BEST'!$AA$8, U138&lt;= ($AA$7+$AA$8)), PMT('Amort. Sched.-BEST'!$W$8/12, 'Amort. Sched.-BEST'!$AA$7, 'Amort. Sched.-BEST'!$W$7), 0)</f>
        <v>0</v>
      </c>
      <c r="W138" s="5">
        <f>IF(AND(U138&gt;='Amort. Sched.-BEST'!$AA$8, U138&lt;= ($AA$7+$AA$8)), (IPMT($W$8/12, (U138-$AA$8), $AA$7, $W$7)), 0)</f>
        <v>0</v>
      </c>
      <c r="X138" s="23">
        <f>IF(AND(U138&gt;='Amort. Sched.-BEST'!$AA$8, U138&lt;= ($AA$7+$AA$8)), (PPMT($W$8/12, (U138-$AA$8), $AA$7, $W$7)), 0)</f>
        <v>0</v>
      </c>
      <c r="Y138" s="5">
        <f>IF(CreditAmort2BEST[[#This Row],[Month]]=AA$8,W$7,0)</f>
        <v>0</v>
      </c>
      <c r="Z138" s="13">
        <f>IF(AND(U138&gt;='Amort. Sched.-BEST'!$AA$8, U138&lt;= ($AA$7+$AA$8)), Z137+X138, 0)</f>
        <v>0</v>
      </c>
      <c r="AA138" s="24" t="str">
        <f>IF(AND(U138&gt;='Amort. Sched.-BEST'!$AA$8, U138&lt;= ($AA$7+$AA$8)), W138/V138, " ")</f>
        <v xml:space="preserve"> </v>
      </c>
      <c r="AB138" s="25" t="str">
        <f>IF(AND(U138&gt;='Amort. Sched.-BEST'!$AA$8, U138&lt;= ($AA$7+$AA$8)), X138/V138, " ")</f>
        <v xml:space="preserve"> </v>
      </c>
      <c r="AD138" s="22">
        <f t="shared" si="20"/>
        <v>127</v>
      </c>
      <c r="AE138" s="5">
        <f t="shared" si="21"/>
        <v>0</v>
      </c>
      <c r="AF138" s="5">
        <f t="shared" si="22"/>
        <v>0</v>
      </c>
      <c r="AG138" s="5">
        <f t="shared" si="23"/>
        <v>0</v>
      </c>
      <c r="AH138" s="5">
        <f>IF(CreditAmort3BEST[[#This Row],[Month]]=AJ$8,AF$7,0)</f>
        <v>0</v>
      </c>
      <c r="AI138" s="13">
        <f t="shared" si="24"/>
        <v>0</v>
      </c>
      <c r="AJ138" s="6" t="str">
        <f t="shared" si="25"/>
        <v xml:space="preserve"> </v>
      </c>
      <c r="AK138" s="21" t="str">
        <f t="shared" si="26"/>
        <v xml:space="preserve"> </v>
      </c>
      <c r="AM138" s="20">
        <f t="shared" si="27"/>
        <v>127</v>
      </c>
      <c r="AN138" s="5">
        <f t="shared" si="28"/>
        <v>0</v>
      </c>
      <c r="AO138" s="5">
        <f t="shared" si="29"/>
        <v>0</v>
      </c>
      <c r="AP138" s="5">
        <f t="shared" si="30"/>
        <v>0</v>
      </c>
      <c r="AQ138" s="5">
        <f>IF(CreditAmort4BEST[[#This Row],[Month]]=AS$8,AO$7,0)</f>
        <v>0</v>
      </c>
      <c r="AR138" s="13">
        <f t="shared" si="31"/>
        <v>0</v>
      </c>
      <c r="AS138" s="6" t="str">
        <f t="shared" si="32"/>
        <v xml:space="preserve"> </v>
      </c>
      <c r="AT138" s="21" t="str">
        <f t="shared" si="33"/>
        <v xml:space="preserve"> </v>
      </c>
    </row>
    <row r="139" spans="3:46">
      <c r="C139" s="22">
        <f t="shared" si="18"/>
        <v>128</v>
      </c>
      <c r="D139" s="23">
        <f>IF(AND(C139&gt;='Amort. Sched.-BEST'!$I$8, C139&lt;= ($I$7+$I$8)), PMT('Amort. Sched.-BEST'!$E$8/12, 'Amort. Sched.-BEST'!$I$7, 'Amort. Sched.-BEST'!$E$7), 0)</f>
        <v>-1350.6783839027553</v>
      </c>
      <c r="E139" s="5">
        <f>IF(AND(C139&gt;='Amort. Sched.-BEST'!$I$8, C139&lt;= ($I$7+$I$8)), (IPMT($E$8/12, (C139-$I$8), $I$7, $E$7)), 0)</f>
        <v>-922.79257366137949</v>
      </c>
      <c r="F139" s="23">
        <f>IF(AND(C139&gt;='Amort. Sched.-BEST'!$I$8, C139&lt;= ($I$7+$I$8)), (PPMT($E$8/12, (C139-$I$8), $I$7, $E$7)), 0)</f>
        <v>-427.88581024137568</v>
      </c>
      <c r="G139" s="5">
        <f>IF(MortgageAmortBEST[[#This Row],[Month]]=I$8,E$7,0)</f>
        <v>0</v>
      </c>
      <c r="H139" s="13">
        <f>IF(AND(C139&gt;='Amort. Sched.-BEST'!$I$8, C139&lt;= ($I$7+$I$8)), H138+F139, 0)</f>
        <v>137991.00023896556</v>
      </c>
      <c r="I139" s="24">
        <f>IF(AND(C139&gt;='Amort. Sched.-BEST'!$I$8, C139&lt;= ($I$7+$I$8)), E139/D139, " ")</f>
        <v>0.68320673867230386</v>
      </c>
      <c r="J139" s="25">
        <f>IF(AND(C139&gt;='Amort. Sched.-BEST'!$I$8, C139&lt;= ($I$7+$I$8)), F139/D139, " ")</f>
        <v>0.31679326132769603</v>
      </c>
      <c r="L139" s="20">
        <f t="shared" si="17"/>
        <v>128</v>
      </c>
      <c r="M139" s="5">
        <f>IF(AND(L139&gt;='Amort. Sched.-BEST'!$R$8, L139&lt;= ($R$7+$R$8)), PMT('Amort. Sched.-BEST'!$N$8/12, 'Amort. Sched.-BEST'!$R$7, 'Amort. Sched.-BEST'!$N$7), 0)</f>
        <v>0</v>
      </c>
      <c r="N139" s="5">
        <f>IF(AND(L139&gt;='Amort. Sched.-BEST'!$R$8, L139&lt;= ($R$7+$R$8)), (IPMT($N$8/12, (L139-$R$8), $R$7, $N$7)), 0)</f>
        <v>0</v>
      </c>
      <c r="O139" s="5">
        <f>IF(AND(L139&gt;='Amort. Sched.-BEST'!$R$8, L139&lt;= ($R$7+$R$8)), (PPMT($N$8/12, (L139-$R$8), $R$7, $N$7)), 0)</f>
        <v>0</v>
      </c>
      <c r="P139" s="5">
        <f>IF(CreditAmort1BEST[[#This Row],[Month]]=R$8,N$7,0)</f>
        <v>0</v>
      </c>
      <c r="Q139" s="13">
        <f>IF(AND(L139&gt;='Amort. Sched.-BEST'!$R$8, L139&lt;= ($R$7+$R$8)), Q138+O139, 0)</f>
        <v>0</v>
      </c>
      <c r="R139" s="6" t="str">
        <f>IF(AND(L139&gt;='Amort. Sched.-BEST'!$R$8, L139&lt;= ($R$7+$R$8)), N139/M139, " ")</f>
        <v xml:space="preserve"> </v>
      </c>
      <c r="S139" s="21" t="str">
        <f>IF(AND(L139&gt;='Amort. Sched.-BEST'!$R$8, L139&lt;= ($R$7+$R$8)), O139/M139, " ")</f>
        <v xml:space="preserve"> </v>
      </c>
      <c r="U139" s="22">
        <f t="shared" si="19"/>
        <v>128</v>
      </c>
      <c r="V139" s="23">
        <f>IF(AND(U139&gt;='Amort. Sched.-BEST'!$AA$8, U139&lt;= ($AA$7+$AA$8)), PMT('Amort. Sched.-BEST'!$W$8/12, 'Amort. Sched.-BEST'!$AA$7, 'Amort. Sched.-BEST'!$W$7), 0)</f>
        <v>0</v>
      </c>
      <c r="W139" s="5">
        <f>IF(AND(U139&gt;='Amort. Sched.-BEST'!$AA$8, U139&lt;= ($AA$7+$AA$8)), (IPMT($W$8/12, (U139-$AA$8), $AA$7, $W$7)), 0)</f>
        <v>0</v>
      </c>
      <c r="X139" s="23">
        <f>IF(AND(U139&gt;='Amort. Sched.-BEST'!$AA$8, U139&lt;= ($AA$7+$AA$8)), (PPMT($W$8/12, (U139-$AA$8), $AA$7, $W$7)), 0)</f>
        <v>0</v>
      </c>
      <c r="Y139" s="5">
        <f>IF(CreditAmort2BEST[[#This Row],[Month]]=AA$8,W$7,0)</f>
        <v>0</v>
      </c>
      <c r="Z139" s="13">
        <f>IF(AND(U139&gt;='Amort. Sched.-BEST'!$AA$8, U139&lt;= ($AA$7+$AA$8)), Z138+X139, 0)</f>
        <v>0</v>
      </c>
      <c r="AA139" s="24" t="str">
        <f>IF(AND(U139&gt;='Amort. Sched.-BEST'!$AA$8, U139&lt;= ($AA$7+$AA$8)), W139/V139, " ")</f>
        <v xml:space="preserve"> </v>
      </c>
      <c r="AB139" s="25" t="str">
        <f>IF(AND(U139&gt;='Amort. Sched.-BEST'!$AA$8, U139&lt;= ($AA$7+$AA$8)), X139/V139, " ")</f>
        <v xml:space="preserve"> </v>
      </c>
      <c r="AD139" s="22">
        <f t="shared" si="20"/>
        <v>128</v>
      </c>
      <c r="AE139" s="5">
        <f t="shared" si="21"/>
        <v>0</v>
      </c>
      <c r="AF139" s="5">
        <f t="shared" si="22"/>
        <v>0</v>
      </c>
      <c r="AG139" s="5">
        <f t="shared" si="23"/>
        <v>0</v>
      </c>
      <c r="AH139" s="5">
        <f>IF(CreditAmort3BEST[[#This Row],[Month]]=AJ$8,AF$7,0)</f>
        <v>0</v>
      </c>
      <c r="AI139" s="13">
        <f t="shared" si="24"/>
        <v>0</v>
      </c>
      <c r="AJ139" s="6" t="str">
        <f t="shared" si="25"/>
        <v xml:space="preserve"> </v>
      </c>
      <c r="AK139" s="21" t="str">
        <f t="shared" si="26"/>
        <v xml:space="preserve"> </v>
      </c>
      <c r="AM139" s="20">
        <f t="shared" si="27"/>
        <v>128</v>
      </c>
      <c r="AN139" s="5">
        <f t="shared" si="28"/>
        <v>0</v>
      </c>
      <c r="AO139" s="5">
        <f t="shared" si="29"/>
        <v>0</v>
      </c>
      <c r="AP139" s="5">
        <f t="shared" si="30"/>
        <v>0</v>
      </c>
      <c r="AQ139" s="5">
        <f>IF(CreditAmort4BEST[[#This Row],[Month]]=AS$8,AO$7,0)</f>
        <v>0</v>
      </c>
      <c r="AR139" s="13">
        <f t="shared" si="31"/>
        <v>0</v>
      </c>
      <c r="AS139" s="6" t="str">
        <f t="shared" si="32"/>
        <v xml:space="preserve"> </v>
      </c>
      <c r="AT139" s="21" t="str">
        <f t="shared" si="33"/>
        <v xml:space="preserve"> </v>
      </c>
    </row>
    <row r="140" spans="3:46">
      <c r="C140" s="22">
        <f t="shared" si="18"/>
        <v>129</v>
      </c>
      <c r="D140" s="23">
        <f>IF(AND(C140&gt;='Amort. Sched.-BEST'!$I$8, C140&lt;= ($I$7+$I$8)), PMT('Amort. Sched.-BEST'!$E$8/12, 'Amort. Sched.-BEST'!$I$7, 'Amort. Sched.-BEST'!$E$7), 0)</f>
        <v>-1350.6783839027553</v>
      </c>
      <c r="E140" s="5">
        <f>IF(AND(C140&gt;='Amort. Sched.-BEST'!$I$8, C140&lt;= ($I$7+$I$8)), (IPMT($E$8/12, (C140-$I$8), $I$7, $E$7)), 0)</f>
        <v>-919.94000159310372</v>
      </c>
      <c r="F140" s="23">
        <f>IF(AND(C140&gt;='Amort. Sched.-BEST'!$I$8, C140&lt;= ($I$7+$I$8)), (PPMT($E$8/12, (C140-$I$8), $I$7, $E$7)), 0)</f>
        <v>-430.73838230965146</v>
      </c>
      <c r="G140" s="5">
        <f>IF(MortgageAmortBEST[[#This Row],[Month]]=I$8,E$7,0)</f>
        <v>0</v>
      </c>
      <c r="H140" s="13">
        <f>IF(AND(C140&gt;='Amort. Sched.-BEST'!$I$8, C140&lt;= ($I$7+$I$8)), H139+F140, 0)</f>
        <v>137560.26185665591</v>
      </c>
      <c r="I140" s="24">
        <f>IF(AND(C140&gt;='Amort. Sched.-BEST'!$I$8, C140&lt;= ($I$7+$I$8)), E140/D140, " ")</f>
        <v>0.68109478359678599</v>
      </c>
      <c r="J140" s="25">
        <f>IF(AND(C140&gt;='Amort. Sched.-BEST'!$I$8, C140&lt;= ($I$7+$I$8)), F140/D140, " ")</f>
        <v>0.31890521640321395</v>
      </c>
      <c r="L140" s="20">
        <f t="shared" ref="L140:L203" si="34">L139+1</f>
        <v>129</v>
      </c>
      <c r="M140" s="5">
        <f>IF(AND(L140&gt;='Amort. Sched.-BEST'!$R$8, L140&lt;= ($R$7+$R$8)), PMT('Amort. Sched.-BEST'!$N$8/12, 'Amort. Sched.-BEST'!$R$7, 'Amort. Sched.-BEST'!$N$7), 0)</f>
        <v>0</v>
      </c>
      <c r="N140" s="5">
        <f>IF(AND(L140&gt;='Amort. Sched.-BEST'!$R$8, L140&lt;= ($R$7+$R$8)), (IPMT($N$8/12, (L140-$R$8), $R$7, $N$7)), 0)</f>
        <v>0</v>
      </c>
      <c r="O140" s="5">
        <f>IF(AND(L140&gt;='Amort. Sched.-BEST'!$R$8, L140&lt;= ($R$7+$R$8)), (PPMT($N$8/12, (L140-$R$8), $R$7, $N$7)), 0)</f>
        <v>0</v>
      </c>
      <c r="P140" s="5">
        <f>IF(CreditAmort1BEST[[#This Row],[Month]]=R$8,N$7,0)</f>
        <v>0</v>
      </c>
      <c r="Q140" s="13">
        <f>IF(AND(L140&gt;='Amort. Sched.-BEST'!$R$8, L140&lt;= ($R$7+$R$8)), Q139+O140, 0)</f>
        <v>0</v>
      </c>
      <c r="R140" s="6" t="str">
        <f>IF(AND(L140&gt;='Amort. Sched.-BEST'!$R$8, L140&lt;= ($R$7+$R$8)), N140/M140, " ")</f>
        <v xml:space="preserve"> </v>
      </c>
      <c r="S140" s="21" t="str">
        <f>IF(AND(L140&gt;='Amort. Sched.-BEST'!$R$8, L140&lt;= ($R$7+$R$8)), O140/M140, " ")</f>
        <v xml:space="preserve"> </v>
      </c>
      <c r="U140" s="22">
        <f t="shared" si="19"/>
        <v>129</v>
      </c>
      <c r="V140" s="23">
        <f>IF(AND(U140&gt;='Amort. Sched.-BEST'!$AA$8, U140&lt;= ($AA$7+$AA$8)), PMT('Amort. Sched.-BEST'!$W$8/12, 'Amort. Sched.-BEST'!$AA$7, 'Amort. Sched.-BEST'!$W$7), 0)</f>
        <v>0</v>
      </c>
      <c r="W140" s="5">
        <f>IF(AND(U140&gt;='Amort. Sched.-BEST'!$AA$8, U140&lt;= ($AA$7+$AA$8)), (IPMT($W$8/12, (U140-$AA$8), $AA$7, $W$7)), 0)</f>
        <v>0</v>
      </c>
      <c r="X140" s="23">
        <f>IF(AND(U140&gt;='Amort. Sched.-BEST'!$AA$8, U140&lt;= ($AA$7+$AA$8)), (PPMT($W$8/12, (U140-$AA$8), $AA$7, $W$7)), 0)</f>
        <v>0</v>
      </c>
      <c r="Y140" s="5">
        <f>IF(CreditAmort2BEST[[#This Row],[Month]]=AA$8,W$7,0)</f>
        <v>0</v>
      </c>
      <c r="Z140" s="13">
        <f>IF(AND(U140&gt;='Amort. Sched.-BEST'!$AA$8, U140&lt;= ($AA$7+$AA$8)), Z139+X140, 0)</f>
        <v>0</v>
      </c>
      <c r="AA140" s="24" t="str">
        <f>IF(AND(U140&gt;='Amort. Sched.-BEST'!$AA$8, U140&lt;= ($AA$7+$AA$8)), W140/V140, " ")</f>
        <v xml:space="preserve"> </v>
      </c>
      <c r="AB140" s="25" t="str">
        <f>IF(AND(U140&gt;='Amort. Sched.-BEST'!$AA$8, U140&lt;= ($AA$7+$AA$8)), X140/V140, " ")</f>
        <v xml:space="preserve"> </v>
      </c>
      <c r="AD140" s="22">
        <f t="shared" si="20"/>
        <v>129</v>
      </c>
      <c r="AE140" s="5">
        <f t="shared" si="21"/>
        <v>0</v>
      </c>
      <c r="AF140" s="5">
        <f t="shared" si="22"/>
        <v>0</v>
      </c>
      <c r="AG140" s="5">
        <f t="shared" si="23"/>
        <v>0</v>
      </c>
      <c r="AH140" s="5">
        <f>IF(CreditAmort3BEST[[#This Row],[Month]]=AJ$8,AF$7,0)</f>
        <v>0</v>
      </c>
      <c r="AI140" s="13">
        <f t="shared" si="24"/>
        <v>0</v>
      </c>
      <c r="AJ140" s="6" t="str">
        <f t="shared" si="25"/>
        <v xml:space="preserve"> </v>
      </c>
      <c r="AK140" s="21" t="str">
        <f t="shared" si="26"/>
        <v xml:space="preserve"> </v>
      </c>
      <c r="AM140" s="20">
        <f t="shared" si="27"/>
        <v>129</v>
      </c>
      <c r="AN140" s="5">
        <f t="shared" si="28"/>
        <v>0</v>
      </c>
      <c r="AO140" s="5">
        <f t="shared" si="29"/>
        <v>0</v>
      </c>
      <c r="AP140" s="5">
        <f t="shared" si="30"/>
        <v>0</v>
      </c>
      <c r="AQ140" s="5">
        <f>IF(CreditAmort4BEST[[#This Row],[Month]]=AS$8,AO$7,0)</f>
        <v>0</v>
      </c>
      <c r="AR140" s="13">
        <f t="shared" si="31"/>
        <v>0</v>
      </c>
      <c r="AS140" s="6" t="str">
        <f t="shared" si="32"/>
        <v xml:space="preserve"> </v>
      </c>
      <c r="AT140" s="21" t="str">
        <f t="shared" si="33"/>
        <v xml:space="preserve"> </v>
      </c>
    </row>
    <row r="141" spans="3:46">
      <c r="C141" s="22">
        <f t="shared" ref="C141:C204" si="35">C140+1</f>
        <v>130</v>
      </c>
      <c r="D141" s="23">
        <f>IF(AND(C141&gt;='Amort. Sched.-BEST'!$I$8, C141&lt;= ($I$7+$I$8)), PMT('Amort. Sched.-BEST'!$E$8/12, 'Amort. Sched.-BEST'!$I$7, 'Amort. Sched.-BEST'!$E$7), 0)</f>
        <v>-1350.6783839027553</v>
      </c>
      <c r="E141" s="5">
        <f>IF(AND(C141&gt;='Amort. Sched.-BEST'!$I$8, C141&lt;= ($I$7+$I$8)), (IPMT($E$8/12, (C141-$I$8), $I$7, $E$7)), 0)</f>
        <v>-917.06841237770618</v>
      </c>
      <c r="F141" s="23">
        <f>IF(AND(C141&gt;='Amort. Sched.-BEST'!$I$8, C141&lt;= ($I$7+$I$8)), (PPMT($E$8/12, (C141-$I$8), $I$7, $E$7)), 0)</f>
        <v>-433.60997152504916</v>
      </c>
      <c r="G141" s="5">
        <f>IF(MortgageAmortBEST[[#This Row],[Month]]=I$8,E$7,0)</f>
        <v>0</v>
      </c>
      <c r="H141" s="13">
        <f>IF(AND(C141&gt;='Amort. Sched.-BEST'!$I$8, C141&lt;= ($I$7+$I$8)), H140+F141, 0)</f>
        <v>137126.65188513085</v>
      </c>
      <c r="I141" s="24">
        <f>IF(AND(C141&gt;='Amort. Sched.-BEST'!$I$8, C141&lt;= ($I$7+$I$8)), E141/D141, " ")</f>
        <v>0.67896874882076463</v>
      </c>
      <c r="J141" s="25">
        <f>IF(AND(C141&gt;='Amort. Sched.-BEST'!$I$8, C141&lt;= ($I$7+$I$8)), F141/D141, " ")</f>
        <v>0.32103125117923537</v>
      </c>
      <c r="L141" s="20">
        <f t="shared" si="34"/>
        <v>130</v>
      </c>
      <c r="M141" s="5">
        <f>IF(AND(L141&gt;='Amort. Sched.-BEST'!$R$8, L141&lt;= ($R$7+$R$8)), PMT('Amort. Sched.-BEST'!$N$8/12, 'Amort. Sched.-BEST'!$R$7, 'Amort. Sched.-BEST'!$N$7), 0)</f>
        <v>0</v>
      </c>
      <c r="N141" s="5">
        <f>IF(AND(L141&gt;='Amort. Sched.-BEST'!$R$8, L141&lt;= ($R$7+$R$8)), (IPMT($N$8/12, (L141-$R$8), $R$7, $N$7)), 0)</f>
        <v>0</v>
      </c>
      <c r="O141" s="5">
        <f>IF(AND(L141&gt;='Amort. Sched.-BEST'!$R$8, L141&lt;= ($R$7+$R$8)), (PPMT($N$8/12, (L141-$R$8), $R$7, $N$7)), 0)</f>
        <v>0</v>
      </c>
      <c r="P141" s="5">
        <f>IF(CreditAmort1BEST[[#This Row],[Month]]=R$8,N$7,0)</f>
        <v>0</v>
      </c>
      <c r="Q141" s="13">
        <f>IF(AND(L141&gt;='Amort. Sched.-BEST'!$R$8, L141&lt;= ($R$7+$R$8)), Q140+O141, 0)</f>
        <v>0</v>
      </c>
      <c r="R141" s="6" t="str">
        <f>IF(AND(L141&gt;='Amort. Sched.-BEST'!$R$8, L141&lt;= ($R$7+$R$8)), N141/M141, " ")</f>
        <v xml:space="preserve"> </v>
      </c>
      <c r="S141" s="21" t="str">
        <f>IF(AND(L141&gt;='Amort. Sched.-BEST'!$R$8, L141&lt;= ($R$7+$R$8)), O141/M141, " ")</f>
        <v xml:space="preserve"> </v>
      </c>
      <c r="U141" s="22">
        <f t="shared" ref="U141:U204" si="36">U140+1</f>
        <v>130</v>
      </c>
      <c r="V141" s="23">
        <f>IF(AND(U141&gt;='Amort. Sched.-BEST'!$AA$8, U141&lt;= ($AA$7+$AA$8)), PMT('Amort. Sched.-BEST'!$W$8/12, 'Amort. Sched.-BEST'!$AA$7, 'Amort. Sched.-BEST'!$W$7), 0)</f>
        <v>0</v>
      </c>
      <c r="W141" s="5">
        <f>IF(AND(U141&gt;='Amort. Sched.-BEST'!$AA$8, U141&lt;= ($AA$7+$AA$8)), (IPMT($W$8/12, (U141-$AA$8), $AA$7, $W$7)), 0)</f>
        <v>0</v>
      </c>
      <c r="X141" s="23">
        <f>IF(AND(U141&gt;='Amort. Sched.-BEST'!$AA$8, U141&lt;= ($AA$7+$AA$8)), (PPMT($W$8/12, (U141-$AA$8), $AA$7, $W$7)), 0)</f>
        <v>0</v>
      </c>
      <c r="Y141" s="5">
        <f>IF(CreditAmort2BEST[[#This Row],[Month]]=AA$8,W$7,0)</f>
        <v>0</v>
      </c>
      <c r="Z141" s="13">
        <f>IF(AND(U141&gt;='Amort. Sched.-BEST'!$AA$8, U141&lt;= ($AA$7+$AA$8)), Z140+X141, 0)</f>
        <v>0</v>
      </c>
      <c r="AA141" s="24" t="str">
        <f>IF(AND(U141&gt;='Amort. Sched.-BEST'!$AA$8, U141&lt;= ($AA$7+$AA$8)), W141/V141, " ")</f>
        <v xml:space="preserve"> </v>
      </c>
      <c r="AB141" s="25" t="str">
        <f>IF(AND(U141&gt;='Amort. Sched.-BEST'!$AA$8, U141&lt;= ($AA$7+$AA$8)), X141/V141, " ")</f>
        <v xml:space="preserve"> </v>
      </c>
      <c r="AD141" s="22">
        <f t="shared" ref="AD141:AD204" si="37">AD140+1</f>
        <v>130</v>
      </c>
      <c r="AE141" s="5">
        <f t="shared" ref="AE141:AE204" si="38">IF(AND(AD141&gt;=$AJ$8, AD141&lt;= ($AJ$7+$AJ$8)), PMT($AF$8/12, $AJ$7, $AF$7), 0)</f>
        <v>0</v>
      </c>
      <c r="AF141" s="5">
        <f t="shared" ref="AF141:AF204" si="39">IF(AND(AD141&gt;=$AJ$8, AD141&lt;= ($AJ$7+$AJ$8)), (IPMT($AF$8/12, (AD141-$AJ$8), $AJ$7, $AF$7)), 0)</f>
        <v>0</v>
      </c>
      <c r="AG141" s="5">
        <f t="shared" ref="AG141:AG204" si="40">IF(AND(AD141&gt;=$AJ$8, AD141&lt;= ($AJ$7+$AJ$8)), (PPMT($AF$8/12, (AD141-$AJ$8), $AJ$7, $AF$7)), 0)</f>
        <v>0</v>
      </c>
      <c r="AH141" s="5">
        <f>IF(CreditAmort3BEST[[#This Row],[Month]]=AJ$8,AF$7,0)</f>
        <v>0</v>
      </c>
      <c r="AI141" s="13">
        <f t="shared" ref="AI141:AI204" si="41">IF(AND(AD141&gt;=$AJ$8, AD141&lt;= ($AJ$7+$AJ$8)), AI140+AG141, 0)</f>
        <v>0</v>
      </c>
      <c r="AJ141" s="6" t="str">
        <f t="shared" ref="AJ141:AJ204" si="42">IF(AND(AD141&gt;=$AJ$8, AD141&lt;= ($AJ$7+$AJ$8)), AF141/AE141, " ")</f>
        <v xml:space="preserve"> </v>
      </c>
      <c r="AK141" s="21" t="str">
        <f t="shared" ref="AK141:AK204" si="43">IF(AND(AD141&gt;=$AJ$8, AD141&lt;= ($AJ$7+$AJ$8)), AG141/AE141, " ")</f>
        <v xml:space="preserve"> </v>
      </c>
      <c r="AM141" s="20">
        <f t="shared" ref="AM141:AM204" si="44">AM140+1</f>
        <v>130</v>
      </c>
      <c r="AN141" s="5">
        <f t="shared" ref="AN141:AN204" si="45">IF(AND(AM141&gt;=$AS$8, AM141&lt;= ($AS$7+$AS$8)), PMT($AO$8/12, $AS$7, $AO$7), 0)</f>
        <v>0</v>
      </c>
      <c r="AO141" s="5">
        <f t="shared" ref="AO141:AO204" si="46">IF(AND(AM141&gt;=$AS$8, AM141&lt;= ($AS$7+$AS$8)), (IPMT($AO$8/12, (AM141-$AS$8), $AS$7, $AO$7)), 0)</f>
        <v>0</v>
      </c>
      <c r="AP141" s="5">
        <f t="shared" ref="AP141:AP204" si="47">IF(AND(AM141&gt;=$AS$8, AM141&lt;= ($AS$7+$AS$8)), (PPMT($AO$8/12, (AM141-$AS$8), $AS$7, $AO$7)), 0)</f>
        <v>0</v>
      </c>
      <c r="AQ141" s="5">
        <f>IF(CreditAmort4BEST[[#This Row],[Month]]=AS$8,AO$7,0)</f>
        <v>0</v>
      </c>
      <c r="AR141" s="13">
        <f t="shared" ref="AR141:AR204" si="48">IF(AND(AM141&gt;=$AS$8, AM141&lt;= ($AS$7+$AS$8)), AR140+AP141, 0)</f>
        <v>0</v>
      </c>
      <c r="AS141" s="6" t="str">
        <f t="shared" ref="AS141:AS204" si="49">IF(AND(AM141&gt;=$AS$8, AM141&lt;= ($AS$7+$AS$8)), AO141/AN141, " ")</f>
        <v xml:space="preserve"> </v>
      </c>
      <c r="AT141" s="21" t="str">
        <f t="shared" ref="AT141:AT204" si="50">IF(AND(AM141&gt;=$AS$8, AM141&lt;= ($AS$7+$AS$8)), AP141/AN141, " ")</f>
        <v xml:space="preserve"> </v>
      </c>
    </row>
    <row r="142" spans="3:46">
      <c r="C142" s="22">
        <f t="shared" si="35"/>
        <v>131</v>
      </c>
      <c r="D142" s="23">
        <f>IF(AND(C142&gt;='Amort. Sched.-BEST'!$I$8, C142&lt;= ($I$7+$I$8)), PMT('Amort. Sched.-BEST'!$E$8/12, 'Amort. Sched.-BEST'!$I$7, 'Amort. Sched.-BEST'!$E$7), 0)</f>
        <v>-1350.6783839027553</v>
      </c>
      <c r="E142" s="5">
        <f>IF(AND(C142&gt;='Amort. Sched.-BEST'!$I$8, C142&lt;= ($I$7+$I$8)), (IPMT($E$8/12, (C142-$I$8), $I$7, $E$7)), 0)</f>
        <v>-914.17767923420593</v>
      </c>
      <c r="F142" s="23">
        <f>IF(AND(C142&gt;='Amort. Sched.-BEST'!$I$8, C142&lt;= ($I$7+$I$8)), (PPMT($E$8/12, (C142-$I$8), $I$7, $E$7)), 0)</f>
        <v>-436.50070466854942</v>
      </c>
      <c r="G142" s="5">
        <f>IF(MortgageAmortBEST[[#This Row],[Month]]=I$8,E$7,0)</f>
        <v>0</v>
      </c>
      <c r="H142" s="13">
        <f>IF(AND(C142&gt;='Amort. Sched.-BEST'!$I$8, C142&lt;= ($I$7+$I$8)), H141+F142, 0)</f>
        <v>136690.1511804623</v>
      </c>
      <c r="I142" s="24">
        <f>IF(AND(C142&gt;='Amort. Sched.-BEST'!$I$8, C142&lt;= ($I$7+$I$8)), E142/D142, " ")</f>
        <v>0.67682854047956975</v>
      </c>
      <c r="J142" s="25">
        <f>IF(AND(C142&gt;='Amort. Sched.-BEST'!$I$8, C142&lt;= ($I$7+$I$8)), F142/D142, " ")</f>
        <v>0.32317145952043025</v>
      </c>
      <c r="L142" s="20">
        <f t="shared" si="34"/>
        <v>131</v>
      </c>
      <c r="M142" s="5">
        <f>IF(AND(L142&gt;='Amort. Sched.-BEST'!$R$8, L142&lt;= ($R$7+$R$8)), PMT('Amort. Sched.-BEST'!$N$8/12, 'Amort. Sched.-BEST'!$R$7, 'Amort. Sched.-BEST'!$N$7), 0)</f>
        <v>0</v>
      </c>
      <c r="N142" s="5">
        <f>IF(AND(L142&gt;='Amort. Sched.-BEST'!$R$8, L142&lt;= ($R$7+$R$8)), (IPMT($N$8/12, (L142-$R$8), $R$7, $N$7)), 0)</f>
        <v>0</v>
      </c>
      <c r="O142" s="5">
        <f>IF(AND(L142&gt;='Amort. Sched.-BEST'!$R$8, L142&lt;= ($R$7+$R$8)), (PPMT($N$8/12, (L142-$R$8), $R$7, $N$7)), 0)</f>
        <v>0</v>
      </c>
      <c r="P142" s="5">
        <f>IF(CreditAmort1BEST[[#This Row],[Month]]=R$8,N$7,0)</f>
        <v>0</v>
      </c>
      <c r="Q142" s="13">
        <f>IF(AND(L142&gt;='Amort. Sched.-BEST'!$R$8, L142&lt;= ($R$7+$R$8)), Q141+O142, 0)</f>
        <v>0</v>
      </c>
      <c r="R142" s="6" t="str">
        <f>IF(AND(L142&gt;='Amort. Sched.-BEST'!$R$8, L142&lt;= ($R$7+$R$8)), N142/M142, " ")</f>
        <v xml:space="preserve"> </v>
      </c>
      <c r="S142" s="21" t="str">
        <f>IF(AND(L142&gt;='Amort. Sched.-BEST'!$R$8, L142&lt;= ($R$7+$R$8)), O142/M142, " ")</f>
        <v xml:space="preserve"> </v>
      </c>
      <c r="U142" s="22">
        <f t="shared" si="36"/>
        <v>131</v>
      </c>
      <c r="V142" s="23">
        <f>IF(AND(U142&gt;='Amort. Sched.-BEST'!$AA$8, U142&lt;= ($AA$7+$AA$8)), PMT('Amort. Sched.-BEST'!$W$8/12, 'Amort. Sched.-BEST'!$AA$7, 'Amort. Sched.-BEST'!$W$7), 0)</f>
        <v>0</v>
      </c>
      <c r="W142" s="5">
        <f>IF(AND(U142&gt;='Amort. Sched.-BEST'!$AA$8, U142&lt;= ($AA$7+$AA$8)), (IPMT($W$8/12, (U142-$AA$8), $AA$7, $W$7)), 0)</f>
        <v>0</v>
      </c>
      <c r="X142" s="23">
        <f>IF(AND(U142&gt;='Amort. Sched.-BEST'!$AA$8, U142&lt;= ($AA$7+$AA$8)), (PPMT($W$8/12, (U142-$AA$8), $AA$7, $W$7)), 0)</f>
        <v>0</v>
      </c>
      <c r="Y142" s="5">
        <f>IF(CreditAmort2BEST[[#This Row],[Month]]=AA$8,W$7,0)</f>
        <v>0</v>
      </c>
      <c r="Z142" s="13">
        <f>IF(AND(U142&gt;='Amort. Sched.-BEST'!$AA$8, U142&lt;= ($AA$7+$AA$8)), Z141+X142, 0)</f>
        <v>0</v>
      </c>
      <c r="AA142" s="24" t="str">
        <f>IF(AND(U142&gt;='Amort. Sched.-BEST'!$AA$8, U142&lt;= ($AA$7+$AA$8)), W142/V142, " ")</f>
        <v xml:space="preserve"> </v>
      </c>
      <c r="AB142" s="25" t="str">
        <f>IF(AND(U142&gt;='Amort. Sched.-BEST'!$AA$8, U142&lt;= ($AA$7+$AA$8)), X142/V142, " ")</f>
        <v xml:space="preserve"> </v>
      </c>
      <c r="AD142" s="22">
        <f t="shared" si="37"/>
        <v>131</v>
      </c>
      <c r="AE142" s="5">
        <f t="shared" si="38"/>
        <v>0</v>
      </c>
      <c r="AF142" s="5">
        <f t="shared" si="39"/>
        <v>0</v>
      </c>
      <c r="AG142" s="5">
        <f t="shared" si="40"/>
        <v>0</v>
      </c>
      <c r="AH142" s="5">
        <f>IF(CreditAmort3BEST[[#This Row],[Month]]=AJ$8,AF$7,0)</f>
        <v>0</v>
      </c>
      <c r="AI142" s="13">
        <f t="shared" si="41"/>
        <v>0</v>
      </c>
      <c r="AJ142" s="6" t="str">
        <f t="shared" si="42"/>
        <v xml:space="preserve"> </v>
      </c>
      <c r="AK142" s="21" t="str">
        <f t="shared" si="43"/>
        <v xml:space="preserve"> </v>
      </c>
      <c r="AM142" s="20">
        <f t="shared" si="44"/>
        <v>131</v>
      </c>
      <c r="AN142" s="5">
        <f t="shared" si="45"/>
        <v>0</v>
      </c>
      <c r="AO142" s="5">
        <f t="shared" si="46"/>
        <v>0</v>
      </c>
      <c r="AP142" s="5">
        <f t="shared" si="47"/>
        <v>0</v>
      </c>
      <c r="AQ142" s="5">
        <f>IF(CreditAmort4BEST[[#This Row],[Month]]=AS$8,AO$7,0)</f>
        <v>0</v>
      </c>
      <c r="AR142" s="13">
        <f t="shared" si="48"/>
        <v>0</v>
      </c>
      <c r="AS142" s="6" t="str">
        <f t="shared" si="49"/>
        <v xml:space="preserve"> </v>
      </c>
      <c r="AT142" s="21" t="str">
        <f t="shared" si="50"/>
        <v xml:space="preserve"> </v>
      </c>
    </row>
    <row r="143" spans="3:46">
      <c r="C143" s="22">
        <f t="shared" si="35"/>
        <v>132</v>
      </c>
      <c r="D143" s="23">
        <f>IF(AND(C143&gt;='Amort. Sched.-BEST'!$I$8, C143&lt;= ($I$7+$I$8)), PMT('Amort. Sched.-BEST'!$E$8/12, 'Amort. Sched.-BEST'!$I$7, 'Amort. Sched.-BEST'!$E$7), 0)</f>
        <v>-1350.6783839027553</v>
      </c>
      <c r="E143" s="5">
        <f>IF(AND(C143&gt;='Amort. Sched.-BEST'!$I$8, C143&lt;= ($I$7+$I$8)), (IPMT($E$8/12, (C143-$I$8), $I$7, $E$7)), 0)</f>
        <v>-911.2676745364156</v>
      </c>
      <c r="F143" s="23">
        <f>IF(AND(C143&gt;='Amort. Sched.-BEST'!$I$8, C143&lt;= ($I$7+$I$8)), (PPMT($E$8/12, (C143-$I$8), $I$7, $E$7)), 0)</f>
        <v>-439.41070936633986</v>
      </c>
      <c r="G143" s="5">
        <f>IF(MortgageAmortBEST[[#This Row],[Month]]=I$8,E$7,0)</f>
        <v>0</v>
      </c>
      <c r="H143" s="13">
        <f>IF(AND(C143&gt;='Amort. Sched.-BEST'!$I$8, C143&lt;= ($I$7+$I$8)), H142+F143, 0)</f>
        <v>136250.74047109595</v>
      </c>
      <c r="I143" s="24">
        <f>IF(AND(C143&gt;='Amort. Sched.-BEST'!$I$8, C143&lt;= ($I$7+$I$8)), E143/D143, " ")</f>
        <v>0.67467406408276698</v>
      </c>
      <c r="J143" s="25">
        <f>IF(AND(C143&gt;='Amort. Sched.-BEST'!$I$8, C143&lt;= ($I$7+$I$8)), F143/D143, " ")</f>
        <v>0.32532593591723319</v>
      </c>
      <c r="L143" s="20">
        <f t="shared" si="34"/>
        <v>132</v>
      </c>
      <c r="M143" s="5">
        <f>IF(AND(L143&gt;='Amort. Sched.-BEST'!$R$8, L143&lt;= ($R$7+$R$8)), PMT('Amort. Sched.-BEST'!$N$8/12, 'Amort. Sched.-BEST'!$R$7, 'Amort. Sched.-BEST'!$N$7), 0)</f>
        <v>0</v>
      </c>
      <c r="N143" s="5">
        <f>IF(AND(L143&gt;='Amort. Sched.-BEST'!$R$8, L143&lt;= ($R$7+$R$8)), (IPMT($N$8/12, (L143-$R$8), $R$7, $N$7)), 0)</f>
        <v>0</v>
      </c>
      <c r="O143" s="5">
        <f>IF(AND(L143&gt;='Amort. Sched.-BEST'!$R$8, L143&lt;= ($R$7+$R$8)), (PPMT($N$8/12, (L143-$R$8), $R$7, $N$7)), 0)</f>
        <v>0</v>
      </c>
      <c r="P143" s="5">
        <f>IF(CreditAmort1BEST[[#This Row],[Month]]=R$8,N$7,0)</f>
        <v>0</v>
      </c>
      <c r="Q143" s="13">
        <f>IF(AND(L143&gt;='Amort. Sched.-BEST'!$R$8, L143&lt;= ($R$7+$R$8)), Q142+O143, 0)</f>
        <v>0</v>
      </c>
      <c r="R143" s="6" t="str">
        <f>IF(AND(L143&gt;='Amort. Sched.-BEST'!$R$8, L143&lt;= ($R$7+$R$8)), N143/M143, " ")</f>
        <v xml:space="preserve"> </v>
      </c>
      <c r="S143" s="21" t="str">
        <f>IF(AND(L143&gt;='Amort. Sched.-BEST'!$R$8, L143&lt;= ($R$7+$R$8)), O143/M143, " ")</f>
        <v xml:space="preserve"> </v>
      </c>
      <c r="U143" s="22">
        <f t="shared" si="36"/>
        <v>132</v>
      </c>
      <c r="V143" s="23">
        <f>IF(AND(U143&gt;='Amort. Sched.-BEST'!$AA$8, U143&lt;= ($AA$7+$AA$8)), PMT('Amort. Sched.-BEST'!$W$8/12, 'Amort. Sched.-BEST'!$AA$7, 'Amort. Sched.-BEST'!$W$7), 0)</f>
        <v>0</v>
      </c>
      <c r="W143" s="5">
        <f>IF(AND(U143&gt;='Amort. Sched.-BEST'!$AA$8, U143&lt;= ($AA$7+$AA$8)), (IPMT($W$8/12, (U143-$AA$8), $AA$7, $W$7)), 0)</f>
        <v>0</v>
      </c>
      <c r="X143" s="23">
        <f>IF(AND(U143&gt;='Amort. Sched.-BEST'!$AA$8, U143&lt;= ($AA$7+$AA$8)), (PPMT($W$8/12, (U143-$AA$8), $AA$7, $W$7)), 0)</f>
        <v>0</v>
      </c>
      <c r="Y143" s="5">
        <f>IF(CreditAmort2BEST[[#This Row],[Month]]=AA$8,W$7,0)</f>
        <v>0</v>
      </c>
      <c r="Z143" s="13">
        <f>IF(AND(U143&gt;='Amort. Sched.-BEST'!$AA$8, U143&lt;= ($AA$7+$AA$8)), Z142+X143, 0)</f>
        <v>0</v>
      </c>
      <c r="AA143" s="24" t="str">
        <f>IF(AND(U143&gt;='Amort. Sched.-BEST'!$AA$8, U143&lt;= ($AA$7+$AA$8)), W143/V143, " ")</f>
        <v xml:space="preserve"> </v>
      </c>
      <c r="AB143" s="25" t="str">
        <f>IF(AND(U143&gt;='Amort. Sched.-BEST'!$AA$8, U143&lt;= ($AA$7+$AA$8)), X143/V143, " ")</f>
        <v xml:space="preserve"> </v>
      </c>
      <c r="AD143" s="22">
        <f t="shared" si="37"/>
        <v>132</v>
      </c>
      <c r="AE143" s="5">
        <f t="shared" si="38"/>
        <v>0</v>
      </c>
      <c r="AF143" s="5">
        <f t="shared" si="39"/>
        <v>0</v>
      </c>
      <c r="AG143" s="5">
        <f t="shared" si="40"/>
        <v>0</v>
      </c>
      <c r="AH143" s="5">
        <f>IF(CreditAmort3BEST[[#This Row],[Month]]=AJ$8,AF$7,0)</f>
        <v>0</v>
      </c>
      <c r="AI143" s="13">
        <f t="shared" si="41"/>
        <v>0</v>
      </c>
      <c r="AJ143" s="6" t="str">
        <f t="shared" si="42"/>
        <v xml:space="preserve"> </v>
      </c>
      <c r="AK143" s="21" t="str">
        <f t="shared" si="43"/>
        <v xml:space="preserve"> </v>
      </c>
      <c r="AM143" s="20">
        <f t="shared" si="44"/>
        <v>132</v>
      </c>
      <c r="AN143" s="5">
        <f t="shared" si="45"/>
        <v>0</v>
      </c>
      <c r="AO143" s="5">
        <f t="shared" si="46"/>
        <v>0</v>
      </c>
      <c r="AP143" s="5">
        <f t="shared" si="47"/>
        <v>0</v>
      </c>
      <c r="AQ143" s="5">
        <f>IF(CreditAmort4BEST[[#This Row],[Month]]=AS$8,AO$7,0)</f>
        <v>0</v>
      </c>
      <c r="AR143" s="13">
        <f t="shared" si="48"/>
        <v>0</v>
      </c>
      <c r="AS143" s="6" t="str">
        <f t="shared" si="49"/>
        <v xml:space="preserve"> </v>
      </c>
      <c r="AT143" s="21" t="str">
        <f t="shared" si="50"/>
        <v xml:space="preserve"> </v>
      </c>
    </row>
    <row r="144" spans="3:46">
      <c r="C144" s="22">
        <f t="shared" si="35"/>
        <v>133</v>
      </c>
      <c r="D144" s="23">
        <f>IF(AND(C144&gt;='Amort. Sched.-BEST'!$I$8, C144&lt;= ($I$7+$I$8)), PMT('Amort. Sched.-BEST'!$E$8/12, 'Amort. Sched.-BEST'!$I$7, 'Amort. Sched.-BEST'!$E$7), 0)</f>
        <v>-1350.6783839027553</v>
      </c>
      <c r="E144" s="5">
        <f>IF(AND(C144&gt;='Amort. Sched.-BEST'!$I$8, C144&lt;= ($I$7+$I$8)), (IPMT($E$8/12, (C144-$I$8), $I$7, $E$7)), 0)</f>
        <v>-908.33826980730657</v>
      </c>
      <c r="F144" s="23">
        <f>IF(AND(C144&gt;='Amort. Sched.-BEST'!$I$8, C144&lt;= ($I$7+$I$8)), (PPMT($E$8/12, (C144-$I$8), $I$7, $E$7)), 0)</f>
        <v>-442.34011409544871</v>
      </c>
      <c r="G144" s="5">
        <f>IF(MortgageAmortBEST[[#This Row],[Month]]=I$8,E$7,0)</f>
        <v>0</v>
      </c>
      <c r="H144" s="13">
        <f>IF(AND(C144&gt;='Amort. Sched.-BEST'!$I$8, C144&lt;= ($I$7+$I$8)), H143+F144, 0)</f>
        <v>135808.4003570005</v>
      </c>
      <c r="I144" s="24">
        <f>IF(AND(C144&gt;='Amort. Sched.-BEST'!$I$8, C144&lt;= ($I$7+$I$8)), E144/D144, " ")</f>
        <v>0.67250522450998529</v>
      </c>
      <c r="J144" s="25">
        <f>IF(AND(C144&gt;='Amort. Sched.-BEST'!$I$8, C144&lt;= ($I$7+$I$8)), F144/D144, " ")</f>
        <v>0.32749477549001471</v>
      </c>
      <c r="L144" s="20">
        <f t="shared" si="34"/>
        <v>133</v>
      </c>
      <c r="M144" s="5">
        <f>IF(AND(L144&gt;='Amort. Sched.-BEST'!$R$8, L144&lt;= ($R$7+$R$8)), PMT('Amort. Sched.-BEST'!$N$8/12, 'Amort. Sched.-BEST'!$R$7, 'Amort. Sched.-BEST'!$N$7), 0)</f>
        <v>0</v>
      </c>
      <c r="N144" s="5">
        <f>IF(AND(L144&gt;='Amort. Sched.-BEST'!$R$8, L144&lt;= ($R$7+$R$8)), (IPMT($N$8/12, (L144-$R$8), $R$7, $N$7)), 0)</f>
        <v>0</v>
      </c>
      <c r="O144" s="5">
        <f>IF(AND(L144&gt;='Amort. Sched.-BEST'!$R$8, L144&lt;= ($R$7+$R$8)), (PPMT($N$8/12, (L144-$R$8), $R$7, $N$7)), 0)</f>
        <v>0</v>
      </c>
      <c r="P144" s="5">
        <f>IF(CreditAmort1BEST[[#This Row],[Month]]=R$8,N$7,0)</f>
        <v>0</v>
      </c>
      <c r="Q144" s="13">
        <f>IF(AND(L144&gt;='Amort. Sched.-BEST'!$R$8, L144&lt;= ($R$7+$R$8)), Q143+O144, 0)</f>
        <v>0</v>
      </c>
      <c r="R144" s="6" t="str">
        <f>IF(AND(L144&gt;='Amort. Sched.-BEST'!$R$8, L144&lt;= ($R$7+$R$8)), N144/M144, " ")</f>
        <v xml:space="preserve"> </v>
      </c>
      <c r="S144" s="21" t="str">
        <f>IF(AND(L144&gt;='Amort. Sched.-BEST'!$R$8, L144&lt;= ($R$7+$R$8)), O144/M144, " ")</f>
        <v xml:space="preserve"> </v>
      </c>
      <c r="U144" s="22">
        <f t="shared" si="36"/>
        <v>133</v>
      </c>
      <c r="V144" s="23">
        <f>IF(AND(U144&gt;='Amort. Sched.-BEST'!$AA$8, U144&lt;= ($AA$7+$AA$8)), PMT('Amort. Sched.-BEST'!$W$8/12, 'Amort. Sched.-BEST'!$AA$7, 'Amort. Sched.-BEST'!$W$7), 0)</f>
        <v>0</v>
      </c>
      <c r="W144" s="5">
        <f>IF(AND(U144&gt;='Amort. Sched.-BEST'!$AA$8, U144&lt;= ($AA$7+$AA$8)), (IPMT($W$8/12, (U144-$AA$8), $AA$7, $W$7)), 0)</f>
        <v>0</v>
      </c>
      <c r="X144" s="23">
        <f>IF(AND(U144&gt;='Amort. Sched.-BEST'!$AA$8, U144&lt;= ($AA$7+$AA$8)), (PPMT($W$8/12, (U144-$AA$8), $AA$7, $W$7)), 0)</f>
        <v>0</v>
      </c>
      <c r="Y144" s="5">
        <f>IF(CreditAmort2BEST[[#This Row],[Month]]=AA$8,W$7,0)</f>
        <v>0</v>
      </c>
      <c r="Z144" s="13">
        <f>IF(AND(U144&gt;='Amort. Sched.-BEST'!$AA$8, U144&lt;= ($AA$7+$AA$8)), Z143+X144, 0)</f>
        <v>0</v>
      </c>
      <c r="AA144" s="24" t="str">
        <f>IF(AND(U144&gt;='Amort. Sched.-BEST'!$AA$8, U144&lt;= ($AA$7+$AA$8)), W144/V144, " ")</f>
        <v xml:space="preserve"> </v>
      </c>
      <c r="AB144" s="25" t="str">
        <f>IF(AND(U144&gt;='Amort. Sched.-BEST'!$AA$8, U144&lt;= ($AA$7+$AA$8)), X144/V144, " ")</f>
        <v xml:space="preserve"> </v>
      </c>
      <c r="AD144" s="22">
        <f t="shared" si="37"/>
        <v>133</v>
      </c>
      <c r="AE144" s="5">
        <f t="shared" si="38"/>
        <v>0</v>
      </c>
      <c r="AF144" s="5">
        <f t="shared" si="39"/>
        <v>0</v>
      </c>
      <c r="AG144" s="5">
        <f t="shared" si="40"/>
        <v>0</v>
      </c>
      <c r="AH144" s="5">
        <f>IF(CreditAmort3BEST[[#This Row],[Month]]=AJ$8,AF$7,0)</f>
        <v>0</v>
      </c>
      <c r="AI144" s="13">
        <f t="shared" si="41"/>
        <v>0</v>
      </c>
      <c r="AJ144" s="6" t="str">
        <f t="shared" si="42"/>
        <v xml:space="preserve"> </v>
      </c>
      <c r="AK144" s="21" t="str">
        <f t="shared" si="43"/>
        <v xml:space="preserve"> </v>
      </c>
      <c r="AM144" s="20">
        <f t="shared" si="44"/>
        <v>133</v>
      </c>
      <c r="AN144" s="5">
        <f t="shared" si="45"/>
        <v>0</v>
      </c>
      <c r="AO144" s="5">
        <f t="shared" si="46"/>
        <v>0</v>
      </c>
      <c r="AP144" s="5">
        <f t="shared" si="47"/>
        <v>0</v>
      </c>
      <c r="AQ144" s="5">
        <f>IF(CreditAmort4BEST[[#This Row],[Month]]=AS$8,AO$7,0)</f>
        <v>0</v>
      </c>
      <c r="AR144" s="13">
        <f t="shared" si="48"/>
        <v>0</v>
      </c>
      <c r="AS144" s="6" t="str">
        <f t="shared" si="49"/>
        <v xml:space="preserve"> </v>
      </c>
      <c r="AT144" s="21" t="str">
        <f t="shared" si="50"/>
        <v xml:space="preserve"> </v>
      </c>
    </row>
    <row r="145" spans="3:46">
      <c r="C145" s="22">
        <f t="shared" si="35"/>
        <v>134</v>
      </c>
      <c r="D145" s="23">
        <f>IF(AND(C145&gt;='Amort. Sched.-BEST'!$I$8, C145&lt;= ($I$7+$I$8)), PMT('Amort. Sched.-BEST'!$E$8/12, 'Amort. Sched.-BEST'!$I$7, 'Amort. Sched.-BEST'!$E$7), 0)</f>
        <v>-1350.6783839027553</v>
      </c>
      <c r="E145" s="5">
        <f>IF(AND(C145&gt;='Amort. Sched.-BEST'!$I$8, C145&lt;= ($I$7+$I$8)), (IPMT($E$8/12, (C145-$I$8), $I$7, $E$7)), 0)</f>
        <v>-905.38933571333689</v>
      </c>
      <c r="F145" s="23">
        <f>IF(AND(C145&gt;='Amort. Sched.-BEST'!$I$8, C145&lt;= ($I$7+$I$8)), (PPMT($E$8/12, (C145-$I$8), $I$7, $E$7)), 0)</f>
        <v>-445.28904818941839</v>
      </c>
      <c r="G145" s="5">
        <f>IF(MortgageAmortBEST[[#This Row],[Month]]=I$8,E$7,0)</f>
        <v>0</v>
      </c>
      <c r="H145" s="13">
        <f>IF(AND(C145&gt;='Amort. Sched.-BEST'!$I$8, C145&lt;= ($I$7+$I$8)), H144+F145, 0)</f>
        <v>135363.11130881109</v>
      </c>
      <c r="I145" s="24">
        <f>IF(AND(C145&gt;='Amort. Sched.-BEST'!$I$8, C145&lt;= ($I$7+$I$8)), E145/D145, " ")</f>
        <v>0.67032192600671858</v>
      </c>
      <c r="J145" s="25">
        <f>IF(AND(C145&gt;='Amort. Sched.-BEST'!$I$8, C145&lt;= ($I$7+$I$8)), F145/D145, " ")</f>
        <v>0.32967807399328147</v>
      </c>
      <c r="L145" s="20">
        <f t="shared" si="34"/>
        <v>134</v>
      </c>
      <c r="M145" s="5">
        <f>IF(AND(L145&gt;='Amort. Sched.-BEST'!$R$8, L145&lt;= ($R$7+$R$8)), PMT('Amort. Sched.-BEST'!$N$8/12, 'Amort. Sched.-BEST'!$R$7, 'Amort. Sched.-BEST'!$N$7), 0)</f>
        <v>0</v>
      </c>
      <c r="N145" s="5">
        <f>IF(AND(L145&gt;='Amort. Sched.-BEST'!$R$8, L145&lt;= ($R$7+$R$8)), (IPMT($N$8/12, (L145-$R$8), $R$7, $N$7)), 0)</f>
        <v>0</v>
      </c>
      <c r="O145" s="5">
        <f>IF(AND(L145&gt;='Amort. Sched.-BEST'!$R$8, L145&lt;= ($R$7+$R$8)), (PPMT($N$8/12, (L145-$R$8), $R$7, $N$7)), 0)</f>
        <v>0</v>
      </c>
      <c r="P145" s="5">
        <f>IF(CreditAmort1BEST[[#This Row],[Month]]=R$8,N$7,0)</f>
        <v>0</v>
      </c>
      <c r="Q145" s="13">
        <f>IF(AND(L145&gt;='Amort. Sched.-BEST'!$R$8, L145&lt;= ($R$7+$R$8)), Q144+O145, 0)</f>
        <v>0</v>
      </c>
      <c r="R145" s="6" t="str">
        <f>IF(AND(L145&gt;='Amort. Sched.-BEST'!$R$8, L145&lt;= ($R$7+$R$8)), N145/M145, " ")</f>
        <v xml:space="preserve"> </v>
      </c>
      <c r="S145" s="21" t="str">
        <f>IF(AND(L145&gt;='Amort. Sched.-BEST'!$R$8, L145&lt;= ($R$7+$R$8)), O145/M145, " ")</f>
        <v xml:space="preserve"> </v>
      </c>
      <c r="U145" s="22">
        <f t="shared" si="36"/>
        <v>134</v>
      </c>
      <c r="V145" s="23">
        <f>IF(AND(U145&gt;='Amort. Sched.-BEST'!$AA$8, U145&lt;= ($AA$7+$AA$8)), PMT('Amort. Sched.-BEST'!$W$8/12, 'Amort. Sched.-BEST'!$AA$7, 'Amort. Sched.-BEST'!$W$7), 0)</f>
        <v>0</v>
      </c>
      <c r="W145" s="5">
        <f>IF(AND(U145&gt;='Amort. Sched.-BEST'!$AA$8, U145&lt;= ($AA$7+$AA$8)), (IPMT($W$8/12, (U145-$AA$8), $AA$7, $W$7)), 0)</f>
        <v>0</v>
      </c>
      <c r="X145" s="23">
        <f>IF(AND(U145&gt;='Amort. Sched.-BEST'!$AA$8, U145&lt;= ($AA$7+$AA$8)), (PPMT($W$8/12, (U145-$AA$8), $AA$7, $W$7)), 0)</f>
        <v>0</v>
      </c>
      <c r="Y145" s="5">
        <f>IF(CreditAmort2BEST[[#This Row],[Month]]=AA$8,W$7,0)</f>
        <v>0</v>
      </c>
      <c r="Z145" s="13">
        <f>IF(AND(U145&gt;='Amort. Sched.-BEST'!$AA$8, U145&lt;= ($AA$7+$AA$8)), Z144+X145, 0)</f>
        <v>0</v>
      </c>
      <c r="AA145" s="24" t="str">
        <f>IF(AND(U145&gt;='Amort. Sched.-BEST'!$AA$8, U145&lt;= ($AA$7+$AA$8)), W145/V145, " ")</f>
        <v xml:space="preserve"> </v>
      </c>
      <c r="AB145" s="25" t="str">
        <f>IF(AND(U145&gt;='Amort. Sched.-BEST'!$AA$8, U145&lt;= ($AA$7+$AA$8)), X145/V145, " ")</f>
        <v xml:space="preserve"> </v>
      </c>
      <c r="AD145" s="22">
        <f t="shared" si="37"/>
        <v>134</v>
      </c>
      <c r="AE145" s="5">
        <f t="shared" si="38"/>
        <v>0</v>
      </c>
      <c r="AF145" s="5">
        <f t="shared" si="39"/>
        <v>0</v>
      </c>
      <c r="AG145" s="5">
        <f t="shared" si="40"/>
        <v>0</v>
      </c>
      <c r="AH145" s="5">
        <f>IF(CreditAmort3BEST[[#This Row],[Month]]=AJ$8,AF$7,0)</f>
        <v>0</v>
      </c>
      <c r="AI145" s="13">
        <f t="shared" si="41"/>
        <v>0</v>
      </c>
      <c r="AJ145" s="6" t="str">
        <f t="shared" si="42"/>
        <v xml:space="preserve"> </v>
      </c>
      <c r="AK145" s="21" t="str">
        <f t="shared" si="43"/>
        <v xml:space="preserve"> </v>
      </c>
      <c r="AM145" s="20">
        <f t="shared" si="44"/>
        <v>134</v>
      </c>
      <c r="AN145" s="5">
        <f t="shared" si="45"/>
        <v>0</v>
      </c>
      <c r="AO145" s="5">
        <f t="shared" si="46"/>
        <v>0</v>
      </c>
      <c r="AP145" s="5">
        <f t="shared" si="47"/>
        <v>0</v>
      </c>
      <c r="AQ145" s="5">
        <f>IF(CreditAmort4BEST[[#This Row],[Month]]=AS$8,AO$7,0)</f>
        <v>0</v>
      </c>
      <c r="AR145" s="13">
        <f t="shared" si="48"/>
        <v>0</v>
      </c>
      <c r="AS145" s="6" t="str">
        <f t="shared" si="49"/>
        <v xml:space="preserve"> </v>
      </c>
      <c r="AT145" s="21" t="str">
        <f t="shared" si="50"/>
        <v xml:space="preserve"> </v>
      </c>
    </row>
    <row r="146" spans="3:46">
      <c r="C146" s="22">
        <f t="shared" si="35"/>
        <v>135</v>
      </c>
      <c r="D146" s="23">
        <f>IF(AND(C146&gt;='Amort. Sched.-BEST'!$I$8, C146&lt;= ($I$7+$I$8)), PMT('Amort. Sched.-BEST'!$E$8/12, 'Amort. Sched.-BEST'!$I$7, 'Amort. Sched.-BEST'!$E$7), 0)</f>
        <v>-1350.6783839027553</v>
      </c>
      <c r="E146" s="5">
        <f>IF(AND(C146&gt;='Amort. Sched.-BEST'!$I$8, C146&lt;= ($I$7+$I$8)), (IPMT($E$8/12, (C146-$I$8), $I$7, $E$7)), 0)</f>
        <v>-902.42074205874087</v>
      </c>
      <c r="F146" s="23">
        <f>IF(AND(C146&gt;='Amort. Sched.-BEST'!$I$8, C146&lt;= ($I$7+$I$8)), (PPMT($E$8/12, (C146-$I$8), $I$7, $E$7)), 0)</f>
        <v>-448.25764184401453</v>
      </c>
      <c r="G146" s="5">
        <f>IF(MortgageAmortBEST[[#This Row],[Month]]=I$8,E$7,0)</f>
        <v>0</v>
      </c>
      <c r="H146" s="13">
        <f>IF(AND(C146&gt;='Amort. Sched.-BEST'!$I$8, C146&lt;= ($I$7+$I$8)), H145+F146, 0)</f>
        <v>134914.85366696707</v>
      </c>
      <c r="I146" s="24">
        <f>IF(AND(C146&gt;='Amort. Sched.-BEST'!$I$8, C146&lt;= ($I$7+$I$8)), E146/D146, " ")</f>
        <v>0.66812407218009673</v>
      </c>
      <c r="J146" s="25">
        <f>IF(AND(C146&gt;='Amort. Sched.-BEST'!$I$8, C146&lt;= ($I$7+$I$8)), F146/D146, " ")</f>
        <v>0.33187592781990338</v>
      </c>
      <c r="L146" s="20">
        <f t="shared" si="34"/>
        <v>135</v>
      </c>
      <c r="M146" s="5">
        <f>IF(AND(L146&gt;='Amort. Sched.-BEST'!$R$8, L146&lt;= ($R$7+$R$8)), PMT('Amort. Sched.-BEST'!$N$8/12, 'Amort. Sched.-BEST'!$R$7, 'Amort. Sched.-BEST'!$N$7), 0)</f>
        <v>0</v>
      </c>
      <c r="N146" s="5">
        <f>IF(AND(L146&gt;='Amort. Sched.-BEST'!$R$8, L146&lt;= ($R$7+$R$8)), (IPMT($N$8/12, (L146-$R$8), $R$7, $N$7)), 0)</f>
        <v>0</v>
      </c>
      <c r="O146" s="5">
        <f>IF(AND(L146&gt;='Amort. Sched.-BEST'!$R$8, L146&lt;= ($R$7+$R$8)), (PPMT($N$8/12, (L146-$R$8), $R$7, $N$7)), 0)</f>
        <v>0</v>
      </c>
      <c r="P146" s="5">
        <f>IF(CreditAmort1BEST[[#This Row],[Month]]=R$8,N$7,0)</f>
        <v>0</v>
      </c>
      <c r="Q146" s="13">
        <f>IF(AND(L146&gt;='Amort. Sched.-BEST'!$R$8, L146&lt;= ($R$7+$R$8)), Q145+O146, 0)</f>
        <v>0</v>
      </c>
      <c r="R146" s="6" t="str">
        <f>IF(AND(L146&gt;='Amort. Sched.-BEST'!$R$8, L146&lt;= ($R$7+$R$8)), N146/M146, " ")</f>
        <v xml:space="preserve"> </v>
      </c>
      <c r="S146" s="21" t="str">
        <f>IF(AND(L146&gt;='Amort. Sched.-BEST'!$R$8, L146&lt;= ($R$7+$R$8)), O146/M146, " ")</f>
        <v xml:space="preserve"> </v>
      </c>
      <c r="U146" s="22">
        <f t="shared" si="36"/>
        <v>135</v>
      </c>
      <c r="V146" s="23">
        <f>IF(AND(U146&gt;='Amort. Sched.-BEST'!$AA$8, U146&lt;= ($AA$7+$AA$8)), PMT('Amort. Sched.-BEST'!$W$8/12, 'Amort. Sched.-BEST'!$AA$7, 'Amort. Sched.-BEST'!$W$7), 0)</f>
        <v>0</v>
      </c>
      <c r="W146" s="5">
        <f>IF(AND(U146&gt;='Amort. Sched.-BEST'!$AA$8, U146&lt;= ($AA$7+$AA$8)), (IPMT($W$8/12, (U146-$AA$8), $AA$7, $W$7)), 0)</f>
        <v>0</v>
      </c>
      <c r="X146" s="23">
        <f>IF(AND(U146&gt;='Amort. Sched.-BEST'!$AA$8, U146&lt;= ($AA$7+$AA$8)), (PPMT($W$8/12, (U146-$AA$8), $AA$7, $W$7)), 0)</f>
        <v>0</v>
      </c>
      <c r="Y146" s="5">
        <f>IF(CreditAmort2BEST[[#This Row],[Month]]=AA$8,W$7,0)</f>
        <v>0</v>
      </c>
      <c r="Z146" s="13">
        <f>IF(AND(U146&gt;='Amort. Sched.-BEST'!$AA$8, U146&lt;= ($AA$7+$AA$8)), Z145+X146, 0)</f>
        <v>0</v>
      </c>
      <c r="AA146" s="24" t="str">
        <f>IF(AND(U146&gt;='Amort. Sched.-BEST'!$AA$8, U146&lt;= ($AA$7+$AA$8)), W146/V146, " ")</f>
        <v xml:space="preserve"> </v>
      </c>
      <c r="AB146" s="25" t="str">
        <f>IF(AND(U146&gt;='Amort. Sched.-BEST'!$AA$8, U146&lt;= ($AA$7+$AA$8)), X146/V146, " ")</f>
        <v xml:space="preserve"> </v>
      </c>
      <c r="AD146" s="22">
        <f t="shared" si="37"/>
        <v>135</v>
      </c>
      <c r="AE146" s="5">
        <f t="shared" si="38"/>
        <v>0</v>
      </c>
      <c r="AF146" s="5">
        <f t="shared" si="39"/>
        <v>0</v>
      </c>
      <c r="AG146" s="5">
        <f t="shared" si="40"/>
        <v>0</v>
      </c>
      <c r="AH146" s="5">
        <f>IF(CreditAmort3BEST[[#This Row],[Month]]=AJ$8,AF$7,0)</f>
        <v>0</v>
      </c>
      <c r="AI146" s="13">
        <f t="shared" si="41"/>
        <v>0</v>
      </c>
      <c r="AJ146" s="6" t="str">
        <f t="shared" si="42"/>
        <v xml:space="preserve"> </v>
      </c>
      <c r="AK146" s="21" t="str">
        <f t="shared" si="43"/>
        <v xml:space="preserve"> </v>
      </c>
      <c r="AM146" s="20">
        <f t="shared" si="44"/>
        <v>135</v>
      </c>
      <c r="AN146" s="5">
        <f t="shared" si="45"/>
        <v>0</v>
      </c>
      <c r="AO146" s="5">
        <f t="shared" si="46"/>
        <v>0</v>
      </c>
      <c r="AP146" s="5">
        <f t="shared" si="47"/>
        <v>0</v>
      </c>
      <c r="AQ146" s="5">
        <f>IF(CreditAmort4BEST[[#This Row],[Month]]=AS$8,AO$7,0)</f>
        <v>0</v>
      </c>
      <c r="AR146" s="13">
        <f t="shared" si="48"/>
        <v>0</v>
      </c>
      <c r="AS146" s="6" t="str">
        <f t="shared" si="49"/>
        <v xml:space="preserve"> </v>
      </c>
      <c r="AT146" s="21" t="str">
        <f t="shared" si="50"/>
        <v xml:space="preserve"> </v>
      </c>
    </row>
    <row r="147" spans="3:46">
      <c r="C147" s="22">
        <f t="shared" si="35"/>
        <v>136</v>
      </c>
      <c r="D147" s="23">
        <f>IF(AND(C147&gt;='Amort. Sched.-BEST'!$I$8, C147&lt;= ($I$7+$I$8)), PMT('Amort. Sched.-BEST'!$E$8/12, 'Amort. Sched.-BEST'!$I$7, 'Amort. Sched.-BEST'!$E$7), 0)</f>
        <v>-1350.6783839027553</v>
      </c>
      <c r="E147" s="5">
        <f>IF(AND(C147&gt;='Amort. Sched.-BEST'!$I$8, C147&lt;= ($I$7+$I$8)), (IPMT($E$8/12, (C147-$I$8), $I$7, $E$7)), 0)</f>
        <v>-899.43235777978077</v>
      </c>
      <c r="F147" s="23">
        <f>IF(AND(C147&gt;='Amort. Sched.-BEST'!$I$8, C147&lt;= ($I$7+$I$8)), (PPMT($E$8/12, (C147-$I$8), $I$7, $E$7)), 0)</f>
        <v>-451.24602612297463</v>
      </c>
      <c r="G147" s="5">
        <f>IF(MortgageAmortBEST[[#This Row],[Month]]=I$8,E$7,0)</f>
        <v>0</v>
      </c>
      <c r="H147" s="13">
        <f>IF(AND(C147&gt;='Amort. Sched.-BEST'!$I$8, C147&lt;= ($I$7+$I$8)), H146+F147, 0)</f>
        <v>134463.6076408441</v>
      </c>
      <c r="I147" s="24">
        <f>IF(AND(C147&gt;='Amort. Sched.-BEST'!$I$8, C147&lt;= ($I$7+$I$8)), E147/D147, " ")</f>
        <v>0.66591156599463075</v>
      </c>
      <c r="J147" s="25">
        <f>IF(AND(C147&gt;='Amort. Sched.-BEST'!$I$8, C147&lt;= ($I$7+$I$8)), F147/D147, " ")</f>
        <v>0.33408843400536936</v>
      </c>
      <c r="L147" s="20">
        <f t="shared" si="34"/>
        <v>136</v>
      </c>
      <c r="M147" s="5">
        <f>IF(AND(L147&gt;='Amort. Sched.-BEST'!$R$8, L147&lt;= ($R$7+$R$8)), PMT('Amort. Sched.-BEST'!$N$8/12, 'Amort. Sched.-BEST'!$R$7, 'Amort. Sched.-BEST'!$N$7), 0)</f>
        <v>0</v>
      </c>
      <c r="N147" s="5">
        <f>IF(AND(L147&gt;='Amort. Sched.-BEST'!$R$8, L147&lt;= ($R$7+$R$8)), (IPMT($N$8/12, (L147-$R$8), $R$7, $N$7)), 0)</f>
        <v>0</v>
      </c>
      <c r="O147" s="5">
        <f>IF(AND(L147&gt;='Amort. Sched.-BEST'!$R$8, L147&lt;= ($R$7+$R$8)), (PPMT($N$8/12, (L147-$R$8), $R$7, $N$7)), 0)</f>
        <v>0</v>
      </c>
      <c r="P147" s="5">
        <f>IF(CreditAmort1BEST[[#This Row],[Month]]=R$8,N$7,0)</f>
        <v>0</v>
      </c>
      <c r="Q147" s="13">
        <f>IF(AND(L147&gt;='Amort. Sched.-BEST'!$R$8, L147&lt;= ($R$7+$R$8)), Q146+O147, 0)</f>
        <v>0</v>
      </c>
      <c r="R147" s="6" t="str">
        <f>IF(AND(L147&gt;='Amort. Sched.-BEST'!$R$8, L147&lt;= ($R$7+$R$8)), N147/M147, " ")</f>
        <v xml:space="preserve"> </v>
      </c>
      <c r="S147" s="21" t="str">
        <f>IF(AND(L147&gt;='Amort. Sched.-BEST'!$R$8, L147&lt;= ($R$7+$R$8)), O147/M147, " ")</f>
        <v xml:space="preserve"> </v>
      </c>
      <c r="U147" s="22">
        <f t="shared" si="36"/>
        <v>136</v>
      </c>
      <c r="V147" s="23">
        <f>IF(AND(U147&gt;='Amort. Sched.-BEST'!$AA$8, U147&lt;= ($AA$7+$AA$8)), PMT('Amort. Sched.-BEST'!$W$8/12, 'Amort. Sched.-BEST'!$AA$7, 'Amort. Sched.-BEST'!$W$7), 0)</f>
        <v>0</v>
      </c>
      <c r="W147" s="5">
        <f>IF(AND(U147&gt;='Amort. Sched.-BEST'!$AA$8, U147&lt;= ($AA$7+$AA$8)), (IPMT($W$8/12, (U147-$AA$8), $AA$7, $W$7)), 0)</f>
        <v>0</v>
      </c>
      <c r="X147" s="23">
        <f>IF(AND(U147&gt;='Amort. Sched.-BEST'!$AA$8, U147&lt;= ($AA$7+$AA$8)), (PPMT($W$8/12, (U147-$AA$8), $AA$7, $W$7)), 0)</f>
        <v>0</v>
      </c>
      <c r="Y147" s="5">
        <f>IF(CreditAmort2BEST[[#This Row],[Month]]=AA$8,W$7,0)</f>
        <v>0</v>
      </c>
      <c r="Z147" s="13">
        <f>IF(AND(U147&gt;='Amort. Sched.-BEST'!$AA$8, U147&lt;= ($AA$7+$AA$8)), Z146+X147, 0)</f>
        <v>0</v>
      </c>
      <c r="AA147" s="24" t="str">
        <f>IF(AND(U147&gt;='Amort. Sched.-BEST'!$AA$8, U147&lt;= ($AA$7+$AA$8)), W147/V147, " ")</f>
        <v xml:space="preserve"> </v>
      </c>
      <c r="AB147" s="25" t="str">
        <f>IF(AND(U147&gt;='Amort. Sched.-BEST'!$AA$8, U147&lt;= ($AA$7+$AA$8)), X147/V147, " ")</f>
        <v xml:space="preserve"> </v>
      </c>
      <c r="AD147" s="22">
        <f t="shared" si="37"/>
        <v>136</v>
      </c>
      <c r="AE147" s="5">
        <f t="shared" si="38"/>
        <v>0</v>
      </c>
      <c r="AF147" s="5">
        <f t="shared" si="39"/>
        <v>0</v>
      </c>
      <c r="AG147" s="5">
        <f t="shared" si="40"/>
        <v>0</v>
      </c>
      <c r="AH147" s="5">
        <f>IF(CreditAmort3BEST[[#This Row],[Month]]=AJ$8,AF$7,0)</f>
        <v>0</v>
      </c>
      <c r="AI147" s="13">
        <f t="shared" si="41"/>
        <v>0</v>
      </c>
      <c r="AJ147" s="6" t="str">
        <f t="shared" si="42"/>
        <v xml:space="preserve"> </v>
      </c>
      <c r="AK147" s="21" t="str">
        <f t="shared" si="43"/>
        <v xml:space="preserve"> </v>
      </c>
      <c r="AM147" s="20">
        <f t="shared" si="44"/>
        <v>136</v>
      </c>
      <c r="AN147" s="5">
        <f t="shared" si="45"/>
        <v>0</v>
      </c>
      <c r="AO147" s="5">
        <f t="shared" si="46"/>
        <v>0</v>
      </c>
      <c r="AP147" s="5">
        <f t="shared" si="47"/>
        <v>0</v>
      </c>
      <c r="AQ147" s="5">
        <f>IF(CreditAmort4BEST[[#This Row],[Month]]=AS$8,AO$7,0)</f>
        <v>0</v>
      </c>
      <c r="AR147" s="13">
        <f t="shared" si="48"/>
        <v>0</v>
      </c>
      <c r="AS147" s="6" t="str">
        <f t="shared" si="49"/>
        <v xml:space="preserve"> </v>
      </c>
      <c r="AT147" s="21" t="str">
        <f t="shared" si="50"/>
        <v xml:space="preserve"> </v>
      </c>
    </row>
    <row r="148" spans="3:46">
      <c r="C148" s="22">
        <f t="shared" si="35"/>
        <v>137</v>
      </c>
      <c r="D148" s="23">
        <f>IF(AND(C148&gt;='Amort. Sched.-BEST'!$I$8, C148&lt;= ($I$7+$I$8)), PMT('Amort. Sched.-BEST'!$E$8/12, 'Amort. Sched.-BEST'!$I$7, 'Amort. Sched.-BEST'!$E$7), 0)</f>
        <v>-1350.6783839027553</v>
      </c>
      <c r="E148" s="5">
        <f>IF(AND(C148&gt;='Amort. Sched.-BEST'!$I$8, C148&lt;= ($I$7+$I$8)), (IPMT($E$8/12, (C148-$I$8), $I$7, $E$7)), 0)</f>
        <v>-896.42405093896093</v>
      </c>
      <c r="F148" s="23">
        <f>IF(AND(C148&gt;='Amort. Sched.-BEST'!$I$8, C148&lt;= ($I$7+$I$8)), (PPMT($E$8/12, (C148-$I$8), $I$7, $E$7)), 0)</f>
        <v>-454.25433296379441</v>
      </c>
      <c r="G148" s="5">
        <f>IF(MortgageAmortBEST[[#This Row],[Month]]=I$8,E$7,0)</f>
        <v>0</v>
      </c>
      <c r="H148" s="13">
        <f>IF(AND(C148&gt;='Amort. Sched.-BEST'!$I$8, C148&lt;= ($I$7+$I$8)), H147+F148, 0)</f>
        <v>134009.35330788032</v>
      </c>
      <c r="I148" s="24">
        <f>IF(AND(C148&gt;='Amort. Sched.-BEST'!$I$8, C148&lt;= ($I$7+$I$8)), E148/D148, " ")</f>
        <v>0.66368430976792825</v>
      </c>
      <c r="J148" s="25">
        <f>IF(AND(C148&gt;='Amort. Sched.-BEST'!$I$8, C148&lt;= ($I$7+$I$8)), F148/D148, " ")</f>
        <v>0.33631569023207181</v>
      </c>
      <c r="L148" s="20">
        <f t="shared" si="34"/>
        <v>137</v>
      </c>
      <c r="M148" s="5">
        <f>IF(AND(L148&gt;='Amort. Sched.-BEST'!$R$8, L148&lt;= ($R$7+$R$8)), PMT('Amort. Sched.-BEST'!$N$8/12, 'Amort. Sched.-BEST'!$R$7, 'Amort. Sched.-BEST'!$N$7), 0)</f>
        <v>0</v>
      </c>
      <c r="N148" s="5">
        <f>IF(AND(L148&gt;='Amort. Sched.-BEST'!$R$8, L148&lt;= ($R$7+$R$8)), (IPMT($N$8/12, (L148-$R$8), $R$7, $N$7)), 0)</f>
        <v>0</v>
      </c>
      <c r="O148" s="5">
        <f>IF(AND(L148&gt;='Amort. Sched.-BEST'!$R$8, L148&lt;= ($R$7+$R$8)), (PPMT($N$8/12, (L148-$R$8), $R$7, $N$7)), 0)</f>
        <v>0</v>
      </c>
      <c r="P148" s="5">
        <f>IF(CreditAmort1BEST[[#This Row],[Month]]=R$8,N$7,0)</f>
        <v>0</v>
      </c>
      <c r="Q148" s="13">
        <f>IF(AND(L148&gt;='Amort. Sched.-BEST'!$R$8, L148&lt;= ($R$7+$R$8)), Q147+O148, 0)</f>
        <v>0</v>
      </c>
      <c r="R148" s="6" t="str">
        <f>IF(AND(L148&gt;='Amort. Sched.-BEST'!$R$8, L148&lt;= ($R$7+$R$8)), N148/M148, " ")</f>
        <v xml:space="preserve"> </v>
      </c>
      <c r="S148" s="21" t="str">
        <f>IF(AND(L148&gt;='Amort. Sched.-BEST'!$R$8, L148&lt;= ($R$7+$R$8)), O148/M148, " ")</f>
        <v xml:space="preserve"> </v>
      </c>
      <c r="U148" s="22">
        <f t="shared" si="36"/>
        <v>137</v>
      </c>
      <c r="V148" s="23">
        <f>IF(AND(U148&gt;='Amort. Sched.-BEST'!$AA$8, U148&lt;= ($AA$7+$AA$8)), PMT('Amort. Sched.-BEST'!$W$8/12, 'Amort. Sched.-BEST'!$AA$7, 'Amort. Sched.-BEST'!$W$7), 0)</f>
        <v>0</v>
      </c>
      <c r="W148" s="5">
        <f>IF(AND(U148&gt;='Amort. Sched.-BEST'!$AA$8, U148&lt;= ($AA$7+$AA$8)), (IPMT($W$8/12, (U148-$AA$8), $AA$7, $W$7)), 0)</f>
        <v>0</v>
      </c>
      <c r="X148" s="23">
        <f>IF(AND(U148&gt;='Amort. Sched.-BEST'!$AA$8, U148&lt;= ($AA$7+$AA$8)), (PPMT($W$8/12, (U148-$AA$8), $AA$7, $W$7)), 0)</f>
        <v>0</v>
      </c>
      <c r="Y148" s="5">
        <f>IF(CreditAmort2BEST[[#This Row],[Month]]=AA$8,W$7,0)</f>
        <v>0</v>
      </c>
      <c r="Z148" s="13">
        <f>IF(AND(U148&gt;='Amort. Sched.-BEST'!$AA$8, U148&lt;= ($AA$7+$AA$8)), Z147+X148, 0)</f>
        <v>0</v>
      </c>
      <c r="AA148" s="24" t="str">
        <f>IF(AND(U148&gt;='Amort. Sched.-BEST'!$AA$8, U148&lt;= ($AA$7+$AA$8)), W148/V148, " ")</f>
        <v xml:space="preserve"> </v>
      </c>
      <c r="AB148" s="25" t="str">
        <f>IF(AND(U148&gt;='Amort. Sched.-BEST'!$AA$8, U148&lt;= ($AA$7+$AA$8)), X148/V148, " ")</f>
        <v xml:space="preserve"> </v>
      </c>
      <c r="AD148" s="22">
        <f t="shared" si="37"/>
        <v>137</v>
      </c>
      <c r="AE148" s="5">
        <f t="shared" si="38"/>
        <v>0</v>
      </c>
      <c r="AF148" s="5">
        <f t="shared" si="39"/>
        <v>0</v>
      </c>
      <c r="AG148" s="5">
        <f t="shared" si="40"/>
        <v>0</v>
      </c>
      <c r="AH148" s="5">
        <f>IF(CreditAmort3BEST[[#This Row],[Month]]=AJ$8,AF$7,0)</f>
        <v>0</v>
      </c>
      <c r="AI148" s="13">
        <f t="shared" si="41"/>
        <v>0</v>
      </c>
      <c r="AJ148" s="6" t="str">
        <f t="shared" si="42"/>
        <v xml:space="preserve"> </v>
      </c>
      <c r="AK148" s="21" t="str">
        <f t="shared" si="43"/>
        <v xml:space="preserve"> </v>
      </c>
      <c r="AM148" s="20">
        <f t="shared" si="44"/>
        <v>137</v>
      </c>
      <c r="AN148" s="5">
        <f t="shared" si="45"/>
        <v>0</v>
      </c>
      <c r="AO148" s="5">
        <f t="shared" si="46"/>
        <v>0</v>
      </c>
      <c r="AP148" s="5">
        <f t="shared" si="47"/>
        <v>0</v>
      </c>
      <c r="AQ148" s="5">
        <f>IF(CreditAmort4BEST[[#This Row],[Month]]=AS$8,AO$7,0)</f>
        <v>0</v>
      </c>
      <c r="AR148" s="13">
        <f t="shared" si="48"/>
        <v>0</v>
      </c>
      <c r="AS148" s="6" t="str">
        <f t="shared" si="49"/>
        <v xml:space="preserve"> </v>
      </c>
      <c r="AT148" s="21" t="str">
        <f t="shared" si="50"/>
        <v xml:space="preserve"> </v>
      </c>
    </row>
    <row r="149" spans="3:46">
      <c r="C149" s="22">
        <f t="shared" si="35"/>
        <v>138</v>
      </c>
      <c r="D149" s="23">
        <f>IF(AND(C149&gt;='Amort. Sched.-BEST'!$I$8, C149&lt;= ($I$7+$I$8)), PMT('Amort. Sched.-BEST'!$E$8/12, 'Amort. Sched.-BEST'!$I$7, 'Amort. Sched.-BEST'!$E$7), 0)</f>
        <v>-1350.6783839027553</v>
      </c>
      <c r="E149" s="5">
        <f>IF(AND(C149&gt;='Amort. Sched.-BEST'!$I$8, C149&lt;= ($I$7+$I$8)), (IPMT($E$8/12, (C149-$I$8), $I$7, $E$7)), 0)</f>
        <v>-893.39568871920221</v>
      </c>
      <c r="F149" s="23">
        <f>IF(AND(C149&gt;='Amort. Sched.-BEST'!$I$8, C149&lt;= ($I$7+$I$8)), (PPMT($E$8/12, (C149-$I$8), $I$7, $E$7)), 0)</f>
        <v>-457.28269518355319</v>
      </c>
      <c r="G149" s="5">
        <f>IF(MortgageAmortBEST[[#This Row],[Month]]=I$8,E$7,0)</f>
        <v>0</v>
      </c>
      <c r="H149" s="13">
        <f>IF(AND(C149&gt;='Amort. Sched.-BEST'!$I$8, C149&lt;= ($I$7+$I$8)), H148+F149, 0)</f>
        <v>133552.07061269676</v>
      </c>
      <c r="I149" s="24">
        <f>IF(AND(C149&gt;='Amort. Sched.-BEST'!$I$8, C149&lt;= ($I$7+$I$8)), E149/D149, " ")</f>
        <v>0.66144220516638097</v>
      </c>
      <c r="J149" s="25">
        <f>IF(AND(C149&gt;='Amort. Sched.-BEST'!$I$8, C149&lt;= ($I$7+$I$8)), F149/D149, " ")</f>
        <v>0.33855779483361909</v>
      </c>
      <c r="L149" s="20">
        <f t="shared" si="34"/>
        <v>138</v>
      </c>
      <c r="M149" s="5">
        <f>IF(AND(L149&gt;='Amort. Sched.-BEST'!$R$8, L149&lt;= ($R$7+$R$8)), PMT('Amort. Sched.-BEST'!$N$8/12, 'Amort. Sched.-BEST'!$R$7, 'Amort. Sched.-BEST'!$N$7), 0)</f>
        <v>0</v>
      </c>
      <c r="N149" s="5">
        <f>IF(AND(L149&gt;='Amort. Sched.-BEST'!$R$8, L149&lt;= ($R$7+$R$8)), (IPMT($N$8/12, (L149-$R$8), $R$7, $N$7)), 0)</f>
        <v>0</v>
      </c>
      <c r="O149" s="5">
        <f>IF(AND(L149&gt;='Amort. Sched.-BEST'!$R$8, L149&lt;= ($R$7+$R$8)), (PPMT($N$8/12, (L149-$R$8), $R$7, $N$7)), 0)</f>
        <v>0</v>
      </c>
      <c r="P149" s="5">
        <f>IF(CreditAmort1BEST[[#This Row],[Month]]=R$8,N$7,0)</f>
        <v>0</v>
      </c>
      <c r="Q149" s="13">
        <f>IF(AND(L149&gt;='Amort. Sched.-BEST'!$R$8, L149&lt;= ($R$7+$R$8)), Q148+O149, 0)</f>
        <v>0</v>
      </c>
      <c r="R149" s="6" t="str">
        <f>IF(AND(L149&gt;='Amort. Sched.-BEST'!$R$8, L149&lt;= ($R$7+$R$8)), N149/M149, " ")</f>
        <v xml:space="preserve"> </v>
      </c>
      <c r="S149" s="21" t="str">
        <f>IF(AND(L149&gt;='Amort. Sched.-BEST'!$R$8, L149&lt;= ($R$7+$R$8)), O149/M149, " ")</f>
        <v xml:space="preserve"> </v>
      </c>
      <c r="U149" s="22">
        <f t="shared" si="36"/>
        <v>138</v>
      </c>
      <c r="V149" s="23">
        <f>IF(AND(U149&gt;='Amort. Sched.-BEST'!$AA$8, U149&lt;= ($AA$7+$AA$8)), PMT('Amort. Sched.-BEST'!$W$8/12, 'Amort. Sched.-BEST'!$AA$7, 'Amort. Sched.-BEST'!$W$7), 0)</f>
        <v>0</v>
      </c>
      <c r="W149" s="5">
        <f>IF(AND(U149&gt;='Amort. Sched.-BEST'!$AA$8, U149&lt;= ($AA$7+$AA$8)), (IPMT($W$8/12, (U149-$AA$8), $AA$7, $W$7)), 0)</f>
        <v>0</v>
      </c>
      <c r="X149" s="23">
        <f>IF(AND(U149&gt;='Amort. Sched.-BEST'!$AA$8, U149&lt;= ($AA$7+$AA$8)), (PPMT($W$8/12, (U149-$AA$8), $AA$7, $W$7)), 0)</f>
        <v>0</v>
      </c>
      <c r="Y149" s="5">
        <f>IF(CreditAmort2BEST[[#This Row],[Month]]=AA$8,W$7,0)</f>
        <v>0</v>
      </c>
      <c r="Z149" s="13">
        <f>IF(AND(U149&gt;='Amort. Sched.-BEST'!$AA$8, U149&lt;= ($AA$7+$AA$8)), Z148+X149, 0)</f>
        <v>0</v>
      </c>
      <c r="AA149" s="24" t="str">
        <f>IF(AND(U149&gt;='Amort. Sched.-BEST'!$AA$8, U149&lt;= ($AA$7+$AA$8)), W149/V149, " ")</f>
        <v xml:space="preserve"> </v>
      </c>
      <c r="AB149" s="25" t="str">
        <f>IF(AND(U149&gt;='Amort. Sched.-BEST'!$AA$8, U149&lt;= ($AA$7+$AA$8)), X149/V149, " ")</f>
        <v xml:space="preserve"> </v>
      </c>
      <c r="AD149" s="22">
        <f t="shared" si="37"/>
        <v>138</v>
      </c>
      <c r="AE149" s="5">
        <f t="shared" si="38"/>
        <v>0</v>
      </c>
      <c r="AF149" s="5">
        <f t="shared" si="39"/>
        <v>0</v>
      </c>
      <c r="AG149" s="5">
        <f t="shared" si="40"/>
        <v>0</v>
      </c>
      <c r="AH149" s="5">
        <f>IF(CreditAmort3BEST[[#This Row],[Month]]=AJ$8,AF$7,0)</f>
        <v>0</v>
      </c>
      <c r="AI149" s="13">
        <f t="shared" si="41"/>
        <v>0</v>
      </c>
      <c r="AJ149" s="6" t="str">
        <f t="shared" si="42"/>
        <v xml:space="preserve"> </v>
      </c>
      <c r="AK149" s="21" t="str">
        <f t="shared" si="43"/>
        <v xml:space="preserve"> </v>
      </c>
      <c r="AM149" s="20">
        <f t="shared" si="44"/>
        <v>138</v>
      </c>
      <c r="AN149" s="5">
        <f t="shared" si="45"/>
        <v>0</v>
      </c>
      <c r="AO149" s="5">
        <f t="shared" si="46"/>
        <v>0</v>
      </c>
      <c r="AP149" s="5">
        <f t="shared" si="47"/>
        <v>0</v>
      </c>
      <c r="AQ149" s="5">
        <f>IF(CreditAmort4BEST[[#This Row],[Month]]=AS$8,AO$7,0)</f>
        <v>0</v>
      </c>
      <c r="AR149" s="13">
        <f t="shared" si="48"/>
        <v>0</v>
      </c>
      <c r="AS149" s="6" t="str">
        <f t="shared" si="49"/>
        <v xml:space="preserve"> </v>
      </c>
      <c r="AT149" s="21" t="str">
        <f t="shared" si="50"/>
        <v xml:space="preserve"> </v>
      </c>
    </row>
    <row r="150" spans="3:46">
      <c r="C150" s="22">
        <f t="shared" si="35"/>
        <v>139</v>
      </c>
      <c r="D150" s="23">
        <f>IF(AND(C150&gt;='Amort. Sched.-BEST'!$I$8, C150&lt;= ($I$7+$I$8)), PMT('Amort. Sched.-BEST'!$E$8/12, 'Amort. Sched.-BEST'!$I$7, 'Amort. Sched.-BEST'!$E$7), 0)</f>
        <v>-1350.6783839027553</v>
      </c>
      <c r="E150" s="5">
        <f>IF(AND(C150&gt;='Amort. Sched.-BEST'!$I$8, C150&lt;= ($I$7+$I$8)), (IPMT($E$8/12, (C150-$I$8), $I$7, $E$7)), 0)</f>
        <v>-890.34713741797839</v>
      </c>
      <c r="F150" s="23">
        <f>IF(AND(C150&gt;='Amort. Sched.-BEST'!$I$8, C150&lt;= ($I$7+$I$8)), (PPMT($E$8/12, (C150-$I$8), $I$7, $E$7)), 0)</f>
        <v>-460.33124648477684</v>
      </c>
      <c r="G150" s="5">
        <f>IF(MortgageAmortBEST[[#This Row],[Month]]=I$8,E$7,0)</f>
        <v>0</v>
      </c>
      <c r="H150" s="13">
        <f>IF(AND(C150&gt;='Amort. Sched.-BEST'!$I$8, C150&lt;= ($I$7+$I$8)), H149+F150, 0)</f>
        <v>133091.73936621199</v>
      </c>
      <c r="I150" s="24">
        <f>IF(AND(C150&gt;='Amort. Sched.-BEST'!$I$8, C150&lt;= ($I$7+$I$8)), E150/D150, " ")</f>
        <v>0.65918515320082349</v>
      </c>
      <c r="J150" s="25">
        <f>IF(AND(C150&gt;='Amort. Sched.-BEST'!$I$8, C150&lt;= ($I$7+$I$8)), F150/D150, " ")</f>
        <v>0.34081484679917651</v>
      </c>
      <c r="L150" s="20">
        <f t="shared" si="34"/>
        <v>139</v>
      </c>
      <c r="M150" s="5">
        <f>IF(AND(L150&gt;='Amort. Sched.-BEST'!$R$8, L150&lt;= ($R$7+$R$8)), PMT('Amort. Sched.-BEST'!$N$8/12, 'Amort. Sched.-BEST'!$R$7, 'Amort. Sched.-BEST'!$N$7), 0)</f>
        <v>0</v>
      </c>
      <c r="N150" s="5">
        <f>IF(AND(L150&gt;='Amort. Sched.-BEST'!$R$8, L150&lt;= ($R$7+$R$8)), (IPMT($N$8/12, (L150-$R$8), $R$7, $N$7)), 0)</f>
        <v>0</v>
      </c>
      <c r="O150" s="5">
        <f>IF(AND(L150&gt;='Amort. Sched.-BEST'!$R$8, L150&lt;= ($R$7+$R$8)), (PPMT($N$8/12, (L150-$R$8), $R$7, $N$7)), 0)</f>
        <v>0</v>
      </c>
      <c r="P150" s="5">
        <f>IF(CreditAmort1BEST[[#This Row],[Month]]=R$8,N$7,0)</f>
        <v>0</v>
      </c>
      <c r="Q150" s="13">
        <f>IF(AND(L150&gt;='Amort. Sched.-BEST'!$R$8, L150&lt;= ($R$7+$R$8)), Q149+O150, 0)</f>
        <v>0</v>
      </c>
      <c r="R150" s="6" t="str">
        <f>IF(AND(L150&gt;='Amort. Sched.-BEST'!$R$8, L150&lt;= ($R$7+$R$8)), N150/M150, " ")</f>
        <v xml:space="preserve"> </v>
      </c>
      <c r="S150" s="21" t="str">
        <f>IF(AND(L150&gt;='Amort. Sched.-BEST'!$R$8, L150&lt;= ($R$7+$R$8)), O150/M150, " ")</f>
        <v xml:space="preserve"> </v>
      </c>
      <c r="U150" s="22">
        <f t="shared" si="36"/>
        <v>139</v>
      </c>
      <c r="V150" s="23">
        <f>IF(AND(U150&gt;='Amort. Sched.-BEST'!$AA$8, U150&lt;= ($AA$7+$AA$8)), PMT('Amort. Sched.-BEST'!$W$8/12, 'Amort. Sched.-BEST'!$AA$7, 'Amort. Sched.-BEST'!$W$7), 0)</f>
        <v>0</v>
      </c>
      <c r="W150" s="5">
        <f>IF(AND(U150&gt;='Amort. Sched.-BEST'!$AA$8, U150&lt;= ($AA$7+$AA$8)), (IPMT($W$8/12, (U150-$AA$8), $AA$7, $W$7)), 0)</f>
        <v>0</v>
      </c>
      <c r="X150" s="23">
        <f>IF(AND(U150&gt;='Amort. Sched.-BEST'!$AA$8, U150&lt;= ($AA$7+$AA$8)), (PPMT($W$8/12, (U150-$AA$8), $AA$7, $W$7)), 0)</f>
        <v>0</v>
      </c>
      <c r="Y150" s="5">
        <f>IF(CreditAmort2BEST[[#This Row],[Month]]=AA$8,W$7,0)</f>
        <v>0</v>
      </c>
      <c r="Z150" s="13">
        <f>IF(AND(U150&gt;='Amort. Sched.-BEST'!$AA$8, U150&lt;= ($AA$7+$AA$8)), Z149+X150, 0)</f>
        <v>0</v>
      </c>
      <c r="AA150" s="24" t="str">
        <f>IF(AND(U150&gt;='Amort. Sched.-BEST'!$AA$8, U150&lt;= ($AA$7+$AA$8)), W150/V150, " ")</f>
        <v xml:space="preserve"> </v>
      </c>
      <c r="AB150" s="25" t="str">
        <f>IF(AND(U150&gt;='Amort. Sched.-BEST'!$AA$8, U150&lt;= ($AA$7+$AA$8)), X150/V150, " ")</f>
        <v xml:space="preserve"> </v>
      </c>
      <c r="AD150" s="22">
        <f t="shared" si="37"/>
        <v>139</v>
      </c>
      <c r="AE150" s="5">
        <f t="shared" si="38"/>
        <v>0</v>
      </c>
      <c r="AF150" s="5">
        <f t="shared" si="39"/>
        <v>0</v>
      </c>
      <c r="AG150" s="5">
        <f t="shared" si="40"/>
        <v>0</v>
      </c>
      <c r="AH150" s="5">
        <f>IF(CreditAmort3BEST[[#This Row],[Month]]=AJ$8,AF$7,0)</f>
        <v>0</v>
      </c>
      <c r="AI150" s="13">
        <f t="shared" si="41"/>
        <v>0</v>
      </c>
      <c r="AJ150" s="6" t="str">
        <f t="shared" si="42"/>
        <v xml:space="preserve"> </v>
      </c>
      <c r="AK150" s="21" t="str">
        <f t="shared" si="43"/>
        <v xml:space="preserve"> </v>
      </c>
      <c r="AM150" s="20">
        <f t="shared" si="44"/>
        <v>139</v>
      </c>
      <c r="AN150" s="5">
        <f t="shared" si="45"/>
        <v>0</v>
      </c>
      <c r="AO150" s="5">
        <f t="shared" si="46"/>
        <v>0</v>
      </c>
      <c r="AP150" s="5">
        <f t="shared" si="47"/>
        <v>0</v>
      </c>
      <c r="AQ150" s="5">
        <f>IF(CreditAmort4BEST[[#This Row],[Month]]=AS$8,AO$7,0)</f>
        <v>0</v>
      </c>
      <c r="AR150" s="13">
        <f t="shared" si="48"/>
        <v>0</v>
      </c>
      <c r="AS150" s="6" t="str">
        <f t="shared" si="49"/>
        <v xml:space="preserve"> </v>
      </c>
      <c r="AT150" s="21" t="str">
        <f t="shared" si="50"/>
        <v xml:space="preserve"> </v>
      </c>
    </row>
    <row r="151" spans="3:46">
      <c r="C151" s="22">
        <f t="shared" si="35"/>
        <v>140</v>
      </c>
      <c r="D151" s="23">
        <f>IF(AND(C151&gt;='Amort. Sched.-BEST'!$I$8, C151&lt;= ($I$7+$I$8)), PMT('Amort. Sched.-BEST'!$E$8/12, 'Amort. Sched.-BEST'!$I$7, 'Amort. Sched.-BEST'!$E$7), 0)</f>
        <v>-1350.6783839027553</v>
      </c>
      <c r="E151" s="5">
        <f>IF(AND(C151&gt;='Amort. Sched.-BEST'!$I$8, C151&lt;= ($I$7+$I$8)), (IPMT($E$8/12, (C151-$I$8), $I$7, $E$7)), 0)</f>
        <v>-887.27826244141329</v>
      </c>
      <c r="F151" s="23">
        <f>IF(AND(C151&gt;='Amort. Sched.-BEST'!$I$8, C151&lt;= ($I$7+$I$8)), (PPMT($E$8/12, (C151-$I$8), $I$7, $E$7)), 0)</f>
        <v>-463.40012146134194</v>
      </c>
      <c r="G151" s="5">
        <f>IF(MortgageAmortBEST[[#This Row],[Month]]=I$8,E$7,0)</f>
        <v>0</v>
      </c>
      <c r="H151" s="13">
        <f>IF(AND(C151&gt;='Amort. Sched.-BEST'!$I$8, C151&lt;= ($I$7+$I$8)), H150+F151, 0)</f>
        <v>132628.33924475065</v>
      </c>
      <c r="I151" s="24">
        <f>IF(AND(C151&gt;='Amort. Sched.-BEST'!$I$8, C151&lt;= ($I$7+$I$8)), E151/D151, " ")</f>
        <v>0.6569130542221624</v>
      </c>
      <c r="J151" s="25">
        <f>IF(AND(C151&gt;='Amort. Sched.-BEST'!$I$8, C151&lt;= ($I$7+$I$8)), F151/D151, " ")</f>
        <v>0.3430869457778376</v>
      </c>
      <c r="L151" s="20">
        <f t="shared" si="34"/>
        <v>140</v>
      </c>
      <c r="M151" s="5">
        <f>IF(AND(L151&gt;='Amort. Sched.-BEST'!$R$8, L151&lt;= ($R$7+$R$8)), PMT('Amort. Sched.-BEST'!$N$8/12, 'Amort. Sched.-BEST'!$R$7, 'Amort. Sched.-BEST'!$N$7), 0)</f>
        <v>0</v>
      </c>
      <c r="N151" s="5">
        <f>IF(AND(L151&gt;='Amort. Sched.-BEST'!$R$8, L151&lt;= ($R$7+$R$8)), (IPMT($N$8/12, (L151-$R$8), $R$7, $N$7)), 0)</f>
        <v>0</v>
      </c>
      <c r="O151" s="5">
        <f>IF(AND(L151&gt;='Amort. Sched.-BEST'!$R$8, L151&lt;= ($R$7+$R$8)), (PPMT($N$8/12, (L151-$R$8), $R$7, $N$7)), 0)</f>
        <v>0</v>
      </c>
      <c r="P151" s="5">
        <f>IF(CreditAmort1BEST[[#This Row],[Month]]=R$8,N$7,0)</f>
        <v>0</v>
      </c>
      <c r="Q151" s="13">
        <f>IF(AND(L151&gt;='Amort. Sched.-BEST'!$R$8, L151&lt;= ($R$7+$R$8)), Q150+O151, 0)</f>
        <v>0</v>
      </c>
      <c r="R151" s="6" t="str">
        <f>IF(AND(L151&gt;='Amort. Sched.-BEST'!$R$8, L151&lt;= ($R$7+$R$8)), N151/M151, " ")</f>
        <v xml:space="preserve"> </v>
      </c>
      <c r="S151" s="21" t="str">
        <f>IF(AND(L151&gt;='Amort. Sched.-BEST'!$R$8, L151&lt;= ($R$7+$R$8)), O151/M151, " ")</f>
        <v xml:space="preserve"> </v>
      </c>
      <c r="U151" s="22">
        <f t="shared" si="36"/>
        <v>140</v>
      </c>
      <c r="V151" s="23">
        <f>IF(AND(U151&gt;='Amort. Sched.-BEST'!$AA$8, U151&lt;= ($AA$7+$AA$8)), PMT('Amort. Sched.-BEST'!$W$8/12, 'Amort. Sched.-BEST'!$AA$7, 'Amort. Sched.-BEST'!$W$7), 0)</f>
        <v>0</v>
      </c>
      <c r="W151" s="5">
        <f>IF(AND(U151&gt;='Amort. Sched.-BEST'!$AA$8, U151&lt;= ($AA$7+$AA$8)), (IPMT($W$8/12, (U151-$AA$8), $AA$7, $W$7)), 0)</f>
        <v>0</v>
      </c>
      <c r="X151" s="23">
        <f>IF(AND(U151&gt;='Amort. Sched.-BEST'!$AA$8, U151&lt;= ($AA$7+$AA$8)), (PPMT($W$8/12, (U151-$AA$8), $AA$7, $W$7)), 0)</f>
        <v>0</v>
      </c>
      <c r="Y151" s="5">
        <f>IF(CreditAmort2BEST[[#This Row],[Month]]=AA$8,W$7,0)</f>
        <v>0</v>
      </c>
      <c r="Z151" s="13">
        <f>IF(AND(U151&gt;='Amort. Sched.-BEST'!$AA$8, U151&lt;= ($AA$7+$AA$8)), Z150+X151, 0)</f>
        <v>0</v>
      </c>
      <c r="AA151" s="24" t="str">
        <f>IF(AND(U151&gt;='Amort. Sched.-BEST'!$AA$8, U151&lt;= ($AA$7+$AA$8)), W151/V151, " ")</f>
        <v xml:space="preserve"> </v>
      </c>
      <c r="AB151" s="25" t="str">
        <f>IF(AND(U151&gt;='Amort. Sched.-BEST'!$AA$8, U151&lt;= ($AA$7+$AA$8)), X151/V151, " ")</f>
        <v xml:space="preserve"> </v>
      </c>
      <c r="AD151" s="22">
        <f t="shared" si="37"/>
        <v>140</v>
      </c>
      <c r="AE151" s="5">
        <f t="shared" si="38"/>
        <v>0</v>
      </c>
      <c r="AF151" s="5">
        <f t="shared" si="39"/>
        <v>0</v>
      </c>
      <c r="AG151" s="5">
        <f t="shared" si="40"/>
        <v>0</v>
      </c>
      <c r="AH151" s="5">
        <f>IF(CreditAmort3BEST[[#This Row],[Month]]=AJ$8,AF$7,0)</f>
        <v>0</v>
      </c>
      <c r="AI151" s="13">
        <f t="shared" si="41"/>
        <v>0</v>
      </c>
      <c r="AJ151" s="6" t="str">
        <f t="shared" si="42"/>
        <v xml:space="preserve"> </v>
      </c>
      <c r="AK151" s="21" t="str">
        <f t="shared" si="43"/>
        <v xml:space="preserve"> </v>
      </c>
      <c r="AM151" s="20">
        <f t="shared" si="44"/>
        <v>140</v>
      </c>
      <c r="AN151" s="5">
        <f t="shared" si="45"/>
        <v>0</v>
      </c>
      <c r="AO151" s="5">
        <f t="shared" si="46"/>
        <v>0</v>
      </c>
      <c r="AP151" s="5">
        <f t="shared" si="47"/>
        <v>0</v>
      </c>
      <c r="AQ151" s="5">
        <f>IF(CreditAmort4BEST[[#This Row],[Month]]=AS$8,AO$7,0)</f>
        <v>0</v>
      </c>
      <c r="AR151" s="13">
        <f t="shared" si="48"/>
        <v>0</v>
      </c>
      <c r="AS151" s="6" t="str">
        <f t="shared" si="49"/>
        <v xml:space="preserve"> </v>
      </c>
      <c r="AT151" s="21" t="str">
        <f t="shared" si="50"/>
        <v xml:space="preserve"> </v>
      </c>
    </row>
    <row r="152" spans="3:46">
      <c r="C152" s="22">
        <f t="shared" si="35"/>
        <v>141</v>
      </c>
      <c r="D152" s="23">
        <f>IF(AND(C152&gt;='Amort. Sched.-BEST'!$I$8, C152&lt;= ($I$7+$I$8)), PMT('Amort. Sched.-BEST'!$E$8/12, 'Amort. Sched.-BEST'!$I$7, 'Amort. Sched.-BEST'!$E$7), 0)</f>
        <v>-1350.6783839027553</v>
      </c>
      <c r="E152" s="5">
        <f>IF(AND(C152&gt;='Amort. Sched.-BEST'!$I$8, C152&lt;= ($I$7+$I$8)), (IPMT($E$8/12, (C152-$I$8), $I$7, $E$7)), 0)</f>
        <v>-884.18892829833771</v>
      </c>
      <c r="F152" s="23">
        <f>IF(AND(C152&gt;='Amort. Sched.-BEST'!$I$8, C152&lt;= ($I$7+$I$8)), (PPMT($E$8/12, (C152-$I$8), $I$7, $E$7)), 0)</f>
        <v>-466.48945560441763</v>
      </c>
      <c r="G152" s="5">
        <f>IF(MortgageAmortBEST[[#This Row],[Month]]=I$8,E$7,0)</f>
        <v>0</v>
      </c>
      <c r="H152" s="13">
        <f>IF(AND(C152&gt;='Amort. Sched.-BEST'!$I$8, C152&lt;= ($I$7+$I$8)), H151+F152, 0)</f>
        <v>132161.84978914622</v>
      </c>
      <c r="I152" s="24">
        <f>IF(AND(C152&gt;='Amort. Sched.-BEST'!$I$8, C152&lt;= ($I$7+$I$8)), E152/D152, " ")</f>
        <v>0.65462580791697678</v>
      </c>
      <c r="J152" s="25">
        <f>IF(AND(C152&gt;='Amort. Sched.-BEST'!$I$8, C152&lt;= ($I$7+$I$8)), F152/D152, " ")</f>
        <v>0.34537419208302328</v>
      </c>
      <c r="L152" s="20">
        <f t="shared" si="34"/>
        <v>141</v>
      </c>
      <c r="M152" s="5">
        <f>IF(AND(L152&gt;='Amort. Sched.-BEST'!$R$8, L152&lt;= ($R$7+$R$8)), PMT('Amort. Sched.-BEST'!$N$8/12, 'Amort. Sched.-BEST'!$R$7, 'Amort. Sched.-BEST'!$N$7), 0)</f>
        <v>0</v>
      </c>
      <c r="N152" s="5">
        <f>IF(AND(L152&gt;='Amort. Sched.-BEST'!$R$8, L152&lt;= ($R$7+$R$8)), (IPMT($N$8/12, (L152-$R$8), $R$7, $N$7)), 0)</f>
        <v>0</v>
      </c>
      <c r="O152" s="5">
        <f>IF(AND(L152&gt;='Amort. Sched.-BEST'!$R$8, L152&lt;= ($R$7+$R$8)), (PPMT($N$8/12, (L152-$R$8), $R$7, $N$7)), 0)</f>
        <v>0</v>
      </c>
      <c r="P152" s="5">
        <f>IF(CreditAmort1BEST[[#This Row],[Month]]=R$8,N$7,0)</f>
        <v>0</v>
      </c>
      <c r="Q152" s="13">
        <f>IF(AND(L152&gt;='Amort. Sched.-BEST'!$R$8, L152&lt;= ($R$7+$R$8)), Q151+O152, 0)</f>
        <v>0</v>
      </c>
      <c r="R152" s="6" t="str">
        <f>IF(AND(L152&gt;='Amort. Sched.-BEST'!$R$8, L152&lt;= ($R$7+$R$8)), N152/M152, " ")</f>
        <v xml:space="preserve"> </v>
      </c>
      <c r="S152" s="21" t="str">
        <f>IF(AND(L152&gt;='Amort. Sched.-BEST'!$R$8, L152&lt;= ($R$7+$R$8)), O152/M152, " ")</f>
        <v xml:space="preserve"> </v>
      </c>
      <c r="U152" s="22">
        <f t="shared" si="36"/>
        <v>141</v>
      </c>
      <c r="V152" s="23">
        <f>IF(AND(U152&gt;='Amort. Sched.-BEST'!$AA$8, U152&lt;= ($AA$7+$AA$8)), PMT('Amort. Sched.-BEST'!$W$8/12, 'Amort. Sched.-BEST'!$AA$7, 'Amort. Sched.-BEST'!$W$7), 0)</f>
        <v>0</v>
      </c>
      <c r="W152" s="5">
        <f>IF(AND(U152&gt;='Amort. Sched.-BEST'!$AA$8, U152&lt;= ($AA$7+$AA$8)), (IPMT($W$8/12, (U152-$AA$8), $AA$7, $W$7)), 0)</f>
        <v>0</v>
      </c>
      <c r="X152" s="23">
        <f>IF(AND(U152&gt;='Amort. Sched.-BEST'!$AA$8, U152&lt;= ($AA$7+$AA$8)), (PPMT($W$8/12, (U152-$AA$8), $AA$7, $W$7)), 0)</f>
        <v>0</v>
      </c>
      <c r="Y152" s="5">
        <f>IF(CreditAmort2BEST[[#This Row],[Month]]=AA$8,W$7,0)</f>
        <v>0</v>
      </c>
      <c r="Z152" s="13">
        <f>IF(AND(U152&gt;='Amort. Sched.-BEST'!$AA$8, U152&lt;= ($AA$7+$AA$8)), Z151+X152, 0)</f>
        <v>0</v>
      </c>
      <c r="AA152" s="24" t="str">
        <f>IF(AND(U152&gt;='Amort. Sched.-BEST'!$AA$8, U152&lt;= ($AA$7+$AA$8)), W152/V152, " ")</f>
        <v xml:space="preserve"> </v>
      </c>
      <c r="AB152" s="25" t="str">
        <f>IF(AND(U152&gt;='Amort. Sched.-BEST'!$AA$8, U152&lt;= ($AA$7+$AA$8)), X152/V152, " ")</f>
        <v xml:space="preserve"> </v>
      </c>
      <c r="AD152" s="22">
        <f t="shared" si="37"/>
        <v>141</v>
      </c>
      <c r="AE152" s="5">
        <f t="shared" si="38"/>
        <v>0</v>
      </c>
      <c r="AF152" s="5">
        <f t="shared" si="39"/>
        <v>0</v>
      </c>
      <c r="AG152" s="5">
        <f t="shared" si="40"/>
        <v>0</v>
      </c>
      <c r="AH152" s="5">
        <f>IF(CreditAmort3BEST[[#This Row],[Month]]=AJ$8,AF$7,0)</f>
        <v>0</v>
      </c>
      <c r="AI152" s="13">
        <f t="shared" si="41"/>
        <v>0</v>
      </c>
      <c r="AJ152" s="6" t="str">
        <f t="shared" si="42"/>
        <v xml:space="preserve"> </v>
      </c>
      <c r="AK152" s="21" t="str">
        <f t="shared" si="43"/>
        <v xml:space="preserve"> </v>
      </c>
      <c r="AM152" s="20">
        <f t="shared" si="44"/>
        <v>141</v>
      </c>
      <c r="AN152" s="5">
        <f t="shared" si="45"/>
        <v>0</v>
      </c>
      <c r="AO152" s="5">
        <f t="shared" si="46"/>
        <v>0</v>
      </c>
      <c r="AP152" s="5">
        <f t="shared" si="47"/>
        <v>0</v>
      </c>
      <c r="AQ152" s="5">
        <f>IF(CreditAmort4BEST[[#This Row],[Month]]=AS$8,AO$7,0)</f>
        <v>0</v>
      </c>
      <c r="AR152" s="13">
        <f t="shared" si="48"/>
        <v>0</v>
      </c>
      <c r="AS152" s="6" t="str">
        <f t="shared" si="49"/>
        <v xml:space="preserve"> </v>
      </c>
      <c r="AT152" s="21" t="str">
        <f t="shared" si="50"/>
        <v xml:space="preserve"> </v>
      </c>
    </row>
    <row r="153" spans="3:46">
      <c r="C153" s="22">
        <f t="shared" si="35"/>
        <v>142</v>
      </c>
      <c r="D153" s="23">
        <f>IF(AND(C153&gt;='Amort. Sched.-BEST'!$I$8, C153&lt;= ($I$7+$I$8)), PMT('Amort. Sched.-BEST'!$E$8/12, 'Amort. Sched.-BEST'!$I$7, 'Amort. Sched.-BEST'!$E$7), 0)</f>
        <v>-1350.6783839027553</v>
      </c>
      <c r="E153" s="5">
        <f>IF(AND(C153&gt;='Amort. Sched.-BEST'!$I$8, C153&lt;= ($I$7+$I$8)), (IPMT($E$8/12, (C153-$I$8), $I$7, $E$7)), 0)</f>
        <v>-881.07899859430836</v>
      </c>
      <c r="F153" s="23">
        <f>IF(AND(C153&gt;='Amort. Sched.-BEST'!$I$8, C153&lt;= ($I$7+$I$8)), (PPMT($E$8/12, (C153-$I$8), $I$7, $E$7)), 0)</f>
        <v>-469.59938530844698</v>
      </c>
      <c r="G153" s="5">
        <f>IF(MortgageAmortBEST[[#This Row],[Month]]=I$8,E$7,0)</f>
        <v>0</v>
      </c>
      <c r="H153" s="13">
        <f>IF(AND(C153&gt;='Amort. Sched.-BEST'!$I$8, C153&lt;= ($I$7+$I$8)), H152+F153, 0)</f>
        <v>131692.25040383777</v>
      </c>
      <c r="I153" s="24">
        <f>IF(AND(C153&gt;='Amort. Sched.-BEST'!$I$8, C153&lt;= ($I$7+$I$8)), E153/D153, " ")</f>
        <v>0.65232331330309001</v>
      </c>
      <c r="J153" s="25">
        <f>IF(AND(C153&gt;='Amort. Sched.-BEST'!$I$8, C153&lt;= ($I$7+$I$8)), F153/D153, " ")</f>
        <v>0.34767668669690999</v>
      </c>
      <c r="L153" s="20">
        <f t="shared" si="34"/>
        <v>142</v>
      </c>
      <c r="M153" s="5">
        <f>IF(AND(L153&gt;='Amort. Sched.-BEST'!$R$8, L153&lt;= ($R$7+$R$8)), PMT('Amort. Sched.-BEST'!$N$8/12, 'Amort. Sched.-BEST'!$R$7, 'Amort. Sched.-BEST'!$N$7), 0)</f>
        <v>0</v>
      </c>
      <c r="N153" s="5">
        <f>IF(AND(L153&gt;='Amort. Sched.-BEST'!$R$8, L153&lt;= ($R$7+$R$8)), (IPMT($N$8/12, (L153-$R$8), $R$7, $N$7)), 0)</f>
        <v>0</v>
      </c>
      <c r="O153" s="5">
        <f>IF(AND(L153&gt;='Amort. Sched.-BEST'!$R$8, L153&lt;= ($R$7+$R$8)), (PPMT($N$8/12, (L153-$R$8), $R$7, $N$7)), 0)</f>
        <v>0</v>
      </c>
      <c r="P153" s="5">
        <f>IF(CreditAmort1BEST[[#This Row],[Month]]=R$8,N$7,0)</f>
        <v>0</v>
      </c>
      <c r="Q153" s="13">
        <f>IF(AND(L153&gt;='Amort. Sched.-BEST'!$R$8, L153&lt;= ($R$7+$R$8)), Q152+O153, 0)</f>
        <v>0</v>
      </c>
      <c r="R153" s="6" t="str">
        <f>IF(AND(L153&gt;='Amort. Sched.-BEST'!$R$8, L153&lt;= ($R$7+$R$8)), N153/M153, " ")</f>
        <v xml:space="preserve"> </v>
      </c>
      <c r="S153" s="21" t="str">
        <f>IF(AND(L153&gt;='Amort. Sched.-BEST'!$R$8, L153&lt;= ($R$7+$R$8)), O153/M153, " ")</f>
        <v xml:space="preserve"> </v>
      </c>
      <c r="U153" s="22">
        <f t="shared" si="36"/>
        <v>142</v>
      </c>
      <c r="V153" s="23">
        <f>IF(AND(U153&gt;='Amort. Sched.-BEST'!$AA$8, U153&lt;= ($AA$7+$AA$8)), PMT('Amort. Sched.-BEST'!$W$8/12, 'Amort. Sched.-BEST'!$AA$7, 'Amort. Sched.-BEST'!$W$7), 0)</f>
        <v>0</v>
      </c>
      <c r="W153" s="5">
        <f>IF(AND(U153&gt;='Amort. Sched.-BEST'!$AA$8, U153&lt;= ($AA$7+$AA$8)), (IPMT($W$8/12, (U153-$AA$8), $AA$7, $W$7)), 0)</f>
        <v>0</v>
      </c>
      <c r="X153" s="23">
        <f>IF(AND(U153&gt;='Amort. Sched.-BEST'!$AA$8, U153&lt;= ($AA$7+$AA$8)), (PPMT($W$8/12, (U153-$AA$8), $AA$7, $W$7)), 0)</f>
        <v>0</v>
      </c>
      <c r="Y153" s="5">
        <f>IF(CreditAmort2BEST[[#This Row],[Month]]=AA$8,W$7,0)</f>
        <v>0</v>
      </c>
      <c r="Z153" s="13">
        <f>IF(AND(U153&gt;='Amort. Sched.-BEST'!$AA$8, U153&lt;= ($AA$7+$AA$8)), Z152+X153, 0)</f>
        <v>0</v>
      </c>
      <c r="AA153" s="24" t="str">
        <f>IF(AND(U153&gt;='Amort. Sched.-BEST'!$AA$8, U153&lt;= ($AA$7+$AA$8)), W153/V153, " ")</f>
        <v xml:space="preserve"> </v>
      </c>
      <c r="AB153" s="25" t="str">
        <f>IF(AND(U153&gt;='Amort. Sched.-BEST'!$AA$8, U153&lt;= ($AA$7+$AA$8)), X153/V153, " ")</f>
        <v xml:space="preserve"> </v>
      </c>
      <c r="AD153" s="22">
        <f t="shared" si="37"/>
        <v>142</v>
      </c>
      <c r="AE153" s="5">
        <f t="shared" si="38"/>
        <v>0</v>
      </c>
      <c r="AF153" s="5">
        <f t="shared" si="39"/>
        <v>0</v>
      </c>
      <c r="AG153" s="5">
        <f t="shared" si="40"/>
        <v>0</v>
      </c>
      <c r="AH153" s="5">
        <f>IF(CreditAmort3BEST[[#This Row],[Month]]=AJ$8,AF$7,0)</f>
        <v>0</v>
      </c>
      <c r="AI153" s="13">
        <f t="shared" si="41"/>
        <v>0</v>
      </c>
      <c r="AJ153" s="6" t="str">
        <f t="shared" si="42"/>
        <v xml:space="preserve"> </v>
      </c>
      <c r="AK153" s="21" t="str">
        <f t="shared" si="43"/>
        <v xml:space="preserve"> </v>
      </c>
      <c r="AM153" s="20">
        <f t="shared" si="44"/>
        <v>142</v>
      </c>
      <c r="AN153" s="5">
        <f t="shared" si="45"/>
        <v>0</v>
      </c>
      <c r="AO153" s="5">
        <f t="shared" si="46"/>
        <v>0</v>
      </c>
      <c r="AP153" s="5">
        <f t="shared" si="47"/>
        <v>0</v>
      </c>
      <c r="AQ153" s="5">
        <f>IF(CreditAmort4BEST[[#This Row],[Month]]=AS$8,AO$7,0)</f>
        <v>0</v>
      </c>
      <c r="AR153" s="13">
        <f t="shared" si="48"/>
        <v>0</v>
      </c>
      <c r="AS153" s="6" t="str">
        <f t="shared" si="49"/>
        <v xml:space="preserve"> </v>
      </c>
      <c r="AT153" s="21" t="str">
        <f t="shared" si="50"/>
        <v xml:space="preserve"> </v>
      </c>
    </row>
    <row r="154" spans="3:46">
      <c r="C154" s="22">
        <f t="shared" si="35"/>
        <v>143</v>
      </c>
      <c r="D154" s="23">
        <f>IF(AND(C154&gt;='Amort. Sched.-BEST'!$I$8, C154&lt;= ($I$7+$I$8)), PMT('Amort. Sched.-BEST'!$E$8/12, 'Amort. Sched.-BEST'!$I$7, 'Amort. Sched.-BEST'!$E$7), 0)</f>
        <v>-1350.6783839027553</v>
      </c>
      <c r="E154" s="5">
        <f>IF(AND(C154&gt;='Amort. Sched.-BEST'!$I$8, C154&lt;= ($I$7+$I$8)), (IPMT($E$8/12, (C154-$I$8), $I$7, $E$7)), 0)</f>
        <v>-877.9483360255856</v>
      </c>
      <c r="F154" s="23">
        <f>IF(AND(C154&gt;='Amort. Sched.-BEST'!$I$8, C154&lt;= ($I$7+$I$8)), (PPMT($E$8/12, (C154-$I$8), $I$7, $E$7)), 0)</f>
        <v>-472.73004787716997</v>
      </c>
      <c r="G154" s="5">
        <f>IF(MortgageAmortBEST[[#This Row],[Month]]=I$8,E$7,0)</f>
        <v>0</v>
      </c>
      <c r="H154" s="13">
        <f>IF(AND(C154&gt;='Amort. Sched.-BEST'!$I$8, C154&lt;= ($I$7+$I$8)), H153+F154, 0)</f>
        <v>131219.52035596059</v>
      </c>
      <c r="I154" s="24">
        <f>IF(AND(C154&gt;='Amort. Sched.-BEST'!$I$8, C154&lt;= ($I$7+$I$8)), E154/D154, " ")</f>
        <v>0.65000546872511078</v>
      </c>
      <c r="J154" s="25">
        <f>IF(AND(C154&gt;='Amort. Sched.-BEST'!$I$8, C154&lt;= ($I$7+$I$8)), F154/D154, " ")</f>
        <v>0.34999453127488939</v>
      </c>
      <c r="L154" s="20">
        <f t="shared" si="34"/>
        <v>143</v>
      </c>
      <c r="M154" s="5">
        <f>IF(AND(L154&gt;='Amort. Sched.-BEST'!$R$8, L154&lt;= ($R$7+$R$8)), PMT('Amort. Sched.-BEST'!$N$8/12, 'Amort. Sched.-BEST'!$R$7, 'Amort. Sched.-BEST'!$N$7), 0)</f>
        <v>0</v>
      </c>
      <c r="N154" s="5">
        <f>IF(AND(L154&gt;='Amort. Sched.-BEST'!$R$8, L154&lt;= ($R$7+$R$8)), (IPMT($N$8/12, (L154-$R$8), $R$7, $N$7)), 0)</f>
        <v>0</v>
      </c>
      <c r="O154" s="5">
        <f>IF(AND(L154&gt;='Amort. Sched.-BEST'!$R$8, L154&lt;= ($R$7+$R$8)), (PPMT($N$8/12, (L154-$R$8), $R$7, $N$7)), 0)</f>
        <v>0</v>
      </c>
      <c r="P154" s="5">
        <f>IF(CreditAmort1BEST[[#This Row],[Month]]=R$8,N$7,0)</f>
        <v>0</v>
      </c>
      <c r="Q154" s="13">
        <f>IF(AND(L154&gt;='Amort. Sched.-BEST'!$R$8, L154&lt;= ($R$7+$R$8)), Q153+O154, 0)</f>
        <v>0</v>
      </c>
      <c r="R154" s="6" t="str">
        <f>IF(AND(L154&gt;='Amort. Sched.-BEST'!$R$8, L154&lt;= ($R$7+$R$8)), N154/M154, " ")</f>
        <v xml:space="preserve"> </v>
      </c>
      <c r="S154" s="21" t="str">
        <f>IF(AND(L154&gt;='Amort. Sched.-BEST'!$R$8, L154&lt;= ($R$7+$R$8)), O154/M154, " ")</f>
        <v xml:space="preserve"> </v>
      </c>
      <c r="U154" s="22">
        <f t="shared" si="36"/>
        <v>143</v>
      </c>
      <c r="V154" s="23">
        <f>IF(AND(U154&gt;='Amort. Sched.-BEST'!$AA$8, U154&lt;= ($AA$7+$AA$8)), PMT('Amort. Sched.-BEST'!$W$8/12, 'Amort. Sched.-BEST'!$AA$7, 'Amort. Sched.-BEST'!$W$7), 0)</f>
        <v>0</v>
      </c>
      <c r="W154" s="5">
        <f>IF(AND(U154&gt;='Amort. Sched.-BEST'!$AA$8, U154&lt;= ($AA$7+$AA$8)), (IPMT($W$8/12, (U154-$AA$8), $AA$7, $W$7)), 0)</f>
        <v>0</v>
      </c>
      <c r="X154" s="23">
        <f>IF(AND(U154&gt;='Amort. Sched.-BEST'!$AA$8, U154&lt;= ($AA$7+$AA$8)), (PPMT($W$8/12, (U154-$AA$8), $AA$7, $W$7)), 0)</f>
        <v>0</v>
      </c>
      <c r="Y154" s="5">
        <f>IF(CreditAmort2BEST[[#This Row],[Month]]=AA$8,W$7,0)</f>
        <v>0</v>
      </c>
      <c r="Z154" s="13">
        <f>IF(AND(U154&gt;='Amort. Sched.-BEST'!$AA$8, U154&lt;= ($AA$7+$AA$8)), Z153+X154, 0)</f>
        <v>0</v>
      </c>
      <c r="AA154" s="24" t="str">
        <f>IF(AND(U154&gt;='Amort. Sched.-BEST'!$AA$8, U154&lt;= ($AA$7+$AA$8)), W154/V154, " ")</f>
        <v xml:space="preserve"> </v>
      </c>
      <c r="AB154" s="25" t="str">
        <f>IF(AND(U154&gt;='Amort. Sched.-BEST'!$AA$8, U154&lt;= ($AA$7+$AA$8)), X154/V154, " ")</f>
        <v xml:space="preserve"> </v>
      </c>
      <c r="AD154" s="22">
        <f t="shared" si="37"/>
        <v>143</v>
      </c>
      <c r="AE154" s="5">
        <f t="shared" si="38"/>
        <v>0</v>
      </c>
      <c r="AF154" s="5">
        <f t="shared" si="39"/>
        <v>0</v>
      </c>
      <c r="AG154" s="5">
        <f t="shared" si="40"/>
        <v>0</v>
      </c>
      <c r="AH154" s="5">
        <f>IF(CreditAmort3BEST[[#This Row],[Month]]=AJ$8,AF$7,0)</f>
        <v>0</v>
      </c>
      <c r="AI154" s="13">
        <f t="shared" si="41"/>
        <v>0</v>
      </c>
      <c r="AJ154" s="6" t="str">
        <f t="shared" si="42"/>
        <v xml:space="preserve"> </v>
      </c>
      <c r="AK154" s="21" t="str">
        <f t="shared" si="43"/>
        <v xml:space="preserve"> </v>
      </c>
      <c r="AM154" s="20">
        <f t="shared" si="44"/>
        <v>143</v>
      </c>
      <c r="AN154" s="5">
        <f t="shared" si="45"/>
        <v>0</v>
      </c>
      <c r="AO154" s="5">
        <f t="shared" si="46"/>
        <v>0</v>
      </c>
      <c r="AP154" s="5">
        <f t="shared" si="47"/>
        <v>0</v>
      </c>
      <c r="AQ154" s="5">
        <f>IF(CreditAmort4BEST[[#This Row],[Month]]=AS$8,AO$7,0)</f>
        <v>0</v>
      </c>
      <c r="AR154" s="13">
        <f t="shared" si="48"/>
        <v>0</v>
      </c>
      <c r="AS154" s="6" t="str">
        <f t="shared" si="49"/>
        <v xml:space="preserve"> </v>
      </c>
      <c r="AT154" s="21" t="str">
        <f t="shared" si="50"/>
        <v xml:space="preserve"> </v>
      </c>
    </row>
    <row r="155" spans="3:46">
      <c r="C155" s="22">
        <f t="shared" si="35"/>
        <v>144</v>
      </c>
      <c r="D155" s="23">
        <f>IF(AND(C155&gt;='Amort. Sched.-BEST'!$I$8, C155&lt;= ($I$7+$I$8)), PMT('Amort. Sched.-BEST'!$E$8/12, 'Amort. Sched.-BEST'!$I$7, 'Amort. Sched.-BEST'!$E$7), 0)</f>
        <v>-1350.6783839027553</v>
      </c>
      <c r="E155" s="5">
        <f>IF(AND(C155&gt;='Amort. Sched.-BEST'!$I$8, C155&lt;= ($I$7+$I$8)), (IPMT($E$8/12, (C155-$I$8), $I$7, $E$7)), 0)</f>
        <v>-874.79680237307105</v>
      </c>
      <c r="F155" s="23">
        <f>IF(AND(C155&gt;='Amort. Sched.-BEST'!$I$8, C155&lt;= ($I$7+$I$8)), (PPMT($E$8/12, (C155-$I$8), $I$7, $E$7)), 0)</f>
        <v>-475.88158152968441</v>
      </c>
      <c r="G155" s="5">
        <f>IF(MortgageAmortBEST[[#This Row],[Month]]=I$8,E$7,0)</f>
        <v>0</v>
      </c>
      <c r="H155" s="13">
        <f>IF(AND(C155&gt;='Amort. Sched.-BEST'!$I$8, C155&lt;= ($I$7+$I$8)), H154+F155, 0)</f>
        <v>130743.6387744309</v>
      </c>
      <c r="I155" s="24">
        <f>IF(AND(C155&gt;='Amort. Sched.-BEST'!$I$8, C155&lt;= ($I$7+$I$8)), E155/D155, " ")</f>
        <v>0.64767217184994486</v>
      </c>
      <c r="J155" s="25">
        <f>IF(AND(C155&gt;='Amort. Sched.-BEST'!$I$8, C155&lt;= ($I$7+$I$8)), F155/D155, " ")</f>
        <v>0.35232782815005531</v>
      </c>
      <c r="L155" s="20">
        <f t="shared" si="34"/>
        <v>144</v>
      </c>
      <c r="M155" s="5">
        <f>IF(AND(L155&gt;='Amort. Sched.-BEST'!$R$8, L155&lt;= ($R$7+$R$8)), PMT('Amort. Sched.-BEST'!$N$8/12, 'Amort. Sched.-BEST'!$R$7, 'Amort. Sched.-BEST'!$N$7), 0)</f>
        <v>0</v>
      </c>
      <c r="N155" s="5">
        <f>IF(AND(L155&gt;='Amort. Sched.-BEST'!$R$8, L155&lt;= ($R$7+$R$8)), (IPMT($N$8/12, (L155-$R$8), $R$7, $N$7)), 0)</f>
        <v>0</v>
      </c>
      <c r="O155" s="5">
        <f>IF(AND(L155&gt;='Amort. Sched.-BEST'!$R$8, L155&lt;= ($R$7+$R$8)), (PPMT($N$8/12, (L155-$R$8), $R$7, $N$7)), 0)</f>
        <v>0</v>
      </c>
      <c r="P155" s="5">
        <f>IF(CreditAmort1BEST[[#This Row],[Month]]=R$8,N$7,0)</f>
        <v>0</v>
      </c>
      <c r="Q155" s="13">
        <f>IF(AND(L155&gt;='Amort. Sched.-BEST'!$R$8, L155&lt;= ($R$7+$R$8)), Q154+O155, 0)</f>
        <v>0</v>
      </c>
      <c r="R155" s="6" t="str">
        <f>IF(AND(L155&gt;='Amort. Sched.-BEST'!$R$8, L155&lt;= ($R$7+$R$8)), N155/M155, " ")</f>
        <v xml:space="preserve"> </v>
      </c>
      <c r="S155" s="21" t="str">
        <f>IF(AND(L155&gt;='Amort. Sched.-BEST'!$R$8, L155&lt;= ($R$7+$R$8)), O155/M155, " ")</f>
        <v xml:space="preserve"> </v>
      </c>
      <c r="U155" s="22">
        <f t="shared" si="36"/>
        <v>144</v>
      </c>
      <c r="V155" s="23">
        <f>IF(AND(U155&gt;='Amort. Sched.-BEST'!$AA$8, U155&lt;= ($AA$7+$AA$8)), PMT('Amort. Sched.-BEST'!$W$8/12, 'Amort. Sched.-BEST'!$AA$7, 'Amort. Sched.-BEST'!$W$7), 0)</f>
        <v>0</v>
      </c>
      <c r="W155" s="5">
        <f>IF(AND(U155&gt;='Amort. Sched.-BEST'!$AA$8, U155&lt;= ($AA$7+$AA$8)), (IPMT($W$8/12, (U155-$AA$8), $AA$7, $W$7)), 0)</f>
        <v>0</v>
      </c>
      <c r="X155" s="23">
        <f>IF(AND(U155&gt;='Amort. Sched.-BEST'!$AA$8, U155&lt;= ($AA$7+$AA$8)), (PPMT($W$8/12, (U155-$AA$8), $AA$7, $W$7)), 0)</f>
        <v>0</v>
      </c>
      <c r="Y155" s="5">
        <f>IF(CreditAmort2BEST[[#This Row],[Month]]=AA$8,W$7,0)</f>
        <v>0</v>
      </c>
      <c r="Z155" s="13">
        <f>IF(AND(U155&gt;='Amort. Sched.-BEST'!$AA$8, U155&lt;= ($AA$7+$AA$8)), Z154+X155, 0)</f>
        <v>0</v>
      </c>
      <c r="AA155" s="24" t="str">
        <f>IF(AND(U155&gt;='Amort. Sched.-BEST'!$AA$8, U155&lt;= ($AA$7+$AA$8)), W155/V155, " ")</f>
        <v xml:space="preserve"> </v>
      </c>
      <c r="AB155" s="25" t="str">
        <f>IF(AND(U155&gt;='Amort. Sched.-BEST'!$AA$8, U155&lt;= ($AA$7+$AA$8)), X155/V155, " ")</f>
        <v xml:space="preserve"> </v>
      </c>
      <c r="AD155" s="22">
        <f t="shared" si="37"/>
        <v>144</v>
      </c>
      <c r="AE155" s="5">
        <f t="shared" si="38"/>
        <v>0</v>
      </c>
      <c r="AF155" s="5">
        <f t="shared" si="39"/>
        <v>0</v>
      </c>
      <c r="AG155" s="5">
        <f t="shared" si="40"/>
        <v>0</v>
      </c>
      <c r="AH155" s="5">
        <f>IF(CreditAmort3BEST[[#This Row],[Month]]=AJ$8,AF$7,0)</f>
        <v>0</v>
      </c>
      <c r="AI155" s="13">
        <f t="shared" si="41"/>
        <v>0</v>
      </c>
      <c r="AJ155" s="6" t="str">
        <f t="shared" si="42"/>
        <v xml:space="preserve"> </v>
      </c>
      <c r="AK155" s="21" t="str">
        <f t="shared" si="43"/>
        <v xml:space="preserve"> </v>
      </c>
      <c r="AM155" s="20">
        <f t="shared" si="44"/>
        <v>144</v>
      </c>
      <c r="AN155" s="5">
        <f t="shared" si="45"/>
        <v>0</v>
      </c>
      <c r="AO155" s="5">
        <f t="shared" si="46"/>
        <v>0</v>
      </c>
      <c r="AP155" s="5">
        <f t="shared" si="47"/>
        <v>0</v>
      </c>
      <c r="AQ155" s="5">
        <f>IF(CreditAmort4BEST[[#This Row],[Month]]=AS$8,AO$7,0)</f>
        <v>0</v>
      </c>
      <c r="AR155" s="13">
        <f t="shared" si="48"/>
        <v>0</v>
      </c>
      <c r="AS155" s="6" t="str">
        <f t="shared" si="49"/>
        <v xml:space="preserve"> </v>
      </c>
      <c r="AT155" s="21" t="str">
        <f t="shared" si="50"/>
        <v xml:space="preserve"> </v>
      </c>
    </row>
    <row r="156" spans="3:46">
      <c r="C156" s="22">
        <f t="shared" si="35"/>
        <v>145</v>
      </c>
      <c r="D156" s="23">
        <f>IF(AND(C156&gt;='Amort. Sched.-BEST'!$I$8, C156&lt;= ($I$7+$I$8)), PMT('Amort. Sched.-BEST'!$E$8/12, 'Amort. Sched.-BEST'!$I$7, 'Amort. Sched.-BEST'!$E$7), 0)</f>
        <v>-1350.6783839027553</v>
      </c>
      <c r="E156" s="5">
        <f>IF(AND(C156&gt;='Amort. Sched.-BEST'!$I$8, C156&lt;= ($I$7+$I$8)), (IPMT($E$8/12, (C156-$I$8), $I$7, $E$7)), 0)</f>
        <v>-871.62425849620638</v>
      </c>
      <c r="F156" s="23">
        <f>IF(AND(C156&gt;='Amort. Sched.-BEST'!$I$8, C156&lt;= ($I$7+$I$8)), (PPMT($E$8/12, (C156-$I$8), $I$7, $E$7)), 0)</f>
        <v>-479.05412540654908</v>
      </c>
      <c r="G156" s="5">
        <f>IF(MortgageAmortBEST[[#This Row],[Month]]=I$8,E$7,0)</f>
        <v>0</v>
      </c>
      <c r="H156" s="13">
        <f>IF(AND(C156&gt;='Amort. Sched.-BEST'!$I$8, C156&lt;= ($I$7+$I$8)), H155+F156, 0)</f>
        <v>130264.58464902436</v>
      </c>
      <c r="I156" s="24">
        <f>IF(AND(C156&gt;='Amort. Sched.-BEST'!$I$8, C156&lt;= ($I$7+$I$8)), E156/D156, " ")</f>
        <v>0.64532331966227774</v>
      </c>
      <c r="J156" s="25">
        <f>IF(AND(C156&gt;='Amort. Sched.-BEST'!$I$8, C156&lt;= ($I$7+$I$8)), F156/D156, " ")</f>
        <v>0.35467668033772243</v>
      </c>
      <c r="L156" s="20">
        <f t="shared" si="34"/>
        <v>145</v>
      </c>
      <c r="M156" s="5">
        <f>IF(AND(L156&gt;='Amort. Sched.-BEST'!$R$8, L156&lt;= ($R$7+$R$8)), PMT('Amort. Sched.-BEST'!$N$8/12, 'Amort. Sched.-BEST'!$R$7, 'Amort. Sched.-BEST'!$N$7), 0)</f>
        <v>0</v>
      </c>
      <c r="N156" s="5">
        <f>IF(AND(L156&gt;='Amort. Sched.-BEST'!$R$8, L156&lt;= ($R$7+$R$8)), (IPMT($N$8/12, (L156-$R$8), $R$7, $N$7)), 0)</f>
        <v>0</v>
      </c>
      <c r="O156" s="5">
        <f>IF(AND(L156&gt;='Amort. Sched.-BEST'!$R$8, L156&lt;= ($R$7+$R$8)), (PPMT($N$8/12, (L156-$R$8), $R$7, $N$7)), 0)</f>
        <v>0</v>
      </c>
      <c r="P156" s="5">
        <f>IF(CreditAmort1BEST[[#This Row],[Month]]=R$8,N$7,0)</f>
        <v>0</v>
      </c>
      <c r="Q156" s="13">
        <f>IF(AND(L156&gt;='Amort. Sched.-BEST'!$R$8, L156&lt;= ($R$7+$R$8)), Q155+O156, 0)</f>
        <v>0</v>
      </c>
      <c r="R156" s="6" t="str">
        <f>IF(AND(L156&gt;='Amort. Sched.-BEST'!$R$8, L156&lt;= ($R$7+$R$8)), N156/M156, " ")</f>
        <v xml:space="preserve"> </v>
      </c>
      <c r="S156" s="21" t="str">
        <f>IF(AND(L156&gt;='Amort. Sched.-BEST'!$R$8, L156&lt;= ($R$7+$R$8)), O156/M156, " ")</f>
        <v xml:space="preserve"> </v>
      </c>
      <c r="U156" s="22">
        <f t="shared" si="36"/>
        <v>145</v>
      </c>
      <c r="V156" s="23">
        <f>IF(AND(U156&gt;='Amort. Sched.-BEST'!$AA$8, U156&lt;= ($AA$7+$AA$8)), PMT('Amort. Sched.-BEST'!$W$8/12, 'Amort. Sched.-BEST'!$AA$7, 'Amort. Sched.-BEST'!$W$7), 0)</f>
        <v>0</v>
      </c>
      <c r="W156" s="5">
        <f>IF(AND(U156&gt;='Amort. Sched.-BEST'!$AA$8, U156&lt;= ($AA$7+$AA$8)), (IPMT($W$8/12, (U156-$AA$8), $AA$7, $W$7)), 0)</f>
        <v>0</v>
      </c>
      <c r="X156" s="23">
        <f>IF(AND(U156&gt;='Amort. Sched.-BEST'!$AA$8, U156&lt;= ($AA$7+$AA$8)), (PPMT($W$8/12, (U156-$AA$8), $AA$7, $W$7)), 0)</f>
        <v>0</v>
      </c>
      <c r="Y156" s="5">
        <f>IF(CreditAmort2BEST[[#This Row],[Month]]=AA$8,W$7,0)</f>
        <v>0</v>
      </c>
      <c r="Z156" s="13">
        <f>IF(AND(U156&gt;='Amort. Sched.-BEST'!$AA$8, U156&lt;= ($AA$7+$AA$8)), Z155+X156, 0)</f>
        <v>0</v>
      </c>
      <c r="AA156" s="24" t="str">
        <f>IF(AND(U156&gt;='Amort. Sched.-BEST'!$AA$8, U156&lt;= ($AA$7+$AA$8)), W156/V156, " ")</f>
        <v xml:space="preserve"> </v>
      </c>
      <c r="AB156" s="25" t="str">
        <f>IF(AND(U156&gt;='Amort. Sched.-BEST'!$AA$8, U156&lt;= ($AA$7+$AA$8)), X156/V156, " ")</f>
        <v xml:space="preserve"> </v>
      </c>
      <c r="AD156" s="22">
        <f t="shared" si="37"/>
        <v>145</v>
      </c>
      <c r="AE156" s="5">
        <f t="shared" si="38"/>
        <v>0</v>
      </c>
      <c r="AF156" s="5">
        <f t="shared" si="39"/>
        <v>0</v>
      </c>
      <c r="AG156" s="5">
        <f t="shared" si="40"/>
        <v>0</v>
      </c>
      <c r="AH156" s="5">
        <f>IF(CreditAmort3BEST[[#This Row],[Month]]=AJ$8,AF$7,0)</f>
        <v>0</v>
      </c>
      <c r="AI156" s="13">
        <f t="shared" si="41"/>
        <v>0</v>
      </c>
      <c r="AJ156" s="6" t="str">
        <f t="shared" si="42"/>
        <v xml:space="preserve"> </v>
      </c>
      <c r="AK156" s="21" t="str">
        <f t="shared" si="43"/>
        <v xml:space="preserve"> </v>
      </c>
      <c r="AM156" s="20">
        <f t="shared" si="44"/>
        <v>145</v>
      </c>
      <c r="AN156" s="5">
        <f t="shared" si="45"/>
        <v>0</v>
      </c>
      <c r="AO156" s="5">
        <f t="shared" si="46"/>
        <v>0</v>
      </c>
      <c r="AP156" s="5">
        <f t="shared" si="47"/>
        <v>0</v>
      </c>
      <c r="AQ156" s="5">
        <f>IF(CreditAmort4BEST[[#This Row],[Month]]=AS$8,AO$7,0)</f>
        <v>0</v>
      </c>
      <c r="AR156" s="13">
        <f t="shared" si="48"/>
        <v>0</v>
      </c>
      <c r="AS156" s="6" t="str">
        <f t="shared" si="49"/>
        <v xml:space="preserve"> </v>
      </c>
      <c r="AT156" s="21" t="str">
        <f t="shared" si="50"/>
        <v xml:space="preserve"> </v>
      </c>
    </row>
    <row r="157" spans="3:46">
      <c r="C157" s="22">
        <f t="shared" si="35"/>
        <v>146</v>
      </c>
      <c r="D157" s="23">
        <f>IF(AND(C157&gt;='Amort. Sched.-BEST'!$I$8, C157&lt;= ($I$7+$I$8)), PMT('Amort. Sched.-BEST'!$E$8/12, 'Amort. Sched.-BEST'!$I$7, 'Amort. Sched.-BEST'!$E$7), 0)</f>
        <v>-1350.6783839027553</v>
      </c>
      <c r="E157" s="5">
        <f>IF(AND(C157&gt;='Amort. Sched.-BEST'!$I$8, C157&lt;= ($I$7+$I$8)), (IPMT($E$8/12, (C157-$I$8), $I$7, $E$7)), 0)</f>
        <v>-868.43056432682943</v>
      </c>
      <c r="F157" s="23">
        <f>IF(AND(C157&gt;='Amort. Sched.-BEST'!$I$8, C157&lt;= ($I$7+$I$8)), (PPMT($E$8/12, (C157-$I$8), $I$7, $E$7)), 0)</f>
        <v>-482.24781957592603</v>
      </c>
      <c r="G157" s="5">
        <f>IF(MortgageAmortBEST[[#This Row],[Month]]=I$8,E$7,0)</f>
        <v>0</v>
      </c>
      <c r="H157" s="13">
        <f>IF(AND(C157&gt;='Amort. Sched.-BEST'!$I$8, C157&lt;= ($I$7+$I$8)), H156+F157, 0)</f>
        <v>129782.33682944842</v>
      </c>
      <c r="I157" s="24">
        <f>IF(AND(C157&gt;='Amort. Sched.-BEST'!$I$8, C157&lt;= ($I$7+$I$8)), E157/D157, " ")</f>
        <v>0.64295880846002629</v>
      </c>
      <c r="J157" s="25">
        <f>IF(AND(C157&gt;='Amort. Sched.-BEST'!$I$8, C157&lt;= ($I$7+$I$8)), F157/D157, " ")</f>
        <v>0.35704119153997388</v>
      </c>
      <c r="L157" s="20">
        <f t="shared" si="34"/>
        <v>146</v>
      </c>
      <c r="M157" s="5">
        <f>IF(AND(L157&gt;='Amort. Sched.-BEST'!$R$8, L157&lt;= ($R$7+$R$8)), PMT('Amort. Sched.-BEST'!$N$8/12, 'Amort. Sched.-BEST'!$R$7, 'Amort. Sched.-BEST'!$N$7), 0)</f>
        <v>0</v>
      </c>
      <c r="N157" s="5">
        <f>IF(AND(L157&gt;='Amort. Sched.-BEST'!$R$8, L157&lt;= ($R$7+$R$8)), (IPMT($N$8/12, (L157-$R$8), $R$7, $N$7)), 0)</f>
        <v>0</v>
      </c>
      <c r="O157" s="5">
        <f>IF(AND(L157&gt;='Amort. Sched.-BEST'!$R$8, L157&lt;= ($R$7+$R$8)), (PPMT($N$8/12, (L157-$R$8), $R$7, $N$7)), 0)</f>
        <v>0</v>
      </c>
      <c r="P157" s="5">
        <f>IF(CreditAmort1BEST[[#This Row],[Month]]=R$8,N$7,0)</f>
        <v>0</v>
      </c>
      <c r="Q157" s="13">
        <f>IF(AND(L157&gt;='Amort. Sched.-BEST'!$R$8, L157&lt;= ($R$7+$R$8)), Q156+O157, 0)</f>
        <v>0</v>
      </c>
      <c r="R157" s="6" t="str">
        <f>IF(AND(L157&gt;='Amort. Sched.-BEST'!$R$8, L157&lt;= ($R$7+$R$8)), N157/M157, " ")</f>
        <v xml:space="preserve"> </v>
      </c>
      <c r="S157" s="21" t="str">
        <f>IF(AND(L157&gt;='Amort. Sched.-BEST'!$R$8, L157&lt;= ($R$7+$R$8)), O157/M157, " ")</f>
        <v xml:space="preserve"> </v>
      </c>
      <c r="U157" s="22">
        <f t="shared" si="36"/>
        <v>146</v>
      </c>
      <c r="V157" s="23">
        <f>IF(AND(U157&gt;='Amort. Sched.-BEST'!$AA$8, U157&lt;= ($AA$7+$AA$8)), PMT('Amort. Sched.-BEST'!$W$8/12, 'Amort. Sched.-BEST'!$AA$7, 'Amort. Sched.-BEST'!$W$7), 0)</f>
        <v>0</v>
      </c>
      <c r="W157" s="5">
        <f>IF(AND(U157&gt;='Amort. Sched.-BEST'!$AA$8, U157&lt;= ($AA$7+$AA$8)), (IPMT($W$8/12, (U157-$AA$8), $AA$7, $W$7)), 0)</f>
        <v>0</v>
      </c>
      <c r="X157" s="23">
        <f>IF(AND(U157&gt;='Amort. Sched.-BEST'!$AA$8, U157&lt;= ($AA$7+$AA$8)), (PPMT($W$8/12, (U157-$AA$8), $AA$7, $W$7)), 0)</f>
        <v>0</v>
      </c>
      <c r="Y157" s="5">
        <f>IF(CreditAmort2BEST[[#This Row],[Month]]=AA$8,W$7,0)</f>
        <v>0</v>
      </c>
      <c r="Z157" s="13">
        <f>IF(AND(U157&gt;='Amort. Sched.-BEST'!$AA$8, U157&lt;= ($AA$7+$AA$8)), Z156+X157, 0)</f>
        <v>0</v>
      </c>
      <c r="AA157" s="24" t="str">
        <f>IF(AND(U157&gt;='Amort. Sched.-BEST'!$AA$8, U157&lt;= ($AA$7+$AA$8)), W157/V157, " ")</f>
        <v xml:space="preserve"> </v>
      </c>
      <c r="AB157" s="25" t="str">
        <f>IF(AND(U157&gt;='Amort. Sched.-BEST'!$AA$8, U157&lt;= ($AA$7+$AA$8)), X157/V157, " ")</f>
        <v xml:space="preserve"> </v>
      </c>
      <c r="AD157" s="22">
        <f t="shared" si="37"/>
        <v>146</v>
      </c>
      <c r="AE157" s="5">
        <f t="shared" si="38"/>
        <v>0</v>
      </c>
      <c r="AF157" s="5">
        <f t="shared" si="39"/>
        <v>0</v>
      </c>
      <c r="AG157" s="5">
        <f t="shared" si="40"/>
        <v>0</v>
      </c>
      <c r="AH157" s="5">
        <f>IF(CreditAmort3BEST[[#This Row],[Month]]=AJ$8,AF$7,0)</f>
        <v>0</v>
      </c>
      <c r="AI157" s="13">
        <f t="shared" si="41"/>
        <v>0</v>
      </c>
      <c r="AJ157" s="6" t="str">
        <f t="shared" si="42"/>
        <v xml:space="preserve"> </v>
      </c>
      <c r="AK157" s="21" t="str">
        <f t="shared" si="43"/>
        <v xml:space="preserve"> </v>
      </c>
      <c r="AM157" s="20">
        <f t="shared" si="44"/>
        <v>146</v>
      </c>
      <c r="AN157" s="5">
        <f t="shared" si="45"/>
        <v>0</v>
      </c>
      <c r="AO157" s="5">
        <f t="shared" si="46"/>
        <v>0</v>
      </c>
      <c r="AP157" s="5">
        <f t="shared" si="47"/>
        <v>0</v>
      </c>
      <c r="AQ157" s="5">
        <f>IF(CreditAmort4BEST[[#This Row],[Month]]=AS$8,AO$7,0)</f>
        <v>0</v>
      </c>
      <c r="AR157" s="13">
        <f t="shared" si="48"/>
        <v>0</v>
      </c>
      <c r="AS157" s="6" t="str">
        <f t="shared" si="49"/>
        <v xml:space="preserve"> </v>
      </c>
      <c r="AT157" s="21" t="str">
        <f t="shared" si="50"/>
        <v xml:space="preserve"> </v>
      </c>
    </row>
    <row r="158" spans="3:46">
      <c r="C158" s="22">
        <f t="shared" si="35"/>
        <v>147</v>
      </c>
      <c r="D158" s="23">
        <f>IF(AND(C158&gt;='Amort. Sched.-BEST'!$I$8, C158&lt;= ($I$7+$I$8)), PMT('Amort. Sched.-BEST'!$E$8/12, 'Amort. Sched.-BEST'!$I$7, 'Amort. Sched.-BEST'!$E$7), 0)</f>
        <v>-1350.6783839027553</v>
      </c>
      <c r="E158" s="5">
        <f>IF(AND(C158&gt;='Amort. Sched.-BEST'!$I$8, C158&lt;= ($I$7+$I$8)), (IPMT($E$8/12, (C158-$I$8), $I$7, $E$7)), 0)</f>
        <v>-865.21557886298979</v>
      </c>
      <c r="F158" s="23">
        <f>IF(AND(C158&gt;='Amort. Sched.-BEST'!$I$8, C158&lt;= ($I$7+$I$8)), (PPMT($E$8/12, (C158-$I$8), $I$7, $E$7)), 0)</f>
        <v>-485.4628050397655</v>
      </c>
      <c r="G158" s="5">
        <f>IF(MortgageAmortBEST[[#This Row],[Month]]=I$8,E$7,0)</f>
        <v>0</v>
      </c>
      <c r="H158" s="13">
        <f>IF(AND(C158&gt;='Amort. Sched.-BEST'!$I$8, C158&lt;= ($I$7+$I$8)), H157+F158, 0)</f>
        <v>129296.87402440867</v>
      </c>
      <c r="I158" s="24">
        <f>IF(AND(C158&gt;='Amort. Sched.-BEST'!$I$8, C158&lt;= ($I$7+$I$8)), E158/D158, " ")</f>
        <v>0.6405785338497596</v>
      </c>
      <c r="J158" s="25">
        <f>IF(AND(C158&gt;='Amort. Sched.-BEST'!$I$8, C158&lt;= ($I$7+$I$8)), F158/D158, " ")</f>
        <v>0.35942146615024034</v>
      </c>
      <c r="L158" s="20">
        <f t="shared" si="34"/>
        <v>147</v>
      </c>
      <c r="M158" s="5">
        <f>IF(AND(L158&gt;='Amort. Sched.-BEST'!$R$8, L158&lt;= ($R$7+$R$8)), PMT('Amort. Sched.-BEST'!$N$8/12, 'Amort. Sched.-BEST'!$R$7, 'Amort. Sched.-BEST'!$N$7), 0)</f>
        <v>0</v>
      </c>
      <c r="N158" s="5">
        <f>IF(AND(L158&gt;='Amort. Sched.-BEST'!$R$8, L158&lt;= ($R$7+$R$8)), (IPMT($N$8/12, (L158-$R$8), $R$7, $N$7)), 0)</f>
        <v>0</v>
      </c>
      <c r="O158" s="5">
        <f>IF(AND(L158&gt;='Amort. Sched.-BEST'!$R$8, L158&lt;= ($R$7+$R$8)), (PPMT($N$8/12, (L158-$R$8), $R$7, $N$7)), 0)</f>
        <v>0</v>
      </c>
      <c r="P158" s="5">
        <f>IF(CreditAmort1BEST[[#This Row],[Month]]=R$8,N$7,0)</f>
        <v>0</v>
      </c>
      <c r="Q158" s="13">
        <f>IF(AND(L158&gt;='Amort. Sched.-BEST'!$R$8, L158&lt;= ($R$7+$R$8)), Q157+O158, 0)</f>
        <v>0</v>
      </c>
      <c r="R158" s="6" t="str">
        <f>IF(AND(L158&gt;='Amort. Sched.-BEST'!$R$8, L158&lt;= ($R$7+$R$8)), N158/M158, " ")</f>
        <v xml:space="preserve"> </v>
      </c>
      <c r="S158" s="21" t="str">
        <f>IF(AND(L158&gt;='Amort. Sched.-BEST'!$R$8, L158&lt;= ($R$7+$R$8)), O158/M158, " ")</f>
        <v xml:space="preserve"> </v>
      </c>
      <c r="U158" s="22">
        <f t="shared" si="36"/>
        <v>147</v>
      </c>
      <c r="V158" s="23">
        <f>IF(AND(U158&gt;='Amort. Sched.-BEST'!$AA$8, U158&lt;= ($AA$7+$AA$8)), PMT('Amort. Sched.-BEST'!$W$8/12, 'Amort. Sched.-BEST'!$AA$7, 'Amort. Sched.-BEST'!$W$7), 0)</f>
        <v>0</v>
      </c>
      <c r="W158" s="5">
        <f>IF(AND(U158&gt;='Amort. Sched.-BEST'!$AA$8, U158&lt;= ($AA$7+$AA$8)), (IPMT($W$8/12, (U158-$AA$8), $AA$7, $W$7)), 0)</f>
        <v>0</v>
      </c>
      <c r="X158" s="23">
        <f>IF(AND(U158&gt;='Amort. Sched.-BEST'!$AA$8, U158&lt;= ($AA$7+$AA$8)), (PPMT($W$8/12, (U158-$AA$8), $AA$7, $W$7)), 0)</f>
        <v>0</v>
      </c>
      <c r="Y158" s="5">
        <f>IF(CreditAmort2BEST[[#This Row],[Month]]=AA$8,W$7,0)</f>
        <v>0</v>
      </c>
      <c r="Z158" s="13">
        <f>IF(AND(U158&gt;='Amort. Sched.-BEST'!$AA$8, U158&lt;= ($AA$7+$AA$8)), Z157+X158, 0)</f>
        <v>0</v>
      </c>
      <c r="AA158" s="24" t="str">
        <f>IF(AND(U158&gt;='Amort. Sched.-BEST'!$AA$8, U158&lt;= ($AA$7+$AA$8)), W158/V158, " ")</f>
        <v xml:space="preserve"> </v>
      </c>
      <c r="AB158" s="25" t="str">
        <f>IF(AND(U158&gt;='Amort. Sched.-BEST'!$AA$8, U158&lt;= ($AA$7+$AA$8)), X158/V158, " ")</f>
        <v xml:space="preserve"> </v>
      </c>
      <c r="AD158" s="22">
        <f t="shared" si="37"/>
        <v>147</v>
      </c>
      <c r="AE158" s="5">
        <f t="shared" si="38"/>
        <v>0</v>
      </c>
      <c r="AF158" s="5">
        <f t="shared" si="39"/>
        <v>0</v>
      </c>
      <c r="AG158" s="5">
        <f t="shared" si="40"/>
        <v>0</v>
      </c>
      <c r="AH158" s="5">
        <f>IF(CreditAmort3BEST[[#This Row],[Month]]=AJ$8,AF$7,0)</f>
        <v>0</v>
      </c>
      <c r="AI158" s="13">
        <f t="shared" si="41"/>
        <v>0</v>
      </c>
      <c r="AJ158" s="6" t="str">
        <f t="shared" si="42"/>
        <v xml:space="preserve"> </v>
      </c>
      <c r="AK158" s="21" t="str">
        <f t="shared" si="43"/>
        <v xml:space="preserve"> </v>
      </c>
      <c r="AM158" s="20">
        <f t="shared" si="44"/>
        <v>147</v>
      </c>
      <c r="AN158" s="5">
        <f t="shared" si="45"/>
        <v>0</v>
      </c>
      <c r="AO158" s="5">
        <f t="shared" si="46"/>
        <v>0</v>
      </c>
      <c r="AP158" s="5">
        <f t="shared" si="47"/>
        <v>0</v>
      </c>
      <c r="AQ158" s="5">
        <f>IF(CreditAmort4BEST[[#This Row],[Month]]=AS$8,AO$7,0)</f>
        <v>0</v>
      </c>
      <c r="AR158" s="13">
        <f t="shared" si="48"/>
        <v>0</v>
      </c>
      <c r="AS158" s="6" t="str">
        <f t="shared" si="49"/>
        <v xml:space="preserve"> </v>
      </c>
      <c r="AT158" s="21" t="str">
        <f t="shared" si="50"/>
        <v xml:space="preserve"> </v>
      </c>
    </row>
    <row r="159" spans="3:46">
      <c r="C159" s="22">
        <f t="shared" si="35"/>
        <v>148</v>
      </c>
      <c r="D159" s="23">
        <f>IF(AND(C159&gt;='Amort. Sched.-BEST'!$I$8, C159&lt;= ($I$7+$I$8)), PMT('Amort. Sched.-BEST'!$E$8/12, 'Amort. Sched.-BEST'!$I$7, 'Amort. Sched.-BEST'!$E$7), 0)</f>
        <v>-1350.6783839027553</v>
      </c>
      <c r="E159" s="5">
        <f>IF(AND(C159&gt;='Amort. Sched.-BEST'!$I$8, C159&lt;= ($I$7+$I$8)), (IPMT($E$8/12, (C159-$I$8), $I$7, $E$7)), 0)</f>
        <v>-861.97916016272472</v>
      </c>
      <c r="F159" s="23">
        <f>IF(AND(C159&gt;='Amort. Sched.-BEST'!$I$8, C159&lt;= ($I$7+$I$8)), (PPMT($E$8/12, (C159-$I$8), $I$7, $E$7)), 0)</f>
        <v>-488.69922374003067</v>
      </c>
      <c r="G159" s="5">
        <f>IF(MortgageAmortBEST[[#This Row],[Month]]=I$8,E$7,0)</f>
        <v>0</v>
      </c>
      <c r="H159" s="13">
        <f>IF(AND(C159&gt;='Amort. Sched.-BEST'!$I$8, C159&lt;= ($I$7+$I$8)), H158+F159, 0)</f>
        <v>128808.17480066864</v>
      </c>
      <c r="I159" s="24">
        <f>IF(AND(C159&gt;='Amort. Sched.-BEST'!$I$8, C159&lt;= ($I$7+$I$8)), E159/D159, " ")</f>
        <v>0.63818239074209138</v>
      </c>
      <c r="J159" s="25">
        <f>IF(AND(C159&gt;='Amort. Sched.-BEST'!$I$8, C159&lt;= ($I$7+$I$8)), F159/D159, " ")</f>
        <v>0.36181760925790868</v>
      </c>
      <c r="L159" s="20">
        <f t="shared" si="34"/>
        <v>148</v>
      </c>
      <c r="M159" s="5">
        <f>IF(AND(L159&gt;='Amort. Sched.-BEST'!$R$8, L159&lt;= ($R$7+$R$8)), PMT('Amort. Sched.-BEST'!$N$8/12, 'Amort. Sched.-BEST'!$R$7, 'Amort. Sched.-BEST'!$N$7), 0)</f>
        <v>0</v>
      </c>
      <c r="N159" s="5">
        <f>IF(AND(L159&gt;='Amort. Sched.-BEST'!$R$8, L159&lt;= ($R$7+$R$8)), (IPMT($N$8/12, (L159-$R$8), $R$7, $N$7)), 0)</f>
        <v>0</v>
      </c>
      <c r="O159" s="5">
        <f>IF(AND(L159&gt;='Amort. Sched.-BEST'!$R$8, L159&lt;= ($R$7+$R$8)), (PPMT($N$8/12, (L159-$R$8), $R$7, $N$7)), 0)</f>
        <v>0</v>
      </c>
      <c r="P159" s="5">
        <f>IF(CreditAmort1BEST[[#This Row],[Month]]=R$8,N$7,0)</f>
        <v>0</v>
      </c>
      <c r="Q159" s="13">
        <f>IF(AND(L159&gt;='Amort. Sched.-BEST'!$R$8, L159&lt;= ($R$7+$R$8)), Q158+O159, 0)</f>
        <v>0</v>
      </c>
      <c r="R159" s="6" t="str">
        <f>IF(AND(L159&gt;='Amort. Sched.-BEST'!$R$8, L159&lt;= ($R$7+$R$8)), N159/M159, " ")</f>
        <v xml:space="preserve"> </v>
      </c>
      <c r="S159" s="21" t="str">
        <f>IF(AND(L159&gt;='Amort. Sched.-BEST'!$R$8, L159&lt;= ($R$7+$R$8)), O159/M159, " ")</f>
        <v xml:space="preserve"> </v>
      </c>
      <c r="U159" s="22">
        <f t="shared" si="36"/>
        <v>148</v>
      </c>
      <c r="V159" s="23">
        <f>IF(AND(U159&gt;='Amort. Sched.-BEST'!$AA$8, U159&lt;= ($AA$7+$AA$8)), PMT('Amort. Sched.-BEST'!$W$8/12, 'Amort. Sched.-BEST'!$AA$7, 'Amort. Sched.-BEST'!$W$7), 0)</f>
        <v>0</v>
      </c>
      <c r="W159" s="5">
        <f>IF(AND(U159&gt;='Amort. Sched.-BEST'!$AA$8, U159&lt;= ($AA$7+$AA$8)), (IPMT($W$8/12, (U159-$AA$8), $AA$7, $W$7)), 0)</f>
        <v>0</v>
      </c>
      <c r="X159" s="23">
        <f>IF(AND(U159&gt;='Amort. Sched.-BEST'!$AA$8, U159&lt;= ($AA$7+$AA$8)), (PPMT($W$8/12, (U159-$AA$8), $AA$7, $W$7)), 0)</f>
        <v>0</v>
      </c>
      <c r="Y159" s="5">
        <f>IF(CreditAmort2BEST[[#This Row],[Month]]=AA$8,W$7,0)</f>
        <v>0</v>
      </c>
      <c r="Z159" s="13">
        <f>IF(AND(U159&gt;='Amort. Sched.-BEST'!$AA$8, U159&lt;= ($AA$7+$AA$8)), Z158+X159, 0)</f>
        <v>0</v>
      </c>
      <c r="AA159" s="24" t="str">
        <f>IF(AND(U159&gt;='Amort. Sched.-BEST'!$AA$8, U159&lt;= ($AA$7+$AA$8)), W159/V159, " ")</f>
        <v xml:space="preserve"> </v>
      </c>
      <c r="AB159" s="25" t="str">
        <f>IF(AND(U159&gt;='Amort. Sched.-BEST'!$AA$8, U159&lt;= ($AA$7+$AA$8)), X159/V159, " ")</f>
        <v xml:space="preserve"> </v>
      </c>
      <c r="AD159" s="22">
        <f t="shared" si="37"/>
        <v>148</v>
      </c>
      <c r="AE159" s="5">
        <f t="shared" si="38"/>
        <v>0</v>
      </c>
      <c r="AF159" s="5">
        <f t="shared" si="39"/>
        <v>0</v>
      </c>
      <c r="AG159" s="5">
        <f t="shared" si="40"/>
        <v>0</v>
      </c>
      <c r="AH159" s="5">
        <f>IF(CreditAmort3BEST[[#This Row],[Month]]=AJ$8,AF$7,0)</f>
        <v>0</v>
      </c>
      <c r="AI159" s="13">
        <f t="shared" si="41"/>
        <v>0</v>
      </c>
      <c r="AJ159" s="6" t="str">
        <f t="shared" si="42"/>
        <v xml:space="preserve"> </v>
      </c>
      <c r="AK159" s="21" t="str">
        <f t="shared" si="43"/>
        <v xml:space="preserve"> </v>
      </c>
      <c r="AM159" s="20">
        <f t="shared" si="44"/>
        <v>148</v>
      </c>
      <c r="AN159" s="5">
        <f t="shared" si="45"/>
        <v>0</v>
      </c>
      <c r="AO159" s="5">
        <f t="shared" si="46"/>
        <v>0</v>
      </c>
      <c r="AP159" s="5">
        <f t="shared" si="47"/>
        <v>0</v>
      </c>
      <c r="AQ159" s="5">
        <f>IF(CreditAmort4BEST[[#This Row],[Month]]=AS$8,AO$7,0)</f>
        <v>0</v>
      </c>
      <c r="AR159" s="13">
        <f t="shared" si="48"/>
        <v>0</v>
      </c>
      <c r="AS159" s="6" t="str">
        <f t="shared" si="49"/>
        <v xml:space="preserve"> </v>
      </c>
      <c r="AT159" s="21" t="str">
        <f t="shared" si="50"/>
        <v xml:space="preserve"> </v>
      </c>
    </row>
    <row r="160" spans="3:46">
      <c r="C160" s="22">
        <f t="shared" si="35"/>
        <v>149</v>
      </c>
      <c r="D160" s="23">
        <f>IF(AND(C160&gt;='Amort. Sched.-BEST'!$I$8, C160&lt;= ($I$7+$I$8)), PMT('Amort. Sched.-BEST'!$E$8/12, 'Amort. Sched.-BEST'!$I$7, 'Amort. Sched.-BEST'!$E$7), 0)</f>
        <v>-1350.6783839027553</v>
      </c>
      <c r="E160" s="5">
        <f>IF(AND(C160&gt;='Amort. Sched.-BEST'!$I$8, C160&lt;= ($I$7+$I$8)), (IPMT($E$8/12, (C160-$I$8), $I$7, $E$7)), 0)</f>
        <v>-858.72116533779126</v>
      </c>
      <c r="F160" s="23">
        <f>IF(AND(C160&gt;='Amort. Sched.-BEST'!$I$8, C160&lt;= ($I$7+$I$8)), (PPMT($E$8/12, (C160-$I$8), $I$7, $E$7)), 0)</f>
        <v>-491.95721856496414</v>
      </c>
      <c r="G160" s="5">
        <f>IF(MortgageAmortBEST[[#This Row],[Month]]=I$8,E$7,0)</f>
        <v>0</v>
      </c>
      <c r="H160" s="13">
        <f>IF(AND(C160&gt;='Amort. Sched.-BEST'!$I$8, C160&lt;= ($I$7+$I$8)), H159+F160, 0)</f>
        <v>128316.21758210368</v>
      </c>
      <c r="I160" s="24">
        <f>IF(AND(C160&gt;='Amort. Sched.-BEST'!$I$8, C160&lt;= ($I$7+$I$8)), E160/D160, " ")</f>
        <v>0.63577027334703873</v>
      </c>
      <c r="J160" s="25">
        <f>IF(AND(C160&gt;='Amort. Sched.-BEST'!$I$8, C160&lt;= ($I$7+$I$8)), F160/D160, " ")</f>
        <v>0.36422972665296133</v>
      </c>
      <c r="L160" s="20">
        <f t="shared" si="34"/>
        <v>149</v>
      </c>
      <c r="M160" s="5">
        <f>IF(AND(L160&gt;='Amort. Sched.-BEST'!$R$8, L160&lt;= ($R$7+$R$8)), PMT('Amort. Sched.-BEST'!$N$8/12, 'Amort. Sched.-BEST'!$R$7, 'Amort. Sched.-BEST'!$N$7), 0)</f>
        <v>0</v>
      </c>
      <c r="N160" s="5">
        <f>IF(AND(L160&gt;='Amort. Sched.-BEST'!$R$8, L160&lt;= ($R$7+$R$8)), (IPMT($N$8/12, (L160-$R$8), $R$7, $N$7)), 0)</f>
        <v>0</v>
      </c>
      <c r="O160" s="5">
        <f>IF(AND(L160&gt;='Amort. Sched.-BEST'!$R$8, L160&lt;= ($R$7+$R$8)), (PPMT($N$8/12, (L160-$R$8), $R$7, $N$7)), 0)</f>
        <v>0</v>
      </c>
      <c r="P160" s="5">
        <f>IF(CreditAmort1BEST[[#This Row],[Month]]=R$8,N$7,0)</f>
        <v>0</v>
      </c>
      <c r="Q160" s="13">
        <f>IF(AND(L160&gt;='Amort. Sched.-BEST'!$R$8, L160&lt;= ($R$7+$R$8)), Q159+O160, 0)</f>
        <v>0</v>
      </c>
      <c r="R160" s="6" t="str">
        <f>IF(AND(L160&gt;='Amort. Sched.-BEST'!$R$8, L160&lt;= ($R$7+$R$8)), N160/M160, " ")</f>
        <v xml:space="preserve"> </v>
      </c>
      <c r="S160" s="21" t="str">
        <f>IF(AND(L160&gt;='Amort. Sched.-BEST'!$R$8, L160&lt;= ($R$7+$R$8)), O160/M160, " ")</f>
        <v xml:space="preserve"> </v>
      </c>
      <c r="U160" s="22">
        <f t="shared" si="36"/>
        <v>149</v>
      </c>
      <c r="V160" s="23">
        <f>IF(AND(U160&gt;='Amort. Sched.-BEST'!$AA$8, U160&lt;= ($AA$7+$AA$8)), PMT('Amort. Sched.-BEST'!$W$8/12, 'Amort. Sched.-BEST'!$AA$7, 'Amort. Sched.-BEST'!$W$7), 0)</f>
        <v>0</v>
      </c>
      <c r="W160" s="5">
        <f>IF(AND(U160&gt;='Amort. Sched.-BEST'!$AA$8, U160&lt;= ($AA$7+$AA$8)), (IPMT($W$8/12, (U160-$AA$8), $AA$7, $W$7)), 0)</f>
        <v>0</v>
      </c>
      <c r="X160" s="23">
        <f>IF(AND(U160&gt;='Amort. Sched.-BEST'!$AA$8, U160&lt;= ($AA$7+$AA$8)), (PPMT($W$8/12, (U160-$AA$8), $AA$7, $W$7)), 0)</f>
        <v>0</v>
      </c>
      <c r="Y160" s="5">
        <f>IF(CreditAmort2BEST[[#This Row],[Month]]=AA$8,W$7,0)</f>
        <v>0</v>
      </c>
      <c r="Z160" s="13">
        <f>IF(AND(U160&gt;='Amort. Sched.-BEST'!$AA$8, U160&lt;= ($AA$7+$AA$8)), Z159+X160, 0)</f>
        <v>0</v>
      </c>
      <c r="AA160" s="24" t="str">
        <f>IF(AND(U160&gt;='Amort. Sched.-BEST'!$AA$8, U160&lt;= ($AA$7+$AA$8)), W160/V160, " ")</f>
        <v xml:space="preserve"> </v>
      </c>
      <c r="AB160" s="25" t="str">
        <f>IF(AND(U160&gt;='Amort. Sched.-BEST'!$AA$8, U160&lt;= ($AA$7+$AA$8)), X160/V160, " ")</f>
        <v xml:space="preserve"> </v>
      </c>
      <c r="AD160" s="22">
        <f t="shared" si="37"/>
        <v>149</v>
      </c>
      <c r="AE160" s="5">
        <f t="shared" si="38"/>
        <v>0</v>
      </c>
      <c r="AF160" s="5">
        <f t="shared" si="39"/>
        <v>0</v>
      </c>
      <c r="AG160" s="5">
        <f t="shared" si="40"/>
        <v>0</v>
      </c>
      <c r="AH160" s="5">
        <f>IF(CreditAmort3BEST[[#This Row],[Month]]=AJ$8,AF$7,0)</f>
        <v>0</v>
      </c>
      <c r="AI160" s="13">
        <f t="shared" si="41"/>
        <v>0</v>
      </c>
      <c r="AJ160" s="6" t="str">
        <f t="shared" si="42"/>
        <v xml:space="preserve"> </v>
      </c>
      <c r="AK160" s="21" t="str">
        <f t="shared" si="43"/>
        <v xml:space="preserve"> </v>
      </c>
      <c r="AM160" s="20">
        <f t="shared" si="44"/>
        <v>149</v>
      </c>
      <c r="AN160" s="5">
        <f t="shared" si="45"/>
        <v>0</v>
      </c>
      <c r="AO160" s="5">
        <f t="shared" si="46"/>
        <v>0</v>
      </c>
      <c r="AP160" s="5">
        <f t="shared" si="47"/>
        <v>0</v>
      </c>
      <c r="AQ160" s="5">
        <f>IF(CreditAmort4BEST[[#This Row],[Month]]=AS$8,AO$7,0)</f>
        <v>0</v>
      </c>
      <c r="AR160" s="13">
        <f t="shared" si="48"/>
        <v>0</v>
      </c>
      <c r="AS160" s="6" t="str">
        <f t="shared" si="49"/>
        <v xml:space="preserve"> </v>
      </c>
      <c r="AT160" s="21" t="str">
        <f t="shared" si="50"/>
        <v xml:space="preserve"> </v>
      </c>
    </row>
    <row r="161" spans="3:46">
      <c r="C161" s="22">
        <f t="shared" si="35"/>
        <v>150</v>
      </c>
      <c r="D161" s="23">
        <f>IF(AND(C161&gt;='Amort. Sched.-BEST'!$I$8, C161&lt;= ($I$7+$I$8)), PMT('Amort. Sched.-BEST'!$E$8/12, 'Amort. Sched.-BEST'!$I$7, 'Amort. Sched.-BEST'!$E$7), 0)</f>
        <v>-1350.6783839027553</v>
      </c>
      <c r="E161" s="5">
        <f>IF(AND(C161&gt;='Amort. Sched.-BEST'!$I$8, C161&lt;= ($I$7+$I$8)), (IPMT($E$8/12, (C161-$I$8), $I$7, $E$7)), 0)</f>
        <v>-855.44145054735816</v>
      </c>
      <c r="F161" s="23">
        <f>IF(AND(C161&gt;='Amort. Sched.-BEST'!$I$8, C161&lt;= ($I$7+$I$8)), (PPMT($E$8/12, (C161-$I$8), $I$7, $E$7)), 0)</f>
        <v>-495.23693335539724</v>
      </c>
      <c r="G161" s="5">
        <f>IF(MortgageAmortBEST[[#This Row],[Month]]=I$8,E$7,0)</f>
        <v>0</v>
      </c>
      <c r="H161" s="13">
        <f>IF(AND(C161&gt;='Amort. Sched.-BEST'!$I$8, C161&lt;= ($I$7+$I$8)), H160+F161, 0)</f>
        <v>127820.98064874829</v>
      </c>
      <c r="I161" s="24">
        <f>IF(AND(C161&gt;='Amort. Sched.-BEST'!$I$8, C161&lt;= ($I$7+$I$8)), E161/D161, " ")</f>
        <v>0.63334207516935237</v>
      </c>
      <c r="J161" s="25">
        <f>IF(AND(C161&gt;='Amort. Sched.-BEST'!$I$8, C161&lt;= ($I$7+$I$8)), F161/D161, " ")</f>
        <v>0.36665792483064774</v>
      </c>
      <c r="L161" s="20">
        <f t="shared" si="34"/>
        <v>150</v>
      </c>
      <c r="M161" s="5">
        <f>IF(AND(L161&gt;='Amort. Sched.-BEST'!$R$8, L161&lt;= ($R$7+$R$8)), PMT('Amort. Sched.-BEST'!$N$8/12, 'Amort. Sched.-BEST'!$R$7, 'Amort. Sched.-BEST'!$N$7), 0)</f>
        <v>0</v>
      </c>
      <c r="N161" s="5">
        <f>IF(AND(L161&gt;='Amort. Sched.-BEST'!$R$8, L161&lt;= ($R$7+$R$8)), (IPMT($N$8/12, (L161-$R$8), $R$7, $N$7)), 0)</f>
        <v>0</v>
      </c>
      <c r="O161" s="5">
        <f>IF(AND(L161&gt;='Amort. Sched.-BEST'!$R$8, L161&lt;= ($R$7+$R$8)), (PPMT($N$8/12, (L161-$R$8), $R$7, $N$7)), 0)</f>
        <v>0</v>
      </c>
      <c r="P161" s="5">
        <f>IF(CreditAmort1BEST[[#This Row],[Month]]=R$8,N$7,0)</f>
        <v>0</v>
      </c>
      <c r="Q161" s="13">
        <f>IF(AND(L161&gt;='Amort. Sched.-BEST'!$R$8, L161&lt;= ($R$7+$R$8)), Q160+O161, 0)</f>
        <v>0</v>
      </c>
      <c r="R161" s="6" t="str">
        <f>IF(AND(L161&gt;='Amort. Sched.-BEST'!$R$8, L161&lt;= ($R$7+$R$8)), N161/M161, " ")</f>
        <v xml:space="preserve"> </v>
      </c>
      <c r="S161" s="21" t="str">
        <f>IF(AND(L161&gt;='Amort. Sched.-BEST'!$R$8, L161&lt;= ($R$7+$R$8)), O161/M161, " ")</f>
        <v xml:space="preserve"> </v>
      </c>
      <c r="U161" s="22">
        <f t="shared" si="36"/>
        <v>150</v>
      </c>
      <c r="V161" s="23">
        <f>IF(AND(U161&gt;='Amort. Sched.-BEST'!$AA$8, U161&lt;= ($AA$7+$AA$8)), PMT('Amort. Sched.-BEST'!$W$8/12, 'Amort. Sched.-BEST'!$AA$7, 'Amort. Sched.-BEST'!$W$7), 0)</f>
        <v>0</v>
      </c>
      <c r="W161" s="5">
        <f>IF(AND(U161&gt;='Amort. Sched.-BEST'!$AA$8, U161&lt;= ($AA$7+$AA$8)), (IPMT($W$8/12, (U161-$AA$8), $AA$7, $W$7)), 0)</f>
        <v>0</v>
      </c>
      <c r="X161" s="23">
        <f>IF(AND(U161&gt;='Amort. Sched.-BEST'!$AA$8, U161&lt;= ($AA$7+$AA$8)), (PPMT($W$8/12, (U161-$AA$8), $AA$7, $W$7)), 0)</f>
        <v>0</v>
      </c>
      <c r="Y161" s="5">
        <f>IF(CreditAmort2BEST[[#This Row],[Month]]=AA$8,W$7,0)</f>
        <v>0</v>
      </c>
      <c r="Z161" s="13">
        <f>IF(AND(U161&gt;='Amort. Sched.-BEST'!$AA$8, U161&lt;= ($AA$7+$AA$8)), Z160+X161, 0)</f>
        <v>0</v>
      </c>
      <c r="AA161" s="24" t="str">
        <f>IF(AND(U161&gt;='Amort. Sched.-BEST'!$AA$8, U161&lt;= ($AA$7+$AA$8)), W161/V161, " ")</f>
        <v xml:space="preserve"> </v>
      </c>
      <c r="AB161" s="25" t="str">
        <f>IF(AND(U161&gt;='Amort. Sched.-BEST'!$AA$8, U161&lt;= ($AA$7+$AA$8)), X161/V161, " ")</f>
        <v xml:space="preserve"> </v>
      </c>
      <c r="AD161" s="22">
        <f t="shared" si="37"/>
        <v>150</v>
      </c>
      <c r="AE161" s="5">
        <f t="shared" si="38"/>
        <v>0</v>
      </c>
      <c r="AF161" s="5">
        <f t="shared" si="39"/>
        <v>0</v>
      </c>
      <c r="AG161" s="5">
        <f t="shared" si="40"/>
        <v>0</v>
      </c>
      <c r="AH161" s="5">
        <f>IF(CreditAmort3BEST[[#This Row],[Month]]=AJ$8,AF$7,0)</f>
        <v>0</v>
      </c>
      <c r="AI161" s="13">
        <f t="shared" si="41"/>
        <v>0</v>
      </c>
      <c r="AJ161" s="6" t="str">
        <f t="shared" si="42"/>
        <v xml:space="preserve"> </v>
      </c>
      <c r="AK161" s="21" t="str">
        <f t="shared" si="43"/>
        <v xml:space="preserve"> </v>
      </c>
      <c r="AM161" s="20">
        <f t="shared" si="44"/>
        <v>150</v>
      </c>
      <c r="AN161" s="5">
        <f t="shared" si="45"/>
        <v>0</v>
      </c>
      <c r="AO161" s="5">
        <f t="shared" si="46"/>
        <v>0</v>
      </c>
      <c r="AP161" s="5">
        <f t="shared" si="47"/>
        <v>0</v>
      </c>
      <c r="AQ161" s="5">
        <f>IF(CreditAmort4BEST[[#This Row],[Month]]=AS$8,AO$7,0)</f>
        <v>0</v>
      </c>
      <c r="AR161" s="13">
        <f t="shared" si="48"/>
        <v>0</v>
      </c>
      <c r="AS161" s="6" t="str">
        <f t="shared" si="49"/>
        <v xml:space="preserve"> </v>
      </c>
      <c r="AT161" s="21" t="str">
        <f t="shared" si="50"/>
        <v xml:space="preserve"> </v>
      </c>
    </row>
    <row r="162" spans="3:46">
      <c r="C162" s="22">
        <f t="shared" si="35"/>
        <v>151</v>
      </c>
      <c r="D162" s="23">
        <f>IF(AND(C162&gt;='Amort. Sched.-BEST'!$I$8, C162&lt;= ($I$7+$I$8)), PMT('Amort. Sched.-BEST'!$E$8/12, 'Amort. Sched.-BEST'!$I$7, 'Amort. Sched.-BEST'!$E$7), 0)</f>
        <v>-1350.6783839027553</v>
      </c>
      <c r="E162" s="5">
        <f>IF(AND(C162&gt;='Amort. Sched.-BEST'!$I$8, C162&lt;= ($I$7+$I$8)), (IPMT($E$8/12, (C162-$I$8), $I$7, $E$7)), 0)</f>
        <v>-852.13987099165547</v>
      </c>
      <c r="F162" s="23">
        <f>IF(AND(C162&gt;='Amort. Sched.-BEST'!$I$8, C162&lt;= ($I$7+$I$8)), (PPMT($E$8/12, (C162-$I$8), $I$7, $E$7)), 0)</f>
        <v>-498.53851291109987</v>
      </c>
      <c r="G162" s="5">
        <f>IF(MortgageAmortBEST[[#This Row],[Month]]=I$8,E$7,0)</f>
        <v>0</v>
      </c>
      <c r="H162" s="13">
        <f>IF(AND(C162&gt;='Amort. Sched.-BEST'!$I$8, C162&lt;= ($I$7+$I$8)), H161+F162, 0)</f>
        <v>127322.44213583719</v>
      </c>
      <c r="I162" s="24">
        <f>IF(AND(C162&gt;='Amort. Sched.-BEST'!$I$8, C162&lt;= ($I$7+$I$8)), E162/D162, " ")</f>
        <v>0.6308976890038146</v>
      </c>
      <c r="J162" s="25">
        <f>IF(AND(C162&gt;='Amort. Sched.-BEST'!$I$8, C162&lt;= ($I$7+$I$8)), F162/D162, " ")</f>
        <v>0.3691023109961854</v>
      </c>
      <c r="L162" s="20">
        <f t="shared" si="34"/>
        <v>151</v>
      </c>
      <c r="M162" s="5">
        <f>IF(AND(L162&gt;='Amort. Sched.-BEST'!$R$8, L162&lt;= ($R$7+$R$8)), PMT('Amort. Sched.-BEST'!$N$8/12, 'Amort. Sched.-BEST'!$R$7, 'Amort. Sched.-BEST'!$N$7), 0)</f>
        <v>0</v>
      </c>
      <c r="N162" s="5">
        <f>IF(AND(L162&gt;='Amort. Sched.-BEST'!$R$8, L162&lt;= ($R$7+$R$8)), (IPMT($N$8/12, (L162-$R$8), $R$7, $N$7)), 0)</f>
        <v>0</v>
      </c>
      <c r="O162" s="5">
        <f>IF(AND(L162&gt;='Amort. Sched.-BEST'!$R$8, L162&lt;= ($R$7+$R$8)), (PPMT($N$8/12, (L162-$R$8), $R$7, $N$7)), 0)</f>
        <v>0</v>
      </c>
      <c r="P162" s="5">
        <f>IF(CreditAmort1BEST[[#This Row],[Month]]=R$8,N$7,0)</f>
        <v>0</v>
      </c>
      <c r="Q162" s="13">
        <f>IF(AND(L162&gt;='Amort. Sched.-BEST'!$R$8, L162&lt;= ($R$7+$R$8)), Q161+O162, 0)</f>
        <v>0</v>
      </c>
      <c r="R162" s="6" t="str">
        <f>IF(AND(L162&gt;='Amort. Sched.-BEST'!$R$8, L162&lt;= ($R$7+$R$8)), N162/M162, " ")</f>
        <v xml:space="preserve"> </v>
      </c>
      <c r="S162" s="21" t="str">
        <f>IF(AND(L162&gt;='Amort. Sched.-BEST'!$R$8, L162&lt;= ($R$7+$R$8)), O162/M162, " ")</f>
        <v xml:space="preserve"> </v>
      </c>
      <c r="U162" s="22">
        <f t="shared" si="36"/>
        <v>151</v>
      </c>
      <c r="V162" s="23">
        <f>IF(AND(U162&gt;='Amort. Sched.-BEST'!$AA$8, U162&lt;= ($AA$7+$AA$8)), PMT('Amort. Sched.-BEST'!$W$8/12, 'Amort. Sched.-BEST'!$AA$7, 'Amort. Sched.-BEST'!$W$7), 0)</f>
        <v>0</v>
      </c>
      <c r="W162" s="5">
        <f>IF(AND(U162&gt;='Amort. Sched.-BEST'!$AA$8, U162&lt;= ($AA$7+$AA$8)), (IPMT($W$8/12, (U162-$AA$8), $AA$7, $W$7)), 0)</f>
        <v>0</v>
      </c>
      <c r="X162" s="23">
        <f>IF(AND(U162&gt;='Amort. Sched.-BEST'!$AA$8, U162&lt;= ($AA$7+$AA$8)), (PPMT($W$8/12, (U162-$AA$8), $AA$7, $W$7)), 0)</f>
        <v>0</v>
      </c>
      <c r="Y162" s="5">
        <f>IF(CreditAmort2BEST[[#This Row],[Month]]=AA$8,W$7,0)</f>
        <v>0</v>
      </c>
      <c r="Z162" s="13">
        <f>IF(AND(U162&gt;='Amort. Sched.-BEST'!$AA$8, U162&lt;= ($AA$7+$AA$8)), Z161+X162, 0)</f>
        <v>0</v>
      </c>
      <c r="AA162" s="24" t="str">
        <f>IF(AND(U162&gt;='Amort. Sched.-BEST'!$AA$8, U162&lt;= ($AA$7+$AA$8)), W162/V162, " ")</f>
        <v xml:space="preserve"> </v>
      </c>
      <c r="AB162" s="25" t="str">
        <f>IF(AND(U162&gt;='Amort. Sched.-BEST'!$AA$8, U162&lt;= ($AA$7+$AA$8)), X162/V162, " ")</f>
        <v xml:space="preserve"> </v>
      </c>
      <c r="AD162" s="22">
        <f t="shared" si="37"/>
        <v>151</v>
      </c>
      <c r="AE162" s="5">
        <f t="shared" si="38"/>
        <v>0</v>
      </c>
      <c r="AF162" s="5">
        <f t="shared" si="39"/>
        <v>0</v>
      </c>
      <c r="AG162" s="5">
        <f t="shared" si="40"/>
        <v>0</v>
      </c>
      <c r="AH162" s="5">
        <f>IF(CreditAmort3BEST[[#This Row],[Month]]=AJ$8,AF$7,0)</f>
        <v>0</v>
      </c>
      <c r="AI162" s="13">
        <f t="shared" si="41"/>
        <v>0</v>
      </c>
      <c r="AJ162" s="6" t="str">
        <f t="shared" si="42"/>
        <v xml:space="preserve"> </v>
      </c>
      <c r="AK162" s="21" t="str">
        <f t="shared" si="43"/>
        <v xml:space="preserve"> </v>
      </c>
      <c r="AM162" s="20">
        <f t="shared" si="44"/>
        <v>151</v>
      </c>
      <c r="AN162" s="5">
        <f t="shared" si="45"/>
        <v>0</v>
      </c>
      <c r="AO162" s="5">
        <f t="shared" si="46"/>
        <v>0</v>
      </c>
      <c r="AP162" s="5">
        <f t="shared" si="47"/>
        <v>0</v>
      </c>
      <c r="AQ162" s="5">
        <f>IF(CreditAmort4BEST[[#This Row],[Month]]=AS$8,AO$7,0)</f>
        <v>0</v>
      </c>
      <c r="AR162" s="13">
        <f t="shared" si="48"/>
        <v>0</v>
      </c>
      <c r="AS162" s="6" t="str">
        <f t="shared" si="49"/>
        <v xml:space="preserve"> </v>
      </c>
      <c r="AT162" s="21" t="str">
        <f t="shared" si="50"/>
        <v xml:space="preserve"> </v>
      </c>
    </row>
    <row r="163" spans="3:46">
      <c r="C163" s="22">
        <f t="shared" si="35"/>
        <v>152</v>
      </c>
      <c r="D163" s="23">
        <f>IF(AND(C163&gt;='Amort. Sched.-BEST'!$I$8, C163&lt;= ($I$7+$I$8)), PMT('Amort. Sched.-BEST'!$E$8/12, 'Amort. Sched.-BEST'!$I$7, 'Amort. Sched.-BEST'!$E$7), 0)</f>
        <v>-1350.6783839027553</v>
      </c>
      <c r="E163" s="5">
        <f>IF(AND(C163&gt;='Amort. Sched.-BEST'!$I$8, C163&lt;= ($I$7+$I$8)), (IPMT($E$8/12, (C163-$I$8), $I$7, $E$7)), 0)</f>
        <v>-848.81628090558149</v>
      </c>
      <c r="F163" s="23">
        <f>IF(AND(C163&gt;='Amort. Sched.-BEST'!$I$8, C163&lt;= ($I$7+$I$8)), (PPMT($E$8/12, (C163-$I$8), $I$7, $E$7)), 0)</f>
        <v>-501.86210299717391</v>
      </c>
      <c r="G163" s="5">
        <f>IF(MortgageAmortBEST[[#This Row],[Month]]=I$8,E$7,0)</f>
        <v>0</v>
      </c>
      <c r="H163" s="13">
        <f>IF(AND(C163&gt;='Amort. Sched.-BEST'!$I$8, C163&lt;= ($I$7+$I$8)), H162+F163, 0)</f>
        <v>126820.58003284002</v>
      </c>
      <c r="I163" s="24">
        <f>IF(AND(C163&gt;='Amort. Sched.-BEST'!$I$8, C163&lt;= ($I$7+$I$8)), E163/D163, " ")</f>
        <v>0.62843700693050675</v>
      </c>
      <c r="J163" s="25">
        <f>IF(AND(C163&gt;='Amort. Sched.-BEST'!$I$8, C163&lt;= ($I$7+$I$8)), F163/D163, " ")</f>
        <v>0.37156299306949331</v>
      </c>
      <c r="L163" s="20">
        <f t="shared" si="34"/>
        <v>152</v>
      </c>
      <c r="M163" s="5">
        <f>IF(AND(L163&gt;='Amort. Sched.-BEST'!$R$8, L163&lt;= ($R$7+$R$8)), PMT('Amort. Sched.-BEST'!$N$8/12, 'Amort. Sched.-BEST'!$R$7, 'Amort. Sched.-BEST'!$N$7), 0)</f>
        <v>0</v>
      </c>
      <c r="N163" s="5">
        <f>IF(AND(L163&gt;='Amort. Sched.-BEST'!$R$8, L163&lt;= ($R$7+$R$8)), (IPMT($N$8/12, (L163-$R$8), $R$7, $N$7)), 0)</f>
        <v>0</v>
      </c>
      <c r="O163" s="5">
        <f>IF(AND(L163&gt;='Amort. Sched.-BEST'!$R$8, L163&lt;= ($R$7+$R$8)), (PPMT($N$8/12, (L163-$R$8), $R$7, $N$7)), 0)</f>
        <v>0</v>
      </c>
      <c r="P163" s="5">
        <f>IF(CreditAmort1BEST[[#This Row],[Month]]=R$8,N$7,0)</f>
        <v>0</v>
      </c>
      <c r="Q163" s="13">
        <f>IF(AND(L163&gt;='Amort. Sched.-BEST'!$R$8, L163&lt;= ($R$7+$R$8)), Q162+O163, 0)</f>
        <v>0</v>
      </c>
      <c r="R163" s="6" t="str">
        <f>IF(AND(L163&gt;='Amort. Sched.-BEST'!$R$8, L163&lt;= ($R$7+$R$8)), N163/M163, " ")</f>
        <v xml:space="preserve"> </v>
      </c>
      <c r="S163" s="21" t="str">
        <f>IF(AND(L163&gt;='Amort. Sched.-BEST'!$R$8, L163&lt;= ($R$7+$R$8)), O163/M163, " ")</f>
        <v xml:space="preserve"> </v>
      </c>
      <c r="U163" s="22">
        <f t="shared" si="36"/>
        <v>152</v>
      </c>
      <c r="V163" s="23">
        <f>IF(AND(U163&gt;='Amort. Sched.-BEST'!$AA$8, U163&lt;= ($AA$7+$AA$8)), PMT('Amort. Sched.-BEST'!$W$8/12, 'Amort. Sched.-BEST'!$AA$7, 'Amort. Sched.-BEST'!$W$7), 0)</f>
        <v>0</v>
      </c>
      <c r="W163" s="5">
        <f>IF(AND(U163&gt;='Amort. Sched.-BEST'!$AA$8, U163&lt;= ($AA$7+$AA$8)), (IPMT($W$8/12, (U163-$AA$8), $AA$7, $W$7)), 0)</f>
        <v>0</v>
      </c>
      <c r="X163" s="23">
        <f>IF(AND(U163&gt;='Amort. Sched.-BEST'!$AA$8, U163&lt;= ($AA$7+$AA$8)), (PPMT($W$8/12, (U163-$AA$8), $AA$7, $W$7)), 0)</f>
        <v>0</v>
      </c>
      <c r="Y163" s="5">
        <f>IF(CreditAmort2BEST[[#This Row],[Month]]=AA$8,W$7,0)</f>
        <v>0</v>
      </c>
      <c r="Z163" s="13">
        <f>IF(AND(U163&gt;='Amort. Sched.-BEST'!$AA$8, U163&lt;= ($AA$7+$AA$8)), Z162+X163, 0)</f>
        <v>0</v>
      </c>
      <c r="AA163" s="24" t="str">
        <f>IF(AND(U163&gt;='Amort. Sched.-BEST'!$AA$8, U163&lt;= ($AA$7+$AA$8)), W163/V163, " ")</f>
        <v xml:space="preserve"> </v>
      </c>
      <c r="AB163" s="25" t="str">
        <f>IF(AND(U163&gt;='Amort. Sched.-BEST'!$AA$8, U163&lt;= ($AA$7+$AA$8)), X163/V163, " ")</f>
        <v xml:space="preserve"> </v>
      </c>
      <c r="AD163" s="22">
        <f t="shared" si="37"/>
        <v>152</v>
      </c>
      <c r="AE163" s="5">
        <f t="shared" si="38"/>
        <v>0</v>
      </c>
      <c r="AF163" s="5">
        <f t="shared" si="39"/>
        <v>0</v>
      </c>
      <c r="AG163" s="5">
        <f t="shared" si="40"/>
        <v>0</v>
      </c>
      <c r="AH163" s="5">
        <f>IF(CreditAmort3BEST[[#This Row],[Month]]=AJ$8,AF$7,0)</f>
        <v>0</v>
      </c>
      <c r="AI163" s="13">
        <f t="shared" si="41"/>
        <v>0</v>
      </c>
      <c r="AJ163" s="6" t="str">
        <f t="shared" si="42"/>
        <v xml:space="preserve"> </v>
      </c>
      <c r="AK163" s="21" t="str">
        <f t="shared" si="43"/>
        <v xml:space="preserve"> </v>
      </c>
      <c r="AM163" s="20">
        <f t="shared" si="44"/>
        <v>152</v>
      </c>
      <c r="AN163" s="5">
        <f t="shared" si="45"/>
        <v>0</v>
      </c>
      <c r="AO163" s="5">
        <f t="shared" si="46"/>
        <v>0</v>
      </c>
      <c r="AP163" s="5">
        <f t="shared" si="47"/>
        <v>0</v>
      </c>
      <c r="AQ163" s="5">
        <f>IF(CreditAmort4BEST[[#This Row],[Month]]=AS$8,AO$7,0)</f>
        <v>0</v>
      </c>
      <c r="AR163" s="13">
        <f t="shared" si="48"/>
        <v>0</v>
      </c>
      <c r="AS163" s="6" t="str">
        <f t="shared" si="49"/>
        <v xml:space="preserve"> </v>
      </c>
      <c r="AT163" s="21" t="str">
        <f t="shared" si="50"/>
        <v xml:space="preserve"> </v>
      </c>
    </row>
    <row r="164" spans="3:46">
      <c r="C164" s="22">
        <f t="shared" si="35"/>
        <v>153</v>
      </c>
      <c r="D164" s="23">
        <f>IF(AND(C164&gt;='Amort. Sched.-BEST'!$I$8, C164&lt;= ($I$7+$I$8)), PMT('Amort. Sched.-BEST'!$E$8/12, 'Amort. Sched.-BEST'!$I$7, 'Amort. Sched.-BEST'!$E$7), 0)</f>
        <v>-1350.6783839027553</v>
      </c>
      <c r="E164" s="5">
        <f>IF(AND(C164&gt;='Amort. Sched.-BEST'!$I$8, C164&lt;= ($I$7+$I$8)), (IPMT($E$8/12, (C164-$I$8), $I$7, $E$7)), 0)</f>
        <v>-845.47053355226694</v>
      </c>
      <c r="F164" s="23">
        <f>IF(AND(C164&gt;='Amort. Sched.-BEST'!$I$8, C164&lt;= ($I$7+$I$8)), (PPMT($E$8/12, (C164-$I$8), $I$7, $E$7)), 0)</f>
        <v>-505.2078503504884</v>
      </c>
      <c r="G164" s="5">
        <f>IF(MortgageAmortBEST[[#This Row],[Month]]=I$8,E$7,0)</f>
        <v>0</v>
      </c>
      <c r="H164" s="13">
        <f>IF(AND(C164&gt;='Amort. Sched.-BEST'!$I$8, C164&lt;= ($I$7+$I$8)), H163+F164, 0)</f>
        <v>126315.37218248953</v>
      </c>
      <c r="I164" s="24">
        <f>IF(AND(C164&gt;='Amort. Sched.-BEST'!$I$8, C164&lt;= ($I$7+$I$8)), E164/D164, " ")</f>
        <v>0.62595992031004344</v>
      </c>
      <c r="J164" s="25">
        <f>IF(AND(C164&gt;='Amort. Sched.-BEST'!$I$8, C164&lt;= ($I$7+$I$8)), F164/D164, " ")</f>
        <v>0.37404007968995662</v>
      </c>
      <c r="L164" s="20">
        <f t="shared" si="34"/>
        <v>153</v>
      </c>
      <c r="M164" s="5">
        <f>IF(AND(L164&gt;='Amort. Sched.-BEST'!$R$8, L164&lt;= ($R$7+$R$8)), PMT('Amort. Sched.-BEST'!$N$8/12, 'Amort. Sched.-BEST'!$R$7, 'Amort. Sched.-BEST'!$N$7), 0)</f>
        <v>0</v>
      </c>
      <c r="N164" s="5">
        <f>IF(AND(L164&gt;='Amort. Sched.-BEST'!$R$8, L164&lt;= ($R$7+$R$8)), (IPMT($N$8/12, (L164-$R$8), $R$7, $N$7)), 0)</f>
        <v>0</v>
      </c>
      <c r="O164" s="5">
        <f>IF(AND(L164&gt;='Amort. Sched.-BEST'!$R$8, L164&lt;= ($R$7+$R$8)), (PPMT($N$8/12, (L164-$R$8), $R$7, $N$7)), 0)</f>
        <v>0</v>
      </c>
      <c r="P164" s="5">
        <f>IF(CreditAmort1BEST[[#This Row],[Month]]=R$8,N$7,0)</f>
        <v>0</v>
      </c>
      <c r="Q164" s="13">
        <f>IF(AND(L164&gt;='Amort. Sched.-BEST'!$R$8, L164&lt;= ($R$7+$R$8)), Q163+O164, 0)</f>
        <v>0</v>
      </c>
      <c r="R164" s="6" t="str">
        <f>IF(AND(L164&gt;='Amort. Sched.-BEST'!$R$8, L164&lt;= ($R$7+$R$8)), N164/M164, " ")</f>
        <v xml:space="preserve"> </v>
      </c>
      <c r="S164" s="21" t="str">
        <f>IF(AND(L164&gt;='Amort. Sched.-BEST'!$R$8, L164&lt;= ($R$7+$R$8)), O164/M164, " ")</f>
        <v xml:space="preserve"> </v>
      </c>
      <c r="U164" s="22">
        <f t="shared" si="36"/>
        <v>153</v>
      </c>
      <c r="V164" s="23">
        <f>IF(AND(U164&gt;='Amort. Sched.-BEST'!$AA$8, U164&lt;= ($AA$7+$AA$8)), PMT('Amort. Sched.-BEST'!$W$8/12, 'Amort. Sched.-BEST'!$AA$7, 'Amort. Sched.-BEST'!$W$7), 0)</f>
        <v>0</v>
      </c>
      <c r="W164" s="5">
        <f>IF(AND(U164&gt;='Amort. Sched.-BEST'!$AA$8, U164&lt;= ($AA$7+$AA$8)), (IPMT($W$8/12, (U164-$AA$8), $AA$7, $W$7)), 0)</f>
        <v>0</v>
      </c>
      <c r="X164" s="23">
        <f>IF(AND(U164&gt;='Amort. Sched.-BEST'!$AA$8, U164&lt;= ($AA$7+$AA$8)), (PPMT($W$8/12, (U164-$AA$8), $AA$7, $W$7)), 0)</f>
        <v>0</v>
      </c>
      <c r="Y164" s="5">
        <f>IF(CreditAmort2BEST[[#This Row],[Month]]=AA$8,W$7,0)</f>
        <v>0</v>
      </c>
      <c r="Z164" s="13">
        <f>IF(AND(U164&gt;='Amort. Sched.-BEST'!$AA$8, U164&lt;= ($AA$7+$AA$8)), Z163+X164, 0)</f>
        <v>0</v>
      </c>
      <c r="AA164" s="24" t="str">
        <f>IF(AND(U164&gt;='Amort. Sched.-BEST'!$AA$8, U164&lt;= ($AA$7+$AA$8)), W164/V164, " ")</f>
        <v xml:space="preserve"> </v>
      </c>
      <c r="AB164" s="25" t="str">
        <f>IF(AND(U164&gt;='Amort. Sched.-BEST'!$AA$8, U164&lt;= ($AA$7+$AA$8)), X164/V164, " ")</f>
        <v xml:space="preserve"> </v>
      </c>
      <c r="AD164" s="22">
        <f t="shared" si="37"/>
        <v>153</v>
      </c>
      <c r="AE164" s="5">
        <f t="shared" si="38"/>
        <v>0</v>
      </c>
      <c r="AF164" s="5">
        <f t="shared" si="39"/>
        <v>0</v>
      </c>
      <c r="AG164" s="5">
        <f t="shared" si="40"/>
        <v>0</v>
      </c>
      <c r="AH164" s="5">
        <f>IF(CreditAmort3BEST[[#This Row],[Month]]=AJ$8,AF$7,0)</f>
        <v>0</v>
      </c>
      <c r="AI164" s="13">
        <f t="shared" si="41"/>
        <v>0</v>
      </c>
      <c r="AJ164" s="6" t="str">
        <f t="shared" si="42"/>
        <v xml:space="preserve"> </v>
      </c>
      <c r="AK164" s="21" t="str">
        <f t="shared" si="43"/>
        <v xml:space="preserve"> </v>
      </c>
      <c r="AM164" s="20">
        <f t="shared" si="44"/>
        <v>153</v>
      </c>
      <c r="AN164" s="5">
        <f t="shared" si="45"/>
        <v>0</v>
      </c>
      <c r="AO164" s="5">
        <f t="shared" si="46"/>
        <v>0</v>
      </c>
      <c r="AP164" s="5">
        <f t="shared" si="47"/>
        <v>0</v>
      </c>
      <c r="AQ164" s="5">
        <f>IF(CreditAmort4BEST[[#This Row],[Month]]=AS$8,AO$7,0)</f>
        <v>0</v>
      </c>
      <c r="AR164" s="13">
        <f t="shared" si="48"/>
        <v>0</v>
      </c>
      <c r="AS164" s="6" t="str">
        <f t="shared" si="49"/>
        <v xml:space="preserve"> </v>
      </c>
      <c r="AT164" s="21" t="str">
        <f t="shared" si="50"/>
        <v xml:space="preserve"> </v>
      </c>
    </row>
    <row r="165" spans="3:46">
      <c r="C165" s="22">
        <f t="shared" si="35"/>
        <v>154</v>
      </c>
      <c r="D165" s="23">
        <f>IF(AND(C165&gt;='Amort. Sched.-BEST'!$I$8, C165&lt;= ($I$7+$I$8)), PMT('Amort. Sched.-BEST'!$E$8/12, 'Amort. Sched.-BEST'!$I$7, 'Amort. Sched.-BEST'!$E$7), 0)</f>
        <v>-1350.6783839027553</v>
      </c>
      <c r="E165" s="5">
        <f>IF(AND(C165&gt;='Amort. Sched.-BEST'!$I$8, C165&lt;= ($I$7+$I$8)), (IPMT($E$8/12, (C165-$I$8), $I$7, $E$7)), 0)</f>
        <v>-842.10248121659708</v>
      </c>
      <c r="F165" s="23">
        <f>IF(AND(C165&gt;='Amort. Sched.-BEST'!$I$8, C165&lt;= ($I$7+$I$8)), (PPMT($E$8/12, (C165-$I$8), $I$7, $E$7)), 0)</f>
        <v>-508.57590268615832</v>
      </c>
      <c r="G165" s="5">
        <f>IF(MortgageAmortBEST[[#This Row],[Month]]=I$8,E$7,0)</f>
        <v>0</v>
      </c>
      <c r="H165" s="13">
        <f>IF(AND(C165&gt;='Amort. Sched.-BEST'!$I$8, C165&lt;= ($I$7+$I$8)), H164+F165, 0)</f>
        <v>125806.79627980337</v>
      </c>
      <c r="I165" s="24">
        <f>IF(AND(C165&gt;='Amort. Sched.-BEST'!$I$8, C165&lt;= ($I$7+$I$8)), E165/D165, " ")</f>
        <v>0.62346631977877709</v>
      </c>
      <c r="J165" s="25">
        <f>IF(AND(C165&gt;='Amort. Sched.-BEST'!$I$8, C165&lt;= ($I$7+$I$8)), F165/D165, " ")</f>
        <v>0.37653368022122297</v>
      </c>
      <c r="L165" s="20">
        <f t="shared" si="34"/>
        <v>154</v>
      </c>
      <c r="M165" s="5">
        <f>IF(AND(L165&gt;='Amort. Sched.-BEST'!$R$8, L165&lt;= ($R$7+$R$8)), PMT('Amort. Sched.-BEST'!$N$8/12, 'Amort. Sched.-BEST'!$R$7, 'Amort. Sched.-BEST'!$N$7), 0)</f>
        <v>0</v>
      </c>
      <c r="N165" s="5">
        <f>IF(AND(L165&gt;='Amort. Sched.-BEST'!$R$8, L165&lt;= ($R$7+$R$8)), (IPMT($N$8/12, (L165-$R$8), $R$7, $N$7)), 0)</f>
        <v>0</v>
      </c>
      <c r="O165" s="5">
        <f>IF(AND(L165&gt;='Amort. Sched.-BEST'!$R$8, L165&lt;= ($R$7+$R$8)), (PPMT($N$8/12, (L165-$R$8), $R$7, $N$7)), 0)</f>
        <v>0</v>
      </c>
      <c r="P165" s="5">
        <f>IF(CreditAmort1BEST[[#This Row],[Month]]=R$8,N$7,0)</f>
        <v>0</v>
      </c>
      <c r="Q165" s="13">
        <f>IF(AND(L165&gt;='Amort. Sched.-BEST'!$R$8, L165&lt;= ($R$7+$R$8)), Q164+O165, 0)</f>
        <v>0</v>
      </c>
      <c r="R165" s="6" t="str">
        <f>IF(AND(L165&gt;='Amort. Sched.-BEST'!$R$8, L165&lt;= ($R$7+$R$8)), N165/M165, " ")</f>
        <v xml:space="preserve"> </v>
      </c>
      <c r="S165" s="21" t="str">
        <f>IF(AND(L165&gt;='Amort. Sched.-BEST'!$R$8, L165&lt;= ($R$7+$R$8)), O165/M165, " ")</f>
        <v xml:space="preserve"> </v>
      </c>
      <c r="U165" s="22">
        <f t="shared" si="36"/>
        <v>154</v>
      </c>
      <c r="V165" s="23">
        <f>IF(AND(U165&gt;='Amort. Sched.-BEST'!$AA$8, U165&lt;= ($AA$7+$AA$8)), PMT('Amort. Sched.-BEST'!$W$8/12, 'Amort. Sched.-BEST'!$AA$7, 'Amort. Sched.-BEST'!$W$7), 0)</f>
        <v>0</v>
      </c>
      <c r="W165" s="5">
        <f>IF(AND(U165&gt;='Amort. Sched.-BEST'!$AA$8, U165&lt;= ($AA$7+$AA$8)), (IPMT($W$8/12, (U165-$AA$8), $AA$7, $W$7)), 0)</f>
        <v>0</v>
      </c>
      <c r="X165" s="23">
        <f>IF(AND(U165&gt;='Amort. Sched.-BEST'!$AA$8, U165&lt;= ($AA$7+$AA$8)), (PPMT($W$8/12, (U165-$AA$8), $AA$7, $W$7)), 0)</f>
        <v>0</v>
      </c>
      <c r="Y165" s="5">
        <f>IF(CreditAmort2BEST[[#This Row],[Month]]=AA$8,W$7,0)</f>
        <v>0</v>
      </c>
      <c r="Z165" s="13">
        <f>IF(AND(U165&gt;='Amort. Sched.-BEST'!$AA$8, U165&lt;= ($AA$7+$AA$8)), Z164+X165, 0)</f>
        <v>0</v>
      </c>
      <c r="AA165" s="24" t="str">
        <f>IF(AND(U165&gt;='Amort. Sched.-BEST'!$AA$8, U165&lt;= ($AA$7+$AA$8)), W165/V165, " ")</f>
        <v xml:space="preserve"> </v>
      </c>
      <c r="AB165" s="25" t="str">
        <f>IF(AND(U165&gt;='Amort. Sched.-BEST'!$AA$8, U165&lt;= ($AA$7+$AA$8)), X165/V165, " ")</f>
        <v xml:space="preserve"> </v>
      </c>
      <c r="AD165" s="22">
        <f t="shared" si="37"/>
        <v>154</v>
      </c>
      <c r="AE165" s="5">
        <f t="shared" si="38"/>
        <v>0</v>
      </c>
      <c r="AF165" s="5">
        <f t="shared" si="39"/>
        <v>0</v>
      </c>
      <c r="AG165" s="5">
        <f t="shared" si="40"/>
        <v>0</v>
      </c>
      <c r="AH165" s="5">
        <f>IF(CreditAmort3BEST[[#This Row],[Month]]=AJ$8,AF$7,0)</f>
        <v>0</v>
      </c>
      <c r="AI165" s="13">
        <f t="shared" si="41"/>
        <v>0</v>
      </c>
      <c r="AJ165" s="6" t="str">
        <f t="shared" si="42"/>
        <v xml:space="preserve"> </v>
      </c>
      <c r="AK165" s="21" t="str">
        <f t="shared" si="43"/>
        <v xml:space="preserve"> </v>
      </c>
      <c r="AM165" s="20">
        <f t="shared" si="44"/>
        <v>154</v>
      </c>
      <c r="AN165" s="5">
        <f t="shared" si="45"/>
        <v>0</v>
      </c>
      <c r="AO165" s="5">
        <f t="shared" si="46"/>
        <v>0</v>
      </c>
      <c r="AP165" s="5">
        <f t="shared" si="47"/>
        <v>0</v>
      </c>
      <c r="AQ165" s="5">
        <f>IF(CreditAmort4BEST[[#This Row],[Month]]=AS$8,AO$7,0)</f>
        <v>0</v>
      </c>
      <c r="AR165" s="13">
        <f t="shared" si="48"/>
        <v>0</v>
      </c>
      <c r="AS165" s="6" t="str">
        <f t="shared" si="49"/>
        <v xml:space="preserve"> </v>
      </c>
      <c r="AT165" s="21" t="str">
        <f t="shared" si="50"/>
        <v xml:space="preserve"> </v>
      </c>
    </row>
    <row r="166" spans="3:46">
      <c r="C166" s="22">
        <f t="shared" si="35"/>
        <v>155</v>
      </c>
      <c r="D166" s="23">
        <f>IF(AND(C166&gt;='Amort. Sched.-BEST'!$I$8, C166&lt;= ($I$7+$I$8)), PMT('Amort. Sched.-BEST'!$E$8/12, 'Amort. Sched.-BEST'!$I$7, 'Amort. Sched.-BEST'!$E$7), 0)</f>
        <v>-1350.6783839027553</v>
      </c>
      <c r="E166" s="5">
        <f>IF(AND(C166&gt;='Amort. Sched.-BEST'!$I$8, C166&lt;= ($I$7+$I$8)), (IPMT($E$8/12, (C166-$I$8), $I$7, $E$7)), 0)</f>
        <v>-838.71197519868929</v>
      </c>
      <c r="F166" s="23">
        <f>IF(AND(C166&gt;='Amort. Sched.-BEST'!$I$8, C166&lt;= ($I$7+$I$8)), (PPMT($E$8/12, (C166-$I$8), $I$7, $E$7)), 0)</f>
        <v>-511.96640870406605</v>
      </c>
      <c r="G166" s="5">
        <f>IF(MortgageAmortBEST[[#This Row],[Month]]=I$8,E$7,0)</f>
        <v>0</v>
      </c>
      <c r="H166" s="13">
        <f>IF(AND(C166&gt;='Amort. Sched.-BEST'!$I$8, C166&lt;= ($I$7+$I$8)), H165+F166, 0)</f>
        <v>125294.8298710993</v>
      </c>
      <c r="I166" s="24">
        <f>IF(AND(C166&gt;='Amort. Sched.-BEST'!$I$8, C166&lt;= ($I$7+$I$8)), E166/D166, " ")</f>
        <v>0.62095609524396889</v>
      </c>
      <c r="J166" s="25">
        <f>IF(AND(C166&gt;='Amort. Sched.-BEST'!$I$8, C166&lt;= ($I$7+$I$8)), F166/D166, " ")</f>
        <v>0.37904390475603117</v>
      </c>
      <c r="L166" s="20">
        <f t="shared" si="34"/>
        <v>155</v>
      </c>
      <c r="M166" s="5">
        <f>IF(AND(L166&gt;='Amort. Sched.-BEST'!$R$8, L166&lt;= ($R$7+$R$8)), PMT('Amort. Sched.-BEST'!$N$8/12, 'Amort. Sched.-BEST'!$R$7, 'Amort. Sched.-BEST'!$N$7), 0)</f>
        <v>0</v>
      </c>
      <c r="N166" s="5">
        <f>IF(AND(L166&gt;='Amort. Sched.-BEST'!$R$8, L166&lt;= ($R$7+$R$8)), (IPMT($N$8/12, (L166-$R$8), $R$7, $N$7)), 0)</f>
        <v>0</v>
      </c>
      <c r="O166" s="5">
        <f>IF(AND(L166&gt;='Amort. Sched.-BEST'!$R$8, L166&lt;= ($R$7+$R$8)), (PPMT($N$8/12, (L166-$R$8), $R$7, $N$7)), 0)</f>
        <v>0</v>
      </c>
      <c r="P166" s="5">
        <f>IF(CreditAmort1BEST[[#This Row],[Month]]=R$8,N$7,0)</f>
        <v>0</v>
      </c>
      <c r="Q166" s="13">
        <f>IF(AND(L166&gt;='Amort. Sched.-BEST'!$R$8, L166&lt;= ($R$7+$R$8)), Q165+O166, 0)</f>
        <v>0</v>
      </c>
      <c r="R166" s="6" t="str">
        <f>IF(AND(L166&gt;='Amort. Sched.-BEST'!$R$8, L166&lt;= ($R$7+$R$8)), N166/M166, " ")</f>
        <v xml:space="preserve"> </v>
      </c>
      <c r="S166" s="21" t="str">
        <f>IF(AND(L166&gt;='Amort. Sched.-BEST'!$R$8, L166&lt;= ($R$7+$R$8)), O166/M166, " ")</f>
        <v xml:space="preserve"> </v>
      </c>
      <c r="U166" s="22">
        <f t="shared" si="36"/>
        <v>155</v>
      </c>
      <c r="V166" s="23">
        <f>IF(AND(U166&gt;='Amort. Sched.-BEST'!$AA$8, U166&lt;= ($AA$7+$AA$8)), PMT('Amort. Sched.-BEST'!$W$8/12, 'Amort. Sched.-BEST'!$AA$7, 'Amort. Sched.-BEST'!$W$7), 0)</f>
        <v>0</v>
      </c>
      <c r="W166" s="5">
        <f>IF(AND(U166&gt;='Amort. Sched.-BEST'!$AA$8, U166&lt;= ($AA$7+$AA$8)), (IPMT($W$8/12, (U166-$AA$8), $AA$7, $W$7)), 0)</f>
        <v>0</v>
      </c>
      <c r="X166" s="23">
        <f>IF(AND(U166&gt;='Amort. Sched.-BEST'!$AA$8, U166&lt;= ($AA$7+$AA$8)), (PPMT($W$8/12, (U166-$AA$8), $AA$7, $W$7)), 0)</f>
        <v>0</v>
      </c>
      <c r="Y166" s="5">
        <f>IF(CreditAmort2BEST[[#This Row],[Month]]=AA$8,W$7,0)</f>
        <v>0</v>
      </c>
      <c r="Z166" s="13">
        <f>IF(AND(U166&gt;='Amort. Sched.-BEST'!$AA$8, U166&lt;= ($AA$7+$AA$8)), Z165+X166, 0)</f>
        <v>0</v>
      </c>
      <c r="AA166" s="24" t="str">
        <f>IF(AND(U166&gt;='Amort. Sched.-BEST'!$AA$8, U166&lt;= ($AA$7+$AA$8)), W166/V166, " ")</f>
        <v xml:space="preserve"> </v>
      </c>
      <c r="AB166" s="25" t="str">
        <f>IF(AND(U166&gt;='Amort. Sched.-BEST'!$AA$8, U166&lt;= ($AA$7+$AA$8)), X166/V166, " ")</f>
        <v xml:space="preserve"> </v>
      </c>
      <c r="AD166" s="22">
        <f t="shared" si="37"/>
        <v>155</v>
      </c>
      <c r="AE166" s="5">
        <f t="shared" si="38"/>
        <v>0</v>
      </c>
      <c r="AF166" s="5">
        <f t="shared" si="39"/>
        <v>0</v>
      </c>
      <c r="AG166" s="5">
        <f t="shared" si="40"/>
        <v>0</v>
      </c>
      <c r="AH166" s="5">
        <f>IF(CreditAmort3BEST[[#This Row],[Month]]=AJ$8,AF$7,0)</f>
        <v>0</v>
      </c>
      <c r="AI166" s="13">
        <f t="shared" si="41"/>
        <v>0</v>
      </c>
      <c r="AJ166" s="6" t="str">
        <f t="shared" si="42"/>
        <v xml:space="preserve"> </v>
      </c>
      <c r="AK166" s="21" t="str">
        <f t="shared" si="43"/>
        <v xml:space="preserve"> </v>
      </c>
      <c r="AM166" s="20">
        <f t="shared" si="44"/>
        <v>155</v>
      </c>
      <c r="AN166" s="5">
        <f t="shared" si="45"/>
        <v>0</v>
      </c>
      <c r="AO166" s="5">
        <f t="shared" si="46"/>
        <v>0</v>
      </c>
      <c r="AP166" s="5">
        <f t="shared" si="47"/>
        <v>0</v>
      </c>
      <c r="AQ166" s="5">
        <f>IF(CreditAmort4BEST[[#This Row],[Month]]=AS$8,AO$7,0)</f>
        <v>0</v>
      </c>
      <c r="AR166" s="13">
        <f t="shared" si="48"/>
        <v>0</v>
      </c>
      <c r="AS166" s="6" t="str">
        <f t="shared" si="49"/>
        <v xml:space="preserve"> </v>
      </c>
      <c r="AT166" s="21" t="str">
        <f t="shared" si="50"/>
        <v xml:space="preserve"> </v>
      </c>
    </row>
    <row r="167" spans="3:46">
      <c r="C167" s="22">
        <f t="shared" si="35"/>
        <v>156</v>
      </c>
      <c r="D167" s="23">
        <f>IF(AND(C167&gt;='Amort. Sched.-BEST'!$I$8, C167&lt;= ($I$7+$I$8)), PMT('Amort. Sched.-BEST'!$E$8/12, 'Amort. Sched.-BEST'!$I$7, 'Amort. Sched.-BEST'!$E$7), 0)</f>
        <v>-1350.6783839027553</v>
      </c>
      <c r="E167" s="5">
        <f>IF(AND(C167&gt;='Amort. Sched.-BEST'!$I$8, C167&lt;= ($I$7+$I$8)), (IPMT($E$8/12, (C167-$I$8), $I$7, $E$7)), 0)</f>
        <v>-835.29886580732898</v>
      </c>
      <c r="F167" s="23">
        <f>IF(AND(C167&gt;='Amort. Sched.-BEST'!$I$8, C167&lt;= ($I$7+$I$8)), (PPMT($E$8/12, (C167-$I$8), $I$7, $E$7)), 0)</f>
        <v>-515.37951809542653</v>
      </c>
      <c r="G167" s="5">
        <f>IF(MortgageAmortBEST[[#This Row],[Month]]=I$8,E$7,0)</f>
        <v>0</v>
      </c>
      <c r="H167" s="13">
        <f>IF(AND(C167&gt;='Amort. Sched.-BEST'!$I$8, C167&lt;= ($I$7+$I$8)), H166+F167, 0)</f>
        <v>124779.45035300386</v>
      </c>
      <c r="I167" s="24">
        <f>IF(AND(C167&gt;='Amort. Sched.-BEST'!$I$8, C167&lt;= ($I$7+$I$8)), E167/D167, " ")</f>
        <v>0.61842913587892878</v>
      </c>
      <c r="J167" s="25">
        <f>IF(AND(C167&gt;='Amort. Sched.-BEST'!$I$8, C167&lt;= ($I$7+$I$8)), F167/D167, " ")</f>
        <v>0.38157086412107138</v>
      </c>
      <c r="L167" s="20">
        <f t="shared" si="34"/>
        <v>156</v>
      </c>
      <c r="M167" s="5">
        <f>IF(AND(L167&gt;='Amort. Sched.-BEST'!$R$8, L167&lt;= ($R$7+$R$8)), PMT('Amort. Sched.-BEST'!$N$8/12, 'Amort. Sched.-BEST'!$R$7, 'Amort. Sched.-BEST'!$N$7), 0)</f>
        <v>0</v>
      </c>
      <c r="N167" s="5">
        <f>IF(AND(L167&gt;='Amort. Sched.-BEST'!$R$8, L167&lt;= ($R$7+$R$8)), (IPMT($N$8/12, (L167-$R$8), $R$7, $N$7)), 0)</f>
        <v>0</v>
      </c>
      <c r="O167" s="5">
        <f>IF(AND(L167&gt;='Amort. Sched.-BEST'!$R$8, L167&lt;= ($R$7+$R$8)), (PPMT($N$8/12, (L167-$R$8), $R$7, $N$7)), 0)</f>
        <v>0</v>
      </c>
      <c r="P167" s="5">
        <f>IF(CreditAmort1BEST[[#This Row],[Month]]=R$8,N$7,0)</f>
        <v>0</v>
      </c>
      <c r="Q167" s="13">
        <f>IF(AND(L167&gt;='Amort. Sched.-BEST'!$R$8, L167&lt;= ($R$7+$R$8)), Q166+O167, 0)</f>
        <v>0</v>
      </c>
      <c r="R167" s="6" t="str">
        <f>IF(AND(L167&gt;='Amort. Sched.-BEST'!$R$8, L167&lt;= ($R$7+$R$8)), N167/M167, " ")</f>
        <v xml:space="preserve"> </v>
      </c>
      <c r="S167" s="21" t="str">
        <f>IF(AND(L167&gt;='Amort. Sched.-BEST'!$R$8, L167&lt;= ($R$7+$R$8)), O167/M167, " ")</f>
        <v xml:space="preserve"> </v>
      </c>
      <c r="U167" s="22">
        <f t="shared" si="36"/>
        <v>156</v>
      </c>
      <c r="V167" s="23">
        <f>IF(AND(U167&gt;='Amort. Sched.-BEST'!$AA$8, U167&lt;= ($AA$7+$AA$8)), PMT('Amort. Sched.-BEST'!$W$8/12, 'Amort. Sched.-BEST'!$AA$7, 'Amort. Sched.-BEST'!$W$7), 0)</f>
        <v>0</v>
      </c>
      <c r="W167" s="5">
        <f>IF(AND(U167&gt;='Amort. Sched.-BEST'!$AA$8, U167&lt;= ($AA$7+$AA$8)), (IPMT($W$8/12, (U167-$AA$8), $AA$7, $W$7)), 0)</f>
        <v>0</v>
      </c>
      <c r="X167" s="23">
        <f>IF(AND(U167&gt;='Amort. Sched.-BEST'!$AA$8, U167&lt;= ($AA$7+$AA$8)), (PPMT($W$8/12, (U167-$AA$8), $AA$7, $W$7)), 0)</f>
        <v>0</v>
      </c>
      <c r="Y167" s="5">
        <f>IF(CreditAmort2BEST[[#This Row],[Month]]=AA$8,W$7,0)</f>
        <v>0</v>
      </c>
      <c r="Z167" s="13">
        <f>IF(AND(U167&gt;='Amort. Sched.-BEST'!$AA$8, U167&lt;= ($AA$7+$AA$8)), Z166+X167, 0)</f>
        <v>0</v>
      </c>
      <c r="AA167" s="24" t="str">
        <f>IF(AND(U167&gt;='Amort. Sched.-BEST'!$AA$8, U167&lt;= ($AA$7+$AA$8)), W167/V167, " ")</f>
        <v xml:space="preserve"> </v>
      </c>
      <c r="AB167" s="25" t="str">
        <f>IF(AND(U167&gt;='Amort. Sched.-BEST'!$AA$8, U167&lt;= ($AA$7+$AA$8)), X167/V167, " ")</f>
        <v xml:space="preserve"> </v>
      </c>
      <c r="AD167" s="22">
        <f t="shared" si="37"/>
        <v>156</v>
      </c>
      <c r="AE167" s="5">
        <f t="shared" si="38"/>
        <v>0</v>
      </c>
      <c r="AF167" s="5">
        <f t="shared" si="39"/>
        <v>0</v>
      </c>
      <c r="AG167" s="5">
        <f t="shared" si="40"/>
        <v>0</v>
      </c>
      <c r="AH167" s="5">
        <f>IF(CreditAmort3BEST[[#This Row],[Month]]=AJ$8,AF$7,0)</f>
        <v>0</v>
      </c>
      <c r="AI167" s="13">
        <f t="shared" si="41"/>
        <v>0</v>
      </c>
      <c r="AJ167" s="6" t="str">
        <f t="shared" si="42"/>
        <v xml:space="preserve"> </v>
      </c>
      <c r="AK167" s="21" t="str">
        <f t="shared" si="43"/>
        <v xml:space="preserve"> </v>
      </c>
      <c r="AM167" s="20">
        <f t="shared" si="44"/>
        <v>156</v>
      </c>
      <c r="AN167" s="5">
        <f t="shared" si="45"/>
        <v>0</v>
      </c>
      <c r="AO167" s="5">
        <f t="shared" si="46"/>
        <v>0</v>
      </c>
      <c r="AP167" s="5">
        <f t="shared" si="47"/>
        <v>0</v>
      </c>
      <c r="AQ167" s="5">
        <f>IF(CreditAmort4BEST[[#This Row],[Month]]=AS$8,AO$7,0)</f>
        <v>0</v>
      </c>
      <c r="AR167" s="13">
        <f t="shared" si="48"/>
        <v>0</v>
      </c>
      <c r="AS167" s="6" t="str">
        <f t="shared" si="49"/>
        <v xml:space="preserve"> </v>
      </c>
      <c r="AT167" s="21" t="str">
        <f t="shared" si="50"/>
        <v xml:space="preserve"> </v>
      </c>
    </row>
    <row r="168" spans="3:46">
      <c r="C168" s="22">
        <f t="shared" si="35"/>
        <v>157</v>
      </c>
      <c r="D168" s="23">
        <f>IF(AND(C168&gt;='Amort. Sched.-BEST'!$I$8, C168&lt;= ($I$7+$I$8)), PMT('Amort. Sched.-BEST'!$E$8/12, 'Amort. Sched.-BEST'!$I$7, 'Amort. Sched.-BEST'!$E$7), 0)</f>
        <v>-1350.6783839027553</v>
      </c>
      <c r="E168" s="5">
        <f>IF(AND(C168&gt;='Amort. Sched.-BEST'!$I$8, C168&lt;= ($I$7+$I$8)), (IPMT($E$8/12, (C168-$I$8), $I$7, $E$7)), 0)</f>
        <v>-831.86300235335932</v>
      </c>
      <c r="F168" s="23">
        <f>IF(AND(C168&gt;='Amort. Sched.-BEST'!$I$8, C168&lt;= ($I$7+$I$8)), (PPMT($E$8/12, (C168-$I$8), $I$7, $E$7)), 0)</f>
        <v>-518.81538154939597</v>
      </c>
      <c r="G168" s="5">
        <f>IF(MortgageAmortBEST[[#This Row],[Month]]=I$8,E$7,0)</f>
        <v>0</v>
      </c>
      <c r="H168" s="13">
        <f>IF(AND(C168&gt;='Amort. Sched.-BEST'!$I$8, C168&lt;= ($I$7+$I$8)), H167+F168, 0)</f>
        <v>124260.63497145446</v>
      </c>
      <c r="I168" s="24">
        <f>IF(AND(C168&gt;='Amort. Sched.-BEST'!$I$8, C168&lt;= ($I$7+$I$8)), E168/D168, " ")</f>
        <v>0.61588533011812152</v>
      </c>
      <c r="J168" s="25">
        <f>IF(AND(C168&gt;='Amort. Sched.-BEST'!$I$8, C168&lt;= ($I$7+$I$8)), F168/D168, " ")</f>
        <v>0.38411466988187848</v>
      </c>
      <c r="L168" s="20">
        <f t="shared" si="34"/>
        <v>157</v>
      </c>
      <c r="M168" s="5">
        <f>IF(AND(L168&gt;='Amort. Sched.-BEST'!$R$8, L168&lt;= ($R$7+$R$8)), PMT('Amort. Sched.-BEST'!$N$8/12, 'Amort. Sched.-BEST'!$R$7, 'Amort. Sched.-BEST'!$N$7), 0)</f>
        <v>0</v>
      </c>
      <c r="N168" s="5">
        <f>IF(AND(L168&gt;='Amort. Sched.-BEST'!$R$8, L168&lt;= ($R$7+$R$8)), (IPMT($N$8/12, (L168-$R$8), $R$7, $N$7)), 0)</f>
        <v>0</v>
      </c>
      <c r="O168" s="5">
        <f>IF(AND(L168&gt;='Amort. Sched.-BEST'!$R$8, L168&lt;= ($R$7+$R$8)), (PPMT($N$8/12, (L168-$R$8), $R$7, $N$7)), 0)</f>
        <v>0</v>
      </c>
      <c r="P168" s="5">
        <f>IF(CreditAmort1BEST[[#This Row],[Month]]=R$8,N$7,0)</f>
        <v>0</v>
      </c>
      <c r="Q168" s="13">
        <f>IF(AND(L168&gt;='Amort. Sched.-BEST'!$R$8, L168&lt;= ($R$7+$R$8)), Q167+O168, 0)</f>
        <v>0</v>
      </c>
      <c r="R168" s="6" t="str">
        <f>IF(AND(L168&gt;='Amort. Sched.-BEST'!$R$8, L168&lt;= ($R$7+$R$8)), N168/M168, " ")</f>
        <v xml:space="preserve"> </v>
      </c>
      <c r="S168" s="21" t="str">
        <f>IF(AND(L168&gt;='Amort. Sched.-BEST'!$R$8, L168&lt;= ($R$7+$R$8)), O168/M168, " ")</f>
        <v xml:space="preserve"> </v>
      </c>
      <c r="U168" s="22">
        <f t="shared" si="36"/>
        <v>157</v>
      </c>
      <c r="V168" s="23">
        <f>IF(AND(U168&gt;='Amort. Sched.-BEST'!$AA$8, U168&lt;= ($AA$7+$AA$8)), PMT('Amort. Sched.-BEST'!$W$8/12, 'Amort. Sched.-BEST'!$AA$7, 'Amort. Sched.-BEST'!$W$7), 0)</f>
        <v>0</v>
      </c>
      <c r="W168" s="5">
        <f>IF(AND(U168&gt;='Amort. Sched.-BEST'!$AA$8, U168&lt;= ($AA$7+$AA$8)), (IPMT($W$8/12, (U168-$AA$8), $AA$7, $W$7)), 0)</f>
        <v>0</v>
      </c>
      <c r="X168" s="23">
        <f>IF(AND(U168&gt;='Amort. Sched.-BEST'!$AA$8, U168&lt;= ($AA$7+$AA$8)), (PPMT($W$8/12, (U168-$AA$8), $AA$7, $W$7)), 0)</f>
        <v>0</v>
      </c>
      <c r="Y168" s="5">
        <f>IF(CreditAmort2BEST[[#This Row],[Month]]=AA$8,W$7,0)</f>
        <v>0</v>
      </c>
      <c r="Z168" s="13">
        <f>IF(AND(U168&gt;='Amort. Sched.-BEST'!$AA$8, U168&lt;= ($AA$7+$AA$8)), Z167+X168, 0)</f>
        <v>0</v>
      </c>
      <c r="AA168" s="24" t="str">
        <f>IF(AND(U168&gt;='Amort. Sched.-BEST'!$AA$8, U168&lt;= ($AA$7+$AA$8)), W168/V168, " ")</f>
        <v xml:space="preserve"> </v>
      </c>
      <c r="AB168" s="25" t="str">
        <f>IF(AND(U168&gt;='Amort. Sched.-BEST'!$AA$8, U168&lt;= ($AA$7+$AA$8)), X168/V168, " ")</f>
        <v xml:space="preserve"> </v>
      </c>
      <c r="AD168" s="22">
        <f t="shared" si="37"/>
        <v>157</v>
      </c>
      <c r="AE168" s="5">
        <f t="shared" si="38"/>
        <v>0</v>
      </c>
      <c r="AF168" s="5">
        <f t="shared" si="39"/>
        <v>0</v>
      </c>
      <c r="AG168" s="5">
        <f t="shared" si="40"/>
        <v>0</v>
      </c>
      <c r="AH168" s="5">
        <f>IF(CreditAmort3BEST[[#This Row],[Month]]=AJ$8,AF$7,0)</f>
        <v>0</v>
      </c>
      <c r="AI168" s="13">
        <f t="shared" si="41"/>
        <v>0</v>
      </c>
      <c r="AJ168" s="6" t="str">
        <f t="shared" si="42"/>
        <v xml:space="preserve"> </v>
      </c>
      <c r="AK168" s="21" t="str">
        <f t="shared" si="43"/>
        <v xml:space="preserve"> </v>
      </c>
      <c r="AM168" s="20">
        <f t="shared" si="44"/>
        <v>157</v>
      </c>
      <c r="AN168" s="5">
        <f t="shared" si="45"/>
        <v>0</v>
      </c>
      <c r="AO168" s="5">
        <f t="shared" si="46"/>
        <v>0</v>
      </c>
      <c r="AP168" s="5">
        <f t="shared" si="47"/>
        <v>0</v>
      </c>
      <c r="AQ168" s="5">
        <f>IF(CreditAmort4BEST[[#This Row],[Month]]=AS$8,AO$7,0)</f>
        <v>0</v>
      </c>
      <c r="AR168" s="13">
        <f t="shared" si="48"/>
        <v>0</v>
      </c>
      <c r="AS168" s="6" t="str">
        <f t="shared" si="49"/>
        <v xml:space="preserve"> </v>
      </c>
      <c r="AT168" s="21" t="str">
        <f t="shared" si="50"/>
        <v xml:space="preserve"> </v>
      </c>
    </row>
    <row r="169" spans="3:46">
      <c r="C169" s="22">
        <f t="shared" si="35"/>
        <v>158</v>
      </c>
      <c r="D169" s="23">
        <f>IF(AND(C169&gt;='Amort. Sched.-BEST'!$I$8, C169&lt;= ($I$7+$I$8)), PMT('Amort. Sched.-BEST'!$E$8/12, 'Amort. Sched.-BEST'!$I$7, 'Amort. Sched.-BEST'!$E$7), 0)</f>
        <v>-1350.6783839027553</v>
      </c>
      <c r="E169" s="5">
        <f>IF(AND(C169&gt;='Amort. Sched.-BEST'!$I$8, C169&lt;= ($I$7+$I$8)), (IPMT($E$8/12, (C169-$I$8), $I$7, $E$7)), 0)</f>
        <v>-828.40423314302996</v>
      </c>
      <c r="F169" s="23">
        <f>IF(AND(C169&gt;='Amort. Sched.-BEST'!$I$8, C169&lt;= ($I$7+$I$8)), (PPMT($E$8/12, (C169-$I$8), $I$7, $E$7)), 0)</f>
        <v>-522.27415075972522</v>
      </c>
      <c r="G169" s="5">
        <f>IF(MortgageAmortBEST[[#This Row],[Month]]=I$8,E$7,0)</f>
        <v>0</v>
      </c>
      <c r="H169" s="13">
        <f>IF(AND(C169&gt;='Amort. Sched.-BEST'!$I$8, C169&lt;= ($I$7+$I$8)), H168+F169, 0)</f>
        <v>123738.36082069474</v>
      </c>
      <c r="I169" s="24">
        <f>IF(AND(C169&gt;='Amort. Sched.-BEST'!$I$8, C169&lt;= ($I$7+$I$8)), E169/D169, " ")</f>
        <v>0.61332456565224225</v>
      </c>
      <c r="J169" s="25">
        <f>IF(AND(C169&gt;='Amort. Sched.-BEST'!$I$8, C169&lt;= ($I$7+$I$8)), F169/D169, " ")</f>
        <v>0.38667543434775764</v>
      </c>
      <c r="L169" s="20">
        <f t="shared" si="34"/>
        <v>158</v>
      </c>
      <c r="M169" s="5">
        <f>IF(AND(L169&gt;='Amort. Sched.-BEST'!$R$8, L169&lt;= ($R$7+$R$8)), PMT('Amort. Sched.-BEST'!$N$8/12, 'Amort. Sched.-BEST'!$R$7, 'Amort. Sched.-BEST'!$N$7), 0)</f>
        <v>0</v>
      </c>
      <c r="N169" s="5">
        <f>IF(AND(L169&gt;='Amort. Sched.-BEST'!$R$8, L169&lt;= ($R$7+$R$8)), (IPMT($N$8/12, (L169-$R$8), $R$7, $N$7)), 0)</f>
        <v>0</v>
      </c>
      <c r="O169" s="5">
        <f>IF(AND(L169&gt;='Amort. Sched.-BEST'!$R$8, L169&lt;= ($R$7+$R$8)), (PPMT($N$8/12, (L169-$R$8), $R$7, $N$7)), 0)</f>
        <v>0</v>
      </c>
      <c r="P169" s="5">
        <f>IF(CreditAmort1BEST[[#This Row],[Month]]=R$8,N$7,0)</f>
        <v>0</v>
      </c>
      <c r="Q169" s="13">
        <f>IF(AND(L169&gt;='Amort. Sched.-BEST'!$R$8, L169&lt;= ($R$7+$R$8)), Q168+O169, 0)</f>
        <v>0</v>
      </c>
      <c r="R169" s="6" t="str">
        <f>IF(AND(L169&gt;='Amort. Sched.-BEST'!$R$8, L169&lt;= ($R$7+$R$8)), N169/M169, " ")</f>
        <v xml:space="preserve"> </v>
      </c>
      <c r="S169" s="21" t="str">
        <f>IF(AND(L169&gt;='Amort. Sched.-BEST'!$R$8, L169&lt;= ($R$7+$R$8)), O169/M169, " ")</f>
        <v xml:space="preserve"> </v>
      </c>
      <c r="U169" s="22">
        <f t="shared" si="36"/>
        <v>158</v>
      </c>
      <c r="V169" s="23">
        <f>IF(AND(U169&gt;='Amort. Sched.-BEST'!$AA$8, U169&lt;= ($AA$7+$AA$8)), PMT('Amort. Sched.-BEST'!$W$8/12, 'Amort. Sched.-BEST'!$AA$7, 'Amort. Sched.-BEST'!$W$7), 0)</f>
        <v>0</v>
      </c>
      <c r="W169" s="5">
        <f>IF(AND(U169&gt;='Amort. Sched.-BEST'!$AA$8, U169&lt;= ($AA$7+$AA$8)), (IPMT($W$8/12, (U169-$AA$8), $AA$7, $W$7)), 0)</f>
        <v>0</v>
      </c>
      <c r="X169" s="23">
        <f>IF(AND(U169&gt;='Amort. Sched.-BEST'!$AA$8, U169&lt;= ($AA$7+$AA$8)), (PPMT($W$8/12, (U169-$AA$8), $AA$7, $W$7)), 0)</f>
        <v>0</v>
      </c>
      <c r="Y169" s="5">
        <f>IF(CreditAmort2BEST[[#This Row],[Month]]=AA$8,W$7,0)</f>
        <v>0</v>
      </c>
      <c r="Z169" s="13">
        <f>IF(AND(U169&gt;='Amort. Sched.-BEST'!$AA$8, U169&lt;= ($AA$7+$AA$8)), Z168+X169, 0)</f>
        <v>0</v>
      </c>
      <c r="AA169" s="24" t="str">
        <f>IF(AND(U169&gt;='Amort. Sched.-BEST'!$AA$8, U169&lt;= ($AA$7+$AA$8)), W169/V169, " ")</f>
        <v xml:space="preserve"> </v>
      </c>
      <c r="AB169" s="25" t="str">
        <f>IF(AND(U169&gt;='Amort. Sched.-BEST'!$AA$8, U169&lt;= ($AA$7+$AA$8)), X169/V169, " ")</f>
        <v xml:space="preserve"> </v>
      </c>
      <c r="AD169" s="22">
        <f t="shared" si="37"/>
        <v>158</v>
      </c>
      <c r="AE169" s="5">
        <f t="shared" si="38"/>
        <v>0</v>
      </c>
      <c r="AF169" s="5">
        <f t="shared" si="39"/>
        <v>0</v>
      </c>
      <c r="AG169" s="5">
        <f t="shared" si="40"/>
        <v>0</v>
      </c>
      <c r="AH169" s="5">
        <f>IF(CreditAmort3BEST[[#This Row],[Month]]=AJ$8,AF$7,0)</f>
        <v>0</v>
      </c>
      <c r="AI169" s="13">
        <f t="shared" si="41"/>
        <v>0</v>
      </c>
      <c r="AJ169" s="6" t="str">
        <f t="shared" si="42"/>
        <v xml:space="preserve"> </v>
      </c>
      <c r="AK169" s="21" t="str">
        <f t="shared" si="43"/>
        <v xml:space="preserve"> </v>
      </c>
      <c r="AM169" s="20">
        <f t="shared" si="44"/>
        <v>158</v>
      </c>
      <c r="AN169" s="5">
        <f t="shared" si="45"/>
        <v>0</v>
      </c>
      <c r="AO169" s="5">
        <f t="shared" si="46"/>
        <v>0</v>
      </c>
      <c r="AP169" s="5">
        <f t="shared" si="47"/>
        <v>0</v>
      </c>
      <c r="AQ169" s="5">
        <f>IF(CreditAmort4BEST[[#This Row],[Month]]=AS$8,AO$7,0)</f>
        <v>0</v>
      </c>
      <c r="AR169" s="13">
        <f t="shared" si="48"/>
        <v>0</v>
      </c>
      <c r="AS169" s="6" t="str">
        <f t="shared" si="49"/>
        <v xml:space="preserve"> </v>
      </c>
      <c r="AT169" s="21" t="str">
        <f t="shared" si="50"/>
        <v xml:space="preserve"> </v>
      </c>
    </row>
    <row r="170" spans="3:46">
      <c r="C170" s="22">
        <f t="shared" si="35"/>
        <v>159</v>
      </c>
      <c r="D170" s="23">
        <f>IF(AND(C170&gt;='Amort. Sched.-BEST'!$I$8, C170&lt;= ($I$7+$I$8)), PMT('Amort. Sched.-BEST'!$E$8/12, 'Amort. Sched.-BEST'!$I$7, 'Amort. Sched.-BEST'!$E$7), 0)</f>
        <v>-1350.6783839027553</v>
      </c>
      <c r="E170" s="5">
        <f>IF(AND(C170&gt;='Amort. Sched.-BEST'!$I$8, C170&lt;= ($I$7+$I$8)), (IPMT($E$8/12, (C170-$I$8), $I$7, $E$7)), 0)</f>
        <v>-824.92240547129848</v>
      </c>
      <c r="F170" s="23">
        <f>IF(AND(C170&gt;='Amort. Sched.-BEST'!$I$8, C170&lt;= ($I$7+$I$8)), (PPMT($E$8/12, (C170-$I$8), $I$7, $E$7)), 0)</f>
        <v>-525.75597843145681</v>
      </c>
      <c r="G170" s="5">
        <f>IF(MortgageAmortBEST[[#This Row],[Month]]=I$8,E$7,0)</f>
        <v>0</v>
      </c>
      <c r="H170" s="13">
        <f>IF(AND(C170&gt;='Amort. Sched.-BEST'!$I$8, C170&lt;= ($I$7+$I$8)), H169+F170, 0)</f>
        <v>123212.60484226329</v>
      </c>
      <c r="I170" s="24">
        <f>IF(AND(C170&gt;='Amort. Sched.-BEST'!$I$8, C170&lt;= ($I$7+$I$8)), E170/D170, " ")</f>
        <v>0.61074672942325725</v>
      </c>
      <c r="J170" s="25">
        <f>IF(AND(C170&gt;='Amort. Sched.-BEST'!$I$8, C170&lt;= ($I$7+$I$8)), F170/D170, " ")</f>
        <v>0.38925327057674275</v>
      </c>
      <c r="L170" s="20">
        <f t="shared" si="34"/>
        <v>159</v>
      </c>
      <c r="M170" s="5">
        <f>IF(AND(L170&gt;='Amort. Sched.-BEST'!$R$8, L170&lt;= ($R$7+$R$8)), PMT('Amort. Sched.-BEST'!$N$8/12, 'Amort. Sched.-BEST'!$R$7, 'Amort. Sched.-BEST'!$N$7), 0)</f>
        <v>0</v>
      </c>
      <c r="N170" s="5">
        <f>IF(AND(L170&gt;='Amort. Sched.-BEST'!$R$8, L170&lt;= ($R$7+$R$8)), (IPMT($N$8/12, (L170-$R$8), $R$7, $N$7)), 0)</f>
        <v>0</v>
      </c>
      <c r="O170" s="5">
        <f>IF(AND(L170&gt;='Amort. Sched.-BEST'!$R$8, L170&lt;= ($R$7+$R$8)), (PPMT($N$8/12, (L170-$R$8), $R$7, $N$7)), 0)</f>
        <v>0</v>
      </c>
      <c r="P170" s="5">
        <f>IF(CreditAmort1BEST[[#This Row],[Month]]=R$8,N$7,0)</f>
        <v>0</v>
      </c>
      <c r="Q170" s="13">
        <f>IF(AND(L170&gt;='Amort. Sched.-BEST'!$R$8, L170&lt;= ($R$7+$R$8)), Q169+O170, 0)</f>
        <v>0</v>
      </c>
      <c r="R170" s="6" t="str">
        <f>IF(AND(L170&gt;='Amort. Sched.-BEST'!$R$8, L170&lt;= ($R$7+$R$8)), N170/M170, " ")</f>
        <v xml:space="preserve"> </v>
      </c>
      <c r="S170" s="21" t="str">
        <f>IF(AND(L170&gt;='Amort. Sched.-BEST'!$R$8, L170&lt;= ($R$7+$R$8)), O170/M170, " ")</f>
        <v xml:space="preserve"> </v>
      </c>
      <c r="U170" s="22">
        <f t="shared" si="36"/>
        <v>159</v>
      </c>
      <c r="V170" s="23">
        <f>IF(AND(U170&gt;='Amort. Sched.-BEST'!$AA$8, U170&lt;= ($AA$7+$AA$8)), PMT('Amort. Sched.-BEST'!$W$8/12, 'Amort. Sched.-BEST'!$AA$7, 'Amort. Sched.-BEST'!$W$7), 0)</f>
        <v>0</v>
      </c>
      <c r="W170" s="5">
        <f>IF(AND(U170&gt;='Amort. Sched.-BEST'!$AA$8, U170&lt;= ($AA$7+$AA$8)), (IPMT($W$8/12, (U170-$AA$8), $AA$7, $W$7)), 0)</f>
        <v>0</v>
      </c>
      <c r="X170" s="23">
        <f>IF(AND(U170&gt;='Amort. Sched.-BEST'!$AA$8, U170&lt;= ($AA$7+$AA$8)), (PPMT($W$8/12, (U170-$AA$8), $AA$7, $W$7)), 0)</f>
        <v>0</v>
      </c>
      <c r="Y170" s="5">
        <f>IF(CreditAmort2BEST[[#This Row],[Month]]=AA$8,W$7,0)</f>
        <v>0</v>
      </c>
      <c r="Z170" s="13">
        <f>IF(AND(U170&gt;='Amort. Sched.-BEST'!$AA$8, U170&lt;= ($AA$7+$AA$8)), Z169+X170, 0)</f>
        <v>0</v>
      </c>
      <c r="AA170" s="24" t="str">
        <f>IF(AND(U170&gt;='Amort. Sched.-BEST'!$AA$8, U170&lt;= ($AA$7+$AA$8)), W170/V170, " ")</f>
        <v xml:space="preserve"> </v>
      </c>
      <c r="AB170" s="25" t="str">
        <f>IF(AND(U170&gt;='Amort. Sched.-BEST'!$AA$8, U170&lt;= ($AA$7+$AA$8)), X170/V170, " ")</f>
        <v xml:space="preserve"> </v>
      </c>
      <c r="AD170" s="22">
        <f t="shared" si="37"/>
        <v>159</v>
      </c>
      <c r="AE170" s="5">
        <f t="shared" si="38"/>
        <v>0</v>
      </c>
      <c r="AF170" s="5">
        <f t="shared" si="39"/>
        <v>0</v>
      </c>
      <c r="AG170" s="5">
        <f t="shared" si="40"/>
        <v>0</v>
      </c>
      <c r="AH170" s="5">
        <f>IF(CreditAmort3BEST[[#This Row],[Month]]=AJ$8,AF$7,0)</f>
        <v>0</v>
      </c>
      <c r="AI170" s="13">
        <f t="shared" si="41"/>
        <v>0</v>
      </c>
      <c r="AJ170" s="6" t="str">
        <f t="shared" si="42"/>
        <v xml:space="preserve"> </v>
      </c>
      <c r="AK170" s="21" t="str">
        <f t="shared" si="43"/>
        <v xml:space="preserve"> </v>
      </c>
      <c r="AM170" s="20">
        <f t="shared" si="44"/>
        <v>159</v>
      </c>
      <c r="AN170" s="5">
        <f t="shared" si="45"/>
        <v>0</v>
      </c>
      <c r="AO170" s="5">
        <f t="shared" si="46"/>
        <v>0</v>
      </c>
      <c r="AP170" s="5">
        <f t="shared" si="47"/>
        <v>0</v>
      </c>
      <c r="AQ170" s="5">
        <f>IF(CreditAmort4BEST[[#This Row],[Month]]=AS$8,AO$7,0)</f>
        <v>0</v>
      </c>
      <c r="AR170" s="13">
        <f t="shared" si="48"/>
        <v>0</v>
      </c>
      <c r="AS170" s="6" t="str">
        <f t="shared" si="49"/>
        <v xml:space="preserve"> </v>
      </c>
      <c r="AT170" s="21" t="str">
        <f t="shared" si="50"/>
        <v xml:space="preserve"> </v>
      </c>
    </row>
    <row r="171" spans="3:46">
      <c r="C171" s="22">
        <f t="shared" si="35"/>
        <v>160</v>
      </c>
      <c r="D171" s="23">
        <f>IF(AND(C171&gt;='Amort. Sched.-BEST'!$I$8, C171&lt;= ($I$7+$I$8)), PMT('Amort. Sched.-BEST'!$E$8/12, 'Amort. Sched.-BEST'!$I$7, 'Amort. Sched.-BEST'!$E$7), 0)</f>
        <v>-1350.6783839027553</v>
      </c>
      <c r="E171" s="5">
        <f>IF(AND(C171&gt;='Amort. Sched.-BEST'!$I$8, C171&lt;= ($I$7+$I$8)), (IPMT($E$8/12, (C171-$I$8), $I$7, $E$7)), 0)</f>
        <v>-821.41736561508867</v>
      </c>
      <c r="F171" s="23">
        <f>IF(AND(C171&gt;='Amort. Sched.-BEST'!$I$8, C171&lt;= ($I$7+$I$8)), (PPMT($E$8/12, (C171-$I$8), $I$7, $E$7)), 0)</f>
        <v>-529.2610182876665</v>
      </c>
      <c r="G171" s="5">
        <f>IF(MortgageAmortBEST[[#This Row],[Month]]=I$8,E$7,0)</f>
        <v>0</v>
      </c>
      <c r="H171" s="13">
        <f>IF(AND(C171&gt;='Amort. Sched.-BEST'!$I$8, C171&lt;= ($I$7+$I$8)), H170+F171, 0)</f>
        <v>122683.34382397562</v>
      </c>
      <c r="I171" s="24">
        <f>IF(AND(C171&gt;='Amort. Sched.-BEST'!$I$8, C171&lt;= ($I$7+$I$8)), E171/D171, " ")</f>
        <v>0.60815170761941229</v>
      </c>
      <c r="J171" s="25">
        <f>IF(AND(C171&gt;='Amort. Sched.-BEST'!$I$8, C171&lt;= ($I$7+$I$8)), F171/D171, " ")</f>
        <v>0.39184829238058766</v>
      </c>
      <c r="L171" s="20">
        <f t="shared" si="34"/>
        <v>160</v>
      </c>
      <c r="M171" s="5">
        <f>IF(AND(L171&gt;='Amort. Sched.-BEST'!$R$8, L171&lt;= ($R$7+$R$8)), PMT('Amort. Sched.-BEST'!$N$8/12, 'Amort. Sched.-BEST'!$R$7, 'Amort. Sched.-BEST'!$N$7), 0)</f>
        <v>0</v>
      </c>
      <c r="N171" s="5">
        <f>IF(AND(L171&gt;='Amort. Sched.-BEST'!$R$8, L171&lt;= ($R$7+$R$8)), (IPMT($N$8/12, (L171-$R$8), $R$7, $N$7)), 0)</f>
        <v>0</v>
      </c>
      <c r="O171" s="5">
        <f>IF(AND(L171&gt;='Amort. Sched.-BEST'!$R$8, L171&lt;= ($R$7+$R$8)), (PPMT($N$8/12, (L171-$R$8), $R$7, $N$7)), 0)</f>
        <v>0</v>
      </c>
      <c r="P171" s="5">
        <f>IF(CreditAmort1BEST[[#This Row],[Month]]=R$8,N$7,0)</f>
        <v>0</v>
      </c>
      <c r="Q171" s="13">
        <f>IF(AND(L171&gt;='Amort. Sched.-BEST'!$R$8, L171&lt;= ($R$7+$R$8)), Q170+O171, 0)</f>
        <v>0</v>
      </c>
      <c r="R171" s="6" t="str">
        <f>IF(AND(L171&gt;='Amort. Sched.-BEST'!$R$8, L171&lt;= ($R$7+$R$8)), N171/M171, " ")</f>
        <v xml:space="preserve"> </v>
      </c>
      <c r="S171" s="21" t="str">
        <f>IF(AND(L171&gt;='Amort. Sched.-BEST'!$R$8, L171&lt;= ($R$7+$R$8)), O171/M171, " ")</f>
        <v xml:space="preserve"> </v>
      </c>
      <c r="U171" s="22">
        <f t="shared" si="36"/>
        <v>160</v>
      </c>
      <c r="V171" s="23">
        <f>IF(AND(U171&gt;='Amort. Sched.-BEST'!$AA$8, U171&lt;= ($AA$7+$AA$8)), PMT('Amort. Sched.-BEST'!$W$8/12, 'Amort. Sched.-BEST'!$AA$7, 'Amort. Sched.-BEST'!$W$7), 0)</f>
        <v>0</v>
      </c>
      <c r="W171" s="5">
        <f>IF(AND(U171&gt;='Amort. Sched.-BEST'!$AA$8, U171&lt;= ($AA$7+$AA$8)), (IPMT($W$8/12, (U171-$AA$8), $AA$7, $W$7)), 0)</f>
        <v>0</v>
      </c>
      <c r="X171" s="23">
        <f>IF(AND(U171&gt;='Amort. Sched.-BEST'!$AA$8, U171&lt;= ($AA$7+$AA$8)), (PPMT($W$8/12, (U171-$AA$8), $AA$7, $W$7)), 0)</f>
        <v>0</v>
      </c>
      <c r="Y171" s="5">
        <f>IF(CreditAmort2BEST[[#This Row],[Month]]=AA$8,W$7,0)</f>
        <v>0</v>
      </c>
      <c r="Z171" s="13">
        <f>IF(AND(U171&gt;='Amort. Sched.-BEST'!$AA$8, U171&lt;= ($AA$7+$AA$8)), Z170+X171, 0)</f>
        <v>0</v>
      </c>
      <c r="AA171" s="24" t="str">
        <f>IF(AND(U171&gt;='Amort. Sched.-BEST'!$AA$8, U171&lt;= ($AA$7+$AA$8)), W171/V171, " ")</f>
        <v xml:space="preserve"> </v>
      </c>
      <c r="AB171" s="25" t="str">
        <f>IF(AND(U171&gt;='Amort. Sched.-BEST'!$AA$8, U171&lt;= ($AA$7+$AA$8)), X171/V171, " ")</f>
        <v xml:space="preserve"> </v>
      </c>
      <c r="AD171" s="22">
        <f t="shared" si="37"/>
        <v>160</v>
      </c>
      <c r="AE171" s="5">
        <f t="shared" si="38"/>
        <v>0</v>
      </c>
      <c r="AF171" s="5">
        <f t="shared" si="39"/>
        <v>0</v>
      </c>
      <c r="AG171" s="5">
        <f t="shared" si="40"/>
        <v>0</v>
      </c>
      <c r="AH171" s="5">
        <f>IF(CreditAmort3BEST[[#This Row],[Month]]=AJ$8,AF$7,0)</f>
        <v>0</v>
      </c>
      <c r="AI171" s="13">
        <f t="shared" si="41"/>
        <v>0</v>
      </c>
      <c r="AJ171" s="6" t="str">
        <f t="shared" si="42"/>
        <v xml:space="preserve"> </v>
      </c>
      <c r="AK171" s="21" t="str">
        <f t="shared" si="43"/>
        <v xml:space="preserve"> </v>
      </c>
      <c r="AM171" s="20">
        <f t="shared" si="44"/>
        <v>160</v>
      </c>
      <c r="AN171" s="5">
        <f t="shared" si="45"/>
        <v>0</v>
      </c>
      <c r="AO171" s="5">
        <f t="shared" si="46"/>
        <v>0</v>
      </c>
      <c r="AP171" s="5">
        <f t="shared" si="47"/>
        <v>0</v>
      </c>
      <c r="AQ171" s="5">
        <f>IF(CreditAmort4BEST[[#This Row],[Month]]=AS$8,AO$7,0)</f>
        <v>0</v>
      </c>
      <c r="AR171" s="13">
        <f t="shared" si="48"/>
        <v>0</v>
      </c>
      <c r="AS171" s="6" t="str">
        <f t="shared" si="49"/>
        <v xml:space="preserve"> </v>
      </c>
      <c r="AT171" s="21" t="str">
        <f t="shared" si="50"/>
        <v xml:space="preserve"> </v>
      </c>
    </row>
    <row r="172" spans="3:46">
      <c r="C172" s="22">
        <f t="shared" si="35"/>
        <v>161</v>
      </c>
      <c r="D172" s="23">
        <f>IF(AND(C172&gt;='Amort. Sched.-BEST'!$I$8, C172&lt;= ($I$7+$I$8)), PMT('Amort. Sched.-BEST'!$E$8/12, 'Amort. Sched.-BEST'!$I$7, 'Amort. Sched.-BEST'!$E$7), 0)</f>
        <v>-1350.6783839027553</v>
      </c>
      <c r="E172" s="5">
        <f>IF(AND(C172&gt;='Amort. Sched.-BEST'!$I$8, C172&lt;= ($I$7+$I$8)), (IPMT($E$8/12, (C172-$I$8), $I$7, $E$7)), 0)</f>
        <v>-817.88895882650445</v>
      </c>
      <c r="F172" s="23">
        <f>IF(AND(C172&gt;='Amort. Sched.-BEST'!$I$8, C172&lt;= ($I$7+$I$8)), (PPMT($E$8/12, (C172-$I$8), $I$7, $E$7)), 0)</f>
        <v>-532.78942507625095</v>
      </c>
      <c r="G172" s="5">
        <f>IF(MortgageAmortBEST[[#This Row],[Month]]=I$8,E$7,0)</f>
        <v>0</v>
      </c>
      <c r="H172" s="13">
        <f>IF(AND(C172&gt;='Amort. Sched.-BEST'!$I$8, C172&lt;= ($I$7+$I$8)), H171+F172, 0)</f>
        <v>122150.55439889937</v>
      </c>
      <c r="I172" s="24">
        <f>IF(AND(C172&gt;='Amort. Sched.-BEST'!$I$8, C172&lt;= ($I$7+$I$8)), E172/D172, " ")</f>
        <v>0.60553938567020849</v>
      </c>
      <c r="J172" s="25">
        <f>IF(AND(C172&gt;='Amort. Sched.-BEST'!$I$8, C172&lt;= ($I$7+$I$8)), F172/D172, " ")</f>
        <v>0.39446061432979163</v>
      </c>
      <c r="L172" s="20">
        <f t="shared" si="34"/>
        <v>161</v>
      </c>
      <c r="M172" s="5">
        <f>IF(AND(L172&gt;='Amort. Sched.-BEST'!$R$8, L172&lt;= ($R$7+$R$8)), PMT('Amort. Sched.-BEST'!$N$8/12, 'Amort. Sched.-BEST'!$R$7, 'Amort. Sched.-BEST'!$N$7), 0)</f>
        <v>0</v>
      </c>
      <c r="N172" s="5">
        <f>IF(AND(L172&gt;='Amort. Sched.-BEST'!$R$8, L172&lt;= ($R$7+$R$8)), (IPMT($N$8/12, (L172-$R$8), $R$7, $N$7)), 0)</f>
        <v>0</v>
      </c>
      <c r="O172" s="5">
        <f>IF(AND(L172&gt;='Amort. Sched.-BEST'!$R$8, L172&lt;= ($R$7+$R$8)), (PPMT($N$8/12, (L172-$R$8), $R$7, $N$7)), 0)</f>
        <v>0</v>
      </c>
      <c r="P172" s="5">
        <f>IF(CreditAmort1BEST[[#This Row],[Month]]=R$8,N$7,0)</f>
        <v>0</v>
      </c>
      <c r="Q172" s="13">
        <f>IF(AND(L172&gt;='Amort. Sched.-BEST'!$R$8, L172&lt;= ($R$7+$R$8)), Q171+O172, 0)</f>
        <v>0</v>
      </c>
      <c r="R172" s="6" t="str">
        <f>IF(AND(L172&gt;='Amort. Sched.-BEST'!$R$8, L172&lt;= ($R$7+$R$8)), N172/M172, " ")</f>
        <v xml:space="preserve"> </v>
      </c>
      <c r="S172" s="21" t="str">
        <f>IF(AND(L172&gt;='Amort. Sched.-BEST'!$R$8, L172&lt;= ($R$7+$R$8)), O172/M172, " ")</f>
        <v xml:space="preserve"> </v>
      </c>
      <c r="U172" s="22">
        <f t="shared" si="36"/>
        <v>161</v>
      </c>
      <c r="V172" s="23">
        <f>IF(AND(U172&gt;='Amort. Sched.-BEST'!$AA$8, U172&lt;= ($AA$7+$AA$8)), PMT('Amort. Sched.-BEST'!$W$8/12, 'Amort. Sched.-BEST'!$AA$7, 'Amort. Sched.-BEST'!$W$7), 0)</f>
        <v>0</v>
      </c>
      <c r="W172" s="5">
        <f>IF(AND(U172&gt;='Amort. Sched.-BEST'!$AA$8, U172&lt;= ($AA$7+$AA$8)), (IPMT($W$8/12, (U172-$AA$8), $AA$7, $W$7)), 0)</f>
        <v>0</v>
      </c>
      <c r="X172" s="23">
        <f>IF(AND(U172&gt;='Amort. Sched.-BEST'!$AA$8, U172&lt;= ($AA$7+$AA$8)), (PPMT($W$8/12, (U172-$AA$8), $AA$7, $W$7)), 0)</f>
        <v>0</v>
      </c>
      <c r="Y172" s="5">
        <f>IF(CreditAmort2BEST[[#This Row],[Month]]=AA$8,W$7,0)</f>
        <v>0</v>
      </c>
      <c r="Z172" s="13">
        <f>IF(AND(U172&gt;='Amort. Sched.-BEST'!$AA$8, U172&lt;= ($AA$7+$AA$8)), Z171+X172, 0)</f>
        <v>0</v>
      </c>
      <c r="AA172" s="24" t="str">
        <f>IF(AND(U172&gt;='Amort. Sched.-BEST'!$AA$8, U172&lt;= ($AA$7+$AA$8)), W172/V172, " ")</f>
        <v xml:space="preserve"> </v>
      </c>
      <c r="AB172" s="25" t="str">
        <f>IF(AND(U172&gt;='Amort. Sched.-BEST'!$AA$8, U172&lt;= ($AA$7+$AA$8)), X172/V172, " ")</f>
        <v xml:space="preserve"> </v>
      </c>
      <c r="AD172" s="22">
        <f t="shared" si="37"/>
        <v>161</v>
      </c>
      <c r="AE172" s="5">
        <f t="shared" si="38"/>
        <v>0</v>
      </c>
      <c r="AF172" s="5">
        <f t="shared" si="39"/>
        <v>0</v>
      </c>
      <c r="AG172" s="5">
        <f t="shared" si="40"/>
        <v>0</v>
      </c>
      <c r="AH172" s="5">
        <f>IF(CreditAmort3BEST[[#This Row],[Month]]=AJ$8,AF$7,0)</f>
        <v>0</v>
      </c>
      <c r="AI172" s="13">
        <f t="shared" si="41"/>
        <v>0</v>
      </c>
      <c r="AJ172" s="6" t="str">
        <f t="shared" si="42"/>
        <v xml:space="preserve"> </v>
      </c>
      <c r="AK172" s="21" t="str">
        <f t="shared" si="43"/>
        <v xml:space="preserve"> </v>
      </c>
      <c r="AM172" s="20">
        <f t="shared" si="44"/>
        <v>161</v>
      </c>
      <c r="AN172" s="5">
        <f t="shared" si="45"/>
        <v>0</v>
      </c>
      <c r="AO172" s="5">
        <f t="shared" si="46"/>
        <v>0</v>
      </c>
      <c r="AP172" s="5">
        <f t="shared" si="47"/>
        <v>0</v>
      </c>
      <c r="AQ172" s="5">
        <f>IF(CreditAmort4BEST[[#This Row],[Month]]=AS$8,AO$7,0)</f>
        <v>0</v>
      </c>
      <c r="AR172" s="13">
        <f t="shared" si="48"/>
        <v>0</v>
      </c>
      <c r="AS172" s="6" t="str">
        <f t="shared" si="49"/>
        <v xml:space="preserve"> </v>
      </c>
      <c r="AT172" s="21" t="str">
        <f t="shared" si="50"/>
        <v xml:space="preserve"> </v>
      </c>
    </row>
    <row r="173" spans="3:46">
      <c r="C173" s="22">
        <f t="shared" si="35"/>
        <v>162</v>
      </c>
      <c r="D173" s="23">
        <f>IF(AND(C173&gt;='Amort. Sched.-BEST'!$I$8, C173&lt;= ($I$7+$I$8)), PMT('Amort. Sched.-BEST'!$E$8/12, 'Amort. Sched.-BEST'!$I$7, 'Amort. Sched.-BEST'!$E$7), 0)</f>
        <v>-1350.6783839027553</v>
      </c>
      <c r="E173" s="5">
        <f>IF(AND(C173&gt;='Amort. Sched.-BEST'!$I$8, C173&lt;= ($I$7+$I$8)), (IPMT($E$8/12, (C173-$I$8), $I$7, $E$7)), 0)</f>
        <v>-814.33702932599601</v>
      </c>
      <c r="F173" s="23">
        <f>IF(AND(C173&gt;='Amort. Sched.-BEST'!$I$8, C173&lt;= ($I$7+$I$8)), (PPMT($E$8/12, (C173-$I$8), $I$7, $E$7)), 0)</f>
        <v>-536.34135457675939</v>
      </c>
      <c r="G173" s="5">
        <f>IF(MortgageAmortBEST[[#This Row],[Month]]=I$8,E$7,0)</f>
        <v>0</v>
      </c>
      <c r="H173" s="13">
        <f>IF(AND(C173&gt;='Amort. Sched.-BEST'!$I$8, C173&lt;= ($I$7+$I$8)), H172+F173, 0)</f>
        <v>121614.21304432262</v>
      </c>
      <c r="I173" s="24">
        <f>IF(AND(C173&gt;='Amort. Sched.-BEST'!$I$8, C173&lt;= ($I$7+$I$8)), E173/D173, " ")</f>
        <v>0.60290964824134319</v>
      </c>
      <c r="J173" s="25">
        <f>IF(AND(C173&gt;='Amort. Sched.-BEST'!$I$8, C173&lt;= ($I$7+$I$8)), F173/D173, " ")</f>
        <v>0.39709035175865692</v>
      </c>
      <c r="L173" s="20">
        <f t="shared" si="34"/>
        <v>162</v>
      </c>
      <c r="M173" s="5">
        <f>IF(AND(L173&gt;='Amort. Sched.-BEST'!$R$8, L173&lt;= ($R$7+$R$8)), PMT('Amort. Sched.-BEST'!$N$8/12, 'Amort. Sched.-BEST'!$R$7, 'Amort. Sched.-BEST'!$N$7), 0)</f>
        <v>0</v>
      </c>
      <c r="N173" s="5">
        <f>IF(AND(L173&gt;='Amort. Sched.-BEST'!$R$8, L173&lt;= ($R$7+$R$8)), (IPMT($N$8/12, (L173-$R$8), $R$7, $N$7)), 0)</f>
        <v>0</v>
      </c>
      <c r="O173" s="5">
        <f>IF(AND(L173&gt;='Amort. Sched.-BEST'!$R$8, L173&lt;= ($R$7+$R$8)), (PPMT($N$8/12, (L173-$R$8), $R$7, $N$7)), 0)</f>
        <v>0</v>
      </c>
      <c r="P173" s="5">
        <f>IF(CreditAmort1BEST[[#This Row],[Month]]=R$8,N$7,0)</f>
        <v>0</v>
      </c>
      <c r="Q173" s="13">
        <f>IF(AND(L173&gt;='Amort. Sched.-BEST'!$R$8, L173&lt;= ($R$7+$R$8)), Q172+O173, 0)</f>
        <v>0</v>
      </c>
      <c r="R173" s="6" t="str">
        <f>IF(AND(L173&gt;='Amort. Sched.-BEST'!$R$8, L173&lt;= ($R$7+$R$8)), N173/M173, " ")</f>
        <v xml:space="preserve"> </v>
      </c>
      <c r="S173" s="21" t="str">
        <f>IF(AND(L173&gt;='Amort. Sched.-BEST'!$R$8, L173&lt;= ($R$7+$R$8)), O173/M173, " ")</f>
        <v xml:space="preserve"> </v>
      </c>
      <c r="U173" s="22">
        <f t="shared" si="36"/>
        <v>162</v>
      </c>
      <c r="V173" s="23">
        <f>IF(AND(U173&gt;='Amort. Sched.-BEST'!$AA$8, U173&lt;= ($AA$7+$AA$8)), PMT('Amort. Sched.-BEST'!$W$8/12, 'Amort. Sched.-BEST'!$AA$7, 'Amort. Sched.-BEST'!$W$7), 0)</f>
        <v>0</v>
      </c>
      <c r="W173" s="5">
        <f>IF(AND(U173&gt;='Amort. Sched.-BEST'!$AA$8, U173&lt;= ($AA$7+$AA$8)), (IPMT($W$8/12, (U173-$AA$8), $AA$7, $W$7)), 0)</f>
        <v>0</v>
      </c>
      <c r="X173" s="23">
        <f>IF(AND(U173&gt;='Amort. Sched.-BEST'!$AA$8, U173&lt;= ($AA$7+$AA$8)), (PPMT($W$8/12, (U173-$AA$8), $AA$7, $W$7)), 0)</f>
        <v>0</v>
      </c>
      <c r="Y173" s="5">
        <f>IF(CreditAmort2BEST[[#This Row],[Month]]=AA$8,W$7,0)</f>
        <v>0</v>
      </c>
      <c r="Z173" s="13">
        <f>IF(AND(U173&gt;='Amort. Sched.-BEST'!$AA$8, U173&lt;= ($AA$7+$AA$8)), Z172+X173, 0)</f>
        <v>0</v>
      </c>
      <c r="AA173" s="24" t="str">
        <f>IF(AND(U173&gt;='Amort. Sched.-BEST'!$AA$8, U173&lt;= ($AA$7+$AA$8)), W173/V173, " ")</f>
        <v xml:space="preserve"> </v>
      </c>
      <c r="AB173" s="25" t="str">
        <f>IF(AND(U173&gt;='Amort. Sched.-BEST'!$AA$8, U173&lt;= ($AA$7+$AA$8)), X173/V173, " ")</f>
        <v xml:space="preserve"> </v>
      </c>
      <c r="AD173" s="22">
        <f t="shared" si="37"/>
        <v>162</v>
      </c>
      <c r="AE173" s="5">
        <f t="shared" si="38"/>
        <v>0</v>
      </c>
      <c r="AF173" s="5">
        <f t="shared" si="39"/>
        <v>0</v>
      </c>
      <c r="AG173" s="5">
        <f t="shared" si="40"/>
        <v>0</v>
      </c>
      <c r="AH173" s="5">
        <f>IF(CreditAmort3BEST[[#This Row],[Month]]=AJ$8,AF$7,0)</f>
        <v>0</v>
      </c>
      <c r="AI173" s="13">
        <f t="shared" si="41"/>
        <v>0</v>
      </c>
      <c r="AJ173" s="6" t="str">
        <f t="shared" si="42"/>
        <v xml:space="preserve"> </v>
      </c>
      <c r="AK173" s="21" t="str">
        <f t="shared" si="43"/>
        <v xml:space="preserve"> </v>
      </c>
      <c r="AM173" s="20">
        <f t="shared" si="44"/>
        <v>162</v>
      </c>
      <c r="AN173" s="5">
        <f t="shared" si="45"/>
        <v>0</v>
      </c>
      <c r="AO173" s="5">
        <f t="shared" si="46"/>
        <v>0</v>
      </c>
      <c r="AP173" s="5">
        <f t="shared" si="47"/>
        <v>0</v>
      </c>
      <c r="AQ173" s="5">
        <f>IF(CreditAmort4BEST[[#This Row],[Month]]=AS$8,AO$7,0)</f>
        <v>0</v>
      </c>
      <c r="AR173" s="13">
        <f t="shared" si="48"/>
        <v>0</v>
      </c>
      <c r="AS173" s="6" t="str">
        <f t="shared" si="49"/>
        <v xml:space="preserve"> </v>
      </c>
      <c r="AT173" s="21" t="str">
        <f t="shared" si="50"/>
        <v xml:space="preserve"> </v>
      </c>
    </row>
    <row r="174" spans="3:46">
      <c r="C174" s="22">
        <f t="shared" si="35"/>
        <v>163</v>
      </c>
      <c r="D174" s="23">
        <f>IF(AND(C174&gt;='Amort. Sched.-BEST'!$I$8, C174&lt;= ($I$7+$I$8)), PMT('Amort. Sched.-BEST'!$E$8/12, 'Amort. Sched.-BEST'!$I$7, 'Amort. Sched.-BEST'!$E$7), 0)</f>
        <v>-1350.6783839027553</v>
      </c>
      <c r="E174" s="5">
        <f>IF(AND(C174&gt;='Amort. Sched.-BEST'!$I$8, C174&lt;= ($I$7+$I$8)), (IPMT($E$8/12, (C174-$I$8), $I$7, $E$7)), 0)</f>
        <v>-810.76142029548419</v>
      </c>
      <c r="F174" s="23">
        <f>IF(AND(C174&gt;='Amort. Sched.-BEST'!$I$8, C174&lt;= ($I$7+$I$8)), (PPMT($E$8/12, (C174-$I$8), $I$7, $E$7)), 0)</f>
        <v>-539.9169636072711</v>
      </c>
      <c r="G174" s="5">
        <f>IF(MortgageAmortBEST[[#This Row],[Month]]=I$8,E$7,0)</f>
        <v>0</v>
      </c>
      <c r="H174" s="13">
        <f>IF(AND(C174&gt;='Amort. Sched.-BEST'!$I$8, C174&lt;= ($I$7+$I$8)), H173+F174, 0)</f>
        <v>121074.29608071534</v>
      </c>
      <c r="I174" s="24">
        <f>IF(AND(C174&gt;='Amort. Sched.-BEST'!$I$8, C174&lt;= ($I$7+$I$8)), E174/D174, " ")</f>
        <v>0.60026237922961867</v>
      </c>
      <c r="J174" s="25">
        <f>IF(AND(C174&gt;='Amort. Sched.-BEST'!$I$8, C174&lt;= ($I$7+$I$8)), F174/D174, " ")</f>
        <v>0.39973762077038133</v>
      </c>
      <c r="L174" s="20">
        <f t="shared" si="34"/>
        <v>163</v>
      </c>
      <c r="M174" s="5">
        <f>IF(AND(L174&gt;='Amort. Sched.-BEST'!$R$8, L174&lt;= ($R$7+$R$8)), PMT('Amort. Sched.-BEST'!$N$8/12, 'Amort. Sched.-BEST'!$R$7, 'Amort. Sched.-BEST'!$N$7), 0)</f>
        <v>0</v>
      </c>
      <c r="N174" s="5">
        <f>IF(AND(L174&gt;='Amort. Sched.-BEST'!$R$8, L174&lt;= ($R$7+$R$8)), (IPMT($N$8/12, (L174-$R$8), $R$7, $N$7)), 0)</f>
        <v>0</v>
      </c>
      <c r="O174" s="5">
        <f>IF(AND(L174&gt;='Amort. Sched.-BEST'!$R$8, L174&lt;= ($R$7+$R$8)), (PPMT($N$8/12, (L174-$R$8), $R$7, $N$7)), 0)</f>
        <v>0</v>
      </c>
      <c r="P174" s="5">
        <f>IF(CreditAmort1BEST[[#This Row],[Month]]=R$8,N$7,0)</f>
        <v>0</v>
      </c>
      <c r="Q174" s="13">
        <f>IF(AND(L174&gt;='Amort. Sched.-BEST'!$R$8, L174&lt;= ($R$7+$R$8)), Q173+O174, 0)</f>
        <v>0</v>
      </c>
      <c r="R174" s="6" t="str">
        <f>IF(AND(L174&gt;='Amort. Sched.-BEST'!$R$8, L174&lt;= ($R$7+$R$8)), N174/M174, " ")</f>
        <v xml:space="preserve"> </v>
      </c>
      <c r="S174" s="21" t="str">
        <f>IF(AND(L174&gt;='Amort. Sched.-BEST'!$R$8, L174&lt;= ($R$7+$R$8)), O174/M174, " ")</f>
        <v xml:space="preserve"> </v>
      </c>
      <c r="U174" s="22">
        <f t="shared" si="36"/>
        <v>163</v>
      </c>
      <c r="V174" s="23">
        <f>IF(AND(U174&gt;='Amort. Sched.-BEST'!$AA$8, U174&lt;= ($AA$7+$AA$8)), PMT('Amort. Sched.-BEST'!$W$8/12, 'Amort. Sched.-BEST'!$AA$7, 'Amort. Sched.-BEST'!$W$7), 0)</f>
        <v>0</v>
      </c>
      <c r="W174" s="5">
        <f>IF(AND(U174&gt;='Amort. Sched.-BEST'!$AA$8, U174&lt;= ($AA$7+$AA$8)), (IPMT($W$8/12, (U174-$AA$8), $AA$7, $W$7)), 0)</f>
        <v>0</v>
      </c>
      <c r="X174" s="23">
        <f>IF(AND(U174&gt;='Amort. Sched.-BEST'!$AA$8, U174&lt;= ($AA$7+$AA$8)), (PPMT($W$8/12, (U174-$AA$8), $AA$7, $W$7)), 0)</f>
        <v>0</v>
      </c>
      <c r="Y174" s="5">
        <f>IF(CreditAmort2BEST[[#This Row],[Month]]=AA$8,W$7,0)</f>
        <v>0</v>
      </c>
      <c r="Z174" s="13">
        <f>IF(AND(U174&gt;='Amort. Sched.-BEST'!$AA$8, U174&lt;= ($AA$7+$AA$8)), Z173+X174, 0)</f>
        <v>0</v>
      </c>
      <c r="AA174" s="24" t="str">
        <f>IF(AND(U174&gt;='Amort. Sched.-BEST'!$AA$8, U174&lt;= ($AA$7+$AA$8)), W174/V174, " ")</f>
        <v xml:space="preserve"> </v>
      </c>
      <c r="AB174" s="25" t="str">
        <f>IF(AND(U174&gt;='Amort. Sched.-BEST'!$AA$8, U174&lt;= ($AA$7+$AA$8)), X174/V174, " ")</f>
        <v xml:space="preserve"> </v>
      </c>
      <c r="AD174" s="22">
        <f t="shared" si="37"/>
        <v>163</v>
      </c>
      <c r="AE174" s="5">
        <f t="shared" si="38"/>
        <v>0</v>
      </c>
      <c r="AF174" s="5">
        <f t="shared" si="39"/>
        <v>0</v>
      </c>
      <c r="AG174" s="5">
        <f t="shared" si="40"/>
        <v>0</v>
      </c>
      <c r="AH174" s="5">
        <f>IF(CreditAmort3BEST[[#This Row],[Month]]=AJ$8,AF$7,0)</f>
        <v>0</v>
      </c>
      <c r="AI174" s="13">
        <f t="shared" si="41"/>
        <v>0</v>
      </c>
      <c r="AJ174" s="6" t="str">
        <f t="shared" si="42"/>
        <v xml:space="preserve"> </v>
      </c>
      <c r="AK174" s="21" t="str">
        <f t="shared" si="43"/>
        <v xml:space="preserve"> </v>
      </c>
      <c r="AM174" s="20">
        <f t="shared" si="44"/>
        <v>163</v>
      </c>
      <c r="AN174" s="5">
        <f t="shared" si="45"/>
        <v>0</v>
      </c>
      <c r="AO174" s="5">
        <f t="shared" si="46"/>
        <v>0</v>
      </c>
      <c r="AP174" s="5">
        <f t="shared" si="47"/>
        <v>0</v>
      </c>
      <c r="AQ174" s="5">
        <f>IF(CreditAmort4BEST[[#This Row],[Month]]=AS$8,AO$7,0)</f>
        <v>0</v>
      </c>
      <c r="AR174" s="13">
        <f t="shared" si="48"/>
        <v>0</v>
      </c>
      <c r="AS174" s="6" t="str">
        <f t="shared" si="49"/>
        <v xml:space="preserve"> </v>
      </c>
      <c r="AT174" s="21" t="str">
        <f t="shared" si="50"/>
        <v xml:space="preserve"> </v>
      </c>
    </row>
    <row r="175" spans="3:46">
      <c r="C175" s="22">
        <f t="shared" si="35"/>
        <v>164</v>
      </c>
      <c r="D175" s="23">
        <f>IF(AND(C175&gt;='Amort. Sched.-BEST'!$I$8, C175&lt;= ($I$7+$I$8)), PMT('Amort. Sched.-BEST'!$E$8/12, 'Amort. Sched.-BEST'!$I$7, 'Amort. Sched.-BEST'!$E$7), 0)</f>
        <v>-1350.6783839027553</v>
      </c>
      <c r="E175" s="5">
        <f>IF(AND(C175&gt;='Amort. Sched.-BEST'!$I$8, C175&lt;= ($I$7+$I$8)), (IPMT($E$8/12, (C175-$I$8), $I$7, $E$7)), 0)</f>
        <v>-807.16197387143575</v>
      </c>
      <c r="F175" s="23">
        <f>IF(AND(C175&gt;='Amort. Sched.-BEST'!$I$8, C175&lt;= ($I$7+$I$8)), (PPMT($E$8/12, (C175-$I$8), $I$7, $E$7)), 0)</f>
        <v>-543.51641003131954</v>
      </c>
      <c r="G175" s="5">
        <f>IF(MortgageAmortBEST[[#This Row],[Month]]=I$8,E$7,0)</f>
        <v>0</v>
      </c>
      <c r="H175" s="13">
        <f>IF(AND(C175&gt;='Amort. Sched.-BEST'!$I$8, C175&lt;= ($I$7+$I$8)), H174+F175, 0)</f>
        <v>120530.77967068402</v>
      </c>
      <c r="I175" s="24">
        <f>IF(AND(C175&gt;='Amort. Sched.-BEST'!$I$8, C175&lt;= ($I$7+$I$8)), E175/D175, " ")</f>
        <v>0.59759746175781614</v>
      </c>
      <c r="J175" s="25">
        <f>IF(AND(C175&gt;='Amort. Sched.-BEST'!$I$8, C175&lt;= ($I$7+$I$8)), F175/D175, " ")</f>
        <v>0.4024025382421838</v>
      </c>
      <c r="L175" s="20">
        <f t="shared" si="34"/>
        <v>164</v>
      </c>
      <c r="M175" s="5">
        <f>IF(AND(L175&gt;='Amort. Sched.-BEST'!$R$8, L175&lt;= ($R$7+$R$8)), PMT('Amort. Sched.-BEST'!$N$8/12, 'Amort. Sched.-BEST'!$R$7, 'Amort. Sched.-BEST'!$N$7), 0)</f>
        <v>0</v>
      </c>
      <c r="N175" s="5">
        <f>IF(AND(L175&gt;='Amort. Sched.-BEST'!$R$8, L175&lt;= ($R$7+$R$8)), (IPMT($N$8/12, (L175-$R$8), $R$7, $N$7)), 0)</f>
        <v>0</v>
      </c>
      <c r="O175" s="5">
        <f>IF(AND(L175&gt;='Amort. Sched.-BEST'!$R$8, L175&lt;= ($R$7+$R$8)), (PPMT($N$8/12, (L175-$R$8), $R$7, $N$7)), 0)</f>
        <v>0</v>
      </c>
      <c r="P175" s="5">
        <f>IF(CreditAmort1BEST[[#This Row],[Month]]=R$8,N$7,0)</f>
        <v>0</v>
      </c>
      <c r="Q175" s="13">
        <f>IF(AND(L175&gt;='Amort. Sched.-BEST'!$R$8, L175&lt;= ($R$7+$R$8)), Q174+O175, 0)</f>
        <v>0</v>
      </c>
      <c r="R175" s="6" t="str">
        <f>IF(AND(L175&gt;='Amort. Sched.-BEST'!$R$8, L175&lt;= ($R$7+$R$8)), N175/M175, " ")</f>
        <v xml:space="preserve"> </v>
      </c>
      <c r="S175" s="21" t="str">
        <f>IF(AND(L175&gt;='Amort. Sched.-BEST'!$R$8, L175&lt;= ($R$7+$R$8)), O175/M175, " ")</f>
        <v xml:space="preserve"> </v>
      </c>
      <c r="U175" s="22">
        <f t="shared" si="36"/>
        <v>164</v>
      </c>
      <c r="V175" s="23">
        <f>IF(AND(U175&gt;='Amort. Sched.-BEST'!$AA$8, U175&lt;= ($AA$7+$AA$8)), PMT('Amort. Sched.-BEST'!$W$8/12, 'Amort. Sched.-BEST'!$AA$7, 'Amort. Sched.-BEST'!$W$7), 0)</f>
        <v>0</v>
      </c>
      <c r="W175" s="5">
        <f>IF(AND(U175&gt;='Amort. Sched.-BEST'!$AA$8, U175&lt;= ($AA$7+$AA$8)), (IPMT($W$8/12, (U175-$AA$8), $AA$7, $W$7)), 0)</f>
        <v>0</v>
      </c>
      <c r="X175" s="23">
        <f>IF(AND(U175&gt;='Amort. Sched.-BEST'!$AA$8, U175&lt;= ($AA$7+$AA$8)), (PPMT($W$8/12, (U175-$AA$8), $AA$7, $W$7)), 0)</f>
        <v>0</v>
      </c>
      <c r="Y175" s="5">
        <f>IF(CreditAmort2BEST[[#This Row],[Month]]=AA$8,W$7,0)</f>
        <v>0</v>
      </c>
      <c r="Z175" s="13">
        <f>IF(AND(U175&gt;='Amort. Sched.-BEST'!$AA$8, U175&lt;= ($AA$7+$AA$8)), Z174+X175, 0)</f>
        <v>0</v>
      </c>
      <c r="AA175" s="24" t="str">
        <f>IF(AND(U175&gt;='Amort. Sched.-BEST'!$AA$8, U175&lt;= ($AA$7+$AA$8)), W175/V175, " ")</f>
        <v xml:space="preserve"> </v>
      </c>
      <c r="AB175" s="25" t="str">
        <f>IF(AND(U175&gt;='Amort. Sched.-BEST'!$AA$8, U175&lt;= ($AA$7+$AA$8)), X175/V175, " ")</f>
        <v xml:space="preserve"> </v>
      </c>
      <c r="AD175" s="22">
        <f t="shared" si="37"/>
        <v>164</v>
      </c>
      <c r="AE175" s="5">
        <f t="shared" si="38"/>
        <v>0</v>
      </c>
      <c r="AF175" s="5">
        <f t="shared" si="39"/>
        <v>0</v>
      </c>
      <c r="AG175" s="5">
        <f t="shared" si="40"/>
        <v>0</v>
      </c>
      <c r="AH175" s="5">
        <f>IF(CreditAmort3BEST[[#This Row],[Month]]=AJ$8,AF$7,0)</f>
        <v>0</v>
      </c>
      <c r="AI175" s="13">
        <f t="shared" si="41"/>
        <v>0</v>
      </c>
      <c r="AJ175" s="6" t="str">
        <f t="shared" si="42"/>
        <v xml:space="preserve"> </v>
      </c>
      <c r="AK175" s="21" t="str">
        <f t="shared" si="43"/>
        <v xml:space="preserve"> </v>
      </c>
      <c r="AM175" s="20">
        <f t="shared" si="44"/>
        <v>164</v>
      </c>
      <c r="AN175" s="5">
        <f t="shared" si="45"/>
        <v>0</v>
      </c>
      <c r="AO175" s="5">
        <f t="shared" si="46"/>
        <v>0</v>
      </c>
      <c r="AP175" s="5">
        <f t="shared" si="47"/>
        <v>0</v>
      </c>
      <c r="AQ175" s="5">
        <f>IF(CreditAmort4BEST[[#This Row],[Month]]=AS$8,AO$7,0)</f>
        <v>0</v>
      </c>
      <c r="AR175" s="13">
        <f t="shared" si="48"/>
        <v>0</v>
      </c>
      <c r="AS175" s="6" t="str">
        <f t="shared" si="49"/>
        <v xml:space="preserve"> </v>
      </c>
      <c r="AT175" s="21" t="str">
        <f t="shared" si="50"/>
        <v xml:space="preserve"> </v>
      </c>
    </row>
    <row r="176" spans="3:46">
      <c r="C176" s="22">
        <f t="shared" si="35"/>
        <v>165</v>
      </c>
      <c r="D176" s="23">
        <f>IF(AND(C176&gt;='Amort. Sched.-BEST'!$I$8, C176&lt;= ($I$7+$I$8)), PMT('Amort. Sched.-BEST'!$E$8/12, 'Amort. Sched.-BEST'!$I$7, 'Amort. Sched.-BEST'!$E$7), 0)</f>
        <v>-1350.6783839027553</v>
      </c>
      <c r="E176" s="5">
        <f>IF(AND(C176&gt;='Amort. Sched.-BEST'!$I$8, C176&lt;= ($I$7+$I$8)), (IPMT($E$8/12, (C176-$I$8), $I$7, $E$7)), 0)</f>
        <v>-803.53853113789364</v>
      </c>
      <c r="F176" s="23">
        <f>IF(AND(C176&gt;='Amort. Sched.-BEST'!$I$8, C176&lt;= ($I$7+$I$8)), (PPMT($E$8/12, (C176-$I$8), $I$7, $E$7)), 0)</f>
        <v>-547.13985276486164</v>
      </c>
      <c r="G176" s="5">
        <f>IF(MortgageAmortBEST[[#This Row],[Month]]=I$8,E$7,0)</f>
        <v>0</v>
      </c>
      <c r="H176" s="13">
        <f>IF(AND(C176&gt;='Amort. Sched.-BEST'!$I$8, C176&lt;= ($I$7+$I$8)), H175+F176, 0)</f>
        <v>119983.63981791916</v>
      </c>
      <c r="I176" s="24">
        <f>IF(AND(C176&gt;='Amort. Sched.-BEST'!$I$8, C176&lt;= ($I$7+$I$8)), E176/D176, " ")</f>
        <v>0.59491477816953497</v>
      </c>
      <c r="J176" s="25">
        <f>IF(AND(C176&gt;='Amort. Sched.-BEST'!$I$8, C176&lt;= ($I$7+$I$8)), F176/D176, " ")</f>
        <v>0.40508522183046503</v>
      </c>
      <c r="L176" s="20">
        <f t="shared" si="34"/>
        <v>165</v>
      </c>
      <c r="M176" s="5">
        <f>IF(AND(L176&gt;='Amort. Sched.-BEST'!$R$8, L176&lt;= ($R$7+$R$8)), PMT('Amort. Sched.-BEST'!$N$8/12, 'Amort. Sched.-BEST'!$R$7, 'Amort. Sched.-BEST'!$N$7), 0)</f>
        <v>0</v>
      </c>
      <c r="N176" s="5">
        <f>IF(AND(L176&gt;='Amort. Sched.-BEST'!$R$8, L176&lt;= ($R$7+$R$8)), (IPMT($N$8/12, (L176-$R$8), $R$7, $N$7)), 0)</f>
        <v>0</v>
      </c>
      <c r="O176" s="5">
        <f>IF(AND(L176&gt;='Amort. Sched.-BEST'!$R$8, L176&lt;= ($R$7+$R$8)), (PPMT($N$8/12, (L176-$R$8), $R$7, $N$7)), 0)</f>
        <v>0</v>
      </c>
      <c r="P176" s="5">
        <f>IF(CreditAmort1BEST[[#This Row],[Month]]=R$8,N$7,0)</f>
        <v>0</v>
      </c>
      <c r="Q176" s="13">
        <f>IF(AND(L176&gt;='Amort. Sched.-BEST'!$R$8, L176&lt;= ($R$7+$R$8)), Q175+O176, 0)</f>
        <v>0</v>
      </c>
      <c r="R176" s="6" t="str">
        <f>IF(AND(L176&gt;='Amort. Sched.-BEST'!$R$8, L176&lt;= ($R$7+$R$8)), N176/M176, " ")</f>
        <v xml:space="preserve"> </v>
      </c>
      <c r="S176" s="21" t="str">
        <f>IF(AND(L176&gt;='Amort. Sched.-BEST'!$R$8, L176&lt;= ($R$7+$R$8)), O176/M176, " ")</f>
        <v xml:space="preserve"> </v>
      </c>
      <c r="U176" s="22">
        <f t="shared" si="36"/>
        <v>165</v>
      </c>
      <c r="V176" s="23">
        <f>IF(AND(U176&gt;='Amort. Sched.-BEST'!$AA$8, U176&lt;= ($AA$7+$AA$8)), PMT('Amort. Sched.-BEST'!$W$8/12, 'Amort. Sched.-BEST'!$AA$7, 'Amort. Sched.-BEST'!$W$7), 0)</f>
        <v>0</v>
      </c>
      <c r="W176" s="5">
        <f>IF(AND(U176&gt;='Amort. Sched.-BEST'!$AA$8, U176&lt;= ($AA$7+$AA$8)), (IPMT($W$8/12, (U176-$AA$8), $AA$7, $W$7)), 0)</f>
        <v>0</v>
      </c>
      <c r="X176" s="23">
        <f>IF(AND(U176&gt;='Amort. Sched.-BEST'!$AA$8, U176&lt;= ($AA$7+$AA$8)), (PPMT($W$8/12, (U176-$AA$8), $AA$7, $W$7)), 0)</f>
        <v>0</v>
      </c>
      <c r="Y176" s="5">
        <f>IF(CreditAmort2BEST[[#This Row],[Month]]=AA$8,W$7,0)</f>
        <v>0</v>
      </c>
      <c r="Z176" s="13">
        <f>IF(AND(U176&gt;='Amort. Sched.-BEST'!$AA$8, U176&lt;= ($AA$7+$AA$8)), Z175+X176, 0)</f>
        <v>0</v>
      </c>
      <c r="AA176" s="24" t="str">
        <f>IF(AND(U176&gt;='Amort. Sched.-BEST'!$AA$8, U176&lt;= ($AA$7+$AA$8)), W176/V176, " ")</f>
        <v xml:space="preserve"> </v>
      </c>
      <c r="AB176" s="25" t="str">
        <f>IF(AND(U176&gt;='Amort. Sched.-BEST'!$AA$8, U176&lt;= ($AA$7+$AA$8)), X176/V176, " ")</f>
        <v xml:space="preserve"> </v>
      </c>
      <c r="AD176" s="22">
        <f t="shared" si="37"/>
        <v>165</v>
      </c>
      <c r="AE176" s="5">
        <f t="shared" si="38"/>
        <v>0</v>
      </c>
      <c r="AF176" s="5">
        <f t="shared" si="39"/>
        <v>0</v>
      </c>
      <c r="AG176" s="5">
        <f t="shared" si="40"/>
        <v>0</v>
      </c>
      <c r="AH176" s="5">
        <f>IF(CreditAmort3BEST[[#This Row],[Month]]=AJ$8,AF$7,0)</f>
        <v>0</v>
      </c>
      <c r="AI176" s="13">
        <f t="shared" si="41"/>
        <v>0</v>
      </c>
      <c r="AJ176" s="6" t="str">
        <f t="shared" si="42"/>
        <v xml:space="preserve"> </v>
      </c>
      <c r="AK176" s="21" t="str">
        <f t="shared" si="43"/>
        <v xml:space="preserve"> </v>
      </c>
      <c r="AM176" s="20">
        <f t="shared" si="44"/>
        <v>165</v>
      </c>
      <c r="AN176" s="5">
        <f t="shared" si="45"/>
        <v>0</v>
      </c>
      <c r="AO176" s="5">
        <f t="shared" si="46"/>
        <v>0</v>
      </c>
      <c r="AP176" s="5">
        <f t="shared" si="47"/>
        <v>0</v>
      </c>
      <c r="AQ176" s="5">
        <f>IF(CreditAmort4BEST[[#This Row],[Month]]=AS$8,AO$7,0)</f>
        <v>0</v>
      </c>
      <c r="AR176" s="13">
        <f t="shared" si="48"/>
        <v>0</v>
      </c>
      <c r="AS176" s="6" t="str">
        <f t="shared" si="49"/>
        <v xml:space="preserve"> </v>
      </c>
      <c r="AT176" s="21" t="str">
        <f t="shared" si="50"/>
        <v xml:space="preserve"> </v>
      </c>
    </row>
    <row r="177" spans="3:46">
      <c r="C177" s="22">
        <f t="shared" si="35"/>
        <v>166</v>
      </c>
      <c r="D177" s="23">
        <f>IF(AND(C177&gt;='Amort. Sched.-BEST'!$I$8, C177&lt;= ($I$7+$I$8)), PMT('Amort. Sched.-BEST'!$E$8/12, 'Amort. Sched.-BEST'!$I$7, 'Amort. Sched.-BEST'!$E$7), 0)</f>
        <v>-1350.6783839027553</v>
      </c>
      <c r="E177" s="5">
        <f>IF(AND(C177&gt;='Amort. Sched.-BEST'!$I$8, C177&lt;= ($I$7+$I$8)), (IPMT($E$8/12, (C177-$I$8), $I$7, $E$7)), 0)</f>
        <v>-799.89093211946135</v>
      </c>
      <c r="F177" s="23">
        <f>IF(AND(C177&gt;='Amort. Sched.-BEST'!$I$8, C177&lt;= ($I$7+$I$8)), (PPMT($E$8/12, (C177-$I$8), $I$7, $E$7)), 0)</f>
        <v>-550.78745178329405</v>
      </c>
      <c r="G177" s="5">
        <f>IF(MortgageAmortBEST[[#This Row],[Month]]=I$8,E$7,0)</f>
        <v>0</v>
      </c>
      <c r="H177" s="13">
        <f>IF(AND(C177&gt;='Amort. Sched.-BEST'!$I$8, C177&lt;= ($I$7+$I$8)), H176+F177, 0)</f>
        <v>119432.85236613586</v>
      </c>
      <c r="I177" s="24">
        <f>IF(AND(C177&gt;='Amort. Sched.-BEST'!$I$8, C177&lt;= ($I$7+$I$8)), E177/D177, " ")</f>
        <v>0.59221421002399866</v>
      </c>
      <c r="J177" s="25">
        <f>IF(AND(C177&gt;='Amort. Sched.-BEST'!$I$8, C177&lt;= ($I$7+$I$8)), F177/D177, " ")</f>
        <v>0.40778578997600146</v>
      </c>
      <c r="L177" s="20">
        <f t="shared" si="34"/>
        <v>166</v>
      </c>
      <c r="M177" s="5">
        <f>IF(AND(L177&gt;='Amort. Sched.-BEST'!$R$8, L177&lt;= ($R$7+$R$8)), PMT('Amort. Sched.-BEST'!$N$8/12, 'Amort. Sched.-BEST'!$R$7, 'Amort. Sched.-BEST'!$N$7), 0)</f>
        <v>0</v>
      </c>
      <c r="N177" s="5">
        <f>IF(AND(L177&gt;='Amort. Sched.-BEST'!$R$8, L177&lt;= ($R$7+$R$8)), (IPMT($N$8/12, (L177-$R$8), $R$7, $N$7)), 0)</f>
        <v>0</v>
      </c>
      <c r="O177" s="5">
        <f>IF(AND(L177&gt;='Amort. Sched.-BEST'!$R$8, L177&lt;= ($R$7+$R$8)), (PPMT($N$8/12, (L177-$R$8), $R$7, $N$7)), 0)</f>
        <v>0</v>
      </c>
      <c r="P177" s="5">
        <f>IF(CreditAmort1BEST[[#This Row],[Month]]=R$8,N$7,0)</f>
        <v>0</v>
      </c>
      <c r="Q177" s="13">
        <f>IF(AND(L177&gt;='Amort. Sched.-BEST'!$R$8, L177&lt;= ($R$7+$R$8)), Q176+O177, 0)</f>
        <v>0</v>
      </c>
      <c r="R177" s="6" t="str">
        <f>IF(AND(L177&gt;='Amort. Sched.-BEST'!$R$8, L177&lt;= ($R$7+$R$8)), N177/M177, " ")</f>
        <v xml:space="preserve"> </v>
      </c>
      <c r="S177" s="21" t="str">
        <f>IF(AND(L177&gt;='Amort. Sched.-BEST'!$R$8, L177&lt;= ($R$7+$R$8)), O177/M177, " ")</f>
        <v xml:space="preserve"> </v>
      </c>
      <c r="U177" s="22">
        <f t="shared" si="36"/>
        <v>166</v>
      </c>
      <c r="V177" s="23">
        <f>IF(AND(U177&gt;='Amort. Sched.-BEST'!$AA$8, U177&lt;= ($AA$7+$AA$8)), PMT('Amort. Sched.-BEST'!$W$8/12, 'Amort. Sched.-BEST'!$AA$7, 'Amort. Sched.-BEST'!$W$7), 0)</f>
        <v>0</v>
      </c>
      <c r="W177" s="5">
        <f>IF(AND(U177&gt;='Amort. Sched.-BEST'!$AA$8, U177&lt;= ($AA$7+$AA$8)), (IPMT($W$8/12, (U177-$AA$8), $AA$7, $W$7)), 0)</f>
        <v>0</v>
      </c>
      <c r="X177" s="23">
        <f>IF(AND(U177&gt;='Amort. Sched.-BEST'!$AA$8, U177&lt;= ($AA$7+$AA$8)), (PPMT($W$8/12, (U177-$AA$8), $AA$7, $W$7)), 0)</f>
        <v>0</v>
      </c>
      <c r="Y177" s="5">
        <f>IF(CreditAmort2BEST[[#This Row],[Month]]=AA$8,W$7,0)</f>
        <v>0</v>
      </c>
      <c r="Z177" s="13">
        <f>IF(AND(U177&gt;='Amort. Sched.-BEST'!$AA$8, U177&lt;= ($AA$7+$AA$8)), Z176+X177, 0)</f>
        <v>0</v>
      </c>
      <c r="AA177" s="24" t="str">
        <f>IF(AND(U177&gt;='Amort. Sched.-BEST'!$AA$8, U177&lt;= ($AA$7+$AA$8)), W177/V177, " ")</f>
        <v xml:space="preserve"> </v>
      </c>
      <c r="AB177" s="25" t="str">
        <f>IF(AND(U177&gt;='Amort. Sched.-BEST'!$AA$8, U177&lt;= ($AA$7+$AA$8)), X177/V177, " ")</f>
        <v xml:space="preserve"> </v>
      </c>
      <c r="AD177" s="22">
        <f t="shared" si="37"/>
        <v>166</v>
      </c>
      <c r="AE177" s="5">
        <f t="shared" si="38"/>
        <v>0</v>
      </c>
      <c r="AF177" s="5">
        <f t="shared" si="39"/>
        <v>0</v>
      </c>
      <c r="AG177" s="5">
        <f t="shared" si="40"/>
        <v>0</v>
      </c>
      <c r="AH177" s="5">
        <f>IF(CreditAmort3BEST[[#This Row],[Month]]=AJ$8,AF$7,0)</f>
        <v>0</v>
      </c>
      <c r="AI177" s="13">
        <f t="shared" si="41"/>
        <v>0</v>
      </c>
      <c r="AJ177" s="6" t="str">
        <f t="shared" si="42"/>
        <v xml:space="preserve"> </v>
      </c>
      <c r="AK177" s="21" t="str">
        <f t="shared" si="43"/>
        <v xml:space="preserve"> </v>
      </c>
      <c r="AM177" s="20">
        <f t="shared" si="44"/>
        <v>166</v>
      </c>
      <c r="AN177" s="5">
        <f t="shared" si="45"/>
        <v>0</v>
      </c>
      <c r="AO177" s="5">
        <f t="shared" si="46"/>
        <v>0</v>
      </c>
      <c r="AP177" s="5">
        <f t="shared" si="47"/>
        <v>0</v>
      </c>
      <c r="AQ177" s="5">
        <f>IF(CreditAmort4BEST[[#This Row],[Month]]=AS$8,AO$7,0)</f>
        <v>0</v>
      </c>
      <c r="AR177" s="13">
        <f t="shared" si="48"/>
        <v>0</v>
      </c>
      <c r="AS177" s="6" t="str">
        <f t="shared" si="49"/>
        <v xml:space="preserve"> </v>
      </c>
      <c r="AT177" s="21" t="str">
        <f t="shared" si="50"/>
        <v xml:space="preserve"> </v>
      </c>
    </row>
    <row r="178" spans="3:46">
      <c r="C178" s="22">
        <f t="shared" si="35"/>
        <v>167</v>
      </c>
      <c r="D178" s="23">
        <f>IF(AND(C178&gt;='Amort. Sched.-BEST'!$I$8, C178&lt;= ($I$7+$I$8)), PMT('Amort. Sched.-BEST'!$E$8/12, 'Amort. Sched.-BEST'!$I$7, 'Amort. Sched.-BEST'!$E$7), 0)</f>
        <v>-1350.6783839027553</v>
      </c>
      <c r="E178" s="5">
        <f>IF(AND(C178&gt;='Amort. Sched.-BEST'!$I$8, C178&lt;= ($I$7+$I$8)), (IPMT($E$8/12, (C178-$I$8), $I$7, $E$7)), 0)</f>
        <v>-796.21901577423921</v>
      </c>
      <c r="F178" s="23">
        <f>IF(AND(C178&gt;='Amort. Sched.-BEST'!$I$8, C178&lt;= ($I$7+$I$8)), (PPMT($E$8/12, (C178-$I$8), $I$7, $E$7)), 0)</f>
        <v>-554.45936812851596</v>
      </c>
      <c r="G178" s="5">
        <f>IF(MortgageAmortBEST[[#This Row],[Month]]=I$8,E$7,0)</f>
        <v>0</v>
      </c>
      <c r="H178" s="13">
        <f>IF(AND(C178&gt;='Amort. Sched.-BEST'!$I$8, C178&lt;= ($I$7+$I$8)), H177+F178, 0)</f>
        <v>118878.39299800734</v>
      </c>
      <c r="I178" s="24">
        <f>IF(AND(C178&gt;='Amort. Sched.-BEST'!$I$8, C178&lt;= ($I$7+$I$8)), E178/D178, " ")</f>
        <v>0.58949563809082517</v>
      </c>
      <c r="J178" s="25">
        <f>IF(AND(C178&gt;='Amort. Sched.-BEST'!$I$8, C178&lt;= ($I$7+$I$8)), F178/D178, " ")</f>
        <v>0.41050436190917478</v>
      </c>
      <c r="L178" s="20">
        <f t="shared" si="34"/>
        <v>167</v>
      </c>
      <c r="M178" s="5">
        <f>IF(AND(L178&gt;='Amort. Sched.-BEST'!$R$8, L178&lt;= ($R$7+$R$8)), PMT('Amort. Sched.-BEST'!$N$8/12, 'Amort. Sched.-BEST'!$R$7, 'Amort. Sched.-BEST'!$N$7), 0)</f>
        <v>0</v>
      </c>
      <c r="N178" s="5">
        <f>IF(AND(L178&gt;='Amort. Sched.-BEST'!$R$8, L178&lt;= ($R$7+$R$8)), (IPMT($N$8/12, (L178-$R$8), $R$7, $N$7)), 0)</f>
        <v>0</v>
      </c>
      <c r="O178" s="5">
        <f>IF(AND(L178&gt;='Amort. Sched.-BEST'!$R$8, L178&lt;= ($R$7+$R$8)), (PPMT($N$8/12, (L178-$R$8), $R$7, $N$7)), 0)</f>
        <v>0</v>
      </c>
      <c r="P178" s="5">
        <f>IF(CreditAmort1BEST[[#This Row],[Month]]=R$8,N$7,0)</f>
        <v>0</v>
      </c>
      <c r="Q178" s="13">
        <f>IF(AND(L178&gt;='Amort. Sched.-BEST'!$R$8, L178&lt;= ($R$7+$R$8)), Q177+O178, 0)</f>
        <v>0</v>
      </c>
      <c r="R178" s="6" t="str">
        <f>IF(AND(L178&gt;='Amort. Sched.-BEST'!$R$8, L178&lt;= ($R$7+$R$8)), N178/M178, " ")</f>
        <v xml:space="preserve"> </v>
      </c>
      <c r="S178" s="21" t="str">
        <f>IF(AND(L178&gt;='Amort. Sched.-BEST'!$R$8, L178&lt;= ($R$7+$R$8)), O178/M178, " ")</f>
        <v xml:space="preserve"> </v>
      </c>
      <c r="U178" s="22">
        <f t="shared" si="36"/>
        <v>167</v>
      </c>
      <c r="V178" s="23">
        <f>IF(AND(U178&gt;='Amort. Sched.-BEST'!$AA$8, U178&lt;= ($AA$7+$AA$8)), PMT('Amort. Sched.-BEST'!$W$8/12, 'Amort. Sched.-BEST'!$AA$7, 'Amort. Sched.-BEST'!$W$7), 0)</f>
        <v>0</v>
      </c>
      <c r="W178" s="5">
        <f>IF(AND(U178&gt;='Amort. Sched.-BEST'!$AA$8, U178&lt;= ($AA$7+$AA$8)), (IPMT($W$8/12, (U178-$AA$8), $AA$7, $W$7)), 0)</f>
        <v>0</v>
      </c>
      <c r="X178" s="23">
        <f>IF(AND(U178&gt;='Amort. Sched.-BEST'!$AA$8, U178&lt;= ($AA$7+$AA$8)), (PPMT($W$8/12, (U178-$AA$8), $AA$7, $W$7)), 0)</f>
        <v>0</v>
      </c>
      <c r="Y178" s="5">
        <f>IF(CreditAmort2BEST[[#This Row],[Month]]=AA$8,W$7,0)</f>
        <v>0</v>
      </c>
      <c r="Z178" s="13">
        <f>IF(AND(U178&gt;='Amort. Sched.-BEST'!$AA$8, U178&lt;= ($AA$7+$AA$8)), Z177+X178, 0)</f>
        <v>0</v>
      </c>
      <c r="AA178" s="24" t="str">
        <f>IF(AND(U178&gt;='Amort. Sched.-BEST'!$AA$8, U178&lt;= ($AA$7+$AA$8)), W178/V178, " ")</f>
        <v xml:space="preserve"> </v>
      </c>
      <c r="AB178" s="25" t="str">
        <f>IF(AND(U178&gt;='Amort. Sched.-BEST'!$AA$8, U178&lt;= ($AA$7+$AA$8)), X178/V178, " ")</f>
        <v xml:space="preserve"> </v>
      </c>
      <c r="AD178" s="22">
        <f t="shared" si="37"/>
        <v>167</v>
      </c>
      <c r="AE178" s="5">
        <f t="shared" si="38"/>
        <v>0</v>
      </c>
      <c r="AF178" s="5">
        <f t="shared" si="39"/>
        <v>0</v>
      </c>
      <c r="AG178" s="5">
        <f t="shared" si="40"/>
        <v>0</v>
      </c>
      <c r="AH178" s="5">
        <f>IF(CreditAmort3BEST[[#This Row],[Month]]=AJ$8,AF$7,0)</f>
        <v>0</v>
      </c>
      <c r="AI178" s="13">
        <f t="shared" si="41"/>
        <v>0</v>
      </c>
      <c r="AJ178" s="6" t="str">
        <f t="shared" si="42"/>
        <v xml:space="preserve"> </v>
      </c>
      <c r="AK178" s="21" t="str">
        <f t="shared" si="43"/>
        <v xml:space="preserve"> </v>
      </c>
      <c r="AM178" s="20">
        <f t="shared" si="44"/>
        <v>167</v>
      </c>
      <c r="AN178" s="5">
        <f t="shared" si="45"/>
        <v>0</v>
      </c>
      <c r="AO178" s="5">
        <f t="shared" si="46"/>
        <v>0</v>
      </c>
      <c r="AP178" s="5">
        <f t="shared" si="47"/>
        <v>0</v>
      </c>
      <c r="AQ178" s="5">
        <f>IF(CreditAmort4BEST[[#This Row],[Month]]=AS$8,AO$7,0)</f>
        <v>0</v>
      </c>
      <c r="AR178" s="13">
        <f t="shared" si="48"/>
        <v>0</v>
      </c>
      <c r="AS178" s="6" t="str">
        <f t="shared" si="49"/>
        <v xml:space="preserve"> </v>
      </c>
      <c r="AT178" s="21" t="str">
        <f t="shared" si="50"/>
        <v xml:space="preserve"> </v>
      </c>
    </row>
    <row r="179" spans="3:46">
      <c r="C179" s="22">
        <f t="shared" si="35"/>
        <v>168</v>
      </c>
      <c r="D179" s="23">
        <f>IF(AND(C179&gt;='Amort. Sched.-BEST'!$I$8, C179&lt;= ($I$7+$I$8)), PMT('Amort. Sched.-BEST'!$E$8/12, 'Amort. Sched.-BEST'!$I$7, 'Amort. Sched.-BEST'!$E$7), 0)</f>
        <v>-1350.6783839027553</v>
      </c>
      <c r="E179" s="5">
        <f>IF(AND(C179&gt;='Amort. Sched.-BEST'!$I$8, C179&lt;= ($I$7+$I$8)), (IPMT($E$8/12, (C179-$I$8), $I$7, $E$7)), 0)</f>
        <v>-792.52261998671599</v>
      </c>
      <c r="F179" s="23">
        <f>IF(AND(C179&gt;='Amort. Sched.-BEST'!$I$8, C179&lt;= ($I$7+$I$8)), (PPMT($E$8/12, (C179-$I$8), $I$7, $E$7)), 0)</f>
        <v>-558.15576391603952</v>
      </c>
      <c r="G179" s="5">
        <f>IF(MortgageAmortBEST[[#This Row],[Month]]=I$8,E$7,0)</f>
        <v>0</v>
      </c>
      <c r="H179" s="13">
        <f>IF(AND(C179&gt;='Amort. Sched.-BEST'!$I$8, C179&lt;= ($I$7+$I$8)), H178+F179, 0)</f>
        <v>118320.2372340913</v>
      </c>
      <c r="I179" s="24">
        <f>IF(AND(C179&gt;='Amort. Sched.-BEST'!$I$8, C179&lt;= ($I$7+$I$8)), E179/D179, " ")</f>
        <v>0.58675894234476411</v>
      </c>
      <c r="J179" s="25">
        <f>IF(AND(C179&gt;='Amort. Sched.-BEST'!$I$8, C179&lt;= ($I$7+$I$8)), F179/D179, " ")</f>
        <v>0.41324105765523605</v>
      </c>
      <c r="L179" s="20">
        <f t="shared" si="34"/>
        <v>168</v>
      </c>
      <c r="M179" s="5">
        <f>IF(AND(L179&gt;='Amort. Sched.-BEST'!$R$8, L179&lt;= ($R$7+$R$8)), PMT('Amort. Sched.-BEST'!$N$8/12, 'Amort. Sched.-BEST'!$R$7, 'Amort. Sched.-BEST'!$N$7), 0)</f>
        <v>0</v>
      </c>
      <c r="N179" s="5">
        <f>IF(AND(L179&gt;='Amort. Sched.-BEST'!$R$8, L179&lt;= ($R$7+$R$8)), (IPMT($N$8/12, (L179-$R$8), $R$7, $N$7)), 0)</f>
        <v>0</v>
      </c>
      <c r="O179" s="5">
        <f>IF(AND(L179&gt;='Amort. Sched.-BEST'!$R$8, L179&lt;= ($R$7+$R$8)), (PPMT($N$8/12, (L179-$R$8), $R$7, $N$7)), 0)</f>
        <v>0</v>
      </c>
      <c r="P179" s="5">
        <f>IF(CreditAmort1BEST[[#This Row],[Month]]=R$8,N$7,0)</f>
        <v>0</v>
      </c>
      <c r="Q179" s="13">
        <f>IF(AND(L179&gt;='Amort. Sched.-BEST'!$R$8, L179&lt;= ($R$7+$R$8)), Q178+O179, 0)</f>
        <v>0</v>
      </c>
      <c r="R179" s="6" t="str">
        <f>IF(AND(L179&gt;='Amort. Sched.-BEST'!$R$8, L179&lt;= ($R$7+$R$8)), N179/M179, " ")</f>
        <v xml:space="preserve"> </v>
      </c>
      <c r="S179" s="21" t="str">
        <f>IF(AND(L179&gt;='Amort. Sched.-BEST'!$R$8, L179&lt;= ($R$7+$R$8)), O179/M179, " ")</f>
        <v xml:space="preserve"> </v>
      </c>
      <c r="U179" s="22">
        <f t="shared" si="36"/>
        <v>168</v>
      </c>
      <c r="V179" s="23">
        <f>IF(AND(U179&gt;='Amort. Sched.-BEST'!$AA$8, U179&lt;= ($AA$7+$AA$8)), PMT('Amort. Sched.-BEST'!$W$8/12, 'Amort. Sched.-BEST'!$AA$7, 'Amort. Sched.-BEST'!$W$7), 0)</f>
        <v>0</v>
      </c>
      <c r="W179" s="5">
        <f>IF(AND(U179&gt;='Amort. Sched.-BEST'!$AA$8, U179&lt;= ($AA$7+$AA$8)), (IPMT($W$8/12, (U179-$AA$8), $AA$7, $W$7)), 0)</f>
        <v>0</v>
      </c>
      <c r="X179" s="23">
        <f>IF(AND(U179&gt;='Amort. Sched.-BEST'!$AA$8, U179&lt;= ($AA$7+$AA$8)), (PPMT($W$8/12, (U179-$AA$8), $AA$7, $W$7)), 0)</f>
        <v>0</v>
      </c>
      <c r="Y179" s="5">
        <f>IF(CreditAmort2BEST[[#This Row],[Month]]=AA$8,W$7,0)</f>
        <v>0</v>
      </c>
      <c r="Z179" s="13">
        <f>IF(AND(U179&gt;='Amort. Sched.-BEST'!$AA$8, U179&lt;= ($AA$7+$AA$8)), Z178+X179, 0)</f>
        <v>0</v>
      </c>
      <c r="AA179" s="24" t="str">
        <f>IF(AND(U179&gt;='Amort. Sched.-BEST'!$AA$8, U179&lt;= ($AA$7+$AA$8)), W179/V179, " ")</f>
        <v xml:space="preserve"> </v>
      </c>
      <c r="AB179" s="25" t="str">
        <f>IF(AND(U179&gt;='Amort. Sched.-BEST'!$AA$8, U179&lt;= ($AA$7+$AA$8)), X179/V179, " ")</f>
        <v xml:space="preserve"> </v>
      </c>
      <c r="AD179" s="22">
        <f t="shared" si="37"/>
        <v>168</v>
      </c>
      <c r="AE179" s="5">
        <f t="shared" si="38"/>
        <v>0</v>
      </c>
      <c r="AF179" s="5">
        <f t="shared" si="39"/>
        <v>0</v>
      </c>
      <c r="AG179" s="5">
        <f t="shared" si="40"/>
        <v>0</v>
      </c>
      <c r="AH179" s="5">
        <f>IF(CreditAmort3BEST[[#This Row],[Month]]=AJ$8,AF$7,0)</f>
        <v>0</v>
      </c>
      <c r="AI179" s="13">
        <f t="shared" si="41"/>
        <v>0</v>
      </c>
      <c r="AJ179" s="6" t="str">
        <f t="shared" si="42"/>
        <v xml:space="preserve"> </v>
      </c>
      <c r="AK179" s="21" t="str">
        <f t="shared" si="43"/>
        <v xml:space="preserve"> </v>
      </c>
      <c r="AM179" s="20">
        <f t="shared" si="44"/>
        <v>168</v>
      </c>
      <c r="AN179" s="5">
        <f t="shared" si="45"/>
        <v>0</v>
      </c>
      <c r="AO179" s="5">
        <f t="shared" si="46"/>
        <v>0</v>
      </c>
      <c r="AP179" s="5">
        <f t="shared" si="47"/>
        <v>0</v>
      </c>
      <c r="AQ179" s="5">
        <f>IF(CreditAmort4BEST[[#This Row],[Month]]=AS$8,AO$7,0)</f>
        <v>0</v>
      </c>
      <c r="AR179" s="13">
        <f t="shared" si="48"/>
        <v>0</v>
      </c>
      <c r="AS179" s="6" t="str">
        <f t="shared" si="49"/>
        <v xml:space="preserve"> </v>
      </c>
      <c r="AT179" s="21" t="str">
        <f t="shared" si="50"/>
        <v xml:space="preserve"> </v>
      </c>
    </row>
    <row r="180" spans="3:46">
      <c r="C180" s="22">
        <f t="shared" si="35"/>
        <v>169</v>
      </c>
      <c r="D180" s="23">
        <f>IF(AND(C180&gt;='Amort. Sched.-BEST'!$I$8, C180&lt;= ($I$7+$I$8)), PMT('Amort. Sched.-BEST'!$E$8/12, 'Amort. Sched.-BEST'!$I$7, 'Amort. Sched.-BEST'!$E$7), 0)</f>
        <v>-1350.6783839027553</v>
      </c>
      <c r="E180" s="5">
        <f>IF(AND(C180&gt;='Amort. Sched.-BEST'!$I$8, C180&lt;= ($I$7+$I$8)), (IPMT($E$8/12, (C180-$I$8), $I$7, $E$7)), 0)</f>
        <v>-788.80158156060895</v>
      </c>
      <c r="F180" s="23">
        <f>IF(AND(C180&gt;='Amort. Sched.-BEST'!$I$8, C180&lt;= ($I$7+$I$8)), (PPMT($E$8/12, (C180-$I$8), $I$7, $E$7)), 0)</f>
        <v>-561.87680234214645</v>
      </c>
      <c r="G180" s="5">
        <f>IF(MortgageAmortBEST[[#This Row],[Month]]=I$8,E$7,0)</f>
        <v>0</v>
      </c>
      <c r="H180" s="13">
        <f>IF(AND(C180&gt;='Amort. Sched.-BEST'!$I$8, C180&lt;= ($I$7+$I$8)), H179+F180, 0)</f>
        <v>117758.36043174916</v>
      </c>
      <c r="I180" s="24">
        <f>IF(AND(C180&gt;='Amort. Sched.-BEST'!$I$8, C180&lt;= ($I$7+$I$8)), E180/D180, " ")</f>
        <v>0.58400400196039581</v>
      </c>
      <c r="J180" s="25">
        <f>IF(AND(C180&gt;='Amort. Sched.-BEST'!$I$8, C180&lt;= ($I$7+$I$8)), F180/D180, " ")</f>
        <v>0.41599599803960424</v>
      </c>
      <c r="L180" s="20">
        <f t="shared" si="34"/>
        <v>169</v>
      </c>
      <c r="M180" s="5">
        <f>IF(AND(L180&gt;='Amort. Sched.-BEST'!$R$8, L180&lt;= ($R$7+$R$8)), PMT('Amort. Sched.-BEST'!$N$8/12, 'Amort. Sched.-BEST'!$R$7, 'Amort. Sched.-BEST'!$N$7), 0)</f>
        <v>0</v>
      </c>
      <c r="N180" s="5">
        <f>IF(AND(L180&gt;='Amort. Sched.-BEST'!$R$8, L180&lt;= ($R$7+$R$8)), (IPMT($N$8/12, (L180-$R$8), $R$7, $N$7)), 0)</f>
        <v>0</v>
      </c>
      <c r="O180" s="5">
        <f>IF(AND(L180&gt;='Amort. Sched.-BEST'!$R$8, L180&lt;= ($R$7+$R$8)), (PPMT($N$8/12, (L180-$R$8), $R$7, $N$7)), 0)</f>
        <v>0</v>
      </c>
      <c r="P180" s="5">
        <f>IF(CreditAmort1BEST[[#This Row],[Month]]=R$8,N$7,0)</f>
        <v>0</v>
      </c>
      <c r="Q180" s="13">
        <f>IF(AND(L180&gt;='Amort. Sched.-BEST'!$R$8, L180&lt;= ($R$7+$R$8)), Q179+O180, 0)</f>
        <v>0</v>
      </c>
      <c r="R180" s="6" t="str">
        <f>IF(AND(L180&gt;='Amort. Sched.-BEST'!$R$8, L180&lt;= ($R$7+$R$8)), N180/M180, " ")</f>
        <v xml:space="preserve"> </v>
      </c>
      <c r="S180" s="21" t="str">
        <f>IF(AND(L180&gt;='Amort. Sched.-BEST'!$R$8, L180&lt;= ($R$7+$R$8)), O180/M180, " ")</f>
        <v xml:space="preserve"> </v>
      </c>
      <c r="U180" s="22">
        <f t="shared" si="36"/>
        <v>169</v>
      </c>
      <c r="V180" s="23">
        <f>IF(AND(U180&gt;='Amort. Sched.-BEST'!$AA$8, U180&lt;= ($AA$7+$AA$8)), PMT('Amort. Sched.-BEST'!$W$8/12, 'Amort. Sched.-BEST'!$AA$7, 'Amort. Sched.-BEST'!$W$7), 0)</f>
        <v>0</v>
      </c>
      <c r="W180" s="5">
        <f>IF(AND(U180&gt;='Amort. Sched.-BEST'!$AA$8, U180&lt;= ($AA$7+$AA$8)), (IPMT($W$8/12, (U180-$AA$8), $AA$7, $W$7)), 0)</f>
        <v>0</v>
      </c>
      <c r="X180" s="23">
        <f>IF(AND(U180&gt;='Amort. Sched.-BEST'!$AA$8, U180&lt;= ($AA$7+$AA$8)), (PPMT($W$8/12, (U180-$AA$8), $AA$7, $W$7)), 0)</f>
        <v>0</v>
      </c>
      <c r="Y180" s="5">
        <f>IF(CreditAmort2BEST[[#This Row],[Month]]=AA$8,W$7,0)</f>
        <v>0</v>
      </c>
      <c r="Z180" s="13">
        <f>IF(AND(U180&gt;='Amort. Sched.-BEST'!$AA$8, U180&lt;= ($AA$7+$AA$8)), Z179+X180, 0)</f>
        <v>0</v>
      </c>
      <c r="AA180" s="24" t="str">
        <f>IF(AND(U180&gt;='Amort. Sched.-BEST'!$AA$8, U180&lt;= ($AA$7+$AA$8)), W180/V180, " ")</f>
        <v xml:space="preserve"> </v>
      </c>
      <c r="AB180" s="25" t="str">
        <f>IF(AND(U180&gt;='Amort. Sched.-BEST'!$AA$8, U180&lt;= ($AA$7+$AA$8)), X180/V180, " ")</f>
        <v xml:space="preserve"> </v>
      </c>
      <c r="AD180" s="22">
        <f t="shared" si="37"/>
        <v>169</v>
      </c>
      <c r="AE180" s="5">
        <f t="shared" si="38"/>
        <v>0</v>
      </c>
      <c r="AF180" s="5">
        <f t="shared" si="39"/>
        <v>0</v>
      </c>
      <c r="AG180" s="5">
        <f t="shared" si="40"/>
        <v>0</v>
      </c>
      <c r="AH180" s="5">
        <f>IF(CreditAmort3BEST[[#This Row],[Month]]=AJ$8,AF$7,0)</f>
        <v>0</v>
      </c>
      <c r="AI180" s="13">
        <f t="shared" si="41"/>
        <v>0</v>
      </c>
      <c r="AJ180" s="6" t="str">
        <f t="shared" si="42"/>
        <v xml:space="preserve"> </v>
      </c>
      <c r="AK180" s="21" t="str">
        <f t="shared" si="43"/>
        <v xml:space="preserve"> </v>
      </c>
      <c r="AM180" s="20">
        <f t="shared" si="44"/>
        <v>169</v>
      </c>
      <c r="AN180" s="5">
        <f t="shared" si="45"/>
        <v>0</v>
      </c>
      <c r="AO180" s="5">
        <f t="shared" si="46"/>
        <v>0</v>
      </c>
      <c r="AP180" s="5">
        <f t="shared" si="47"/>
        <v>0</v>
      </c>
      <c r="AQ180" s="5">
        <f>IF(CreditAmort4BEST[[#This Row],[Month]]=AS$8,AO$7,0)</f>
        <v>0</v>
      </c>
      <c r="AR180" s="13">
        <f t="shared" si="48"/>
        <v>0</v>
      </c>
      <c r="AS180" s="6" t="str">
        <f t="shared" si="49"/>
        <v xml:space="preserve"> </v>
      </c>
      <c r="AT180" s="21" t="str">
        <f t="shared" si="50"/>
        <v xml:space="preserve"> </v>
      </c>
    </row>
    <row r="181" spans="3:46">
      <c r="C181" s="22">
        <f t="shared" si="35"/>
        <v>170</v>
      </c>
      <c r="D181" s="23">
        <f>IF(AND(C181&gt;='Amort. Sched.-BEST'!$I$8, C181&lt;= ($I$7+$I$8)), PMT('Amort. Sched.-BEST'!$E$8/12, 'Amort. Sched.-BEST'!$I$7, 'Amort. Sched.-BEST'!$E$7), 0)</f>
        <v>-1350.6783839027553</v>
      </c>
      <c r="E181" s="5">
        <f>IF(AND(C181&gt;='Amort. Sched.-BEST'!$I$8, C181&lt;= ($I$7+$I$8)), (IPMT($E$8/12, (C181-$I$8), $I$7, $E$7)), 0)</f>
        <v>-785.05573621166161</v>
      </c>
      <c r="F181" s="23">
        <f>IF(AND(C181&gt;='Amort. Sched.-BEST'!$I$8, C181&lt;= ($I$7+$I$8)), (PPMT($E$8/12, (C181-$I$8), $I$7, $E$7)), 0)</f>
        <v>-565.62264769109402</v>
      </c>
      <c r="G181" s="5">
        <f>IF(MortgageAmortBEST[[#This Row],[Month]]=I$8,E$7,0)</f>
        <v>0</v>
      </c>
      <c r="H181" s="13">
        <f>IF(AND(C181&gt;='Amort. Sched.-BEST'!$I$8, C181&lt;= ($I$7+$I$8)), H180+F181, 0)</f>
        <v>117192.73778405806</v>
      </c>
      <c r="I181" s="24">
        <f>IF(AND(C181&gt;='Amort. Sched.-BEST'!$I$8, C181&lt;= ($I$7+$I$8)), E181/D181, " ")</f>
        <v>0.58123069530679872</v>
      </c>
      <c r="J181" s="25">
        <f>IF(AND(C181&gt;='Amort. Sched.-BEST'!$I$8, C181&lt;= ($I$7+$I$8)), F181/D181, " ")</f>
        <v>0.41876930469320156</v>
      </c>
      <c r="L181" s="20">
        <f t="shared" si="34"/>
        <v>170</v>
      </c>
      <c r="M181" s="5">
        <f>IF(AND(L181&gt;='Amort. Sched.-BEST'!$R$8, L181&lt;= ($R$7+$R$8)), PMT('Amort. Sched.-BEST'!$N$8/12, 'Amort. Sched.-BEST'!$R$7, 'Amort. Sched.-BEST'!$N$7), 0)</f>
        <v>0</v>
      </c>
      <c r="N181" s="5">
        <f>IF(AND(L181&gt;='Amort. Sched.-BEST'!$R$8, L181&lt;= ($R$7+$R$8)), (IPMT($N$8/12, (L181-$R$8), $R$7, $N$7)), 0)</f>
        <v>0</v>
      </c>
      <c r="O181" s="5">
        <f>IF(AND(L181&gt;='Amort. Sched.-BEST'!$R$8, L181&lt;= ($R$7+$R$8)), (PPMT($N$8/12, (L181-$R$8), $R$7, $N$7)), 0)</f>
        <v>0</v>
      </c>
      <c r="P181" s="5">
        <f>IF(CreditAmort1BEST[[#This Row],[Month]]=R$8,N$7,0)</f>
        <v>0</v>
      </c>
      <c r="Q181" s="13">
        <f>IF(AND(L181&gt;='Amort. Sched.-BEST'!$R$8, L181&lt;= ($R$7+$R$8)), Q180+O181, 0)</f>
        <v>0</v>
      </c>
      <c r="R181" s="6" t="str">
        <f>IF(AND(L181&gt;='Amort. Sched.-BEST'!$R$8, L181&lt;= ($R$7+$R$8)), N181/M181, " ")</f>
        <v xml:space="preserve"> </v>
      </c>
      <c r="S181" s="21" t="str">
        <f>IF(AND(L181&gt;='Amort. Sched.-BEST'!$R$8, L181&lt;= ($R$7+$R$8)), O181/M181, " ")</f>
        <v xml:space="preserve"> </v>
      </c>
      <c r="U181" s="22">
        <f t="shared" si="36"/>
        <v>170</v>
      </c>
      <c r="V181" s="23">
        <f>IF(AND(U181&gt;='Amort. Sched.-BEST'!$AA$8, U181&lt;= ($AA$7+$AA$8)), PMT('Amort. Sched.-BEST'!$W$8/12, 'Amort. Sched.-BEST'!$AA$7, 'Amort. Sched.-BEST'!$W$7), 0)</f>
        <v>0</v>
      </c>
      <c r="W181" s="5">
        <f>IF(AND(U181&gt;='Amort. Sched.-BEST'!$AA$8, U181&lt;= ($AA$7+$AA$8)), (IPMT($W$8/12, (U181-$AA$8), $AA$7, $W$7)), 0)</f>
        <v>0</v>
      </c>
      <c r="X181" s="23">
        <f>IF(AND(U181&gt;='Amort. Sched.-BEST'!$AA$8, U181&lt;= ($AA$7+$AA$8)), (PPMT($W$8/12, (U181-$AA$8), $AA$7, $W$7)), 0)</f>
        <v>0</v>
      </c>
      <c r="Y181" s="5">
        <f>IF(CreditAmort2BEST[[#This Row],[Month]]=AA$8,W$7,0)</f>
        <v>0</v>
      </c>
      <c r="Z181" s="13">
        <f>IF(AND(U181&gt;='Amort. Sched.-BEST'!$AA$8, U181&lt;= ($AA$7+$AA$8)), Z180+X181, 0)</f>
        <v>0</v>
      </c>
      <c r="AA181" s="24" t="str">
        <f>IF(AND(U181&gt;='Amort. Sched.-BEST'!$AA$8, U181&lt;= ($AA$7+$AA$8)), W181/V181, " ")</f>
        <v xml:space="preserve"> </v>
      </c>
      <c r="AB181" s="25" t="str">
        <f>IF(AND(U181&gt;='Amort. Sched.-BEST'!$AA$8, U181&lt;= ($AA$7+$AA$8)), X181/V181, " ")</f>
        <v xml:space="preserve"> </v>
      </c>
      <c r="AD181" s="22">
        <f t="shared" si="37"/>
        <v>170</v>
      </c>
      <c r="AE181" s="5">
        <f t="shared" si="38"/>
        <v>0</v>
      </c>
      <c r="AF181" s="5">
        <f t="shared" si="39"/>
        <v>0</v>
      </c>
      <c r="AG181" s="5">
        <f t="shared" si="40"/>
        <v>0</v>
      </c>
      <c r="AH181" s="5">
        <f>IF(CreditAmort3BEST[[#This Row],[Month]]=AJ$8,AF$7,0)</f>
        <v>0</v>
      </c>
      <c r="AI181" s="13">
        <f t="shared" si="41"/>
        <v>0</v>
      </c>
      <c r="AJ181" s="6" t="str">
        <f t="shared" si="42"/>
        <v xml:space="preserve"> </v>
      </c>
      <c r="AK181" s="21" t="str">
        <f t="shared" si="43"/>
        <v xml:space="preserve"> </v>
      </c>
      <c r="AM181" s="20">
        <f t="shared" si="44"/>
        <v>170</v>
      </c>
      <c r="AN181" s="5">
        <f t="shared" si="45"/>
        <v>0</v>
      </c>
      <c r="AO181" s="5">
        <f t="shared" si="46"/>
        <v>0</v>
      </c>
      <c r="AP181" s="5">
        <f t="shared" si="47"/>
        <v>0</v>
      </c>
      <c r="AQ181" s="5">
        <f>IF(CreditAmort4BEST[[#This Row],[Month]]=AS$8,AO$7,0)</f>
        <v>0</v>
      </c>
      <c r="AR181" s="13">
        <f t="shared" si="48"/>
        <v>0</v>
      </c>
      <c r="AS181" s="6" t="str">
        <f t="shared" si="49"/>
        <v xml:space="preserve"> </v>
      </c>
      <c r="AT181" s="21" t="str">
        <f t="shared" si="50"/>
        <v xml:space="preserve"> </v>
      </c>
    </row>
    <row r="182" spans="3:46">
      <c r="C182" s="22">
        <f t="shared" si="35"/>
        <v>171</v>
      </c>
      <c r="D182" s="23">
        <f>IF(AND(C182&gt;='Amort. Sched.-BEST'!$I$8, C182&lt;= ($I$7+$I$8)), PMT('Amort. Sched.-BEST'!$E$8/12, 'Amort. Sched.-BEST'!$I$7, 'Amort. Sched.-BEST'!$E$7), 0)</f>
        <v>-1350.6783839027553</v>
      </c>
      <c r="E182" s="5">
        <f>IF(AND(C182&gt;='Amort. Sched.-BEST'!$I$8, C182&lt;= ($I$7+$I$8)), (IPMT($E$8/12, (C182-$I$8), $I$7, $E$7)), 0)</f>
        <v>-781.28491856038738</v>
      </c>
      <c r="F182" s="23">
        <f>IF(AND(C182&gt;='Amort. Sched.-BEST'!$I$8, C182&lt;= ($I$7+$I$8)), (PPMT($E$8/12, (C182-$I$8), $I$7, $E$7)), 0)</f>
        <v>-569.3934653423679</v>
      </c>
      <c r="G182" s="5">
        <f>IF(MortgageAmortBEST[[#This Row],[Month]]=I$8,E$7,0)</f>
        <v>0</v>
      </c>
      <c r="H182" s="13">
        <f>IF(AND(C182&gt;='Amort. Sched.-BEST'!$I$8, C182&lt;= ($I$7+$I$8)), H181+F182, 0)</f>
        <v>116623.3443187157</v>
      </c>
      <c r="I182" s="24">
        <f>IF(AND(C182&gt;='Amort. Sched.-BEST'!$I$8, C182&lt;= ($I$7+$I$8)), E182/D182, " ")</f>
        <v>0.57843889994217712</v>
      </c>
      <c r="J182" s="25">
        <f>IF(AND(C182&gt;='Amort. Sched.-BEST'!$I$8, C182&lt;= ($I$7+$I$8)), F182/D182, " ")</f>
        <v>0.42156110005782288</v>
      </c>
      <c r="L182" s="20">
        <f t="shared" si="34"/>
        <v>171</v>
      </c>
      <c r="M182" s="5">
        <f>IF(AND(L182&gt;='Amort. Sched.-BEST'!$R$8, L182&lt;= ($R$7+$R$8)), PMT('Amort. Sched.-BEST'!$N$8/12, 'Amort. Sched.-BEST'!$R$7, 'Amort. Sched.-BEST'!$N$7), 0)</f>
        <v>0</v>
      </c>
      <c r="N182" s="5">
        <f>IF(AND(L182&gt;='Amort. Sched.-BEST'!$R$8, L182&lt;= ($R$7+$R$8)), (IPMT($N$8/12, (L182-$R$8), $R$7, $N$7)), 0)</f>
        <v>0</v>
      </c>
      <c r="O182" s="5">
        <f>IF(AND(L182&gt;='Amort. Sched.-BEST'!$R$8, L182&lt;= ($R$7+$R$8)), (PPMT($N$8/12, (L182-$R$8), $R$7, $N$7)), 0)</f>
        <v>0</v>
      </c>
      <c r="P182" s="5">
        <f>IF(CreditAmort1BEST[[#This Row],[Month]]=R$8,N$7,0)</f>
        <v>0</v>
      </c>
      <c r="Q182" s="13">
        <f>IF(AND(L182&gt;='Amort. Sched.-BEST'!$R$8, L182&lt;= ($R$7+$R$8)), Q181+O182, 0)</f>
        <v>0</v>
      </c>
      <c r="R182" s="6" t="str">
        <f>IF(AND(L182&gt;='Amort. Sched.-BEST'!$R$8, L182&lt;= ($R$7+$R$8)), N182/M182, " ")</f>
        <v xml:space="preserve"> </v>
      </c>
      <c r="S182" s="21" t="str">
        <f>IF(AND(L182&gt;='Amort. Sched.-BEST'!$R$8, L182&lt;= ($R$7+$R$8)), O182/M182, " ")</f>
        <v xml:space="preserve"> </v>
      </c>
      <c r="U182" s="22">
        <f t="shared" si="36"/>
        <v>171</v>
      </c>
      <c r="V182" s="23">
        <f>IF(AND(U182&gt;='Amort. Sched.-BEST'!$AA$8, U182&lt;= ($AA$7+$AA$8)), PMT('Amort. Sched.-BEST'!$W$8/12, 'Amort. Sched.-BEST'!$AA$7, 'Amort. Sched.-BEST'!$W$7), 0)</f>
        <v>0</v>
      </c>
      <c r="W182" s="5">
        <f>IF(AND(U182&gt;='Amort. Sched.-BEST'!$AA$8, U182&lt;= ($AA$7+$AA$8)), (IPMT($W$8/12, (U182-$AA$8), $AA$7, $W$7)), 0)</f>
        <v>0</v>
      </c>
      <c r="X182" s="23">
        <f>IF(AND(U182&gt;='Amort. Sched.-BEST'!$AA$8, U182&lt;= ($AA$7+$AA$8)), (PPMT($W$8/12, (U182-$AA$8), $AA$7, $W$7)), 0)</f>
        <v>0</v>
      </c>
      <c r="Y182" s="5">
        <f>IF(CreditAmort2BEST[[#This Row],[Month]]=AA$8,W$7,0)</f>
        <v>0</v>
      </c>
      <c r="Z182" s="13">
        <f>IF(AND(U182&gt;='Amort. Sched.-BEST'!$AA$8, U182&lt;= ($AA$7+$AA$8)), Z181+X182, 0)</f>
        <v>0</v>
      </c>
      <c r="AA182" s="24" t="str">
        <f>IF(AND(U182&gt;='Amort. Sched.-BEST'!$AA$8, U182&lt;= ($AA$7+$AA$8)), W182/V182, " ")</f>
        <v xml:space="preserve"> </v>
      </c>
      <c r="AB182" s="25" t="str">
        <f>IF(AND(U182&gt;='Amort. Sched.-BEST'!$AA$8, U182&lt;= ($AA$7+$AA$8)), X182/V182, " ")</f>
        <v xml:space="preserve"> </v>
      </c>
      <c r="AD182" s="22">
        <f t="shared" si="37"/>
        <v>171</v>
      </c>
      <c r="AE182" s="5">
        <f t="shared" si="38"/>
        <v>0</v>
      </c>
      <c r="AF182" s="5">
        <f t="shared" si="39"/>
        <v>0</v>
      </c>
      <c r="AG182" s="5">
        <f t="shared" si="40"/>
        <v>0</v>
      </c>
      <c r="AH182" s="5">
        <f>IF(CreditAmort3BEST[[#This Row],[Month]]=AJ$8,AF$7,0)</f>
        <v>0</v>
      </c>
      <c r="AI182" s="13">
        <f t="shared" si="41"/>
        <v>0</v>
      </c>
      <c r="AJ182" s="6" t="str">
        <f t="shared" si="42"/>
        <v xml:space="preserve"> </v>
      </c>
      <c r="AK182" s="21" t="str">
        <f t="shared" si="43"/>
        <v xml:space="preserve"> </v>
      </c>
      <c r="AM182" s="20">
        <f t="shared" si="44"/>
        <v>171</v>
      </c>
      <c r="AN182" s="5">
        <f t="shared" si="45"/>
        <v>0</v>
      </c>
      <c r="AO182" s="5">
        <f t="shared" si="46"/>
        <v>0</v>
      </c>
      <c r="AP182" s="5">
        <f t="shared" si="47"/>
        <v>0</v>
      </c>
      <c r="AQ182" s="5">
        <f>IF(CreditAmort4BEST[[#This Row],[Month]]=AS$8,AO$7,0)</f>
        <v>0</v>
      </c>
      <c r="AR182" s="13">
        <f t="shared" si="48"/>
        <v>0</v>
      </c>
      <c r="AS182" s="6" t="str">
        <f t="shared" si="49"/>
        <v xml:space="preserve"> </v>
      </c>
      <c r="AT182" s="21" t="str">
        <f t="shared" si="50"/>
        <v xml:space="preserve"> </v>
      </c>
    </row>
    <row r="183" spans="3:46">
      <c r="C183" s="22">
        <f t="shared" si="35"/>
        <v>172</v>
      </c>
      <c r="D183" s="23">
        <f>IF(AND(C183&gt;='Amort. Sched.-BEST'!$I$8, C183&lt;= ($I$7+$I$8)), PMT('Amort. Sched.-BEST'!$E$8/12, 'Amort. Sched.-BEST'!$I$7, 'Amort. Sched.-BEST'!$E$7), 0)</f>
        <v>-1350.6783839027553</v>
      </c>
      <c r="E183" s="5">
        <f>IF(AND(C183&gt;='Amort. Sched.-BEST'!$I$8, C183&lt;= ($I$7+$I$8)), (IPMT($E$8/12, (C183-$I$8), $I$7, $E$7)), 0)</f>
        <v>-777.48896212477155</v>
      </c>
      <c r="F183" s="23">
        <f>IF(AND(C183&gt;='Amort. Sched.-BEST'!$I$8, C183&lt;= ($I$7+$I$8)), (PPMT($E$8/12, (C183-$I$8), $I$7, $E$7)), 0)</f>
        <v>-573.18942177798374</v>
      </c>
      <c r="G183" s="5">
        <f>IF(MortgageAmortBEST[[#This Row],[Month]]=I$8,E$7,0)</f>
        <v>0</v>
      </c>
      <c r="H183" s="13">
        <f>IF(AND(C183&gt;='Amort. Sched.-BEST'!$I$8, C183&lt;= ($I$7+$I$8)), H182+F183, 0)</f>
        <v>116050.15489693772</v>
      </c>
      <c r="I183" s="24">
        <f>IF(AND(C183&gt;='Amort. Sched.-BEST'!$I$8, C183&lt;= ($I$7+$I$8)), E183/D183, " ")</f>
        <v>0.57562849260845828</v>
      </c>
      <c r="J183" s="25">
        <f>IF(AND(C183&gt;='Amort. Sched.-BEST'!$I$8, C183&lt;= ($I$7+$I$8)), F183/D183, " ")</f>
        <v>0.42437150739154172</v>
      </c>
      <c r="L183" s="20">
        <f t="shared" si="34"/>
        <v>172</v>
      </c>
      <c r="M183" s="5">
        <f>IF(AND(L183&gt;='Amort. Sched.-BEST'!$R$8, L183&lt;= ($R$7+$R$8)), PMT('Amort. Sched.-BEST'!$N$8/12, 'Amort. Sched.-BEST'!$R$7, 'Amort. Sched.-BEST'!$N$7), 0)</f>
        <v>0</v>
      </c>
      <c r="N183" s="5">
        <f>IF(AND(L183&gt;='Amort. Sched.-BEST'!$R$8, L183&lt;= ($R$7+$R$8)), (IPMT($N$8/12, (L183-$R$8), $R$7, $N$7)), 0)</f>
        <v>0</v>
      </c>
      <c r="O183" s="5">
        <f>IF(AND(L183&gt;='Amort. Sched.-BEST'!$R$8, L183&lt;= ($R$7+$R$8)), (PPMT($N$8/12, (L183-$R$8), $R$7, $N$7)), 0)</f>
        <v>0</v>
      </c>
      <c r="P183" s="5">
        <f>IF(CreditAmort1BEST[[#This Row],[Month]]=R$8,N$7,0)</f>
        <v>0</v>
      </c>
      <c r="Q183" s="13">
        <f>IF(AND(L183&gt;='Amort. Sched.-BEST'!$R$8, L183&lt;= ($R$7+$R$8)), Q182+O183, 0)</f>
        <v>0</v>
      </c>
      <c r="R183" s="6" t="str">
        <f>IF(AND(L183&gt;='Amort. Sched.-BEST'!$R$8, L183&lt;= ($R$7+$R$8)), N183/M183, " ")</f>
        <v xml:space="preserve"> </v>
      </c>
      <c r="S183" s="21" t="str">
        <f>IF(AND(L183&gt;='Amort. Sched.-BEST'!$R$8, L183&lt;= ($R$7+$R$8)), O183/M183, " ")</f>
        <v xml:space="preserve"> </v>
      </c>
      <c r="U183" s="22">
        <f t="shared" si="36"/>
        <v>172</v>
      </c>
      <c r="V183" s="23">
        <f>IF(AND(U183&gt;='Amort. Sched.-BEST'!$AA$8, U183&lt;= ($AA$7+$AA$8)), PMT('Amort. Sched.-BEST'!$W$8/12, 'Amort. Sched.-BEST'!$AA$7, 'Amort. Sched.-BEST'!$W$7), 0)</f>
        <v>0</v>
      </c>
      <c r="W183" s="5">
        <f>IF(AND(U183&gt;='Amort. Sched.-BEST'!$AA$8, U183&lt;= ($AA$7+$AA$8)), (IPMT($W$8/12, (U183-$AA$8), $AA$7, $W$7)), 0)</f>
        <v>0</v>
      </c>
      <c r="X183" s="23">
        <f>IF(AND(U183&gt;='Amort. Sched.-BEST'!$AA$8, U183&lt;= ($AA$7+$AA$8)), (PPMT($W$8/12, (U183-$AA$8), $AA$7, $W$7)), 0)</f>
        <v>0</v>
      </c>
      <c r="Y183" s="5">
        <f>IF(CreditAmort2BEST[[#This Row],[Month]]=AA$8,W$7,0)</f>
        <v>0</v>
      </c>
      <c r="Z183" s="13">
        <f>IF(AND(U183&gt;='Amort. Sched.-BEST'!$AA$8, U183&lt;= ($AA$7+$AA$8)), Z182+X183, 0)</f>
        <v>0</v>
      </c>
      <c r="AA183" s="24" t="str">
        <f>IF(AND(U183&gt;='Amort. Sched.-BEST'!$AA$8, U183&lt;= ($AA$7+$AA$8)), W183/V183, " ")</f>
        <v xml:space="preserve"> </v>
      </c>
      <c r="AB183" s="25" t="str">
        <f>IF(AND(U183&gt;='Amort. Sched.-BEST'!$AA$8, U183&lt;= ($AA$7+$AA$8)), X183/V183, " ")</f>
        <v xml:space="preserve"> </v>
      </c>
      <c r="AD183" s="22">
        <f t="shared" si="37"/>
        <v>172</v>
      </c>
      <c r="AE183" s="5">
        <f t="shared" si="38"/>
        <v>0</v>
      </c>
      <c r="AF183" s="5">
        <f t="shared" si="39"/>
        <v>0</v>
      </c>
      <c r="AG183" s="5">
        <f t="shared" si="40"/>
        <v>0</v>
      </c>
      <c r="AH183" s="5">
        <f>IF(CreditAmort3BEST[[#This Row],[Month]]=AJ$8,AF$7,0)</f>
        <v>0</v>
      </c>
      <c r="AI183" s="13">
        <f t="shared" si="41"/>
        <v>0</v>
      </c>
      <c r="AJ183" s="6" t="str">
        <f t="shared" si="42"/>
        <v xml:space="preserve"> </v>
      </c>
      <c r="AK183" s="21" t="str">
        <f t="shared" si="43"/>
        <v xml:space="preserve"> </v>
      </c>
      <c r="AM183" s="20">
        <f t="shared" si="44"/>
        <v>172</v>
      </c>
      <c r="AN183" s="5">
        <f t="shared" si="45"/>
        <v>0</v>
      </c>
      <c r="AO183" s="5">
        <f t="shared" si="46"/>
        <v>0</v>
      </c>
      <c r="AP183" s="5">
        <f t="shared" si="47"/>
        <v>0</v>
      </c>
      <c r="AQ183" s="5">
        <f>IF(CreditAmort4BEST[[#This Row],[Month]]=AS$8,AO$7,0)</f>
        <v>0</v>
      </c>
      <c r="AR183" s="13">
        <f t="shared" si="48"/>
        <v>0</v>
      </c>
      <c r="AS183" s="6" t="str">
        <f t="shared" si="49"/>
        <v xml:space="preserve"> </v>
      </c>
      <c r="AT183" s="21" t="str">
        <f t="shared" si="50"/>
        <v xml:space="preserve"> </v>
      </c>
    </row>
    <row r="184" spans="3:46">
      <c r="C184" s="22">
        <f t="shared" si="35"/>
        <v>173</v>
      </c>
      <c r="D184" s="23">
        <f>IF(AND(C184&gt;='Amort. Sched.-BEST'!$I$8, C184&lt;= ($I$7+$I$8)), PMT('Amort. Sched.-BEST'!$E$8/12, 'Amort. Sched.-BEST'!$I$7, 'Amort. Sched.-BEST'!$E$7), 0)</f>
        <v>-1350.6783839027553</v>
      </c>
      <c r="E184" s="5">
        <f>IF(AND(C184&gt;='Amort. Sched.-BEST'!$I$8, C184&lt;= ($I$7+$I$8)), (IPMT($E$8/12, (C184-$I$8), $I$7, $E$7)), 0)</f>
        <v>-773.66769931291844</v>
      </c>
      <c r="F184" s="23">
        <f>IF(AND(C184&gt;='Amort. Sched.-BEST'!$I$8, C184&lt;= ($I$7+$I$8)), (PPMT($E$8/12, (C184-$I$8), $I$7, $E$7)), 0)</f>
        <v>-577.01068458983707</v>
      </c>
      <c r="G184" s="5">
        <f>IF(MortgageAmortBEST[[#This Row],[Month]]=I$8,E$7,0)</f>
        <v>0</v>
      </c>
      <c r="H184" s="13">
        <f>IF(AND(C184&gt;='Amort. Sched.-BEST'!$I$8, C184&lt;= ($I$7+$I$8)), H183+F184, 0)</f>
        <v>115473.14421234788</v>
      </c>
      <c r="I184" s="24">
        <f>IF(AND(C184&gt;='Amort. Sched.-BEST'!$I$8, C184&lt;= ($I$7+$I$8)), E184/D184, " ")</f>
        <v>0.57279934922584808</v>
      </c>
      <c r="J184" s="25">
        <f>IF(AND(C184&gt;='Amort. Sched.-BEST'!$I$8, C184&lt;= ($I$7+$I$8)), F184/D184, " ")</f>
        <v>0.42720065077415209</v>
      </c>
      <c r="L184" s="20">
        <f t="shared" si="34"/>
        <v>173</v>
      </c>
      <c r="M184" s="5">
        <f>IF(AND(L184&gt;='Amort. Sched.-BEST'!$R$8, L184&lt;= ($R$7+$R$8)), PMT('Amort. Sched.-BEST'!$N$8/12, 'Amort. Sched.-BEST'!$R$7, 'Amort. Sched.-BEST'!$N$7), 0)</f>
        <v>0</v>
      </c>
      <c r="N184" s="5">
        <f>IF(AND(L184&gt;='Amort. Sched.-BEST'!$R$8, L184&lt;= ($R$7+$R$8)), (IPMT($N$8/12, (L184-$R$8), $R$7, $N$7)), 0)</f>
        <v>0</v>
      </c>
      <c r="O184" s="5">
        <f>IF(AND(L184&gt;='Amort. Sched.-BEST'!$R$8, L184&lt;= ($R$7+$R$8)), (PPMT($N$8/12, (L184-$R$8), $R$7, $N$7)), 0)</f>
        <v>0</v>
      </c>
      <c r="P184" s="5">
        <f>IF(CreditAmort1BEST[[#This Row],[Month]]=R$8,N$7,0)</f>
        <v>0</v>
      </c>
      <c r="Q184" s="13">
        <f>IF(AND(L184&gt;='Amort. Sched.-BEST'!$R$8, L184&lt;= ($R$7+$R$8)), Q183+O184, 0)</f>
        <v>0</v>
      </c>
      <c r="R184" s="6" t="str">
        <f>IF(AND(L184&gt;='Amort. Sched.-BEST'!$R$8, L184&lt;= ($R$7+$R$8)), N184/M184, " ")</f>
        <v xml:space="preserve"> </v>
      </c>
      <c r="S184" s="21" t="str">
        <f>IF(AND(L184&gt;='Amort. Sched.-BEST'!$R$8, L184&lt;= ($R$7+$R$8)), O184/M184, " ")</f>
        <v xml:space="preserve"> </v>
      </c>
      <c r="U184" s="22">
        <f t="shared" si="36"/>
        <v>173</v>
      </c>
      <c r="V184" s="23">
        <f>IF(AND(U184&gt;='Amort. Sched.-BEST'!$AA$8, U184&lt;= ($AA$7+$AA$8)), PMT('Amort. Sched.-BEST'!$W$8/12, 'Amort. Sched.-BEST'!$AA$7, 'Amort. Sched.-BEST'!$W$7), 0)</f>
        <v>0</v>
      </c>
      <c r="W184" s="5">
        <f>IF(AND(U184&gt;='Amort. Sched.-BEST'!$AA$8, U184&lt;= ($AA$7+$AA$8)), (IPMT($W$8/12, (U184-$AA$8), $AA$7, $W$7)), 0)</f>
        <v>0</v>
      </c>
      <c r="X184" s="23">
        <f>IF(AND(U184&gt;='Amort. Sched.-BEST'!$AA$8, U184&lt;= ($AA$7+$AA$8)), (PPMT($W$8/12, (U184-$AA$8), $AA$7, $W$7)), 0)</f>
        <v>0</v>
      </c>
      <c r="Y184" s="5">
        <f>IF(CreditAmort2BEST[[#This Row],[Month]]=AA$8,W$7,0)</f>
        <v>0</v>
      </c>
      <c r="Z184" s="13">
        <f>IF(AND(U184&gt;='Amort. Sched.-BEST'!$AA$8, U184&lt;= ($AA$7+$AA$8)), Z183+X184, 0)</f>
        <v>0</v>
      </c>
      <c r="AA184" s="24" t="str">
        <f>IF(AND(U184&gt;='Amort. Sched.-BEST'!$AA$8, U184&lt;= ($AA$7+$AA$8)), W184/V184, " ")</f>
        <v xml:space="preserve"> </v>
      </c>
      <c r="AB184" s="25" t="str">
        <f>IF(AND(U184&gt;='Amort. Sched.-BEST'!$AA$8, U184&lt;= ($AA$7+$AA$8)), X184/V184, " ")</f>
        <v xml:space="preserve"> </v>
      </c>
      <c r="AD184" s="22">
        <f t="shared" si="37"/>
        <v>173</v>
      </c>
      <c r="AE184" s="5">
        <f t="shared" si="38"/>
        <v>0</v>
      </c>
      <c r="AF184" s="5">
        <f t="shared" si="39"/>
        <v>0</v>
      </c>
      <c r="AG184" s="5">
        <f t="shared" si="40"/>
        <v>0</v>
      </c>
      <c r="AH184" s="5">
        <f>IF(CreditAmort3BEST[[#This Row],[Month]]=AJ$8,AF$7,0)</f>
        <v>0</v>
      </c>
      <c r="AI184" s="13">
        <f t="shared" si="41"/>
        <v>0</v>
      </c>
      <c r="AJ184" s="6" t="str">
        <f t="shared" si="42"/>
        <v xml:space="preserve"> </v>
      </c>
      <c r="AK184" s="21" t="str">
        <f t="shared" si="43"/>
        <v xml:space="preserve"> </v>
      </c>
      <c r="AM184" s="20">
        <f t="shared" si="44"/>
        <v>173</v>
      </c>
      <c r="AN184" s="5">
        <f t="shared" si="45"/>
        <v>0</v>
      </c>
      <c r="AO184" s="5">
        <f t="shared" si="46"/>
        <v>0</v>
      </c>
      <c r="AP184" s="5">
        <f t="shared" si="47"/>
        <v>0</v>
      </c>
      <c r="AQ184" s="5">
        <f>IF(CreditAmort4BEST[[#This Row],[Month]]=AS$8,AO$7,0)</f>
        <v>0</v>
      </c>
      <c r="AR184" s="13">
        <f t="shared" si="48"/>
        <v>0</v>
      </c>
      <c r="AS184" s="6" t="str">
        <f t="shared" si="49"/>
        <v xml:space="preserve"> </v>
      </c>
      <c r="AT184" s="21" t="str">
        <f t="shared" si="50"/>
        <v xml:space="preserve"> </v>
      </c>
    </row>
    <row r="185" spans="3:46">
      <c r="C185" s="22">
        <f t="shared" si="35"/>
        <v>174</v>
      </c>
      <c r="D185" s="23">
        <f>IF(AND(C185&gt;='Amort. Sched.-BEST'!$I$8, C185&lt;= ($I$7+$I$8)), PMT('Amort. Sched.-BEST'!$E$8/12, 'Amort. Sched.-BEST'!$I$7, 'Amort. Sched.-BEST'!$E$7), 0)</f>
        <v>-1350.6783839027553</v>
      </c>
      <c r="E185" s="5">
        <f>IF(AND(C185&gt;='Amort. Sched.-BEST'!$I$8, C185&lt;= ($I$7+$I$8)), (IPMT($E$8/12, (C185-$I$8), $I$7, $E$7)), 0)</f>
        <v>-769.82096141565273</v>
      </c>
      <c r="F185" s="23">
        <f>IF(AND(C185&gt;='Amort. Sched.-BEST'!$I$8, C185&lt;= ($I$7+$I$8)), (PPMT($E$8/12, (C185-$I$8), $I$7, $E$7)), 0)</f>
        <v>-580.85742248710255</v>
      </c>
      <c r="G185" s="5">
        <f>IF(MortgageAmortBEST[[#This Row],[Month]]=I$8,E$7,0)</f>
        <v>0</v>
      </c>
      <c r="H185" s="13">
        <f>IF(AND(C185&gt;='Amort. Sched.-BEST'!$I$8, C185&lt;= ($I$7+$I$8)), H184+F185, 0)</f>
        <v>114892.28678986078</v>
      </c>
      <c r="I185" s="24">
        <f>IF(AND(C185&gt;='Amort. Sched.-BEST'!$I$8, C185&lt;= ($I$7+$I$8)), E185/D185, " ")</f>
        <v>0.56995134488735366</v>
      </c>
      <c r="J185" s="25">
        <f>IF(AND(C185&gt;='Amort. Sched.-BEST'!$I$8, C185&lt;= ($I$7+$I$8)), F185/D185, " ")</f>
        <v>0.43004865511264634</v>
      </c>
      <c r="L185" s="20">
        <f t="shared" si="34"/>
        <v>174</v>
      </c>
      <c r="M185" s="5">
        <f>IF(AND(L185&gt;='Amort. Sched.-BEST'!$R$8, L185&lt;= ($R$7+$R$8)), PMT('Amort. Sched.-BEST'!$N$8/12, 'Amort. Sched.-BEST'!$R$7, 'Amort. Sched.-BEST'!$N$7), 0)</f>
        <v>0</v>
      </c>
      <c r="N185" s="5">
        <f>IF(AND(L185&gt;='Amort. Sched.-BEST'!$R$8, L185&lt;= ($R$7+$R$8)), (IPMT($N$8/12, (L185-$R$8), $R$7, $N$7)), 0)</f>
        <v>0</v>
      </c>
      <c r="O185" s="5">
        <f>IF(AND(L185&gt;='Amort. Sched.-BEST'!$R$8, L185&lt;= ($R$7+$R$8)), (PPMT($N$8/12, (L185-$R$8), $R$7, $N$7)), 0)</f>
        <v>0</v>
      </c>
      <c r="P185" s="5">
        <f>IF(CreditAmort1BEST[[#This Row],[Month]]=R$8,N$7,0)</f>
        <v>0</v>
      </c>
      <c r="Q185" s="13">
        <f>IF(AND(L185&gt;='Amort. Sched.-BEST'!$R$8, L185&lt;= ($R$7+$R$8)), Q184+O185, 0)</f>
        <v>0</v>
      </c>
      <c r="R185" s="6" t="str">
        <f>IF(AND(L185&gt;='Amort. Sched.-BEST'!$R$8, L185&lt;= ($R$7+$R$8)), N185/M185, " ")</f>
        <v xml:space="preserve"> </v>
      </c>
      <c r="S185" s="21" t="str">
        <f>IF(AND(L185&gt;='Amort. Sched.-BEST'!$R$8, L185&lt;= ($R$7+$R$8)), O185/M185, " ")</f>
        <v xml:space="preserve"> </v>
      </c>
      <c r="U185" s="22">
        <f t="shared" si="36"/>
        <v>174</v>
      </c>
      <c r="V185" s="23">
        <f>IF(AND(U185&gt;='Amort. Sched.-BEST'!$AA$8, U185&lt;= ($AA$7+$AA$8)), PMT('Amort. Sched.-BEST'!$W$8/12, 'Amort. Sched.-BEST'!$AA$7, 'Amort. Sched.-BEST'!$W$7), 0)</f>
        <v>0</v>
      </c>
      <c r="W185" s="5">
        <f>IF(AND(U185&gt;='Amort. Sched.-BEST'!$AA$8, U185&lt;= ($AA$7+$AA$8)), (IPMT($W$8/12, (U185-$AA$8), $AA$7, $W$7)), 0)</f>
        <v>0</v>
      </c>
      <c r="X185" s="23">
        <f>IF(AND(U185&gt;='Amort. Sched.-BEST'!$AA$8, U185&lt;= ($AA$7+$AA$8)), (PPMT($W$8/12, (U185-$AA$8), $AA$7, $W$7)), 0)</f>
        <v>0</v>
      </c>
      <c r="Y185" s="5">
        <f>IF(CreditAmort2BEST[[#This Row],[Month]]=AA$8,W$7,0)</f>
        <v>0</v>
      </c>
      <c r="Z185" s="13">
        <f>IF(AND(U185&gt;='Amort. Sched.-BEST'!$AA$8, U185&lt;= ($AA$7+$AA$8)), Z184+X185, 0)</f>
        <v>0</v>
      </c>
      <c r="AA185" s="24" t="str">
        <f>IF(AND(U185&gt;='Amort. Sched.-BEST'!$AA$8, U185&lt;= ($AA$7+$AA$8)), W185/V185, " ")</f>
        <v xml:space="preserve"> </v>
      </c>
      <c r="AB185" s="25" t="str">
        <f>IF(AND(U185&gt;='Amort. Sched.-BEST'!$AA$8, U185&lt;= ($AA$7+$AA$8)), X185/V185, " ")</f>
        <v xml:space="preserve"> </v>
      </c>
      <c r="AD185" s="22">
        <f t="shared" si="37"/>
        <v>174</v>
      </c>
      <c r="AE185" s="5">
        <f t="shared" si="38"/>
        <v>0</v>
      </c>
      <c r="AF185" s="5">
        <f t="shared" si="39"/>
        <v>0</v>
      </c>
      <c r="AG185" s="5">
        <f t="shared" si="40"/>
        <v>0</v>
      </c>
      <c r="AH185" s="5">
        <f>IF(CreditAmort3BEST[[#This Row],[Month]]=AJ$8,AF$7,0)</f>
        <v>0</v>
      </c>
      <c r="AI185" s="13">
        <f t="shared" si="41"/>
        <v>0</v>
      </c>
      <c r="AJ185" s="6" t="str">
        <f t="shared" si="42"/>
        <v xml:space="preserve"> </v>
      </c>
      <c r="AK185" s="21" t="str">
        <f t="shared" si="43"/>
        <v xml:space="preserve"> </v>
      </c>
      <c r="AM185" s="20">
        <f t="shared" si="44"/>
        <v>174</v>
      </c>
      <c r="AN185" s="5">
        <f t="shared" si="45"/>
        <v>0</v>
      </c>
      <c r="AO185" s="5">
        <f t="shared" si="46"/>
        <v>0</v>
      </c>
      <c r="AP185" s="5">
        <f t="shared" si="47"/>
        <v>0</v>
      </c>
      <c r="AQ185" s="5">
        <f>IF(CreditAmort4BEST[[#This Row],[Month]]=AS$8,AO$7,0)</f>
        <v>0</v>
      </c>
      <c r="AR185" s="13">
        <f t="shared" si="48"/>
        <v>0</v>
      </c>
      <c r="AS185" s="6" t="str">
        <f t="shared" si="49"/>
        <v xml:space="preserve"> </v>
      </c>
      <c r="AT185" s="21" t="str">
        <f t="shared" si="50"/>
        <v xml:space="preserve"> </v>
      </c>
    </row>
    <row r="186" spans="3:46">
      <c r="C186" s="22">
        <f t="shared" si="35"/>
        <v>175</v>
      </c>
      <c r="D186" s="23">
        <f>IF(AND(C186&gt;='Amort. Sched.-BEST'!$I$8, C186&lt;= ($I$7+$I$8)), PMT('Amort. Sched.-BEST'!$E$8/12, 'Amort. Sched.-BEST'!$I$7, 'Amort. Sched.-BEST'!$E$7), 0)</f>
        <v>-1350.6783839027553</v>
      </c>
      <c r="E186" s="5">
        <f>IF(AND(C186&gt;='Amort. Sched.-BEST'!$I$8, C186&lt;= ($I$7+$I$8)), (IPMT($E$8/12, (C186-$I$8), $I$7, $E$7)), 0)</f>
        <v>-765.94857859907199</v>
      </c>
      <c r="F186" s="23">
        <f>IF(AND(C186&gt;='Amort. Sched.-BEST'!$I$8, C186&lt;= ($I$7+$I$8)), (PPMT($E$8/12, (C186-$I$8), $I$7, $E$7)), 0)</f>
        <v>-584.72980530368318</v>
      </c>
      <c r="G186" s="5">
        <f>IF(MortgageAmortBEST[[#This Row],[Month]]=I$8,E$7,0)</f>
        <v>0</v>
      </c>
      <c r="H186" s="13">
        <f>IF(AND(C186&gt;='Amort. Sched.-BEST'!$I$8, C186&lt;= ($I$7+$I$8)), H185+F186, 0)</f>
        <v>114307.5569845571</v>
      </c>
      <c r="I186" s="24">
        <f>IF(AND(C186&gt;='Amort. Sched.-BEST'!$I$8, C186&lt;= ($I$7+$I$8)), E186/D186, " ")</f>
        <v>0.56708435385326927</v>
      </c>
      <c r="J186" s="25">
        <f>IF(AND(C186&gt;='Amort. Sched.-BEST'!$I$8, C186&lt;= ($I$7+$I$8)), F186/D186, " ")</f>
        <v>0.43291564614673061</v>
      </c>
      <c r="L186" s="20">
        <f t="shared" si="34"/>
        <v>175</v>
      </c>
      <c r="M186" s="5">
        <f>IF(AND(L186&gt;='Amort. Sched.-BEST'!$R$8, L186&lt;= ($R$7+$R$8)), PMT('Amort. Sched.-BEST'!$N$8/12, 'Amort. Sched.-BEST'!$R$7, 'Amort. Sched.-BEST'!$N$7), 0)</f>
        <v>0</v>
      </c>
      <c r="N186" s="5">
        <f>IF(AND(L186&gt;='Amort. Sched.-BEST'!$R$8, L186&lt;= ($R$7+$R$8)), (IPMT($N$8/12, (L186-$R$8), $R$7, $N$7)), 0)</f>
        <v>0</v>
      </c>
      <c r="O186" s="5">
        <f>IF(AND(L186&gt;='Amort. Sched.-BEST'!$R$8, L186&lt;= ($R$7+$R$8)), (PPMT($N$8/12, (L186-$R$8), $R$7, $N$7)), 0)</f>
        <v>0</v>
      </c>
      <c r="P186" s="5">
        <f>IF(CreditAmort1BEST[[#This Row],[Month]]=R$8,N$7,0)</f>
        <v>0</v>
      </c>
      <c r="Q186" s="13">
        <f>IF(AND(L186&gt;='Amort. Sched.-BEST'!$R$8, L186&lt;= ($R$7+$R$8)), Q185+O186, 0)</f>
        <v>0</v>
      </c>
      <c r="R186" s="6" t="str">
        <f>IF(AND(L186&gt;='Amort. Sched.-BEST'!$R$8, L186&lt;= ($R$7+$R$8)), N186/M186, " ")</f>
        <v xml:space="preserve"> </v>
      </c>
      <c r="S186" s="21" t="str">
        <f>IF(AND(L186&gt;='Amort. Sched.-BEST'!$R$8, L186&lt;= ($R$7+$R$8)), O186/M186, " ")</f>
        <v xml:space="preserve"> </v>
      </c>
      <c r="U186" s="22">
        <f t="shared" si="36"/>
        <v>175</v>
      </c>
      <c r="V186" s="23">
        <f>IF(AND(U186&gt;='Amort. Sched.-BEST'!$AA$8, U186&lt;= ($AA$7+$AA$8)), PMT('Amort. Sched.-BEST'!$W$8/12, 'Amort. Sched.-BEST'!$AA$7, 'Amort. Sched.-BEST'!$W$7), 0)</f>
        <v>0</v>
      </c>
      <c r="W186" s="5">
        <f>IF(AND(U186&gt;='Amort. Sched.-BEST'!$AA$8, U186&lt;= ($AA$7+$AA$8)), (IPMT($W$8/12, (U186-$AA$8), $AA$7, $W$7)), 0)</f>
        <v>0</v>
      </c>
      <c r="X186" s="23">
        <f>IF(AND(U186&gt;='Amort. Sched.-BEST'!$AA$8, U186&lt;= ($AA$7+$AA$8)), (PPMT($W$8/12, (U186-$AA$8), $AA$7, $W$7)), 0)</f>
        <v>0</v>
      </c>
      <c r="Y186" s="5">
        <f>IF(CreditAmort2BEST[[#This Row],[Month]]=AA$8,W$7,0)</f>
        <v>0</v>
      </c>
      <c r="Z186" s="13">
        <f>IF(AND(U186&gt;='Amort. Sched.-BEST'!$AA$8, U186&lt;= ($AA$7+$AA$8)), Z185+X186, 0)</f>
        <v>0</v>
      </c>
      <c r="AA186" s="24" t="str">
        <f>IF(AND(U186&gt;='Amort. Sched.-BEST'!$AA$8, U186&lt;= ($AA$7+$AA$8)), W186/V186, " ")</f>
        <v xml:space="preserve"> </v>
      </c>
      <c r="AB186" s="25" t="str">
        <f>IF(AND(U186&gt;='Amort. Sched.-BEST'!$AA$8, U186&lt;= ($AA$7+$AA$8)), X186/V186, " ")</f>
        <v xml:space="preserve"> </v>
      </c>
      <c r="AD186" s="22">
        <f t="shared" si="37"/>
        <v>175</v>
      </c>
      <c r="AE186" s="5">
        <f t="shared" si="38"/>
        <v>0</v>
      </c>
      <c r="AF186" s="5">
        <f t="shared" si="39"/>
        <v>0</v>
      </c>
      <c r="AG186" s="5">
        <f t="shared" si="40"/>
        <v>0</v>
      </c>
      <c r="AH186" s="5">
        <f>IF(CreditAmort3BEST[[#This Row],[Month]]=AJ$8,AF$7,0)</f>
        <v>0</v>
      </c>
      <c r="AI186" s="13">
        <f t="shared" si="41"/>
        <v>0</v>
      </c>
      <c r="AJ186" s="6" t="str">
        <f t="shared" si="42"/>
        <v xml:space="preserve"> </v>
      </c>
      <c r="AK186" s="21" t="str">
        <f t="shared" si="43"/>
        <v xml:space="preserve"> </v>
      </c>
      <c r="AM186" s="20">
        <f t="shared" si="44"/>
        <v>175</v>
      </c>
      <c r="AN186" s="5">
        <f t="shared" si="45"/>
        <v>0</v>
      </c>
      <c r="AO186" s="5">
        <f t="shared" si="46"/>
        <v>0</v>
      </c>
      <c r="AP186" s="5">
        <f t="shared" si="47"/>
        <v>0</v>
      </c>
      <c r="AQ186" s="5">
        <f>IF(CreditAmort4BEST[[#This Row],[Month]]=AS$8,AO$7,0)</f>
        <v>0</v>
      </c>
      <c r="AR186" s="13">
        <f t="shared" si="48"/>
        <v>0</v>
      </c>
      <c r="AS186" s="6" t="str">
        <f t="shared" si="49"/>
        <v xml:space="preserve"> </v>
      </c>
      <c r="AT186" s="21" t="str">
        <f t="shared" si="50"/>
        <v xml:space="preserve"> </v>
      </c>
    </row>
    <row r="187" spans="3:46">
      <c r="C187" s="22">
        <f t="shared" si="35"/>
        <v>176</v>
      </c>
      <c r="D187" s="23">
        <f>IF(AND(C187&gt;='Amort. Sched.-BEST'!$I$8, C187&lt;= ($I$7+$I$8)), PMT('Amort. Sched.-BEST'!$E$8/12, 'Amort. Sched.-BEST'!$I$7, 'Amort. Sched.-BEST'!$E$7), 0)</f>
        <v>-1350.6783839027553</v>
      </c>
      <c r="E187" s="5">
        <f>IF(AND(C187&gt;='Amort. Sched.-BEST'!$I$8, C187&lt;= ($I$7+$I$8)), (IPMT($E$8/12, (C187-$I$8), $I$7, $E$7)), 0)</f>
        <v>-762.05037989704761</v>
      </c>
      <c r="F187" s="23">
        <f>IF(AND(C187&gt;='Amort. Sched.-BEST'!$I$8, C187&lt;= ($I$7+$I$8)), (PPMT($E$8/12, (C187-$I$8), $I$7, $E$7)), 0)</f>
        <v>-588.62800400570779</v>
      </c>
      <c r="G187" s="5">
        <f>IF(MortgageAmortBEST[[#This Row],[Month]]=I$8,E$7,0)</f>
        <v>0</v>
      </c>
      <c r="H187" s="13">
        <f>IF(AND(C187&gt;='Amort. Sched.-BEST'!$I$8, C187&lt;= ($I$7+$I$8)), H186+F187, 0)</f>
        <v>113718.9289805514</v>
      </c>
      <c r="I187" s="24">
        <f>IF(AND(C187&gt;='Amort. Sched.-BEST'!$I$8, C187&lt;= ($I$7+$I$8)), E187/D187, " ")</f>
        <v>0.56419824954562459</v>
      </c>
      <c r="J187" s="25">
        <f>IF(AND(C187&gt;='Amort. Sched.-BEST'!$I$8, C187&lt;= ($I$7+$I$8)), F187/D187, " ")</f>
        <v>0.43580175045437552</v>
      </c>
      <c r="L187" s="20">
        <f t="shared" si="34"/>
        <v>176</v>
      </c>
      <c r="M187" s="5">
        <f>IF(AND(L187&gt;='Amort. Sched.-BEST'!$R$8, L187&lt;= ($R$7+$R$8)), PMT('Amort. Sched.-BEST'!$N$8/12, 'Amort. Sched.-BEST'!$R$7, 'Amort. Sched.-BEST'!$N$7), 0)</f>
        <v>0</v>
      </c>
      <c r="N187" s="5">
        <f>IF(AND(L187&gt;='Amort. Sched.-BEST'!$R$8, L187&lt;= ($R$7+$R$8)), (IPMT($N$8/12, (L187-$R$8), $R$7, $N$7)), 0)</f>
        <v>0</v>
      </c>
      <c r="O187" s="5">
        <f>IF(AND(L187&gt;='Amort. Sched.-BEST'!$R$8, L187&lt;= ($R$7+$R$8)), (PPMT($N$8/12, (L187-$R$8), $R$7, $N$7)), 0)</f>
        <v>0</v>
      </c>
      <c r="P187" s="5">
        <f>IF(CreditAmort1BEST[[#This Row],[Month]]=R$8,N$7,0)</f>
        <v>0</v>
      </c>
      <c r="Q187" s="13">
        <f>IF(AND(L187&gt;='Amort. Sched.-BEST'!$R$8, L187&lt;= ($R$7+$R$8)), Q186+O187, 0)</f>
        <v>0</v>
      </c>
      <c r="R187" s="6" t="str">
        <f>IF(AND(L187&gt;='Amort. Sched.-BEST'!$R$8, L187&lt;= ($R$7+$R$8)), N187/M187, " ")</f>
        <v xml:space="preserve"> </v>
      </c>
      <c r="S187" s="21" t="str">
        <f>IF(AND(L187&gt;='Amort. Sched.-BEST'!$R$8, L187&lt;= ($R$7+$R$8)), O187/M187, " ")</f>
        <v xml:space="preserve"> </v>
      </c>
      <c r="U187" s="22">
        <f t="shared" si="36"/>
        <v>176</v>
      </c>
      <c r="V187" s="23">
        <f>IF(AND(U187&gt;='Amort. Sched.-BEST'!$AA$8, U187&lt;= ($AA$7+$AA$8)), PMT('Amort. Sched.-BEST'!$W$8/12, 'Amort. Sched.-BEST'!$AA$7, 'Amort. Sched.-BEST'!$W$7), 0)</f>
        <v>0</v>
      </c>
      <c r="W187" s="5">
        <f>IF(AND(U187&gt;='Amort. Sched.-BEST'!$AA$8, U187&lt;= ($AA$7+$AA$8)), (IPMT($W$8/12, (U187-$AA$8), $AA$7, $W$7)), 0)</f>
        <v>0</v>
      </c>
      <c r="X187" s="23">
        <f>IF(AND(U187&gt;='Amort. Sched.-BEST'!$AA$8, U187&lt;= ($AA$7+$AA$8)), (PPMT($W$8/12, (U187-$AA$8), $AA$7, $W$7)), 0)</f>
        <v>0</v>
      </c>
      <c r="Y187" s="5">
        <f>IF(CreditAmort2BEST[[#This Row],[Month]]=AA$8,W$7,0)</f>
        <v>0</v>
      </c>
      <c r="Z187" s="13">
        <f>IF(AND(U187&gt;='Amort. Sched.-BEST'!$AA$8, U187&lt;= ($AA$7+$AA$8)), Z186+X187, 0)</f>
        <v>0</v>
      </c>
      <c r="AA187" s="24" t="str">
        <f>IF(AND(U187&gt;='Amort. Sched.-BEST'!$AA$8, U187&lt;= ($AA$7+$AA$8)), W187/V187, " ")</f>
        <v xml:space="preserve"> </v>
      </c>
      <c r="AB187" s="25" t="str">
        <f>IF(AND(U187&gt;='Amort. Sched.-BEST'!$AA$8, U187&lt;= ($AA$7+$AA$8)), X187/V187, " ")</f>
        <v xml:space="preserve"> </v>
      </c>
      <c r="AD187" s="22">
        <f t="shared" si="37"/>
        <v>176</v>
      </c>
      <c r="AE187" s="5">
        <f t="shared" si="38"/>
        <v>0</v>
      </c>
      <c r="AF187" s="5">
        <f t="shared" si="39"/>
        <v>0</v>
      </c>
      <c r="AG187" s="5">
        <f t="shared" si="40"/>
        <v>0</v>
      </c>
      <c r="AH187" s="5">
        <f>IF(CreditAmort3BEST[[#This Row],[Month]]=AJ$8,AF$7,0)</f>
        <v>0</v>
      </c>
      <c r="AI187" s="13">
        <f t="shared" si="41"/>
        <v>0</v>
      </c>
      <c r="AJ187" s="6" t="str">
        <f t="shared" si="42"/>
        <v xml:space="preserve"> </v>
      </c>
      <c r="AK187" s="21" t="str">
        <f t="shared" si="43"/>
        <v xml:space="preserve"> </v>
      </c>
      <c r="AM187" s="20">
        <f t="shared" si="44"/>
        <v>176</v>
      </c>
      <c r="AN187" s="5">
        <f t="shared" si="45"/>
        <v>0</v>
      </c>
      <c r="AO187" s="5">
        <f t="shared" si="46"/>
        <v>0</v>
      </c>
      <c r="AP187" s="5">
        <f t="shared" si="47"/>
        <v>0</v>
      </c>
      <c r="AQ187" s="5">
        <f>IF(CreditAmort4BEST[[#This Row],[Month]]=AS$8,AO$7,0)</f>
        <v>0</v>
      </c>
      <c r="AR187" s="13">
        <f t="shared" si="48"/>
        <v>0</v>
      </c>
      <c r="AS187" s="6" t="str">
        <f t="shared" si="49"/>
        <v xml:space="preserve"> </v>
      </c>
      <c r="AT187" s="21" t="str">
        <f t="shared" si="50"/>
        <v xml:space="preserve"> </v>
      </c>
    </row>
    <row r="188" spans="3:46">
      <c r="C188" s="22">
        <f t="shared" si="35"/>
        <v>177</v>
      </c>
      <c r="D188" s="23">
        <f>IF(AND(C188&gt;='Amort. Sched.-BEST'!$I$8, C188&lt;= ($I$7+$I$8)), PMT('Amort. Sched.-BEST'!$E$8/12, 'Amort. Sched.-BEST'!$I$7, 'Amort. Sched.-BEST'!$E$7), 0)</f>
        <v>-1350.6783839027553</v>
      </c>
      <c r="E188" s="5">
        <f>IF(AND(C188&gt;='Amort. Sched.-BEST'!$I$8, C188&lt;= ($I$7+$I$8)), (IPMT($E$8/12, (C188-$I$8), $I$7, $E$7)), 0)</f>
        <v>-758.12619320367617</v>
      </c>
      <c r="F188" s="23">
        <f>IF(AND(C188&gt;='Amort. Sched.-BEST'!$I$8, C188&lt;= ($I$7+$I$8)), (PPMT($E$8/12, (C188-$I$8), $I$7, $E$7)), 0)</f>
        <v>-592.55219069907923</v>
      </c>
      <c r="G188" s="5">
        <f>IF(MortgageAmortBEST[[#This Row],[Month]]=I$8,E$7,0)</f>
        <v>0</v>
      </c>
      <c r="H188" s="13">
        <f>IF(AND(C188&gt;='Amort. Sched.-BEST'!$I$8, C188&lt;= ($I$7+$I$8)), H187+F188, 0)</f>
        <v>113126.37678985232</v>
      </c>
      <c r="I188" s="24">
        <f>IF(AND(C188&gt;='Amort. Sched.-BEST'!$I$8, C188&lt;= ($I$7+$I$8)), E188/D188, " ")</f>
        <v>0.56129290454259539</v>
      </c>
      <c r="J188" s="25">
        <f>IF(AND(C188&gt;='Amort. Sched.-BEST'!$I$8, C188&lt;= ($I$7+$I$8)), F188/D188, " ")</f>
        <v>0.43870709545740472</v>
      </c>
      <c r="L188" s="20">
        <f t="shared" si="34"/>
        <v>177</v>
      </c>
      <c r="M188" s="5">
        <f>IF(AND(L188&gt;='Amort. Sched.-BEST'!$R$8, L188&lt;= ($R$7+$R$8)), PMT('Amort. Sched.-BEST'!$N$8/12, 'Amort. Sched.-BEST'!$R$7, 'Amort. Sched.-BEST'!$N$7), 0)</f>
        <v>0</v>
      </c>
      <c r="N188" s="5">
        <f>IF(AND(L188&gt;='Amort. Sched.-BEST'!$R$8, L188&lt;= ($R$7+$R$8)), (IPMT($N$8/12, (L188-$R$8), $R$7, $N$7)), 0)</f>
        <v>0</v>
      </c>
      <c r="O188" s="5">
        <f>IF(AND(L188&gt;='Amort. Sched.-BEST'!$R$8, L188&lt;= ($R$7+$R$8)), (PPMT($N$8/12, (L188-$R$8), $R$7, $N$7)), 0)</f>
        <v>0</v>
      </c>
      <c r="P188" s="5">
        <f>IF(CreditAmort1BEST[[#This Row],[Month]]=R$8,N$7,0)</f>
        <v>0</v>
      </c>
      <c r="Q188" s="13">
        <f>IF(AND(L188&gt;='Amort. Sched.-BEST'!$R$8, L188&lt;= ($R$7+$R$8)), Q187+O188, 0)</f>
        <v>0</v>
      </c>
      <c r="R188" s="6" t="str">
        <f>IF(AND(L188&gt;='Amort. Sched.-BEST'!$R$8, L188&lt;= ($R$7+$R$8)), N188/M188, " ")</f>
        <v xml:space="preserve"> </v>
      </c>
      <c r="S188" s="21" t="str">
        <f>IF(AND(L188&gt;='Amort. Sched.-BEST'!$R$8, L188&lt;= ($R$7+$R$8)), O188/M188, " ")</f>
        <v xml:space="preserve"> </v>
      </c>
      <c r="U188" s="22">
        <f t="shared" si="36"/>
        <v>177</v>
      </c>
      <c r="V188" s="23">
        <f>IF(AND(U188&gt;='Amort. Sched.-BEST'!$AA$8, U188&lt;= ($AA$7+$AA$8)), PMT('Amort. Sched.-BEST'!$W$8/12, 'Amort. Sched.-BEST'!$AA$7, 'Amort. Sched.-BEST'!$W$7), 0)</f>
        <v>0</v>
      </c>
      <c r="W188" s="5">
        <f>IF(AND(U188&gt;='Amort. Sched.-BEST'!$AA$8, U188&lt;= ($AA$7+$AA$8)), (IPMT($W$8/12, (U188-$AA$8), $AA$7, $W$7)), 0)</f>
        <v>0</v>
      </c>
      <c r="X188" s="23">
        <f>IF(AND(U188&gt;='Amort. Sched.-BEST'!$AA$8, U188&lt;= ($AA$7+$AA$8)), (PPMT($W$8/12, (U188-$AA$8), $AA$7, $W$7)), 0)</f>
        <v>0</v>
      </c>
      <c r="Y188" s="5">
        <f>IF(CreditAmort2BEST[[#This Row],[Month]]=AA$8,W$7,0)</f>
        <v>0</v>
      </c>
      <c r="Z188" s="13">
        <f>IF(AND(U188&gt;='Amort. Sched.-BEST'!$AA$8, U188&lt;= ($AA$7+$AA$8)), Z187+X188, 0)</f>
        <v>0</v>
      </c>
      <c r="AA188" s="24" t="str">
        <f>IF(AND(U188&gt;='Amort. Sched.-BEST'!$AA$8, U188&lt;= ($AA$7+$AA$8)), W188/V188, " ")</f>
        <v xml:space="preserve"> </v>
      </c>
      <c r="AB188" s="25" t="str">
        <f>IF(AND(U188&gt;='Amort. Sched.-BEST'!$AA$8, U188&lt;= ($AA$7+$AA$8)), X188/V188, " ")</f>
        <v xml:space="preserve"> </v>
      </c>
      <c r="AD188" s="22">
        <f t="shared" si="37"/>
        <v>177</v>
      </c>
      <c r="AE188" s="5">
        <f t="shared" si="38"/>
        <v>0</v>
      </c>
      <c r="AF188" s="5">
        <f t="shared" si="39"/>
        <v>0</v>
      </c>
      <c r="AG188" s="5">
        <f t="shared" si="40"/>
        <v>0</v>
      </c>
      <c r="AH188" s="5">
        <f>IF(CreditAmort3BEST[[#This Row],[Month]]=AJ$8,AF$7,0)</f>
        <v>0</v>
      </c>
      <c r="AI188" s="13">
        <f t="shared" si="41"/>
        <v>0</v>
      </c>
      <c r="AJ188" s="6" t="str">
        <f t="shared" si="42"/>
        <v xml:space="preserve"> </v>
      </c>
      <c r="AK188" s="21" t="str">
        <f t="shared" si="43"/>
        <v xml:space="preserve"> </v>
      </c>
      <c r="AM188" s="20">
        <f t="shared" si="44"/>
        <v>177</v>
      </c>
      <c r="AN188" s="5">
        <f t="shared" si="45"/>
        <v>0</v>
      </c>
      <c r="AO188" s="5">
        <f t="shared" si="46"/>
        <v>0</v>
      </c>
      <c r="AP188" s="5">
        <f t="shared" si="47"/>
        <v>0</v>
      </c>
      <c r="AQ188" s="5">
        <f>IF(CreditAmort4BEST[[#This Row],[Month]]=AS$8,AO$7,0)</f>
        <v>0</v>
      </c>
      <c r="AR188" s="13">
        <f t="shared" si="48"/>
        <v>0</v>
      </c>
      <c r="AS188" s="6" t="str">
        <f t="shared" si="49"/>
        <v xml:space="preserve"> </v>
      </c>
      <c r="AT188" s="21" t="str">
        <f t="shared" si="50"/>
        <v xml:space="preserve"> </v>
      </c>
    </row>
    <row r="189" spans="3:46">
      <c r="C189" s="22">
        <f t="shared" si="35"/>
        <v>178</v>
      </c>
      <c r="D189" s="23">
        <f>IF(AND(C189&gt;='Amort. Sched.-BEST'!$I$8, C189&lt;= ($I$7+$I$8)), PMT('Amort. Sched.-BEST'!$E$8/12, 'Amort. Sched.-BEST'!$I$7, 'Amort. Sched.-BEST'!$E$7), 0)</f>
        <v>-1350.6783839027553</v>
      </c>
      <c r="E189" s="5">
        <f>IF(AND(C189&gt;='Amort. Sched.-BEST'!$I$8, C189&lt;= ($I$7+$I$8)), (IPMT($E$8/12, (C189-$I$8), $I$7, $E$7)), 0)</f>
        <v>-754.17584526568214</v>
      </c>
      <c r="F189" s="23">
        <f>IF(AND(C189&gt;='Amort. Sched.-BEST'!$I$8, C189&lt;= ($I$7+$I$8)), (PPMT($E$8/12, (C189-$I$8), $I$7, $E$7)), 0)</f>
        <v>-596.50253863707314</v>
      </c>
      <c r="G189" s="5">
        <f>IF(MortgageAmortBEST[[#This Row],[Month]]=I$8,E$7,0)</f>
        <v>0</v>
      </c>
      <c r="H189" s="13">
        <f>IF(AND(C189&gt;='Amort. Sched.-BEST'!$I$8, C189&lt;= ($I$7+$I$8)), H188+F189, 0)</f>
        <v>112529.87425121525</v>
      </c>
      <c r="I189" s="24">
        <f>IF(AND(C189&gt;='Amort. Sched.-BEST'!$I$8, C189&lt;= ($I$7+$I$8)), E189/D189, " ")</f>
        <v>0.55836819057287923</v>
      </c>
      <c r="J189" s="25">
        <f>IF(AND(C189&gt;='Amort. Sched.-BEST'!$I$8, C189&lt;= ($I$7+$I$8)), F189/D189, " ")</f>
        <v>0.44163180942712082</v>
      </c>
      <c r="L189" s="20">
        <f t="shared" si="34"/>
        <v>178</v>
      </c>
      <c r="M189" s="5">
        <f>IF(AND(L189&gt;='Amort. Sched.-BEST'!$R$8, L189&lt;= ($R$7+$R$8)), PMT('Amort. Sched.-BEST'!$N$8/12, 'Amort. Sched.-BEST'!$R$7, 'Amort. Sched.-BEST'!$N$7), 0)</f>
        <v>0</v>
      </c>
      <c r="N189" s="5">
        <f>IF(AND(L189&gt;='Amort. Sched.-BEST'!$R$8, L189&lt;= ($R$7+$R$8)), (IPMT($N$8/12, (L189-$R$8), $R$7, $N$7)), 0)</f>
        <v>0</v>
      </c>
      <c r="O189" s="5">
        <f>IF(AND(L189&gt;='Amort. Sched.-BEST'!$R$8, L189&lt;= ($R$7+$R$8)), (PPMT($N$8/12, (L189-$R$8), $R$7, $N$7)), 0)</f>
        <v>0</v>
      </c>
      <c r="P189" s="5">
        <f>IF(CreditAmort1BEST[[#This Row],[Month]]=R$8,N$7,0)</f>
        <v>0</v>
      </c>
      <c r="Q189" s="13">
        <f>IF(AND(L189&gt;='Amort. Sched.-BEST'!$R$8, L189&lt;= ($R$7+$R$8)), Q188+O189, 0)</f>
        <v>0</v>
      </c>
      <c r="R189" s="6" t="str">
        <f>IF(AND(L189&gt;='Amort. Sched.-BEST'!$R$8, L189&lt;= ($R$7+$R$8)), N189/M189, " ")</f>
        <v xml:space="preserve"> </v>
      </c>
      <c r="S189" s="21" t="str">
        <f>IF(AND(L189&gt;='Amort. Sched.-BEST'!$R$8, L189&lt;= ($R$7+$R$8)), O189/M189, " ")</f>
        <v xml:space="preserve"> </v>
      </c>
      <c r="U189" s="22">
        <f t="shared" si="36"/>
        <v>178</v>
      </c>
      <c r="V189" s="23">
        <f>IF(AND(U189&gt;='Amort. Sched.-BEST'!$AA$8, U189&lt;= ($AA$7+$AA$8)), PMT('Amort. Sched.-BEST'!$W$8/12, 'Amort. Sched.-BEST'!$AA$7, 'Amort. Sched.-BEST'!$W$7), 0)</f>
        <v>0</v>
      </c>
      <c r="W189" s="5">
        <f>IF(AND(U189&gt;='Amort. Sched.-BEST'!$AA$8, U189&lt;= ($AA$7+$AA$8)), (IPMT($W$8/12, (U189-$AA$8), $AA$7, $W$7)), 0)</f>
        <v>0</v>
      </c>
      <c r="X189" s="23">
        <f>IF(AND(U189&gt;='Amort. Sched.-BEST'!$AA$8, U189&lt;= ($AA$7+$AA$8)), (PPMT($W$8/12, (U189-$AA$8), $AA$7, $W$7)), 0)</f>
        <v>0</v>
      </c>
      <c r="Y189" s="5">
        <f>IF(CreditAmort2BEST[[#This Row],[Month]]=AA$8,W$7,0)</f>
        <v>0</v>
      </c>
      <c r="Z189" s="13">
        <f>IF(AND(U189&gt;='Amort. Sched.-BEST'!$AA$8, U189&lt;= ($AA$7+$AA$8)), Z188+X189, 0)</f>
        <v>0</v>
      </c>
      <c r="AA189" s="24" t="str">
        <f>IF(AND(U189&gt;='Amort. Sched.-BEST'!$AA$8, U189&lt;= ($AA$7+$AA$8)), W189/V189, " ")</f>
        <v xml:space="preserve"> </v>
      </c>
      <c r="AB189" s="25" t="str">
        <f>IF(AND(U189&gt;='Amort. Sched.-BEST'!$AA$8, U189&lt;= ($AA$7+$AA$8)), X189/V189, " ")</f>
        <v xml:space="preserve"> </v>
      </c>
      <c r="AD189" s="22">
        <f t="shared" si="37"/>
        <v>178</v>
      </c>
      <c r="AE189" s="5">
        <f t="shared" si="38"/>
        <v>0</v>
      </c>
      <c r="AF189" s="5">
        <f t="shared" si="39"/>
        <v>0</v>
      </c>
      <c r="AG189" s="5">
        <f t="shared" si="40"/>
        <v>0</v>
      </c>
      <c r="AH189" s="5">
        <f>IF(CreditAmort3BEST[[#This Row],[Month]]=AJ$8,AF$7,0)</f>
        <v>0</v>
      </c>
      <c r="AI189" s="13">
        <f t="shared" si="41"/>
        <v>0</v>
      </c>
      <c r="AJ189" s="6" t="str">
        <f t="shared" si="42"/>
        <v xml:space="preserve"> </v>
      </c>
      <c r="AK189" s="21" t="str">
        <f t="shared" si="43"/>
        <v xml:space="preserve"> </v>
      </c>
      <c r="AM189" s="20">
        <f t="shared" si="44"/>
        <v>178</v>
      </c>
      <c r="AN189" s="5">
        <f t="shared" si="45"/>
        <v>0</v>
      </c>
      <c r="AO189" s="5">
        <f t="shared" si="46"/>
        <v>0</v>
      </c>
      <c r="AP189" s="5">
        <f t="shared" si="47"/>
        <v>0</v>
      </c>
      <c r="AQ189" s="5">
        <f>IF(CreditAmort4BEST[[#This Row],[Month]]=AS$8,AO$7,0)</f>
        <v>0</v>
      </c>
      <c r="AR189" s="13">
        <f t="shared" si="48"/>
        <v>0</v>
      </c>
      <c r="AS189" s="6" t="str">
        <f t="shared" si="49"/>
        <v xml:space="preserve"> </v>
      </c>
      <c r="AT189" s="21" t="str">
        <f t="shared" si="50"/>
        <v xml:space="preserve"> </v>
      </c>
    </row>
    <row r="190" spans="3:46">
      <c r="C190" s="22">
        <f t="shared" si="35"/>
        <v>179</v>
      </c>
      <c r="D190" s="23">
        <f>IF(AND(C190&gt;='Amort. Sched.-BEST'!$I$8, C190&lt;= ($I$7+$I$8)), PMT('Amort. Sched.-BEST'!$E$8/12, 'Amort. Sched.-BEST'!$I$7, 'Amort. Sched.-BEST'!$E$7), 0)</f>
        <v>-1350.6783839027553</v>
      </c>
      <c r="E190" s="5">
        <f>IF(AND(C190&gt;='Amort. Sched.-BEST'!$I$8, C190&lt;= ($I$7+$I$8)), (IPMT($E$8/12, (C190-$I$8), $I$7, $E$7)), 0)</f>
        <v>-750.19916167476845</v>
      </c>
      <c r="F190" s="23">
        <f>IF(AND(C190&gt;='Amort. Sched.-BEST'!$I$8, C190&lt;= ($I$7+$I$8)), (PPMT($E$8/12, (C190-$I$8), $I$7, $E$7)), 0)</f>
        <v>-600.47922222798695</v>
      </c>
      <c r="G190" s="5">
        <f>IF(MortgageAmortBEST[[#This Row],[Month]]=I$8,E$7,0)</f>
        <v>0</v>
      </c>
      <c r="H190" s="13">
        <f>IF(AND(C190&gt;='Amort. Sched.-BEST'!$I$8, C190&lt;= ($I$7+$I$8)), H189+F190, 0)</f>
        <v>111929.39502898726</v>
      </c>
      <c r="I190" s="24">
        <f>IF(AND(C190&gt;='Amort. Sched.-BEST'!$I$8, C190&lt;= ($I$7+$I$8)), E190/D190, " ")</f>
        <v>0.55542397851003178</v>
      </c>
      <c r="J190" s="25">
        <f>IF(AND(C190&gt;='Amort. Sched.-BEST'!$I$8, C190&lt;= ($I$7+$I$8)), F190/D190, " ")</f>
        <v>0.44457602148996828</v>
      </c>
      <c r="L190" s="20">
        <f t="shared" si="34"/>
        <v>179</v>
      </c>
      <c r="M190" s="5">
        <f>IF(AND(L190&gt;='Amort. Sched.-BEST'!$R$8, L190&lt;= ($R$7+$R$8)), PMT('Amort. Sched.-BEST'!$N$8/12, 'Amort. Sched.-BEST'!$R$7, 'Amort. Sched.-BEST'!$N$7), 0)</f>
        <v>0</v>
      </c>
      <c r="N190" s="5">
        <f>IF(AND(L190&gt;='Amort. Sched.-BEST'!$R$8, L190&lt;= ($R$7+$R$8)), (IPMT($N$8/12, (L190-$R$8), $R$7, $N$7)), 0)</f>
        <v>0</v>
      </c>
      <c r="O190" s="5">
        <f>IF(AND(L190&gt;='Amort. Sched.-BEST'!$R$8, L190&lt;= ($R$7+$R$8)), (PPMT($N$8/12, (L190-$R$8), $R$7, $N$7)), 0)</f>
        <v>0</v>
      </c>
      <c r="P190" s="5">
        <f>IF(CreditAmort1BEST[[#This Row],[Month]]=R$8,N$7,0)</f>
        <v>0</v>
      </c>
      <c r="Q190" s="13">
        <f>IF(AND(L190&gt;='Amort. Sched.-BEST'!$R$8, L190&lt;= ($R$7+$R$8)), Q189+O190, 0)</f>
        <v>0</v>
      </c>
      <c r="R190" s="6" t="str">
        <f>IF(AND(L190&gt;='Amort. Sched.-BEST'!$R$8, L190&lt;= ($R$7+$R$8)), N190/M190, " ")</f>
        <v xml:space="preserve"> </v>
      </c>
      <c r="S190" s="21" t="str">
        <f>IF(AND(L190&gt;='Amort. Sched.-BEST'!$R$8, L190&lt;= ($R$7+$R$8)), O190/M190, " ")</f>
        <v xml:space="preserve"> </v>
      </c>
      <c r="U190" s="22">
        <f t="shared" si="36"/>
        <v>179</v>
      </c>
      <c r="V190" s="23">
        <f>IF(AND(U190&gt;='Amort. Sched.-BEST'!$AA$8, U190&lt;= ($AA$7+$AA$8)), PMT('Amort. Sched.-BEST'!$W$8/12, 'Amort. Sched.-BEST'!$AA$7, 'Amort. Sched.-BEST'!$W$7), 0)</f>
        <v>0</v>
      </c>
      <c r="W190" s="5">
        <f>IF(AND(U190&gt;='Amort. Sched.-BEST'!$AA$8, U190&lt;= ($AA$7+$AA$8)), (IPMT($W$8/12, (U190-$AA$8), $AA$7, $W$7)), 0)</f>
        <v>0</v>
      </c>
      <c r="X190" s="23">
        <f>IF(AND(U190&gt;='Amort. Sched.-BEST'!$AA$8, U190&lt;= ($AA$7+$AA$8)), (PPMT($W$8/12, (U190-$AA$8), $AA$7, $W$7)), 0)</f>
        <v>0</v>
      </c>
      <c r="Y190" s="5">
        <f>IF(CreditAmort2BEST[[#This Row],[Month]]=AA$8,W$7,0)</f>
        <v>0</v>
      </c>
      <c r="Z190" s="13">
        <f>IF(AND(U190&gt;='Amort. Sched.-BEST'!$AA$8, U190&lt;= ($AA$7+$AA$8)), Z189+X190, 0)</f>
        <v>0</v>
      </c>
      <c r="AA190" s="24" t="str">
        <f>IF(AND(U190&gt;='Amort. Sched.-BEST'!$AA$8, U190&lt;= ($AA$7+$AA$8)), W190/V190, " ")</f>
        <v xml:space="preserve"> </v>
      </c>
      <c r="AB190" s="25" t="str">
        <f>IF(AND(U190&gt;='Amort. Sched.-BEST'!$AA$8, U190&lt;= ($AA$7+$AA$8)), X190/V190, " ")</f>
        <v xml:space="preserve"> </v>
      </c>
      <c r="AD190" s="22">
        <f t="shared" si="37"/>
        <v>179</v>
      </c>
      <c r="AE190" s="5">
        <f t="shared" si="38"/>
        <v>0</v>
      </c>
      <c r="AF190" s="5">
        <f t="shared" si="39"/>
        <v>0</v>
      </c>
      <c r="AG190" s="5">
        <f t="shared" si="40"/>
        <v>0</v>
      </c>
      <c r="AH190" s="5">
        <f>IF(CreditAmort3BEST[[#This Row],[Month]]=AJ$8,AF$7,0)</f>
        <v>0</v>
      </c>
      <c r="AI190" s="13">
        <f t="shared" si="41"/>
        <v>0</v>
      </c>
      <c r="AJ190" s="6" t="str">
        <f t="shared" si="42"/>
        <v xml:space="preserve"> </v>
      </c>
      <c r="AK190" s="21" t="str">
        <f t="shared" si="43"/>
        <v xml:space="preserve"> </v>
      </c>
      <c r="AM190" s="20">
        <f t="shared" si="44"/>
        <v>179</v>
      </c>
      <c r="AN190" s="5">
        <f t="shared" si="45"/>
        <v>0</v>
      </c>
      <c r="AO190" s="5">
        <f t="shared" si="46"/>
        <v>0</v>
      </c>
      <c r="AP190" s="5">
        <f t="shared" si="47"/>
        <v>0</v>
      </c>
      <c r="AQ190" s="5">
        <f>IF(CreditAmort4BEST[[#This Row],[Month]]=AS$8,AO$7,0)</f>
        <v>0</v>
      </c>
      <c r="AR190" s="13">
        <f t="shared" si="48"/>
        <v>0</v>
      </c>
      <c r="AS190" s="6" t="str">
        <f t="shared" si="49"/>
        <v xml:space="preserve"> </v>
      </c>
      <c r="AT190" s="21" t="str">
        <f t="shared" si="50"/>
        <v xml:space="preserve"> </v>
      </c>
    </row>
    <row r="191" spans="3:46">
      <c r="C191" s="22">
        <f t="shared" si="35"/>
        <v>180</v>
      </c>
      <c r="D191" s="23">
        <f>IF(AND(C191&gt;='Amort. Sched.-BEST'!$I$8, C191&lt;= ($I$7+$I$8)), PMT('Amort. Sched.-BEST'!$E$8/12, 'Amort. Sched.-BEST'!$I$7, 'Amort. Sched.-BEST'!$E$7), 0)</f>
        <v>-1350.6783839027553</v>
      </c>
      <c r="E191" s="5">
        <f>IF(AND(C191&gt;='Amort. Sched.-BEST'!$I$8, C191&lt;= ($I$7+$I$8)), (IPMT($E$8/12, (C191-$I$8), $I$7, $E$7)), 0)</f>
        <v>-746.19596685991519</v>
      </c>
      <c r="F191" s="23">
        <f>IF(AND(C191&gt;='Amort. Sched.-BEST'!$I$8, C191&lt;= ($I$7+$I$8)), (PPMT($E$8/12, (C191-$I$8), $I$7, $E$7)), 0)</f>
        <v>-604.4824170428401</v>
      </c>
      <c r="G191" s="5">
        <f>IF(MortgageAmortBEST[[#This Row],[Month]]=I$8,E$7,0)</f>
        <v>0</v>
      </c>
      <c r="H191" s="13">
        <f>IF(AND(C191&gt;='Amort. Sched.-BEST'!$I$8, C191&lt;= ($I$7+$I$8)), H190+F191, 0)</f>
        <v>111324.91261194443</v>
      </c>
      <c r="I191" s="24">
        <f>IF(AND(C191&gt;='Amort. Sched.-BEST'!$I$8, C191&lt;= ($I$7+$I$8)), E191/D191, " ")</f>
        <v>0.55246013836676533</v>
      </c>
      <c r="J191" s="25">
        <f>IF(AND(C191&gt;='Amort. Sched.-BEST'!$I$8, C191&lt;= ($I$7+$I$8)), F191/D191, " ")</f>
        <v>0.44753986163323467</v>
      </c>
      <c r="L191" s="20">
        <f t="shared" si="34"/>
        <v>180</v>
      </c>
      <c r="M191" s="5">
        <f>IF(AND(L191&gt;='Amort. Sched.-BEST'!$R$8, L191&lt;= ($R$7+$R$8)), PMT('Amort. Sched.-BEST'!$N$8/12, 'Amort. Sched.-BEST'!$R$7, 'Amort. Sched.-BEST'!$N$7), 0)</f>
        <v>0</v>
      </c>
      <c r="N191" s="5">
        <f>IF(AND(L191&gt;='Amort. Sched.-BEST'!$R$8, L191&lt;= ($R$7+$R$8)), (IPMT($N$8/12, (L191-$R$8), $R$7, $N$7)), 0)</f>
        <v>0</v>
      </c>
      <c r="O191" s="5">
        <f>IF(AND(L191&gt;='Amort. Sched.-BEST'!$R$8, L191&lt;= ($R$7+$R$8)), (PPMT($N$8/12, (L191-$R$8), $R$7, $N$7)), 0)</f>
        <v>0</v>
      </c>
      <c r="P191" s="5">
        <f>IF(CreditAmort1BEST[[#This Row],[Month]]=R$8,N$7,0)</f>
        <v>0</v>
      </c>
      <c r="Q191" s="13">
        <f>IF(AND(L191&gt;='Amort. Sched.-BEST'!$R$8, L191&lt;= ($R$7+$R$8)), Q190+O191, 0)</f>
        <v>0</v>
      </c>
      <c r="R191" s="6" t="str">
        <f>IF(AND(L191&gt;='Amort. Sched.-BEST'!$R$8, L191&lt;= ($R$7+$R$8)), N191/M191, " ")</f>
        <v xml:space="preserve"> </v>
      </c>
      <c r="S191" s="21" t="str">
        <f>IF(AND(L191&gt;='Amort. Sched.-BEST'!$R$8, L191&lt;= ($R$7+$R$8)), O191/M191, " ")</f>
        <v xml:space="preserve"> </v>
      </c>
      <c r="U191" s="22">
        <f t="shared" si="36"/>
        <v>180</v>
      </c>
      <c r="V191" s="23">
        <f>IF(AND(U191&gt;='Amort. Sched.-BEST'!$AA$8, U191&lt;= ($AA$7+$AA$8)), PMT('Amort. Sched.-BEST'!$W$8/12, 'Amort. Sched.-BEST'!$AA$7, 'Amort. Sched.-BEST'!$W$7), 0)</f>
        <v>0</v>
      </c>
      <c r="W191" s="5">
        <f>IF(AND(U191&gt;='Amort. Sched.-BEST'!$AA$8, U191&lt;= ($AA$7+$AA$8)), (IPMT($W$8/12, (U191-$AA$8), $AA$7, $W$7)), 0)</f>
        <v>0</v>
      </c>
      <c r="X191" s="23">
        <f>IF(AND(U191&gt;='Amort. Sched.-BEST'!$AA$8, U191&lt;= ($AA$7+$AA$8)), (PPMT($W$8/12, (U191-$AA$8), $AA$7, $W$7)), 0)</f>
        <v>0</v>
      </c>
      <c r="Y191" s="5">
        <f>IF(CreditAmort2BEST[[#This Row],[Month]]=AA$8,W$7,0)</f>
        <v>0</v>
      </c>
      <c r="Z191" s="13">
        <f>IF(AND(U191&gt;='Amort. Sched.-BEST'!$AA$8, U191&lt;= ($AA$7+$AA$8)), Z190+X191, 0)</f>
        <v>0</v>
      </c>
      <c r="AA191" s="24" t="str">
        <f>IF(AND(U191&gt;='Amort. Sched.-BEST'!$AA$8, U191&lt;= ($AA$7+$AA$8)), W191/V191, " ")</f>
        <v xml:space="preserve"> </v>
      </c>
      <c r="AB191" s="25" t="str">
        <f>IF(AND(U191&gt;='Amort. Sched.-BEST'!$AA$8, U191&lt;= ($AA$7+$AA$8)), X191/V191, " ")</f>
        <v xml:space="preserve"> </v>
      </c>
      <c r="AD191" s="22">
        <f t="shared" si="37"/>
        <v>180</v>
      </c>
      <c r="AE191" s="5">
        <f t="shared" si="38"/>
        <v>0</v>
      </c>
      <c r="AF191" s="5">
        <f t="shared" si="39"/>
        <v>0</v>
      </c>
      <c r="AG191" s="5">
        <f t="shared" si="40"/>
        <v>0</v>
      </c>
      <c r="AH191" s="5">
        <f>IF(CreditAmort3BEST[[#This Row],[Month]]=AJ$8,AF$7,0)</f>
        <v>0</v>
      </c>
      <c r="AI191" s="13">
        <f t="shared" si="41"/>
        <v>0</v>
      </c>
      <c r="AJ191" s="6" t="str">
        <f t="shared" si="42"/>
        <v xml:space="preserve"> </v>
      </c>
      <c r="AK191" s="21" t="str">
        <f t="shared" si="43"/>
        <v xml:space="preserve"> </v>
      </c>
      <c r="AM191" s="20">
        <f t="shared" si="44"/>
        <v>180</v>
      </c>
      <c r="AN191" s="5">
        <f t="shared" si="45"/>
        <v>0</v>
      </c>
      <c r="AO191" s="5">
        <f t="shared" si="46"/>
        <v>0</v>
      </c>
      <c r="AP191" s="5">
        <f t="shared" si="47"/>
        <v>0</v>
      </c>
      <c r="AQ191" s="5">
        <f>IF(CreditAmort4BEST[[#This Row],[Month]]=AS$8,AO$7,0)</f>
        <v>0</v>
      </c>
      <c r="AR191" s="13">
        <f t="shared" si="48"/>
        <v>0</v>
      </c>
      <c r="AS191" s="6" t="str">
        <f t="shared" si="49"/>
        <v xml:space="preserve"> </v>
      </c>
      <c r="AT191" s="21" t="str">
        <f t="shared" si="50"/>
        <v xml:space="preserve"> </v>
      </c>
    </row>
    <row r="192" spans="3:46">
      <c r="C192" s="22">
        <f t="shared" si="35"/>
        <v>181</v>
      </c>
      <c r="D192" s="23">
        <f>IF(AND(C192&gt;='Amort. Sched.-BEST'!$I$8, C192&lt;= ($I$7+$I$8)), PMT('Amort. Sched.-BEST'!$E$8/12, 'Amort. Sched.-BEST'!$I$7, 'Amort. Sched.-BEST'!$E$7), 0)</f>
        <v>-1350.6783839027553</v>
      </c>
      <c r="E192" s="5">
        <f>IF(AND(C192&gt;='Amort. Sched.-BEST'!$I$8, C192&lt;= ($I$7+$I$8)), (IPMT($E$8/12, (C192-$I$8), $I$7, $E$7)), 0)</f>
        <v>-742.16608407962963</v>
      </c>
      <c r="F192" s="23">
        <f>IF(AND(C192&gt;='Amort. Sched.-BEST'!$I$8, C192&lt;= ($I$7+$I$8)), (PPMT($E$8/12, (C192-$I$8), $I$7, $E$7)), 0)</f>
        <v>-608.51229982312566</v>
      </c>
      <c r="G192" s="5">
        <f>IF(MortgageAmortBEST[[#This Row],[Month]]=I$8,E$7,0)</f>
        <v>0</v>
      </c>
      <c r="H192" s="13">
        <f>IF(AND(C192&gt;='Amort. Sched.-BEST'!$I$8, C192&lt;= ($I$7+$I$8)), H191+F192, 0)</f>
        <v>110716.4003121213</v>
      </c>
      <c r="I192" s="24">
        <f>IF(AND(C192&gt;='Amort. Sched.-BEST'!$I$8, C192&lt;= ($I$7+$I$8)), E192/D192, " ")</f>
        <v>0.54947653928921047</v>
      </c>
      <c r="J192" s="25">
        <f>IF(AND(C192&gt;='Amort. Sched.-BEST'!$I$8, C192&lt;= ($I$7+$I$8)), F192/D192, " ")</f>
        <v>0.45052346071078953</v>
      </c>
      <c r="L192" s="20">
        <f t="shared" si="34"/>
        <v>181</v>
      </c>
      <c r="M192" s="5">
        <f>IF(AND(L192&gt;='Amort. Sched.-BEST'!$R$8, L192&lt;= ($R$7+$R$8)), PMT('Amort. Sched.-BEST'!$N$8/12, 'Amort. Sched.-BEST'!$R$7, 'Amort. Sched.-BEST'!$N$7), 0)</f>
        <v>0</v>
      </c>
      <c r="N192" s="5">
        <f>IF(AND(L192&gt;='Amort. Sched.-BEST'!$R$8, L192&lt;= ($R$7+$R$8)), (IPMT($N$8/12, (L192-$R$8), $R$7, $N$7)), 0)</f>
        <v>0</v>
      </c>
      <c r="O192" s="5">
        <f>IF(AND(L192&gt;='Amort. Sched.-BEST'!$R$8, L192&lt;= ($R$7+$R$8)), (PPMT($N$8/12, (L192-$R$8), $R$7, $N$7)), 0)</f>
        <v>0</v>
      </c>
      <c r="P192" s="5">
        <f>IF(CreditAmort1BEST[[#This Row],[Month]]=R$8,N$7,0)</f>
        <v>0</v>
      </c>
      <c r="Q192" s="13">
        <f>IF(AND(L192&gt;='Amort. Sched.-BEST'!$R$8, L192&lt;= ($R$7+$R$8)), Q191+O192, 0)</f>
        <v>0</v>
      </c>
      <c r="R192" s="6" t="str">
        <f>IF(AND(L192&gt;='Amort. Sched.-BEST'!$R$8, L192&lt;= ($R$7+$R$8)), N192/M192, " ")</f>
        <v xml:space="preserve"> </v>
      </c>
      <c r="S192" s="21" t="str">
        <f>IF(AND(L192&gt;='Amort. Sched.-BEST'!$R$8, L192&lt;= ($R$7+$R$8)), O192/M192, " ")</f>
        <v xml:space="preserve"> </v>
      </c>
      <c r="U192" s="22">
        <f t="shared" si="36"/>
        <v>181</v>
      </c>
      <c r="V192" s="23">
        <f>IF(AND(U192&gt;='Amort. Sched.-BEST'!$AA$8, U192&lt;= ($AA$7+$AA$8)), PMT('Amort. Sched.-BEST'!$W$8/12, 'Amort. Sched.-BEST'!$AA$7, 'Amort. Sched.-BEST'!$W$7), 0)</f>
        <v>0</v>
      </c>
      <c r="W192" s="5">
        <f>IF(AND(U192&gt;='Amort. Sched.-BEST'!$AA$8, U192&lt;= ($AA$7+$AA$8)), (IPMT($W$8/12, (U192-$AA$8), $AA$7, $W$7)), 0)</f>
        <v>0</v>
      </c>
      <c r="X192" s="23">
        <f>IF(AND(U192&gt;='Amort. Sched.-BEST'!$AA$8, U192&lt;= ($AA$7+$AA$8)), (PPMT($W$8/12, (U192-$AA$8), $AA$7, $W$7)), 0)</f>
        <v>0</v>
      </c>
      <c r="Y192" s="5">
        <f>IF(CreditAmort2BEST[[#This Row],[Month]]=AA$8,W$7,0)</f>
        <v>0</v>
      </c>
      <c r="Z192" s="13">
        <f>IF(AND(U192&gt;='Amort. Sched.-BEST'!$AA$8, U192&lt;= ($AA$7+$AA$8)), Z191+X192, 0)</f>
        <v>0</v>
      </c>
      <c r="AA192" s="24" t="str">
        <f>IF(AND(U192&gt;='Amort. Sched.-BEST'!$AA$8, U192&lt;= ($AA$7+$AA$8)), W192/V192, " ")</f>
        <v xml:space="preserve"> </v>
      </c>
      <c r="AB192" s="25" t="str">
        <f>IF(AND(U192&gt;='Amort. Sched.-BEST'!$AA$8, U192&lt;= ($AA$7+$AA$8)), X192/V192, " ")</f>
        <v xml:space="preserve"> </v>
      </c>
      <c r="AD192" s="22">
        <f t="shared" si="37"/>
        <v>181</v>
      </c>
      <c r="AE192" s="5">
        <f t="shared" si="38"/>
        <v>0</v>
      </c>
      <c r="AF192" s="5">
        <f t="shared" si="39"/>
        <v>0</v>
      </c>
      <c r="AG192" s="5">
        <f t="shared" si="40"/>
        <v>0</v>
      </c>
      <c r="AH192" s="5">
        <f>IF(CreditAmort3BEST[[#This Row],[Month]]=AJ$8,AF$7,0)</f>
        <v>0</v>
      </c>
      <c r="AI192" s="13">
        <f t="shared" si="41"/>
        <v>0</v>
      </c>
      <c r="AJ192" s="6" t="str">
        <f t="shared" si="42"/>
        <v xml:space="preserve"> </v>
      </c>
      <c r="AK192" s="21" t="str">
        <f t="shared" si="43"/>
        <v xml:space="preserve"> </v>
      </c>
      <c r="AM192" s="20">
        <f t="shared" si="44"/>
        <v>181</v>
      </c>
      <c r="AN192" s="5">
        <f t="shared" si="45"/>
        <v>0</v>
      </c>
      <c r="AO192" s="5">
        <f t="shared" si="46"/>
        <v>0</v>
      </c>
      <c r="AP192" s="5">
        <f t="shared" si="47"/>
        <v>0</v>
      </c>
      <c r="AQ192" s="5">
        <f>IF(CreditAmort4BEST[[#This Row],[Month]]=AS$8,AO$7,0)</f>
        <v>0</v>
      </c>
      <c r="AR192" s="13">
        <f t="shared" si="48"/>
        <v>0</v>
      </c>
      <c r="AS192" s="6" t="str">
        <f t="shared" si="49"/>
        <v xml:space="preserve"> </v>
      </c>
      <c r="AT192" s="21" t="str">
        <f t="shared" si="50"/>
        <v xml:space="preserve"> </v>
      </c>
    </row>
    <row r="193" spans="3:46">
      <c r="C193" s="22">
        <f t="shared" si="35"/>
        <v>182</v>
      </c>
      <c r="D193" s="23">
        <f>IF(AND(C193&gt;='Amort. Sched.-BEST'!$I$8, C193&lt;= ($I$7+$I$8)), PMT('Amort. Sched.-BEST'!$E$8/12, 'Amort. Sched.-BEST'!$I$7, 'Amort. Sched.-BEST'!$E$7), 0)</f>
        <v>-1350.6783839027553</v>
      </c>
      <c r="E193" s="5">
        <f>IF(AND(C193&gt;='Amort. Sched.-BEST'!$I$8, C193&lt;= ($I$7+$I$8)), (IPMT($E$8/12, (C193-$I$8), $I$7, $E$7)), 0)</f>
        <v>-738.10933541414204</v>
      </c>
      <c r="F193" s="23">
        <f>IF(AND(C193&gt;='Amort. Sched.-BEST'!$I$8, C193&lt;= ($I$7+$I$8)), (PPMT($E$8/12, (C193-$I$8), $I$7, $E$7)), 0)</f>
        <v>-612.56904848861325</v>
      </c>
      <c r="G193" s="5">
        <f>IF(MortgageAmortBEST[[#This Row],[Month]]=I$8,E$7,0)</f>
        <v>0</v>
      </c>
      <c r="H193" s="13">
        <f>IF(AND(C193&gt;='Amort. Sched.-BEST'!$I$8, C193&lt;= ($I$7+$I$8)), H192+F193, 0)</f>
        <v>110103.83126363269</v>
      </c>
      <c r="I193" s="24">
        <f>IF(AND(C193&gt;='Amort. Sched.-BEST'!$I$8, C193&lt;= ($I$7+$I$8)), E193/D193, " ")</f>
        <v>0.54647304955113851</v>
      </c>
      <c r="J193" s="25">
        <f>IF(AND(C193&gt;='Amort. Sched.-BEST'!$I$8, C193&lt;= ($I$7+$I$8)), F193/D193, " ")</f>
        <v>0.45352695044886154</v>
      </c>
      <c r="L193" s="20">
        <f t="shared" si="34"/>
        <v>182</v>
      </c>
      <c r="M193" s="5">
        <f>IF(AND(L193&gt;='Amort. Sched.-BEST'!$R$8, L193&lt;= ($R$7+$R$8)), PMT('Amort. Sched.-BEST'!$N$8/12, 'Amort. Sched.-BEST'!$R$7, 'Amort. Sched.-BEST'!$N$7), 0)</f>
        <v>0</v>
      </c>
      <c r="N193" s="5">
        <f>IF(AND(L193&gt;='Amort. Sched.-BEST'!$R$8, L193&lt;= ($R$7+$R$8)), (IPMT($N$8/12, (L193-$R$8), $R$7, $N$7)), 0)</f>
        <v>0</v>
      </c>
      <c r="O193" s="5">
        <f>IF(AND(L193&gt;='Amort. Sched.-BEST'!$R$8, L193&lt;= ($R$7+$R$8)), (PPMT($N$8/12, (L193-$R$8), $R$7, $N$7)), 0)</f>
        <v>0</v>
      </c>
      <c r="P193" s="5">
        <f>IF(CreditAmort1BEST[[#This Row],[Month]]=R$8,N$7,0)</f>
        <v>0</v>
      </c>
      <c r="Q193" s="13">
        <f>IF(AND(L193&gt;='Amort. Sched.-BEST'!$R$8, L193&lt;= ($R$7+$R$8)), Q192+O193, 0)</f>
        <v>0</v>
      </c>
      <c r="R193" s="6" t="str">
        <f>IF(AND(L193&gt;='Amort. Sched.-BEST'!$R$8, L193&lt;= ($R$7+$R$8)), N193/M193, " ")</f>
        <v xml:space="preserve"> </v>
      </c>
      <c r="S193" s="21" t="str">
        <f>IF(AND(L193&gt;='Amort. Sched.-BEST'!$R$8, L193&lt;= ($R$7+$R$8)), O193/M193, " ")</f>
        <v xml:space="preserve"> </v>
      </c>
      <c r="U193" s="22">
        <f t="shared" si="36"/>
        <v>182</v>
      </c>
      <c r="V193" s="23">
        <f>IF(AND(U193&gt;='Amort. Sched.-BEST'!$AA$8, U193&lt;= ($AA$7+$AA$8)), PMT('Amort. Sched.-BEST'!$W$8/12, 'Amort. Sched.-BEST'!$AA$7, 'Amort. Sched.-BEST'!$W$7), 0)</f>
        <v>0</v>
      </c>
      <c r="W193" s="5">
        <f>IF(AND(U193&gt;='Amort. Sched.-BEST'!$AA$8, U193&lt;= ($AA$7+$AA$8)), (IPMT($W$8/12, (U193-$AA$8), $AA$7, $W$7)), 0)</f>
        <v>0</v>
      </c>
      <c r="X193" s="23">
        <f>IF(AND(U193&gt;='Amort. Sched.-BEST'!$AA$8, U193&lt;= ($AA$7+$AA$8)), (PPMT($W$8/12, (U193-$AA$8), $AA$7, $W$7)), 0)</f>
        <v>0</v>
      </c>
      <c r="Y193" s="5">
        <f>IF(CreditAmort2BEST[[#This Row],[Month]]=AA$8,W$7,0)</f>
        <v>0</v>
      </c>
      <c r="Z193" s="13">
        <f>IF(AND(U193&gt;='Amort. Sched.-BEST'!$AA$8, U193&lt;= ($AA$7+$AA$8)), Z192+X193, 0)</f>
        <v>0</v>
      </c>
      <c r="AA193" s="24" t="str">
        <f>IF(AND(U193&gt;='Amort. Sched.-BEST'!$AA$8, U193&lt;= ($AA$7+$AA$8)), W193/V193, " ")</f>
        <v xml:space="preserve"> </v>
      </c>
      <c r="AB193" s="25" t="str">
        <f>IF(AND(U193&gt;='Amort. Sched.-BEST'!$AA$8, U193&lt;= ($AA$7+$AA$8)), X193/V193, " ")</f>
        <v xml:space="preserve"> </v>
      </c>
      <c r="AD193" s="22">
        <f t="shared" si="37"/>
        <v>182</v>
      </c>
      <c r="AE193" s="5">
        <f t="shared" si="38"/>
        <v>0</v>
      </c>
      <c r="AF193" s="5">
        <f t="shared" si="39"/>
        <v>0</v>
      </c>
      <c r="AG193" s="5">
        <f t="shared" si="40"/>
        <v>0</v>
      </c>
      <c r="AH193" s="5">
        <f>IF(CreditAmort3BEST[[#This Row],[Month]]=AJ$8,AF$7,0)</f>
        <v>0</v>
      </c>
      <c r="AI193" s="13">
        <f t="shared" si="41"/>
        <v>0</v>
      </c>
      <c r="AJ193" s="6" t="str">
        <f t="shared" si="42"/>
        <v xml:space="preserve"> </v>
      </c>
      <c r="AK193" s="21" t="str">
        <f t="shared" si="43"/>
        <v xml:space="preserve"> </v>
      </c>
      <c r="AM193" s="20">
        <f t="shared" si="44"/>
        <v>182</v>
      </c>
      <c r="AN193" s="5">
        <f t="shared" si="45"/>
        <v>0</v>
      </c>
      <c r="AO193" s="5">
        <f t="shared" si="46"/>
        <v>0</v>
      </c>
      <c r="AP193" s="5">
        <f t="shared" si="47"/>
        <v>0</v>
      </c>
      <c r="AQ193" s="5">
        <f>IF(CreditAmort4BEST[[#This Row],[Month]]=AS$8,AO$7,0)</f>
        <v>0</v>
      </c>
      <c r="AR193" s="13">
        <f t="shared" si="48"/>
        <v>0</v>
      </c>
      <c r="AS193" s="6" t="str">
        <f t="shared" si="49"/>
        <v xml:space="preserve"> </v>
      </c>
      <c r="AT193" s="21" t="str">
        <f t="shared" si="50"/>
        <v xml:space="preserve"> </v>
      </c>
    </row>
    <row r="194" spans="3:46">
      <c r="C194" s="22">
        <f t="shared" si="35"/>
        <v>183</v>
      </c>
      <c r="D194" s="23">
        <f>IF(AND(C194&gt;='Amort. Sched.-BEST'!$I$8, C194&lt;= ($I$7+$I$8)), PMT('Amort. Sched.-BEST'!$E$8/12, 'Amort. Sched.-BEST'!$I$7, 'Amort. Sched.-BEST'!$E$7), 0)</f>
        <v>-1350.6783839027553</v>
      </c>
      <c r="E194" s="5">
        <f>IF(AND(C194&gt;='Amort. Sched.-BEST'!$I$8, C194&lt;= ($I$7+$I$8)), (IPMT($E$8/12, (C194-$I$8), $I$7, $E$7)), 0)</f>
        <v>-734.02554175755131</v>
      </c>
      <c r="F194" s="23">
        <f>IF(AND(C194&gt;='Amort. Sched.-BEST'!$I$8, C194&lt;= ($I$7+$I$8)), (PPMT($E$8/12, (C194-$I$8), $I$7, $E$7)), 0)</f>
        <v>-616.65284214520409</v>
      </c>
      <c r="G194" s="5">
        <f>IF(MortgageAmortBEST[[#This Row],[Month]]=I$8,E$7,0)</f>
        <v>0</v>
      </c>
      <c r="H194" s="13">
        <f>IF(AND(C194&gt;='Amort. Sched.-BEST'!$I$8, C194&lt;= ($I$7+$I$8)), H193+F194, 0)</f>
        <v>109487.17842148748</v>
      </c>
      <c r="I194" s="24">
        <f>IF(AND(C194&gt;='Amort. Sched.-BEST'!$I$8, C194&lt;= ($I$7+$I$8)), E194/D194, " ")</f>
        <v>0.54344953654814609</v>
      </c>
      <c r="J194" s="25">
        <f>IF(AND(C194&gt;='Amort. Sched.-BEST'!$I$8, C194&lt;= ($I$7+$I$8)), F194/D194, " ")</f>
        <v>0.45655046345185402</v>
      </c>
      <c r="L194" s="20">
        <f t="shared" si="34"/>
        <v>183</v>
      </c>
      <c r="M194" s="5">
        <f>IF(AND(L194&gt;='Amort. Sched.-BEST'!$R$8, L194&lt;= ($R$7+$R$8)), PMT('Amort. Sched.-BEST'!$N$8/12, 'Amort. Sched.-BEST'!$R$7, 'Amort. Sched.-BEST'!$N$7), 0)</f>
        <v>0</v>
      </c>
      <c r="N194" s="5">
        <f>IF(AND(L194&gt;='Amort. Sched.-BEST'!$R$8, L194&lt;= ($R$7+$R$8)), (IPMT($N$8/12, (L194-$R$8), $R$7, $N$7)), 0)</f>
        <v>0</v>
      </c>
      <c r="O194" s="5">
        <f>IF(AND(L194&gt;='Amort. Sched.-BEST'!$R$8, L194&lt;= ($R$7+$R$8)), (PPMT($N$8/12, (L194-$R$8), $R$7, $N$7)), 0)</f>
        <v>0</v>
      </c>
      <c r="P194" s="5">
        <f>IF(CreditAmort1BEST[[#This Row],[Month]]=R$8,N$7,0)</f>
        <v>0</v>
      </c>
      <c r="Q194" s="13">
        <f>IF(AND(L194&gt;='Amort. Sched.-BEST'!$R$8, L194&lt;= ($R$7+$R$8)), Q193+O194, 0)</f>
        <v>0</v>
      </c>
      <c r="R194" s="6" t="str">
        <f>IF(AND(L194&gt;='Amort. Sched.-BEST'!$R$8, L194&lt;= ($R$7+$R$8)), N194/M194, " ")</f>
        <v xml:space="preserve"> </v>
      </c>
      <c r="S194" s="21" t="str">
        <f>IF(AND(L194&gt;='Amort. Sched.-BEST'!$R$8, L194&lt;= ($R$7+$R$8)), O194/M194, " ")</f>
        <v xml:space="preserve"> </v>
      </c>
      <c r="U194" s="22">
        <f t="shared" si="36"/>
        <v>183</v>
      </c>
      <c r="V194" s="23">
        <f>IF(AND(U194&gt;='Amort. Sched.-BEST'!$AA$8, U194&lt;= ($AA$7+$AA$8)), PMT('Amort. Sched.-BEST'!$W$8/12, 'Amort. Sched.-BEST'!$AA$7, 'Amort. Sched.-BEST'!$W$7), 0)</f>
        <v>0</v>
      </c>
      <c r="W194" s="5">
        <f>IF(AND(U194&gt;='Amort. Sched.-BEST'!$AA$8, U194&lt;= ($AA$7+$AA$8)), (IPMT($W$8/12, (U194-$AA$8), $AA$7, $W$7)), 0)</f>
        <v>0</v>
      </c>
      <c r="X194" s="23">
        <f>IF(AND(U194&gt;='Amort. Sched.-BEST'!$AA$8, U194&lt;= ($AA$7+$AA$8)), (PPMT($W$8/12, (U194-$AA$8), $AA$7, $W$7)), 0)</f>
        <v>0</v>
      </c>
      <c r="Y194" s="5">
        <f>IF(CreditAmort2BEST[[#This Row],[Month]]=AA$8,W$7,0)</f>
        <v>0</v>
      </c>
      <c r="Z194" s="13">
        <f>IF(AND(U194&gt;='Amort. Sched.-BEST'!$AA$8, U194&lt;= ($AA$7+$AA$8)), Z193+X194, 0)</f>
        <v>0</v>
      </c>
      <c r="AA194" s="24" t="str">
        <f>IF(AND(U194&gt;='Amort. Sched.-BEST'!$AA$8, U194&lt;= ($AA$7+$AA$8)), W194/V194, " ")</f>
        <v xml:space="preserve"> </v>
      </c>
      <c r="AB194" s="25" t="str">
        <f>IF(AND(U194&gt;='Amort. Sched.-BEST'!$AA$8, U194&lt;= ($AA$7+$AA$8)), X194/V194, " ")</f>
        <v xml:space="preserve"> </v>
      </c>
      <c r="AD194" s="22">
        <f t="shared" si="37"/>
        <v>183</v>
      </c>
      <c r="AE194" s="5">
        <f t="shared" si="38"/>
        <v>0</v>
      </c>
      <c r="AF194" s="5">
        <f t="shared" si="39"/>
        <v>0</v>
      </c>
      <c r="AG194" s="5">
        <f t="shared" si="40"/>
        <v>0</v>
      </c>
      <c r="AH194" s="5">
        <f>IF(CreditAmort3BEST[[#This Row],[Month]]=AJ$8,AF$7,0)</f>
        <v>0</v>
      </c>
      <c r="AI194" s="13">
        <f t="shared" si="41"/>
        <v>0</v>
      </c>
      <c r="AJ194" s="6" t="str">
        <f t="shared" si="42"/>
        <v xml:space="preserve"> </v>
      </c>
      <c r="AK194" s="21" t="str">
        <f t="shared" si="43"/>
        <v xml:space="preserve"> </v>
      </c>
      <c r="AM194" s="20">
        <f t="shared" si="44"/>
        <v>183</v>
      </c>
      <c r="AN194" s="5">
        <f t="shared" si="45"/>
        <v>0</v>
      </c>
      <c r="AO194" s="5">
        <f t="shared" si="46"/>
        <v>0</v>
      </c>
      <c r="AP194" s="5">
        <f t="shared" si="47"/>
        <v>0</v>
      </c>
      <c r="AQ194" s="5">
        <f>IF(CreditAmort4BEST[[#This Row],[Month]]=AS$8,AO$7,0)</f>
        <v>0</v>
      </c>
      <c r="AR194" s="13">
        <f t="shared" si="48"/>
        <v>0</v>
      </c>
      <c r="AS194" s="6" t="str">
        <f t="shared" si="49"/>
        <v xml:space="preserve"> </v>
      </c>
      <c r="AT194" s="21" t="str">
        <f t="shared" si="50"/>
        <v xml:space="preserve"> </v>
      </c>
    </row>
    <row r="195" spans="3:46">
      <c r="C195" s="22">
        <f t="shared" si="35"/>
        <v>184</v>
      </c>
      <c r="D195" s="23">
        <f>IF(AND(C195&gt;='Amort. Sched.-BEST'!$I$8, C195&lt;= ($I$7+$I$8)), PMT('Amort. Sched.-BEST'!$E$8/12, 'Amort. Sched.-BEST'!$I$7, 'Amort. Sched.-BEST'!$E$7), 0)</f>
        <v>-1350.6783839027553</v>
      </c>
      <c r="E195" s="5">
        <f>IF(AND(C195&gt;='Amort. Sched.-BEST'!$I$8, C195&lt;= ($I$7+$I$8)), (IPMT($E$8/12, (C195-$I$8), $I$7, $E$7)), 0)</f>
        <v>-729.91452280991655</v>
      </c>
      <c r="F195" s="23">
        <f>IF(AND(C195&gt;='Amort. Sched.-BEST'!$I$8, C195&lt;= ($I$7+$I$8)), (PPMT($E$8/12, (C195-$I$8), $I$7, $E$7)), 0)</f>
        <v>-620.76386109283862</v>
      </c>
      <c r="G195" s="5">
        <f>IF(MortgageAmortBEST[[#This Row],[Month]]=I$8,E$7,0)</f>
        <v>0</v>
      </c>
      <c r="H195" s="13">
        <f>IF(AND(C195&gt;='Amort. Sched.-BEST'!$I$8, C195&lt;= ($I$7+$I$8)), H194+F195, 0)</f>
        <v>108866.41456039464</v>
      </c>
      <c r="I195" s="24">
        <f>IF(AND(C195&gt;='Amort. Sched.-BEST'!$I$8, C195&lt;= ($I$7+$I$8)), E195/D195, " ")</f>
        <v>0.54040586679180036</v>
      </c>
      <c r="J195" s="25">
        <f>IF(AND(C195&gt;='Amort. Sched.-BEST'!$I$8, C195&lt;= ($I$7+$I$8)), F195/D195, " ")</f>
        <v>0.45959413320819958</v>
      </c>
      <c r="L195" s="20">
        <f t="shared" si="34"/>
        <v>184</v>
      </c>
      <c r="M195" s="5">
        <f>IF(AND(L195&gt;='Amort. Sched.-BEST'!$R$8, L195&lt;= ($R$7+$R$8)), PMT('Amort. Sched.-BEST'!$N$8/12, 'Amort. Sched.-BEST'!$R$7, 'Amort. Sched.-BEST'!$N$7), 0)</f>
        <v>0</v>
      </c>
      <c r="N195" s="5">
        <f>IF(AND(L195&gt;='Amort. Sched.-BEST'!$R$8, L195&lt;= ($R$7+$R$8)), (IPMT($N$8/12, (L195-$R$8), $R$7, $N$7)), 0)</f>
        <v>0</v>
      </c>
      <c r="O195" s="5">
        <f>IF(AND(L195&gt;='Amort. Sched.-BEST'!$R$8, L195&lt;= ($R$7+$R$8)), (PPMT($N$8/12, (L195-$R$8), $R$7, $N$7)), 0)</f>
        <v>0</v>
      </c>
      <c r="P195" s="5">
        <f>IF(CreditAmort1BEST[[#This Row],[Month]]=R$8,N$7,0)</f>
        <v>0</v>
      </c>
      <c r="Q195" s="13">
        <f>IF(AND(L195&gt;='Amort. Sched.-BEST'!$R$8, L195&lt;= ($R$7+$R$8)), Q194+O195, 0)</f>
        <v>0</v>
      </c>
      <c r="R195" s="6" t="str">
        <f>IF(AND(L195&gt;='Amort. Sched.-BEST'!$R$8, L195&lt;= ($R$7+$R$8)), N195/M195, " ")</f>
        <v xml:space="preserve"> </v>
      </c>
      <c r="S195" s="21" t="str">
        <f>IF(AND(L195&gt;='Amort. Sched.-BEST'!$R$8, L195&lt;= ($R$7+$R$8)), O195/M195, " ")</f>
        <v xml:space="preserve"> </v>
      </c>
      <c r="U195" s="22">
        <f t="shared" si="36"/>
        <v>184</v>
      </c>
      <c r="V195" s="23">
        <f>IF(AND(U195&gt;='Amort. Sched.-BEST'!$AA$8, U195&lt;= ($AA$7+$AA$8)), PMT('Amort. Sched.-BEST'!$W$8/12, 'Amort. Sched.-BEST'!$AA$7, 'Amort. Sched.-BEST'!$W$7), 0)</f>
        <v>0</v>
      </c>
      <c r="W195" s="5">
        <f>IF(AND(U195&gt;='Amort. Sched.-BEST'!$AA$8, U195&lt;= ($AA$7+$AA$8)), (IPMT($W$8/12, (U195-$AA$8), $AA$7, $W$7)), 0)</f>
        <v>0</v>
      </c>
      <c r="X195" s="23">
        <f>IF(AND(U195&gt;='Amort. Sched.-BEST'!$AA$8, U195&lt;= ($AA$7+$AA$8)), (PPMT($W$8/12, (U195-$AA$8), $AA$7, $W$7)), 0)</f>
        <v>0</v>
      </c>
      <c r="Y195" s="5">
        <f>IF(CreditAmort2BEST[[#This Row],[Month]]=AA$8,W$7,0)</f>
        <v>0</v>
      </c>
      <c r="Z195" s="13">
        <f>IF(AND(U195&gt;='Amort. Sched.-BEST'!$AA$8, U195&lt;= ($AA$7+$AA$8)), Z194+X195, 0)</f>
        <v>0</v>
      </c>
      <c r="AA195" s="24" t="str">
        <f>IF(AND(U195&gt;='Amort. Sched.-BEST'!$AA$8, U195&lt;= ($AA$7+$AA$8)), W195/V195, " ")</f>
        <v xml:space="preserve"> </v>
      </c>
      <c r="AB195" s="25" t="str">
        <f>IF(AND(U195&gt;='Amort. Sched.-BEST'!$AA$8, U195&lt;= ($AA$7+$AA$8)), X195/V195, " ")</f>
        <v xml:space="preserve"> </v>
      </c>
      <c r="AD195" s="22">
        <f t="shared" si="37"/>
        <v>184</v>
      </c>
      <c r="AE195" s="5">
        <f t="shared" si="38"/>
        <v>0</v>
      </c>
      <c r="AF195" s="5">
        <f t="shared" si="39"/>
        <v>0</v>
      </c>
      <c r="AG195" s="5">
        <f t="shared" si="40"/>
        <v>0</v>
      </c>
      <c r="AH195" s="5">
        <f>IF(CreditAmort3BEST[[#This Row],[Month]]=AJ$8,AF$7,0)</f>
        <v>0</v>
      </c>
      <c r="AI195" s="13">
        <f t="shared" si="41"/>
        <v>0</v>
      </c>
      <c r="AJ195" s="6" t="str">
        <f t="shared" si="42"/>
        <v xml:space="preserve"> </v>
      </c>
      <c r="AK195" s="21" t="str">
        <f t="shared" si="43"/>
        <v xml:space="preserve"> </v>
      </c>
      <c r="AM195" s="20">
        <f t="shared" si="44"/>
        <v>184</v>
      </c>
      <c r="AN195" s="5">
        <f t="shared" si="45"/>
        <v>0</v>
      </c>
      <c r="AO195" s="5">
        <f t="shared" si="46"/>
        <v>0</v>
      </c>
      <c r="AP195" s="5">
        <f t="shared" si="47"/>
        <v>0</v>
      </c>
      <c r="AQ195" s="5">
        <f>IF(CreditAmort4BEST[[#This Row],[Month]]=AS$8,AO$7,0)</f>
        <v>0</v>
      </c>
      <c r="AR195" s="13">
        <f t="shared" si="48"/>
        <v>0</v>
      </c>
      <c r="AS195" s="6" t="str">
        <f t="shared" si="49"/>
        <v xml:space="preserve"> </v>
      </c>
      <c r="AT195" s="21" t="str">
        <f t="shared" si="50"/>
        <v xml:space="preserve"> </v>
      </c>
    </row>
    <row r="196" spans="3:46">
      <c r="C196" s="22">
        <f t="shared" si="35"/>
        <v>185</v>
      </c>
      <c r="D196" s="23">
        <f>IF(AND(C196&gt;='Amort. Sched.-BEST'!$I$8, C196&lt;= ($I$7+$I$8)), PMT('Amort. Sched.-BEST'!$E$8/12, 'Amort. Sched.-BEST'!$I$7, 'Amort. Sched.-BEST'!$E$7), 0)</f>
        <v>-1350.6783839027553</v>
      </c>
      <c r="E196" s="5">
        <f>IF(AND(C196&gt;='Amort. Sched.-BEST'!$I$8, C196&lt;= ($I$7+$I$8)), (IPMT($E$8/12, (C196-$I$8), $I$7, $E$7)), 0)</f>
        <v>-725.77609706929763</v>
      </c>
      <c r="F196" s="23">
        <f>IF(AND(C196&gt;='Amort. Sched.-BEST'!$I$8, C196&lt;= ($I$7+$I$8)), (PPMT($E$8/12, (C196-$I$8), $I$7, $E$7)), 0)</f>
        <v>-624.90228683345765</v>
      </c>
      <c r="G196" s="5">
        <f>IF(MortgageAmortBEST[[#This Row],[Month]]=I$8,E$7,0)</f>
        <v>0</v>
      </c>
      <c r="H196" s="13">
        <f>IF(AND(C196&gt;='Amort. Sched.-BEST'!$I$8, C196&lt;= ($I$7+$I$8)), H195+F196, 0)</f>
        <v>108241.51227356118</v>
      </c>
      <c r="I196" s="24">
        <f>IF(AND(C196&gt;='Amort. Sched.-BEST'!$I$8, C196&lt;= ($I$7+$I$8)), E196/D196, " ")</f>
        <v>0.53734190590374564</v>
      </c>
      <c r="J196" s="25">
        <f>IF(AND(C196&gt;='Amort. Sched.-BEST'!$I$8, C196&lt;= ($I$7+$I$8)), F196/D196, " ")</f>
        <v>0.4626580940962543</v>
      </c>
      <c r="L196" s="20">
        <f t="shared" si="34"/>
        <v>185</v>
      </c>
      <c r="M196" s="5">
        <f>IF(AND(L196&gt;='Amort. Sched.-BEST'!$R$8, L196&lt;= ($R$7+$R$8)), PMT('Amort. Sched.-BEST'!$N$8/12, 'Amort. Sched.-BEST'!$R$7, 'Amort. Sched.-BEST'!$N$7), 0)</f>
        <v>0</v>
      </c>
      <c r="N196" s="5">
        <f>IF(AND(L196&gt;='Amort. Sched.-BEST'!$R$8, L196&lt;= ($R$7+$R$8)), (IPMT($N$8/12, (L196-$R$8), $R$7, $N$7)), 0)</f>
        <v>0</v>
      </c>
      <c r="O196" s="5">
        <f>IF(AND(L196&gt;='Amort. Sched.-BEST'!$R$8, L196&lt;= ($R$7+$R$8)), (PPMT($N$8/12, (L196-$R$8), $R$7, $N$7)), 0)</f>
        <v>0</v>
      </c>
      <c r="P196" s="5">
        <f>IF(CreditAmort1BEST[[#This Row],[Month]]=R$8,N$7,0)</f>
        <v>0</v>
      </c>
      <c r="Q196" s="13">
        <f>IF(AND(L196&gt;='Amort. Sched.-BEST'!$R$8, L196&lt;= ($R$7+$R$8)), Q195+O196, 0)</f>
        <v>0</v>
      </c>
      <c r="R196" s="6" t="str">
        <f>IF(AND(L196&gt;='Amort. Sched.-BEST'!$R$8, L196&lt;= ($R$7+$R$8)), N196/M196, " ")</f>
        <v xml:space="preserve"> </v>
      </c>
      <c r="S196" s="21" t="str">
        <f>IF(AND(L196&gt;='Amort. Sched.-BEST'!$R$8, L196&lt;= ($R$7+$R$8)), O196/M196, " ")</f>
        <v xml:space="preserve"> </v>
      </c>
      <c r="U196" s="22">
        <f t="shared" si="36"/>
        <v>185</v>
      </c>
      <c r="V196" s="23">
        <f>IF(AND(U196&gt;='Amort. Sched.-BEST'!$AA$8, U196&lt;= ($AA$7+$AA$8)), PMT('Amort. Sched.-BEST'!$W$8/12, 'Amort. Sched.-BEST'!$AA$7, 'Amort. Sched.-BEST'!$W$7), 0)</f>
        <v>0</v>
      </c>
      <c r="W196" s="5">
        <f>IF(AND(U196&gt;='Amort. Sched.-BEST'!$AA$8, U196&lt;= ($AA$7+$AA$8)), (IPMT($W$8/12, (U196-$AA$8), $AA$7, $W$7)), 0)</f>
        <v>0</v>
      </c>
      <c r="X196" s="23">
        <f>IF(AND(U196&gt;='Amort. Sched.-BEST'!$AA$8, U196&lt;= ($AA$7+$AA$8)), (PPMT($W$8/12, (U196-$AA$8), $AA$7, $W$7)), 0)</f>
        <v>0</v>
      </c>
      <c r="Y196" s="5">
        <f>IF(CreditAmort2BEST[[#This Row],[Month]]=AA$8,W$7,0)</f>
        <v>0</v>
      </c>
      <c r="Z196" s="13">
        <f>IF(AND(U196&gt;='Amort. Sched.-BEST'!$AA$8, U196&lt;= ($AA$7+$AA$8)), Z195+X196, 0)</f>
        <v>0</v>
      </c>
      <c r="AA196" s="24" t="str">
        <f>IF(AND(U196&gt;='Amort. Sched.-BEST'!$AA$8, U196&lt;= ($AA$7+$AA$8)), W196/V196, " ")</f>
        <v xml:space="preserve"> </v>
      </c>
      <c r="AB196" s="25" t="str">
        <f>IF(AND(U196&gt;='Amort. Sched.-BEST'!$AA$8, U196&lt;= ($AA$7+$AA$8)), X196/V196, " ")</f>
        <v xml:space="preserve"> </v>
      </c>
      <c r="AD196" s="22">
        <f t="shared" si="37"/>
        <v>185</v>
      </c>
      <c r="AE196" s="5">
        <f t="shared" si="38"/>
        <v>0</v>
      </c>
      <c r="AF196" s="5">
        <f t="shared" si="39"/>
        <v>0</v>
      </c>
      <c r="AG196" s="5">
        <f t="shared" si="40"/>
        <v>0</v>
      </c>
      <c r="AH196" s="5">
        <f>IF(CreditAmort3BEST[[#This Row],[Month]]=AJ$8,AF$7,0)</f>
        <v>0</v>
      </c>
      <c r="AI196" s="13">
        <f t="shared" si="41"/>
        <v>0</v>
      </c>
      <c r="AJ196" s="6" t="str">
        <f t="shared" si="42"/>
        <v xml:space="preserve"> </v>
      </c>
      <c r="AK196" s="21" t="str">
        <f t="shared" si="43"/>
        <v xml:space="preserve"> </v>
      </c>
      <c r="AM196" s="20">
        <f t="shared" si="44"/>
        <v>185</v>
      </c>
      <c r="AN196" s="5">
        <f t="shared" si="45"/>
        <v>0</v>
      </c>
      <c r="AO196" s="5">
        <f t="shared" si="46"/>
        <v>0</v>
      </c>
      <c r="AP196" s="5">
        <f t="shared" si="47"/>
        <v>0</v>
      </c>
      <c r="AQ196" s="5">
        <f>IF(CreditAmort4BEST[[#This Row],[Month]]=AS$8,AO$7,0)</f>
        <v>0</v>
      </c>
      <c r="AR196" s="13">
        <f t="shared" si="48"/>
        <v>0</v>
      </c>
      <c r="AS196" s="6" t="str">
        <f t="shared" si="49"/>
        <v xml:space="preserve"> </v>
      </c>
      <c r="AT196" s="21" t="str">
        <f t="shared" si="50"/>
        <v xml:space="preserve"> </v>
      </c>
    </row>
    <row r="197" spans="3:46">
      <c r="C197" s="22">
        <f t="shared" si="35"/>
        <v>186</v>
      </c>
      <c r="D197" s="23">
        <f>IF(AND(C197&gt;='Amort. Sched.-BEST'!$I$8, C197&lt;= ($I$7+$I$8)), PMT('Amort. Sched.-BEST'!$E$8/12, 'Amort. Sched.-BEST'!$I$7, 'Amort. Sched.-BEST'!$E$7), 0)</f>
        <v>-1350.6783839027553</v>
      </c>
      <c r="E197" s="5">
        <f>IF(AND(C197&gt;='Amort. Sched.-BEST'!$I$8, C197&lt;= ($I$7+$I$8)), (IPMT($E$8/12, (C197-$I$8), $I$7, $E$7)), 0)</f>
        <v>-721.61008182374121</v>
      </c>
      <c r="F197" s="23">
        <f>IF(AND(C197&gt;='Amort. Sched.-BEST'!$I$8, C197&lt;= ($I$7+$I$8)), (PPMT($E$8/12, (C197-$I$8), $I$7, $E$7)), 0)</f>
        <v>-629.06830207901396</v>
      </c>
      <c r="G197" s="5">
        <f>IF(MortgageAmortBEST[[#This Row],[Month]]=I$8,E$7,0)</f>
        <v>0</v>
      </c>
      <c r="H197" s="13">
        <f>IF(AND(C197&gt;='Amort. Sched.-BEST'!$I$8, C197&lt;= ($I$7+$I$8)), H196+F197, 0)</f>
        <v>107612.44397148216</v>
      </c>
      <c r="I197" s="24">
        <f>IF(AND(C197&gt;='Amort. Sched.-BEST'!$I$8, C197&lt;= ($I$7+$I$8)), E197/D197, " ")</f>
        <v>0.53425751860977067</v>
      </c>
      <c r="J197" s="25">
        <f>IF(AND(C197&gt;='Amort. Sched.-BEST'!$I$8, C197&lt;= ($I$7+$I$8)), F197/D197, " ")</f>
        <v>0.46574248139022928</v>
      </c>
      <c r="L197" s="20">
        <f t="shared" si="34"/>
        <v>186</v>
      </c>
      <c r="M197" s="5">
        <f>IF(AND(L197&gt;='Amort. Sched.-BEST'!$R$8, L197&lt;= ($R$7+$R$8)), PMT('Amort. Sched.-BEST'!$N$8/12, 'Amort. Sched.-BEST'!$R$7, 'Amort. Sched.-BEST'!$N$7), 0)</f>
        <v>0</v>
      </c>
      <c r="N197" s="5">
        <f>IF(AND(L197&gt;='Amort. Sched.-BEST'!$R$8, L197&lt;= ($R$7+$R$8)), (IPMT($N$8/12, (L197-$R$8), $R$7, $N$7)), 0)</f>
        <v>0</v>
      </c>
      <c r="O197" s="5">
        <f>IF(AND(L197&gt;='Amort. Sched.-BEST'!$R$8, L197&lt;= ($R$7+$R$8)), (PPMT($N$8/12, (L197-$R$8), $R$7, $N$7)), 0)</f>
        <v>0</v>
      </c>
      <c r="P197" s="5">
        <f>IF(CreditAmort1BEST[[#This Row],[Month]]=R$8,N$7,0)</f>
        <v>0</v>
      </c>
      <c r="Q197" s="13">
        <f>IF(AND(L197&gt;='Amort. Sched.-BEST'!$R$8, L197&lt;= ($R$7+$R$8)), Q196+O197, 0)</f>
        <v>0</v>
      </c>
      <c r="R197" s="6" t="str">
        <f>IF(AND(L197&gt;='Amort. Sched.-BEST'!$R$8, L197&lt;= ($R$7+$R$8)), N197/M197, " ")</f>
        <v xml:space="preserve"> </v>
      </c>
      <c r="S197" s="21" t="str">
        <f>IF(AND(L197&gt;='Amort. Sched.-BEST'!$R$8, L197&lt;= ($R$7+$R$8)), O197/M197, " ")</f>
        <v xml:space="preserve"> </v>
      </c>
      <c r="U197" s="22">
        <f t="shared" si="36"/>
        <v>186</v>
      </c>
      <c r="V197" s="23">
        <f>IF(AND(U197&gt;='Amort. Sched.-BEST'!$AA$8, U197&lt;= ($AA$7+$AA$8)), PMT('Amort. Sched.-BEST'!$W$8/12, 'Amort. Sched.-BEST'!$AA$7, 'Amort. Sched.-BEST'!$W$7), 0)</f>
        <v>0</v>
      </c>
      <c r="W197" s="5">
        <f>IF(AND(U197&gt;='Amort. Sched.-BEST'!$AA$8, U197&lt;= ($AA$7+$AA$8)), (IPMT($W$8/12, (U197-$AA$8), $AA$7, $W$7)), 0)</f>
        <v>0</v>
      </c>
      <c r="X197" s="23">
        <f>IF(AND(U197&gt;='Amort. Sched.-BEST'!$AA$8, U197&lt;= ($AA$7+$AA$8)), (PPMT($W$8/12, (U197-$AA$8), $AA$7, $W$7)), 0)</f>
        <v>0</v>
      </c>
      <c r="Y197" s="5">
        <f>IF(CreditAmort2BEST[[#This Row],[Month]]=AA$8,W$7,0)</f>
        <v>0</v>
      </c>
      <c r="Z197" s="13">
        <f>IF(AND(U197&gt;='Amort. Sched.-BEST'!$AA$8, U197&lt;= ($AA$7+$AA$8)), Z196+X197, 0)</f>
        <v>0</v>
      </c>
      <c r="AA197" s="24" t="str">
        <f>IF(AND(U197&gt;='Amort. Sched.-BEST'!$AA$8, U197&lt;= ($AA$7+$AA$8)), W197/V197, " ")</f>
        <v xml:space="preserve"> </v>
      </c>
      <c r="AB197" s="25" t="str">
        <f>IF(AND(U197&gt;='Amort. Sched.-BEST'!$AA$8, U197&lt;= ($AA$7+$AA$8)), X197/V197, " ")</f>
        <v xml:space="preserve"> </v>
      </c>
      <c r="AD197" s="22">
        <f t="shared" si="37"/>
        <v>186</v>
      </c>
      <c r="AE197" s="5">
        <f t="shared" si="38"/>
        <v>0</v>
      </c>
      <c r="AF197" s="5">
        <f t="shared" si="39"/>
        <v>0</v>
      </c>
      <c r="AG197" s="5">
        <f t="shared" si="40"/>
        <v>0</v>
      </c>
      <c r="AH197" s="5">
        <f>IF(CreditAmort3BEST[[#This Row],[Month]]=AJ$8,AF$7,0)</f>
        <v>0</v>
      </c>
      <c r="AI197" s="13">
        <f t="shared" si="41"/>
        <v>0</v>
      </c>
      <c r="AJ197" s="6" t="str">
        <f t="shared" si="42"/>
        <v xml:space="preserve"> </v>
      </c>
      <c r="AK197" s="21" t="str">
        <f t="shared" si="43"/>
        <v xml:space="preserve"> </v>
      </c>
      <c r="AM197" s="20">
        <f t="shared" si="44"/>
        <v>186</v>
      </c>
      <c r="AN197" s="5">
        <f t="shared" si="45"/>
        <v>0</v>
      </c>
      <c r="AO197" s="5">
        <f t="shared" si="46"/>
        <v>0</v>
      </c>
      <c r="AP197" s="5">
        <f t="shared" si="47"/>
        <v>0</v>
      </c>
      <c r="AQ197" s="5">
        <f>IF(CreditAmort4BEST[[#This Row],[Month]]=AS$8,AO$7,0)</f>
        <v>0</v>
      </c>
      <c r="AR197" s="13">
        <f t="shared" si="48"/>
        <v>0</v>
      </c>
      <c r="AS197" s="6" t="str">
        <f t="shared" si="49"/>
        <v xml:space="preserve"> </v>
      </c>
      <c r="AT197" s="21" t="str">
        <f t="shared" si="50"/>
        <v xml:space="preserve"> </v>
      </c>
    </row>
    <row r="198" spans="3:46">
      <c r="C198" s="22">
        <f t="shared" si="35"/>
        <v>187</v>
      </c>
      <c r="D198" s="23">
        <f>IF(AND(C198&gt;='Amort. Sched.-BEST'!$I$8, C198&lt;= ($I$7+$I$8)), PMT('Amort. Sched.-BEST'!$E$8/12, 'Amort. Sched.-BEST'!$I$7, 'Amort. Sched.-BEST'!$E$7), 0)</f>
        <v>-1350.6783839027553</v>
      </c>
      <c r="E198" s="5">
        <f>IF(AND(C198&gt;='Amort. Sched.-BEST'!$I$8, C198&lt;= ($I$7+$I$8)), (IPMT($E$8/12, (C198-$I$8), $I$7, $E$7)), 0)</f>
        <v>-717.4162931432146</v>
      </c>
      <c r="F198" s="23">
        <f>IF(AND(C198&gt;='Amort. Sched.-BEST'!$I$8, C198&lt;= ($I$7+$I$8)), (PPMT($E$8/12, (C198-$I$8), $I$7, $E$7)), 0)</f>
        <v>-633.2620907595408</v>
      </c>
      <c r="G198" s="5">
        <f>IF(MortgageAmortBEST[[#This Row],[Month]]=I$8,E$7,0)</f>
        <v>0</v>
      </c>
      <c r="H198" s="13">
        <f>IF(AND(C198&gt;='Amort. Sched.-BEST'!$I$8, C198&lt;= ($I$7+$I$8)), H197+F198, 0)</f>
        <v>106979.18188072262</v>
      </c>
      <c r="I198" s="24">
        <f>IF(AND(C198&gt;='Amort. Sched.-BEST'!$I$8, C198&lt;= ($I$7+$I$8)), E198/D198, " ")</f>
        <v>0.53115256873383587</v>
      </c>
      <c r="J198" s="25">
        <f>IF(AND(C198&gt;='Amort. Sched.-BEST'!$I$8, C198&lt;= ($I$7+$I$8)), F198/D198, " ")</f>
        <v>0.46884743126616418</v>
      </c>
      <c r="L198" s="20">
        <f t="shared" si="34"/>
        <v>187</v>
      </c>
      <c r="M198" s="5">
        <f>IF(AND(L198&gt;='Amort. Sched.-BEST'!$R$8, L198&lt;= ($R$7+$R$8)), PMT('Amort. Sched.-BEST'!$N$8/12, 'Amort. Sched.-BEST'!$R$7, 'Amort. Sched.-BEST'!$N$7), 0)</f>
        <v>0</v>
      </c>
      <c r="N198" s="5">
        <f>IF(AND(L198&gt;='Amort. Sched.-BEST'!$R$8, L198&lt;= ($R$7+$R$8)), (IPMT($N$8/12, (L198-$R$8), $R$7, $N$7)), 0)</f>
        <v>0</v>
      </c>
      <c r="O198" s="5">
        <f>IF(AND(L198&gt;='Amort. Sched.-BEST'!$R$8, L198&lt;= ($R$7+$R$8)), (PPMT($N$8/12, (L198-$R$8), $R$7, $N$7)), 0)</f>
        <v>0</v>
      </c>
      <c r="P198" s="5">
        <f>IF(CreditAmort1BEST[[#This Row],[Month]]=R$8,N$7,0)</f>
        <v>0</v>
      </c>
      <c r="Q198" s="13">
        <f>IF(AND(L198&gt;='Amort. Sched.-BEST'!$R$8, L198&lt;= ($R$7+$R$8)), Q197+O198, 0)</f>
        <v>0</v>
      </c>
      <c r="R198" s="6" t="str">
        <f>IF(AND(L198&gt;='Amort. Sched.-BEST'!$R$8, L198&lt;= ($R$7+$R$8)), N198/M198, " ")</f>
        <v xml:space="preserve"> </v>
      </c>
      <c r="S198" s="21" t="str">
        <f>IF(AND(L198&gt;='Amort. Sched.-BEST'!$R$8, L198&lt;= ($R$7+$R$8)), O198/M198, " ")</f>
        <v xml:space="preserve"> </v>
      </c>
      <c r="U198" s="22">
        <f t="shared" si="36"/>
        <v>187</v>
      </c>
      <c r="V198" s="23">
        <f>IF(AND(U198&gt;='Amort. Sched.-BEST'!$AA$8, U198&lt;= ($AA$7+$AA$8)), PMT('Amort. Sched.-BEST'!$W$8/12, 'Amort. Sched.-BEST'!$AA$7, 'Amort. Sched.-BEST'!$W$7), 0)</f>
        <v>0</v>
      </c>
      <c r="W198" s="5">
        <f>IF(AND(U198&gt;='Amort. Sched.-BEST'!$AA$8, U198&lt;= ($AA$7+$AA$8)), (IPMT($W$8/12, (U198-$AA$8), $AA$7, $W$7)), 0)</f>
        <v>0</v>
      </c>
      <c r="X198" s="23">
        <f>IF(AND(U198&gt;='Amort. Sched.-BEST'!$AA$8, U198&lt;= ($AA$7+$AA$8)), (PPMT($W$8/12, (U198-$AA$8), $AA$7, $W$7)), 0)</f>
        <v>0</v>
      </c>
      <c r="Y198" s="5">
        <f>IF(CreditAmort2BEST[[#This Row],[Month]]=AA$8,W$7,0)</f>
        <v>0</v>
      </c>
      <c r="Z198" s="13">
        <f>IF(AND(U198&gt;='Amort. Sched.-BEST'!$AA$8, U198&lt;= ($AA$7+$AA$8)), Z197+X198, 0)</f>
        <v>0</v>
      </c>
      <c r="AA198" s="24" t="str">
        <f>IF(AND(U198&gt;='Amort. Sched.-BEST'!$AA$8, U198&lt;= ($AA$7+$AA$8)), W198/V198, " ")</f>
        <v xml:space="preserve"> </v>
      </c>
      <c r="AB198" s="25" t="str">
        <f>IF(AND(U198&gt;='Amort. Sched.-BEST'!$AA$8, U198&lt;= ($AA$7+$AA$8)), X198/V198, " ")</f>
        <v xml:space="preserve"> </v>
      </c>
      <c r="AD198" s="22">
        <f t="shared" si="37"/>
        <v>187</v>
      </c>
      <c r="AE198" s="5">
        <f t="shared" si="38"/>
        <v>0</v>
      </c>
      <c r="AF198" s="5">
        <f t="shared" si="39"/>
        <v>0</v>
      </c>
      <c r="AG198" s="5">
        <f t="shared" si="40"/>
        <v>0</v>
      </c>
      <c r="AH198" s="5">
        <f>IF(CreditAmort3BEST[[#This Row],[Month]]=AJ$8,AF$7,0)</f>
        <v>0</v>
      </c>
      <c r="AI198" s="13">
        <f t="shared" si="41"/>
        <v>0</v>
      </c>
      <c r="AJ198" s="6" t="str">
        <f t="shared" si="42"/>
        <v xml:space="preserve"> </v>
      </c>
      <c r="AK198" s="21" t="str">
        <f t="shared" si="43"/>
        <v xml:space="preserve"> </v>
      </c>
      <c r="AM198" s="20">
        <f t="shared" si="44"/>
        <v>187</v>
      </c>
      <c r="AN198" s="5">
        <f t="shared" si="45"/>
        <v>0</v>
      </c>
      <c r="AO198" s="5">
        <f t="shared" si="46"/>
        <v>0</v>
      </c>
      <c r="AP198" s="5">
        <f t="shared" si="47"/>
        <v>0</v>
      </c>
      <c r="AQ198" s="5">
        <f>IF(CreditAmort4BEST[[#This Row],[Month]]=AS$8,AO$7,0)</f>
        <v>0</v>
      </c>
      <c r="AR198" s="13">
        <f t="shared" si="48"/>
        <v>0</v>
      </c>
      <c r="AS198" s="6" t="str">
        <f t="shared" si="49"/>
        <v xml:space="preserve"> </v>
      </c>
      <c r="AT198" s="21" t="str">
        <f t="shared" si="50"/>
        <v xml:space="preserve"> </v>
      </c>
    </row>
    <row r="199" spans="3:46">
      <c r="C199" s="22">
        <f t="shared" si="35"/>
        <v>188</v>
      </c>
      <c r="D199" s="23">
        <f>IF(AND(C199&gt;='Amort. Sched.-BEST'!$I$8, C199&lt;= ($I$7+$I$8)), PMT('Amort. Sched.-BEST'!$E$8/12, 'Amort. Sched.-BEST'!$I$7, 'Amort. Sched.-BEST'!$E$7), 0)</f>
        <v>-1350.6783839027553</v>
      </c>
      <c r="E199" s="5">
        <f>IF(AND(C199&gt;='Amort. Sched.-BEST'!$I$8, C199&lt;= ($I$7+$I$8)), (IPMT($E$8/12, (C199-$I$8), $I$7, $E$7)), 0)</f>
        <v>-713.19454587148437</v>
      </c>
      <c r="F199" s="23">
        <f>IF(AND(C199&gt;='Amort. Sched.-BEST'!$I$8, C199&lt;= ($I$7+$I$8)), (PPMT($E$8/12, (C199-$I$8), $I$7, $E$7)), 0)</f>
        <v>-637.48383803127103</v>
      </c>
      <c r="G199" s="5">
        <f>IF(MortgageAmortBEST[[#This Row],[Month]]=I$8,E$7,0)</f>
        <v>0</v>
      </c>
      <c r="H199" s="13">
        <f>IF(AND(C199&gt;='Amort. Sched.-BEST'!$I$8, C199&lt;= ($I$7+$I$8)), H198+F199, 0)</f>
        <v>106341.69804269135</v>
      </c>
      <c r="I199" s="24">
        <f>IF(AND(C199&gt;='Amort. Sched.-BEST'!$I$8, C199&lt;= ($I$7+$I$8)), E199/D199, " ")</f>
        <v>0.52802691919206146</v>
      </c>
      <c r="J199" s="25">
        <f>IF(AND(C199&gt;='Amort. Sched.-BEST'!$I$8, C199&lt;= ($I$7+$I$8)), F199/D199, " ")</f>
        <v>0.47197308080793859</v>
      </c>
      <c r="L199" s="20">
        <f t="shared" si="34"/>
        <v>188</v>
      </c>
      <c r="M199" s="5">
        <f>IF(AND(L199&gt;='Amort. Sched.-BEST'!$R$8, L199&lt;= ($R$7+$R$8)), PMT('Amort. Sched.-BEST'!$N$8/12, 'Amort. Sched.-BEST'!$R$7, 'Amort. Sched.-BEST'!$N$7), 0)</f>
        <v>0</v>
      </c>
      <c r="N199" s="5">
        <f>IF(AND(L199&gt;='Amort. Sched.-BEST'!$R$8, L199&lt;= ($R$7+$R$8)), (IPMT($N$8/12, (L199-$R$8), $R$7, $N$7)), 0)</f>
        <v>0</v>
      </c>
      <c r="O199" s="5">
        <f>IF(AND(L199&gt;='Amort. Sched.-BEST'!$R$8, L199&lt;= ($R$7+$R$8)), (PPMT($N$8/12, (L199-$R$8), $R$7, $N$7)), 0)</f>
        <v>0</v>
      </c>
      <c r="P199" s="5">
        <f>IF(CreditAmort1BEST[[#This Row],[Month]]=R$8,N$7,0)</f>
        <v>0</v>
      </c>
      <c r="Q199" s="13">
        <f>IF(AND(L199&gt;='Amort. Sched.-BEST'!$R$8, L199&lt;= ($R$7+$R$8)), Q198+O199, 0)</f>
        <v>0</v>
      </c>
      <c r="R199" s="6" t="str">
        <f>IF(AND(L199&gt;='Amort. Sched.-BEST'!$R$8, L199&lt;= ($R$7+$R$8)), N199/M199, " ")</f>
        <v xml:space="preserve"> </v>
      </c>
      <c r="S199" s="21" t="str">
        <f>IF(AND(L199&gt;='Amort. Sched.-BEST'!$R$8, L199&lt;= ($R$7+$R$8)), O199/M199, " ")</f>
        <v xml:space="preserve"> </v>
      </c>
      <c r="U199" s="22">
        <f t="shared" si="36"/>
        <v>188</v>
      </c>
      <c r="V199" s="23">
        <f>IF(AND(U199&gt;='Amort. Sched.-BEST'!$AA$8, U199&lt;= ($AA$7+$AA$8)), PMT('Amort. Sched.-BEST'!$W$8/12, 'Amort. Sched.-BEST'!$AA$7, 'Amort. Sched.-BEST'!$W$7), 0)</f>
        <v>0</v>
      </c>
      <c r="W199" s="5">
        <f>IF(AND(U199&gt;='Amort. Sched.-BEST'!$AA$8, U199&lt;= ($AA$7+$AA$8)), (IPMT($W$8/12, (U199-$AA$8), $AA$7, $W$7)), 0)</f>
        <v>0</v>
      </c>
      <c r="X199" s="23">
        <f>IF(AND(U199&gt;='Amort. Sched.-BEST'!$AA$8, U199&lt;= ($AA$7+$AA$8)), (PPMT($W$8/12, (U199-$AA$8), $AA$7, $W$7)), 0)</f>
        <v>0</v>
      </c>
      <c r="Y199" s="5">
        <f>IF(CreditAmort2BEST[[#This Row],[Month]]=AA$8,W$7,0)</f>
        <v>0</v>
      </c>
      <c r="Z199" s="13">
        <f>IF(AND(U199&gt;='Amort. Sched.-BEST'!$AA$8, U199&lt;= ($AA$7+$AA$8)), Z198+X199, 0)</f>
        <v>0</v>
      </c>
      <c r="AA199" s="24" t="str">
        <f>IF(AND(U199&gt;='Amort. Sched.-BEST'!$AA$8, U199&lt;= ($AA$7+$AA$8)), W199/V199, " ")</f>
        <v xml:space="preserve"> </v>
      </c>
      <c r="AB199" s="25" t="str">
        <f>IF(AND(U199&gt;='Amort. Sched.-BEST'!$AA$8, U199&lt;= ($AA$7+$AA$8)), X199/V199, " ")</f>
        <v xml:space="preserve"> </v>
      </c>
      <c r="AD199" s="22">
        <f t="shared" si="37"/>
        <v>188</v>
      </c>
      <c r="AE199" s="5">
        <f t="shared" si="38"/>
        <v>0</v>
      </c>
      <c r="AF199" s="5">
        <f t="shared" si="39"/>
        <v>0</v>
      </c>
      <c r="AG199" s="5">
        <f t="shared" si="40"/>
        <v>0</v>
      </c>
      <c r="AH199" s="5">
        <f>IF(CreditAmort3BEST[[#This Row],[Month]]=AJ$8,AF$7,0)</f>
        <v>0</v>
      </c>
      <c r="AI199" s="13">
        <f t="shared" si="41"/>
        <v>0</v>
      </c>
      <c r="AJ199" s="6" t="str">
        <f t="shared" si="42"/>
        <v xml:space="preserve"> </v>
      </c>
      <c r="AK199" s="21" t="str">
        <f t="shared" si="43"/>
        <v xml:space="preserve"> </v>
      </c>
      <c r="AM199" s="20">
        <f t="shared" si="44"/>
        <v>188</v>
      </c>
      <c r="AN199" s="5">
        <f t="shared" si="45"/>
        <v>0</v>
      </c>
      <c r="AO199" s="5">
        <f t="shared" si="46"/>
        <v>0</v>
      </c>
      <c r="AP199" s="5">
        <f t="shared" si="47"/>
        <v>0</v>
      </c>
      <c r="AQ199" s="5">
        <f>IF(CreditAmort4BEST[[#This Row],[Month]]=AS$8,AO$7,0)</f>
        <v>0</v>
      </c>
      <c r="AR199" s="13">
        <f t="shared" si="48"/>
        <v>0</v>
      </c>
      <c r="AS199" s="6" t="str">
        <f t="shared" si="49"/>
        <v xml:space="preserve"> </v>
      </c>
      <c r="AT199" s="21" t="str">
        <f t="shared" si="50"/>
        <v xml:space="preserve"> </v>
      </c>
    </row>
    <row r="200" spans="3:46">
      <c r="C200" s="22">
        <f t="shared" si="35"/>
        <v>189</v>
      </c>
      <c r="D200" s="23">
        <f>IF(AND(C200&gt;='Amort. Sched.-BEST'!$I$8, C200&lt;= ($I$7+$I$8)), PMT('Amort. Sched.-BEST'!$E$8/12, 'Amort. Sched.-BEST'!$I$7, 'Amort. Sched.-BEST'!$E$7), 0)</f>
        <v>-1350.6783839027553</v>
      </c>
      <c r="E200" s="5">
        <f>IF(AND(C200&gt;='Amort. Sched.-BEST'!$I$8, C200&lt;= ($I$7+$I$8)), (IPMT($E$8/12, (C200-$I$8), $I$7, $E$7)), 0)</f>
        <v>-708.94465361794244</v>
      </c>
      <c r="F200" s="23">
        <f>IF(AND(C200&gt;='Amort. Sched.-BEST'!$I$8, C200&lt;= ($I$7+$I$8)), (PPMT($E$8/12, (C200-$I$8), $I$7, $E$7)), 0)</f>
        <v>-641.73373028481285</v>
      </c>
      <c r="G200" s="5">
        <f>IF(MortgageAmortBEST[[#This Row],[Month]]=I$8,E$7,0)</f>
        <v>0</v>
      </c>
      <c r="H200" s="13">
        <f>IF(AND(C200&gt;='Amort. Sched.-BEST'!$I$8, C200&lt;= ($I$7+$I$8)), H199+F200, 0)</f>
        <v>105699.96431240653</v>
      </c>
      <c r="I200" s="24">
        <f>IF(AND(C200&gt;='Amort. Sched.-BEST'!$I$8, C200&lt;= ($I$7+$I$8)), E200/D200, " ")</f>
        <v>0.52488043198667511</v>
      </c>
      <c r="J200" s="25">
        <f>IF(AND(C200&gt;='Amort. Sched.-BEST'!$I$8, C200&lt;= ($I$7+$I$8)), F200/D200, " ")</f>
        <v>0.47511956801332489</v>
      </c>
      <c r="L200" s="20">
        <f t="shared" si="34"/>
        <v>189</v>
      </c>
      <c r="M200" s="5">
        <f>IF(AND(L200&gt;='Amort. Sched.-BEST'!$R$8, L200&lt;= ($R$7+$R$8)), PMT('Amort. Sched.-BEST'!$N$8/12, 'Amort. Sched.-BEST'!$R$7, 'Amort. Sched.-BEST'!$N$7), 0)</f>
        <v>0</v>
      </c>
      <c r="N200" s="5">
        <f>IF(AND(L200&gt;='Amort. Sched.-BEST'!$R$8, L200&lt;= ($R$7+$R$8)), (IPMT($N$8/12, (L200-$R$8), $R$7, $N$7)), 0)</f>
        <v>0</v>
      </c>
      <c r="O200" s="5">
        <f>IF(AND(L200&gt;='Amort. Sched.-BEST'!$R$8, L200&lt;= ($R$7+$R$8)), (PPMT($N$8/12, (L200-$R$8), $R$7, $N$7)), 0)</f>
        <v>0</v>
      </c>
      <c r="P200" s="5">
        <f>IF(CreditAmort1BEST[[#This Row],[Month]]=R$8,N$7,0)</f>
        <v>0</v>
      </c>
      <c r="Q200" s="13">
        <f>IF(AND(L200&gt;='Amort. Sched.-BEST'!$R$8, L200&lt;= ($R$7+$R$8)), Q199+O200, 0)</f>
        <v>0</v>
      </c>
      <c r="R200" s="6" t="str">
        <f>IF(AND(L200&gt;='Amort. Sched.-BEST'!$R$8, L200&lt;= ($R$7+$R$8)), N200/M200, " ")</f>
        <v xml:space="preserve"> </v>
      </c>
      <c r="S200" s="21" t="str">
        <f>IF(AND(L200&gt;='Amort. Sched.-BEST'!$R$8, L200&lt;= ($R$7+$R$8)), O200/M200, " ")</f>
        <v xml:space="preserve"> </v>
      </c>
      <c r="U200" s="22">
        <f t="shared" si="36"/>
        <v>189</v>
      </c>
      <c r="V200" s="23">
        <f>IF(AND(U200&gt;='Amort. Sched.-BEST'!$AA$8, U200&lt;= ($AA$7+$AA$8)), PMT('Amort. Sched.-BEST'!$W$8/12, 'Amort. Sched.-BEST'!$AA$7, 'Amort. Sched.-BEST'!$W$7), 0)</f>
        <v>0</v>
      </c>
      <c r="W200" s="5">
        <f>IF(AND(U200&gt;='Amort. Sched.-BEST'!$AA$8, U200&lt;= ($AA$7+$AA$8)), (IPMT($W$8/12, (U200-$AA$8), $AA$7, $W$7)), 0)</f>
        <v>0</v>
      </c>
      <c r="X200" s="23">
        <f>IF(AND(U200&gt;='Amort. Sched.-BEST'!$AA$8, U200&lt;= ($AA$7+$AA$8)), (PPMT($W$8/12, (U200-$AA$8), $AA$7, $W$7)), 0)</f>
        <v>0</v>
      </c>
      <c r="Y200" s="5">
        <f>IF(CreditAmort2BEST[[#This Row],[Month]]=AA$8,W$7,0)</f>
        <v>0</v>
      </c>
      <c r="Z200" s="13">
        <f>IF(AND(U200&gt;='Amort. Sched.-BEST'!$AA$8, U200&lt;= ($AA$7+$AA$8)), Z199+X200, 0)</f>
        <v>0</v>
      </c>
      <c r="AA200" s="24" t="str">
        <f>IF(AND(U200&gt;='Amort. Sched.-BEST'!$AA$8, U200&lt;= ($AA$7+$AA$8)), W200/V200, " ")</f>
        <v xml:space="preserve"> </v>
      </c>
      <c r="AB200" s="25" t="str">
        <f>IF(AND(U200&gt;='Amort. Sched.-BEST'!$AA$8, U200&lt;= ($AA$7+$AA$8)), X200/V200, " ")</f>
        <v xml:space="preserve"> </v>
      </c>
      <c r="AD200" s="22">
        <f t="shared" si="37"/>
        <v>189</v>
      </c>
      <c r="AE200" s="5">
        <f t="shared" si="38"/>
        <v>0</v>
      </c>
      <c r="AF200" s="5">
        <f t="shared" si="39"/>
        <v>0</v>
      </c>
      <c r="AG200" s="5">
        <f t="shared" si="40"/>
        <v>0</v>
      </c>
      <c r="AH200" s="5">
        <f>IF(CreditAmort3BEST[[#This Row],[Month]]=AJ$8,AF$7,0)</f>
        <v>0</v>
      </c>
      <c r="AI200" s="13">
        <f t="shared" si="41"/>
        <v>0</v>
      </c>
      <c r="AJ200" s="6" t="str">
        <f t="shared" si="42"/>
        <v xml:space="preserve"> </v>
      </c>
      <c r="AK200" s="21" t="str">
        <f t="shared" si="43"/>
        <v xml:space="preserve"> </v>
      </c>
      <c r="AM200" s="20">
        <f t="shared" si="44"/>
        <v>189</v>
      </c>
      <c r="AN200" s="5">
        <f t="shared" si="45"/>
        <v>0</v>
      </c>
      <c r="AO200" s="5">
        <f t="shared" si="46"/>
        <v>0</v>
      </c>
      <c r="AP200" s="5">
        <f t="shared" si="47"/>
        <v>0</v>
      </c>
      <c r="AQ200" s="5">
        <f>IF(CreditAmort4BEST[[#This Row],[Month]]=AS$8,AO$7,0)</f>
        <v>0</v>
      </c>
      <c r="AR200" s="13">
        <f t="shared" si="48"/>
        <v>0</v>
      </c>
      <c r="AS200" s="6" t="str">
        <f t="shared" si="49"/>
        <v xml:space="preserve"> </v>
      </c>
      <c r="AT200" s="21" t="str">
        <f t="shared" si="50"/>
        <v xml:space="preserve"> </v>
      </c>
    </row>
    <row r="201" spans="3:46">
      <c r="C201" s="22">
        <f t="shared" si="35"/>
        <v>190</v>
      </c>
      <c r="D201" s="23">
        <f>IF(AND(C201&gt;='Amort. Sched.-BEST'!$I$8, C201&lt;= ($I$7+$I$8)), PMT('Amort. Sched.-BEST'!$E$8/12, 'Amort. Sched.-BEST'!$I$7, 'Amort. Sched.-BEST'!$E$7), 0)</f>
        <v>-1350.6783839027553</v>
      </c>
      <c r="E201" s="5">
        <f>IF(AND(C201&gt;='Amort. Sched.-BEST'!$I$8, C201&lt;= ($I$7+$I$8)), (IPMT($E$8/12, (C201-$I$8), $I$7, $E$7)), 0)</f>
        <v>-704.66642874937725</v>
      </c>
      <c r="F201" s="23">
        <f>IF(AND(C201&gt;='Amort. Sched.-BEST'!$I$8, C201&lt;= ($I$7+$I$8)), (PPMT($E$8/12, (C201-$I$8), $I$7, $E$7)), 0)</f>
        <v>-646.01195515337827</v>
      </c>
      <c r="G201" s="5">
        <f>IF(MortgageAmortBEST[[#This Row],[Month]]=I$8,E$7,0)</f>
        <v>0</v>
      </c>
      <c r="H201" s="13">
        <f>IF(AND(C201&gt;='Amort. Sched.-BEST'!$I$8, C201&lt;= ($I$7+$I$8)), H200+F201, 0)</f>
        <v>105053.95235725316</v>
      </c>
      <c r="I201" s="24">
        <f>IF(AND(C201&gt;='Amort. Sched.-BEST'!$I$8, C201&lt;= ($I$7+$I$8)), E201/D201, " ")</f>
        <v>0.52171296819991986</v>
      </c>
      <c r="J201" s="25">
        <f>IF(AND(C201&gt;='Amort. Sched.-BEST'!$I$8, C201&lt;= ($I$7+$I$8)), F201/D201, " ")</f>
        <v>0.47828703180008036</v>
      </c>
      <c r="L201" s="20">
        <f t="shared" si="34"/>
        <v>190</v>
      </c>
      <c r="M201" s="5">
        <f>IF(AND(L201&gt;='Amort. Sched.-BEST'!$R$8, L201&lt;= ($R$7+$R$8)), PMT('Amort. Sched.-BEST'!$N$8/12, 'Amort. Sched.-BEST'!$R$7, 'Amort. Sched.-BEST'!$N$7), 0)</f>
        <v>0</v>
      </c>
      <c r="N201" s="5">
        <f>IF(AND(L201&gt;='Amort. Sched.-BEST'!$R$8, L201&lt;= ($R$7+$R$8)), (IPMT($N$8/12, (L201-$R$8), $R$7, $N$7)), 0)</f>
        <v>0</v>
      </c>
      <c r="O201" s="5">
        <f>IF(AND(L201&gt;='Amort. Sched.-BEST'!$R$8, L201&lt;= ($R$7+$R$8)), (PPMT($N$8/12, (L201-$R$8), $R$7, $N$7)), 0)</f>
        <v>0</v>
      </c>
      <c r="P201" s="5">
        <f>IF(CreditAmort1BEST[[#This Row],[Month]]=R$8,N$7,0)</f>
        <v>0</v>
      </c>
      <c r="Q201" s="13">
        <f>IF(AND(L201&gt;='Amort. Sched.-BEST'!$R$8, L201&lt;= ($R$7+$R$8)), Q200+O201, 0)</f>
        <v>0</v>
      </c>
      <c r="R201" s="6" t="str">
        <f>IF(AND(L201&gt;='Amort. Sched.-BEST'!$R$8, L201&lt;= ($R$7+$R$8)), N201/M201, " ")</f>
        <v xml:space="preserve"> </v>
      </c>
      <c r="S201" s="21" t="str">
        <f>IF(AND(L201&gt;='Amort. Sched.-BEST'!$R$8, L201&lt;= ($R$7+$R$8)), O201/M201, " ")</f>
        <v xml:space="preserve"> </v>
      </c>
      <c r="U201" s="22">
        <f t="shared" si="36"/>
        <v>190</v>
      </c>
      <c r="V201" s="23">
        <f>IF(AND(U201&gt;='Amort. Sched.-BEST'!$AA$8, U201&lt;= ($AA$7+$AA$8)), PMT('Amort. Sched.-BEST'!$W$8/12, 'Amort. Sched.-BEST'!$AA$7, 'Amort. Sched.-BEST'!$W$7), 0)</f>
        <v>0</v>
      </c>
      <c r="W201" s="5">
        <f>IF(AND(U201&gt;='Amort. Sched.-BEST'!$AA$8, U201&lt;= ($AA$7+$AA$8)), (IPMT($W$8/12, (U201-$AA$8), $AA$7, $W$7)), 0)</f>
        <v>0</v>
      </c>
      <c r="X201" s="23">
        <f>IF(AND(U201&gt;='Amort. Sched.-BEST'!$AA$8, U201&lt;= ($AA$7+$AA$8)), (PPMT($W$8/12, (U201-$AA$8), $AA$7, $W$7)), 0)</f>
        <v>0</v>
      </c>
      <c r="Y201" s="5">
        <f>IF(CreditAmort2BEST[[#This Row],[Month]]=AA$8,W$7,0)</f>
        <v>0</v>
      </c>
      <c r="Z201" s="13">
        <f>IF(AND(U201&gt;='Amort. Sched.-BEST'!$AA$8, U201&lt;= ($AA$7+$AA$8)), Z200+X201, 0)</f>
        <v>0</v>
      </c>
      <c r="AA201" s="24" t="str">
        <f>IF(AND(U201&gt;='Amort. Sched.-BEST'!$AA$8, U201&lt;= ($AA$7+$AA$8)), W201/V201, " ")</f>
        <v xml:space="preserve"> </v>
      </c>
      <c r="AB201" s="25" t="str">
        <f>IF(AND(U201&gt;='Amort. Sched.-BEST'!$AA$8, U201&lt;= ($AA$7+$AA$8)), X201/V201, " ")</f>
        <v xml:space="preserve"> </v>
      </c>
      <c r="AD201" s="22">
        <f t="shared" si="37"/>
        <v>190</v>
      </c>
      <c r="AE201" s="5">
        <f t="shared" si="38"/>
        <v>0</v>
      </c>
      <c r="AF201" s="5">
        <f t="shared" si="39"/>
        <v>0</v>
      </c>
      <c r="AG201" s="5">
        <f t="shared" si="40"/>
        <v>0</v>
      </c>
      <c r="AH201" s="5">
        <f>IF(CreditAmort3BEST[[#This Row],[Month]]=AJ$8,AF$7,0)</f>
        <v>0</v>
      </c>
      <c r="AI201" s="13">
        <f t="shared" si="41"/>
        <v>0</v>
      </c>
      <c r="AJ201" s="6" t="str">
        <f t="shared" si="42"/>
        <v xml:space="preserve"> </v>
      </c>
      <c r="AK201" s="21" t="str">
        <f t="shared" si="43"/>
        <v xml:space="preserve"> </v>
      </c>
      <c r="AM201" s="20">
        <f t="shared" si="44"/>
        <v>190</v>
      </c>
      <c r="AN201" s="5">
        <f t="shared" si="45"/>
        <v>0</v>
      </c>
      <c r="AO201" s="5">
        <f t="shared" si="46"/>
        <v>0</v>
      </c>
      <c r="AP201" s="5">
        <f t="shared" si="47"/>
        <v>0</v>
      </c>
      <c r="AQ201" s="5">
        <f>IF(CreditAmort4BEST[[#This Row],[Month]]=AS$8,AO$7,0)</f>
        <v>0</v>
      </c>
      <c r="AR201" s="13">
        <f t="shared" si="48"/>
        <v>0</v>
      </c>
      <c r="AS201" s="6" t="str">
        <f t="shared" si="49"/>
        <v xml:space="preserve"> </v>
      </c>
      <c r="AT201" s="21" t="str">
        <f t="shared" si="50"/>
        <v xml:space="preserve"> </v>
      </c>
    </row>
    <row r="202" spans="3:46">
      <c r="C202" s="22">
        <f t="shared" si="35"/>
        <v>191</v>
      </c>
      <c r="D202" s="23">
        <f>IF(AND(C202&gt;='Amort. Sched.-BEST'!$I$8, C202&lt;= ($I$7+$I$8)), PMT('Amort. Sched.-BEST'!$E$8/12, 'Amort. Sched.-BEST'!$I$7, 'Amort. Sched.-BEST'!$E$7), 0)</f>
        <v>-1350.6783839027553</v>
      </c>
      <c r="E202" s="5">
        <f>IF(AND(C202&gt;='Amort. Sched.-BEST'!$I$8, C202&lt;= ($I$7+$I$8)), (IPMT($E$8/12, (C202-$I$8), $I$7, $E$7)), 0)</f>
        <v>-700.35968238168789</v>
      </c>
      <c r="F202" s="23">
        <f>IF(AND(C202&gt;='Amort. Sched.-BEST'!$I$8, C202&lt;= ($I$7+$I$8)), (PPMT($E$8/12, (C202-$I$8), $I$7, $E$7)), 0)</f>
        <v>-650.31870152106751</v>
      </c>
      <c r="G202" s="5">
        <f>IF(MortgageAmortBEST[[#This Row],[Month]]=I$8,E$7,0)</f>
        <v>0</v>
      </c>
      <c r="H202" s="13">
        <f>IF(AND(C202&gt;='Amort. Sched.-BEST'!$I$8, C202&lt;= ($I$7+$I$8)), H201+F202, 0)</f>
        <v>104403.63365573209</v>
      </c>
      <c r="I202" s="24">
        <f>IF(AND(C202&gt;='Amort. Sched.-BEST'!$I$8, C202&lt;= ($I$7+$I$8)), E202/D202, " ")</f>
        <v>0.51852438798791911</v>
      </c>
      <c r="J202" s="25">
        <f>IF(AND(C202&gt;='Amort. Sched.-BEST'!$I$8, C202&lt;= ($I$7+$I$8)), F202/D202, " ")</f>
        <v>0.48147561201208094</v>
      </c>
      <c r="L202" s="20">
        <f t="shared" si="34"/>
        <v>191</v>
      </c>
      <c r="M202" s="5">
        <f>IF(AND(L202&gt;='Amort. Sched.-BEST'!$R$8, L202&lt;= ($R$7+$R$8)), PMT('Amort. Sched.-BEST'!$N$8/12, 'Amort. Sched.-BEST'!$R$7, 'Amort. Sched.-BEST'!$N$7), 0)</f>
        <v>0</v>
      </c>
      <c r="N202" s="5">
        <f>IF(AND(L202&gt;='Amort. Sched.-BEST'!$R$8, L202&lt;= ($R$7+$R$8)), (IPMT($N$8/12, (L202-$R$8), $R$7, $N$7)), 0)</f>
        <v>0</v>
      </c>
      <c r="O202" s="5">
        <f>IF(AND(L202&gt;='Amort. Sched.-BEST'!$R$8, L202&lt;= ($R$7+$R$8)), (PPMT($N$8/12, (L202-$R$8), $R$7, $N$7)), 0)</f>
        <v>0</v>
      </c>
      <c r="P202" s="5">
        <f>IF(CreditAmort1BEST[[#This Row],[Month]]=R$8,N$7,0)</f>
        <v>0</v>
      </c>
      <c r="Q202" s="13">
        <f>IF(AND(L202&gt;='Amort. Sched.-BEST'!$R$8, L202&lt;= ($R$7+$R$8)), Q201+O202, 0)</f>
        <v>0</v>
      </c>
      <c r="R202" s="6" t="str">
        <f>IF(AND(L202&gt;='Amort. Sched.-BEST'!$R$8, L202&lt;= ($R$7+$R$8)), N202/M202, " ")</f>
        <v xml:space="preserve"> </v>
      </c>
      <c r="S202" s="21" t="str">
        <f>IF(AND(L202&gt;='Amort. Sched.-BEST'!$R$8, L202&lt;= ($R$7+$R$8)), O202/M202, " ")</f>
        <v xml:space="preserve"> </v>
      </c>
      <c r="U202" s="22">
        <f t="shared" si="36"/>
        <v>191</v>
      </c>
      <c r="V202" s="23">
        <f>IF(AND(U202&gt;='Amort. Sched.-BEST'!$AA$8, U202&lt;= ($AA$7+$AA$8)), PMT('Amort. Sched.-BEST'!$W$8/12, 'Amort. Sched.-BEST'!$AA$7, 'Amort. Sched.-BEST'!$W$7), 0)</f>
        <v>0</v>
      </c>
      <c r="W202" s="5">
        <f>IF(AND(U202&gt;='Amort. Sched.-BEST'!$AA$8, U202&lt;= ($AA$7+$AA$8)), (IPMT($W$8/12, (U202-$AA$8), $AA$7, $W$7)), 0)</f>
        <v>0</v>
      </c>
      <c r="X202" s="23">
        <f>IF(AND(U202&gt;='Amort. Sched.-BEST'!$AA$8, U202&lt;= ($AA$7+$AA$8)), (PPMT($W$8/12, (U202-$AA$8), $AA$7, $W$7)), 0)</f>
        <v>0</v>
      </c>
      <c r="Y202" s="5">
        <f>IF(CreditAmort2BEST[[#This Row],[Month]]=AA$8,W$7,0)</f>
        <v>0</v>
      </c>
      <c r="Z202" s="13">
        <f>IF(AND(U202&gt;='Amort. Sched.-BEST'!$AA$8, U202&lt;= ($AA$7+$AA$8)), Z201+X202, 0)</f>
        <v>0</v>
      </c>
      <c r="AA202" s="24" t="str">
        <f>IF(AND(U202&gt;='Amort. Sched.-BEST'!$AA$8, U202&lt;= ($AA$7+$AA$8)), W202/V202, " ")</f>
        <v xml:space="preserve"> </v>
      </c>
      <c r="AB202" s="25" t="str">
        <f>IF(AND(U202&gt;='Amort. Sched.-BEST'!$AA$8, U202&lt;= ($AA$7+$AA$8)), X202/V202, " ")</f>
        <v xml:space="preserve"> </v>
      </c>
      <c r="AD202" s="22">
        <f t="shared" si="37"/>
        <v>191</v>
      </c>
      <c r="AE202" s="5">
        <f t="shared" si="38"/>
        <v>0</v>
      </c>
      <c r="AF202" s="5">
        <f t="shared" si="39"/>
        <v>0</v>
      </c>
      <c r="AG202" s="5">
        <f t="shared" si="40"/>
        <v>0</v>
      </c>
      <c r="AH202" s="5">
        <f>IF(CreditAmort3BEST[[#This Row],[Month]]=AJ$8,AF$7,0)</f>
        <v>0</v>
      </c>
      <c r="AI202" s="13">
        <f t="shared" si="41"/>
        <v>0</v>
      </c>
      <c r="AJ202" s="6" t="str">
        <f t="shared" si="42"/>
        <v xml:space="preserve"> </v>
      </c>
      <c r="AK202" s="21" t="str">
        <f t="shared" si="43"/>
        <v xml:space="preserve"> </v>
      </c>
      <c r="AM202" s="20">
        <f t="shared" si="44"/>
        <v>191</v>
      </c>
      <c r="AN202" s="5">
        <f t="shared" si="45"/>
        <v>0</v>
      </c>
      <c r="AO202" s="5">
        <f t="shared" si="46"/>
        <v>0</v>
      </c>
      <c r="AP202" s="5">
        <f t="shared" si="47"/>
        <v>0</v>
      </c>
      <c r="AQ202" s="5">
        <f>IF(CreditAmort4BEST[[#This Row],[Month]]=AS$8,AO$7,0)</f>
        <v>0</v>
      </c>
      <c r="AR202" s="13">
        <f t="shared" si="48"/>
        <v>0</v>
      </c>
      <c r="AS202" s="6" t="str">
        <f t="shared" si="49"/>
        <v xml:space="preserve"> </v>
      </c>
      <c r="AT202" s="21" t="str">
        <f t="shared" si="50"/>
        <v xml:space="preserve"> </v>
      </c>
    </row>
    <row r="203" spans="3:46">
      <c r="C203" s="22">
        <f t="shared" si="35"/>
        <v>192</v>
      </c>
      <c r="D203" s="23">
        <f>IF(AND(C203&gt;='Amort. Sched.-BEST'!$I$8, C203&lt;= ($I$7+$I$8)), PMT('Amort. Sched.-BEST'!$E$8/12, 'Amort. Sched.-BEST'!$I$7, 'Amort. Sched.-BEST'!$E$7), 0)</f>
        <v>-1350.6783839027553</v>
      </c>
      <c r="E203" s="5">
        <f>IF(AND(C203&gt;='Amort. Sched.-BEST'!$I$8, C203&lt;= ($I$7+$I$8)), (IPMT($E$8/12, (C203-$I$8), $I$7, $E$7)), 0)</f>
        <v>-696.02422437154746</v>
      </c>
      <c r="F203" s="23">
        <f>IF(AND(C203&gt;='Amort. Sched.-BEST'!$I$8, C203&lt;= ($I$7+$I$8)), (PPMT($E$8/12, (C203-$I$8), $I$7, $E$7)), 0)</f>
        <v>-654.65415953120794</v>
      </c>
      <c r="G203" s="5">
        <f>IF(MortgageAmortBEST[[#This Row],[Month]]=I$8,E$7,0)</f>
        <v>0</v>
      </c>
      <c r="H203" s="13">
        <f>IF(AND(C203&gt;='Amort. Sched.-BEST'!$I$8, C203&lt;= ($I$7+$I$8)), H202+F203, 0)</f>
        <v>103748.97949620089</v>
      </c>
      <c r="I203" s="24">
        <f>IF(AND(C203&gt;='Amort. Sched.-BEST'!$I$8, C203&lt;= ($I$7+$I$8)), E203/D203, " ")</f>
        <v>0.51531455057450526</v>
      </c>
      <c r="J203" s="25">
        <f>IF(AND(C203&gt;='Amort. Sched.-BEST'!$I$8, C203&lt;= ($I$7+$I$8)), F203/D203, " ")</f>
        <v>0.4846854494254948</v>
      </c>
      <c r="L203" s="20">
        <f t="shared" si="34"/>
        <v>192</v>
      </c>
      <c r="M203" s="5">
        <f>IF(AND(L203&gt;='Amort. Sched.-BEST'!$R$8, L203&lt;= ($R$7+$R$8)), PMT('Amort. Sched.-BEST'!$N$8/12, 'Amort. Sched.-BEST'!$R$7, 'Amort. Sched.-BEST'!$N$7), 0)</f>
        <v>0</v>
      </c>
      <c r="N203" s="5">
        <f>IF(AND(L203&gt;='Amort. Sched.-BEST'!$R$8, L203&lt;= ($R$7+$R$8)), (IPMT($N$8/12, (L203-$R$8), $R$7, $N$7)), 0)</f>
        <v>0</v>
      </c>
      <c r="O203" s="5">
        <f>IF(AND(L203&gt;='Amort. Sched.-BEST'!$R$8, L203&lt;= ($R$7+$R$8)), (PPMT($N$8/12, (L203-$R$8), $R$7, $N$7)), 0)</f>
        <v>0</v>
      </c>
      <c r="P203" s="5">
        <f>IF(CreditAmort1BEST[[#This Row],[Month]]=R$8,N$7,0)</f>
        <v>0</v>
      </c>
      <c r="Q203" s="13">
        <f>IF(AND(L203&gt;='Amort. Sched.-BEST'!$R$8, L203&lt;= ($R$7+$R$8)), Q202+O203, 0)</f>
        <v>0</v>
      </c>
      <c r="R203" s="6" t="str">
        <f>IF(AND(L203&gt;='Amort. Sched.-BEST'!$R$8, L203&lt;= ($R$7+$R$8)), N203/M203, " ")</f>
        <v xml:space="preserve"> </v>
      </c>
      <c r="S203" s="21" t="str">
        <f>IF(AND(L203&gt;='Amort. Sched.-BEST'!$R$8, L203&lt;= ($R$7+$R$8)), O203/M203, " ")</f>
        <v xml:space="preserve"> </v>
      </c>
      <c r="U203" s="22">
        <f t="shared" si="36"/>
        <v>192</v>
      </c>
      <c r="V203" s="23">
        <f>IF(AND(U203&gt;='Amort. Sched.-BEST'!$AA$8, U203&lt;= ($AA$7+$AA$8)), PMT('Amort. Sched.-BEST'!$W$8/12, 'Amort. Sched.-BEST'!$AA$7, 'Amort. Sched.-BEST'!$W$7), 0)</f>
        <v>0</v>
      </c>
      <c r="W203" s="5">
        <f>IF(AND(U203&gt;='Amort. Sched.-BEST'!$AA$8, U203&lt;= ($AA$7+$AA$8)), (IPMT($W$8/12, (U203-$AA$8), $AA$7, $W$7)), 0)</f>
        <v>0</v>
      </c>
      <c r="X203" s="23">
        <f>IF(AND(U203&gt;='Amort. Sched.-BEST'!$AA$8, U203&lt;= ($AA$7+$AA$8)), (PPMT($W$8/12, (U203-$AA$8), $AA$7, $W$7)), 0)</f>
        <v>0</v>
      </c>
      <c r="Y203" s="5">
        <f>IF(CreditAmort2BEST[[#This Row],[Month]]=AA$8,W$7,0)</f>
        <v>0</v>
      </c>
      <c r="Z203" s="13">
        <f>IF(AND(U203&gt;='Amort. Sched.-BEST'!$AA$8, U203&lt;= ($AA$7+$AA$8)), Z202+X203, 0)</f>
        <v>0</v>
      </c>
      <c r="AA203" s="24" t="str">
        <f>IF(AND(U203&gt;='Amort. Sched.-BEST'!$AA$8, U203&lt;= ($AA$7+$AA$8)), W203/V203, " ")</f>
        <v xml:space="preserve"> </v>
      </c>
      <c r="AB203" s="25" t="str">
        <f>IF(AND(U203&gt;='Amort. Sched.-BEST'!$AA$8, U203&lt;= ($AA$7+$AA$8)), X203/V203, " ")</f>
        <v xml:space="preserve"> </v>
      </c>
      <c r="AD203" s="22">
        <f t="shared" si="37"/>
        <v>192</v>
      </c>
      <c r="AE203" s="5">
        <f t="shared" si="38"/>
        <v>0</v>
      </c>
      <c r="AF203" s="5">
        <f t="shared" si="39"/>
        <v>0</v>
      </c>
      <c r="AG203" s="5">
        <f t="shared" si="40"/>
        <v>0</v>
      </c>
      <c r="AH203" s="5">
        <f>IF(CreditAmort3BEST[[#This Row],[Month]]=AJ$8,AF$7,0)</f>
        <v>0</v>
      </c>
      <c r="AI203" s="13">
        <f t="shared" si="41"/>
        <v>0</v>
      </c>
      <c r="AJ203" s="6" t="str">
        <f t="shared" si="42"/>
        <v xml:space="preserve"> </v>
      </c>
      <c r="AK203" s="21" t="str">
        <f t="shared" si="43"/>
        <v xml:space="preserve"> </v>
      </c>
      <c r="AM203" s="20">
        <f t="shared" si="44"/>
        <v>192</v>
      </c>
      <c r="AN203" s="5">
        <f t="shared" si="45"/>
        <v>0</v>
      </c>
      <c r="AO203" s="5">
        <f t="shared" si="46"/>
        <v>0</v>
      </c>
      <c r="AP203" s="5">
        <f t="shared" si="47"/>
        <v>0</v>
      </c>
      <c r="AQ203" s="5">
        <f>IF(CreditAmort4BEST[[#This Row],[Month]]=AS$8,AO$7,0)</f>
        <v>0</v>
      </c>
      <c r="AR203" s="13">
        <f t="shared" si="48"/>
        <v>0</v>
      </c>
      <c r="AS203" s="6" t="str">
        <f t="shared" si="49"/>
        <v xml:space="preserve"> </v>
      </c>
      <c r="AT203" s="21" t="str">
        <f t="shared" si="50"/>
        <v xml:space="preserve"> </v>
      </c>
    </row>
    <row r="204" spans="3:46">
      <c r="C204" s="22">
        <f t="shared" si="35"/>
        <v>193</v>
      </c>
      <c r="D204" s="23">
        <f>IF(AND(C204&gt;='Amort. Sched.-BEST'!$I$8, C204&lt;= ($I$7+$I$8)), PMT('Amort. Sched.-BEST'!$E$8/12, 'Amort. Sched.-BEST'!$I$7, 'Amort. Sched.-BEST'!$E$7), 0)</f>
        <v>-1350.6783839027553</v>
      </c>
      <c r="E204" s="5">
        <f>IF(AND(C204&gt;='Amort. Sched.-BEST'!$I$8, C204&lt;= ($I$7+$I$8)), (IPMT($E$8/12, (C204-$I$8), $I$7, $E$7)), 0)</f>
        <v>-691.65986330800604</v>
      </c>
      <c r="F204" s="23">
        <f>IF(AND(C204&gt;='Amort. Sched.-BEST'!$I$8, C204&lt;= ($I$7+$I$8)), (PPMT($E$8/12, (C204-$I$8), $I$7, $E$7)), 0)</f>
        <v>-659.01852059474925</v>
      </c>
      <c r="G204" s="5">
        <f>IF(MortgageAmortBEST[[#This Row],[Month]]=I$8,E$7,0)</f>
        <v>0</v>
      </c>
      <c r="H204" s="13">
        <f>IF(AND(C204&gt;='Amort. Sched.-BEST'!$I$8, C204&lt;= ($I$7+$I$8)), H203+F204, 0)</f>
        <v>103089.96097560614</v>
      </c>
      <c r="I204" s="24">
        <f>IF(AND(C204&gt;='Amort. Sched.-BEST'!$I$8, C204&lt;= ($I$7+$I$8)), E204/D204, " ")</f>
        <v>0.51208331424500197</v>
      </c>
      <c r="J204" s="25">
        <f>IF(AND(C204&gt;='Amort. Sched.-BEST'!$I$8, C204&lt;= ($I$7+$I$8)), F204/D204, " ")</f>
        <v>0.48791668575499803</v>
      </c>
      <c r="L204" s="20">
        <f t="shared" ref="L204:L267" si="51">L203+1</f>
        <v>193</v>
      </c>
      <c r="M204" s="5">
        <f>IF(AND(L204&gt;='Amort. Sched.-BEST'!$R$8, L204&lt;= ($R$7+$R$8)), PMT('Amort. Sched.-BEST'!$N$8/12, 'Amort. Sched.-BEST'!$R$7, 'Amort. Sched.-BEST'!$N$7), 0)</f>
        <v>0</v>
      </c>
      <c r="N204" s="5">
        <f>IF(AND(L204&gt;='Amort. Sched.-BEST'!$R$8, L204&lt;= ($R$7+$R$8)), (IPMT($N$8/12, (L204-$R$8), $R$7, $N$7)), 0)</f>
        <v>0</v>
      </c>
      <c r="O204" s="5">
        <f>IF(AND(L204&gt;='Amort. Sched.-BEST'!$R$8, L204&lt;= ($R$7+$R$8)), (PPMT($N$8/12, (L204-$R$8), $R$7, $N$7)), 0)</f>
        <v>0</v>
      </c>
      <c r="P204" s="5">
        <f>IF(CreditAmort1BEST[[#This Row],[Month]]=R$8,N$7,0)</f>
        <v>0</v>
      </c>
      <c r="Q204" s="13">
        <f>IF(AND(L204&gt;='Amort. Sched.-BEST'!$R$8, L204&lt;= ($R$7+$R$8)), Q203+O204, 0)</f>
        <v>0</v>
      </c>
      <c r="R204" s="6" t="str">
        <f>IF(AND(L204&gt;='Amort. Sched.-BEST'!$R$8, L204&lt;= ($R$7+$R$8)), N204/M204, " ")</f>
        <v xml:space="preserve"> </v>
      </c>
      <c r="S204" s="21" t="str">
        <f>IF(AND(L204&gt;='Amort. Sched.-BEST'!$R$8, L204&lt;= ($R$7+$R$8)), O204/M204, " ")</f>
        <v xml:space="preserve"> </v>
      </c>
      <c r="U204" s="22">
        <f t="shared" si="36"/>
        <v>193</v>
      </c>
      <c r="V204" s="23">
        <f>IF(AND(U204&gt;='Amort. Sched.-BEST'!$AA$8, U204&lt;= ($AA$7+$AA$8)), PMT('Amort. Sched.-BEST'!$W$8/12, 'Amort. Sched.-BEST'!$AA$7, 'Amort. Sched.-BEST'!$W$7), 0)</f>
        <v>0</v>
      </c>
      <c r="W204" s="5">
        <f>IF(AND(U204&gt;='Amort. Sched.-BEST'!$AA$8, U204&lt;= ($AA$7+$AA$8)), (IPMT($W$8/12, (U204-$AA$8), $AA$7, $W$7)), 0)</f>
        <v>0</v>
      </c>
      <c r="X204" s="23">
        <f>IF(AND(U204&gt;='Amort. Sched.-BEST'!$AA$8, U204&lt;= ($AA$7+$AA$8)), (PPMT($W$8/12, (U204-$AA$8), $AA$7, $W$7)), 0)</f>
        <v>0</v>
      </c>
      <c r="Y204" s="5">
        <f>IF(CreditAmort2BEST[[#This Row],[Month]]=AA$8,W$7,0)</f>
        <v>0</v>
      </c>
      <c r="Z204" s="13">
        <f>IF(AND(U204&gt;='Amort. Sched.-BEST'!$AA$8, U204&lt;= ($AA$7+$AA$8)), Z203+X204, 0)</f>
        <v>0</v>
      </c>
      <c r="AA204" s="24" t="str">
        <f>IF(AND(U204&gt;='Amort. Sched.-BEST'!$AA$8, U204&lt;= ($AA$7+$AA$8)), W204/V204, " ")</f>
        <v xml:space="preserve"> </v>
      </c>
      <c r="AB204" s="25" t="str">
        <f>IF(AND(U204&gt;='Amort. Sched.-BEST'!$AA$8, U204&lt;= ($AA$7+$AA$8)), X204/V204, " ")</f>
        <v xml:space="preserve"> </v>
      </c>
      <c r="AD204" s="22">
        <f t="shared" si="37"/>
        <v>193</v>
      </c>
      <c r="AE204" s="5">
        <f t="shared" si="38"/>
        <v>0</v>
      </c>
      <c r="AF204" s="5">
        <f t="shared" si="39"/>
        <v>0</v>
      </c>
      <c r="AG204" s="5">
        <f t="shared" si="40"/>
        <v>0</v>
      </c>
      <c r="AH204" s="5">
        <f>IF(CreditAmort3BEST[[#This Row],[Month]]=AJ$8,AF$7,0)</f>
        <v>0</v>
      </c>
      <c r="AI204" s="13">
        <f t="shared" si="41"/>
        <v>0</v>
      </c>
      <c r="AJ204" s="6" t="str">
        <f t="shared" si="42"/>
        <v xml:space="preserve"> </v>
      </c>
      <c r="AK204" s="21" t="str">
        <f t="shared" si="43"/>
        <v xml:space="preserve"> </v>
      </c>
      <c r="AM204" s="20">
        <f t="shared" si="44"/>
        <v>193</v>
      </c>
      <c r="AN204" s="5">
        <f t="shared" si="45"/>
        <v>0</v>
      </c>
      <c r="AO204" s="5">
        <f t="shared" si="46"/>
        <v>0</v>
      </c>
      <c r="AP204" s="5">
        <f t="shared" si="47"/>
        <v>0</v>
      </c>
      <c r="AQ204" s="5">
        <f>IF(CreditAmort4BEST[[#This Row],[Month]]=AS$8,AO$7,0)</f>
        <v>0</v>
      </c>
      <c r="AR204" s="13">
        <f t="shared" si="48"/>
        <v>0</v>
      </c>
      <c r="AS204" s="6" t="str">
        <f t="shared" si="49"/>
        <v xml:space="preserve"> </v>
      </c>
      <c r="AT204" s="21" t="str">
        <f t="shared" si="50"/>
        <v xml:space="preserve"> </v>
      </c>
    </row>
    <row r="205" spans="3:46">
      <c r="C205" s="22">
        <f t="shared" ref="C205:C268" si="52">C204+1</f>
        <v>194</v>
      </c>
      <c r="D205" s="23">
        <f>IF(AND(C205&gt;='Amort. Sched.-BEST'!$I$8, C205&lt;= ($I$7+$I$8)), PMT('Amort. Sched.-BEST'!$E$8/12, 'Amort. Sched.-BEST'!$I$7, 'Amort. Sched.-BEST'!$E$7), 0)</f>
        <v>-1350.6783839027553</v>
      </c>
      <c r="E205" s="5">
        <f>IF(AND(C205&gt;='Amort. Sched.-BEST'!$I$8, C205&lt;= ($I$7+$I$8)), (IPMT($E$8/12, (C205-$I$8), $I$7, $E$7)), 0)</f>
        <v>-687.26640650404102</v>
      </c>
      <c r="F205" s="23">
        <f>IF(AND(C205&gt;='Amort. Sched.-BEST'!$I$8, C205&lt;= ($I$7+$I$8)), (PPMT($E$8/12, (C205-$I$8), $I$7, $E$7)), 0)</f>
        <v>-663.41197739871438</v>
      </c>
      <c r="G205" s="5">
        <f>IF(MortgageAmortBEST[[#This Row],[Month]]=I$8,E$7,0)</f>
        <v>0</v>
      </c>
      <c r="H205" s="13">
        <f>IF(AND(C205&gt;='Amort. Sched.-BEST'!$I$8, C205&lt;= ($I$7+$I$8)), H204+F205, 0)</f>
        <v>102426.54899820742</v>
      </c>
      <c r="I205" s="24">
        <f>IF(AND(C205&gt;='Amort. Sched.-BEST'!$I$8, C205&lt;= ($I$7+$I$8)), E205/D205, " ")</f>
        <v>0.50883053633996866</v>
      </c>
      <c r="J205" s="25">
        <f>IF(AND(C205&gt;='Amort. Sched.-BEST'!$I$8, C205&lt;= ($I$7+$I$8)), F205/D205, " ")</f>
        <v>0.49116946366003145</v>
      </c>
      <c r="L205" s="20">
        <f t="shared" si="51"/>
        <v>194</v>
      </c>
      <c r="M205" s="5">
        <f>IF(AND(L205&gt;='Amort. Sched.-BEST'!$R$8, L205&lt;= ($R$7+$R$8)), PMT('Amort. Sched.-BEST'!$N$8/12, 'Amort. Sched.-BEST'!$R$7, 'Amort. Sched.-BEST'!$N$7), 0)</f>
        <v>0</v>
      </c>
      <c r="N205" s="5">
        <f>IF(AND(L205&gt;='Amort. Sched.-BEST'!$R$8, L205&lt;= ($R$7+$R$8)), (IPMT($N$8/12, (L205-$R$8), $R$7, $N$7)), 0)</f>
        <v>0</v>
      </c>
      <c r="O205" s="5">
        <f>IF(AND(L205&gt;='Amort. Sched.-BEST'!$R$8, L205&lt;= ($R$7+$R$8)), (PPMT($N$8/12, (L205-$R$8), $R$7, $N$7)), 0)</f>
        <v>0</v>
      </c>
      <c r="P205" s="5">
        <f>IF(CreditAmort1BEST[[#This Row],[Month]]=R$8,N$7,0)</f>
        <v>0</v>
      </c>
      <c r="Q205" s="13">
        <f>IF(AND(L205&gt;='Amort. Sched.-BEST'!$R$8, L205&lt;= ($R$7+$R$8)), Q204+O205, 0)</f>
        <v>0</v>
      </c>
      <c r="R205" s="6" t="str">
        <f>IF(AND(L205&gt;='Amort. Sched.-BEST'!$R$8, L205&lt;= ($R$7+$R$8)), N205/M205, " ")</f>
        <v xml:space="preserve"> </v>
      </c>
      <c r="S205" s="21" t="str">
        <f>IF(AND(L205&gt;='Amort. Sched.-BEST'!$R$8, L205&lt;= ($R$7+$R$8)), O205/M205, " ")</f>
        <v xml:space="preserve"> </v>
      </c>
      <c r="U205" s="22">
        <f t="shared" ref="U205:U268" si="53">U204+1</f>
        <v>194</v>
      </c>
      <c r="V205" s="23">
        <f>IF(AND(U205&gt;='Amort. Sched.-BEST'!$AA$8, U205&lt;= ($AA$7+$AA$8)), PMT('Amort. Sched.-BEST'!$W$8/12, 'Amort. Sched.-BEST'!$AA$7, 'Amort. Sched.-BEST'!$W$7), 0)</f>
        <v>0</v>
      </c>
      <c r="W205" s="5">
        <f>IF(AND(U205&gt;='Amort. Sched.-BEST'!$AA$8, U205&lt;= ($AA$7+$AA$8)), (IPMT($W$8/12, (U205-$AA$8), $AA$7, $W$7)), 0)</f>
        <v>0</v>
      </c>
      <c r="X205" s="23">
        <f>IF(AND(U205&gt;='Amort. Sched.-BEST'!$AA$8, U205&lt;= ($AA$7+$AA$8)), (PPMT($W$8/12, (U205-$AA$8), $AA$7, $W$7)), 0)</f>
        <v>0</v>
      </c>
      <c r="Y205" s="5">
        <f>IF(CreditAmort2BEST[[#This Row],[Month]]=AA$8,W$7,0)</f>
        <v>0</v>
      </c>
      <c r="Z205" s="13">
        <f>IF(AND(U205&gt;='Amort. Sched.-BEST'!$AA$8, U205&lt;= ($AA$7+$AA$8)), Z204+X205, 0)</f>
        <v>0</v>
      </c>
      <c r="AA205" s="24" t="str">
        <f>IF(AND(U205&gt;='Amort. Sched.-BEST'!$AA$8, U205&lt;= ($AA$7+$AA$8)), W205/V205, " ")</f>
        <v xml:space="preserve"> </v>
      </c>
      <c r="AB205" s="25" t="str">
        <f>IF(AND(U205&gt;='Amort. Sched.-BEST'!$AA$8, U205&lt;= ($AA$7+$AA$8)), X205/V205, " ")</f>
        <v xml:space="preserve"> </v>
      </c>
      <c r="AD205" s="22">
        <f t="shared" ref="AD205:AD268" si="54">AD204+1</f>
        <v>194</v>
      </c>
      <c r="AE205" s="5">
        <f t="shared" ref="AE205:AE268" si="55">IF(AND(AD205&gt;=$AJ$8, AD205&lt;= ($AJ$7+$AJ$8)), PMT($AF$8/12, $AJ$7, $AF$7), 0)</f>
        <v>0</v>
      </c>
      <c r="AF205" s="5">
        <f t="shared" ref="AF205:AF268" si="56">IF(AND(AD205&gt;=$AJ$8, AD205&lt;= ($AJ$7+$AJ$8)), (IPMT($AF$8/12, (AD205-$AJ$8), $AJ$7, $AF$7)), 0)</f>
        <v>0</v>
      </c>
      <c r="AG205" s="5">
        <f t="shared" ref="AG205:AG268" si="57">IF(AND(AD205&gt;=$AJ$8, AD205&lt;= ($AJ$7+$AJ$8)), (PPMT($AF$8/12, (AD205-$AJ$8), $AJ$7, $AF$7)), 0)</f>
        <v>0</v>
      </c>
      <c r="AH205" s="5">
        <f>IF(CreditAmort3BEST[[#This Row],[Month]]=AJ$8,AF$7,0)</f>
        <v>0</v>
      </c>
      <c r="AI205" s="13">
        <f t="shared" ref="AI205:AI268" si="58">IF(AND(AD205&gt;=$AJ$8, AD205&lt;= ($AJ$7+$AJ$8)), AI204+AG205, 0)</f>
        <v>0</v>
      </c>
      <c r="AJ205" s="6" t="str">
        <f t="shared" ref="AJ205:AJ268" si="59">IF(AND(AD205&gt;=$AJ$8, AD205&lt;= ($AJ$7+$AJ$8)), AF205/AE205, " ")</f>
        <v xml:space="preserve"> </v>
      </c>
      <c r="AK205" s="21" t="str">
        <f t="shared" ref="AK205:AK268" si="60">IF(AND(AD205&gt;=$AJ$8, AD205&lt;= ($AJ$7+$AJ$8)), AG205/AE205, " ")</f>
        <v xml:space="preserve"> </v>
      </c>
      <c r="AM205" s="20">
        <f t="shared" ref="AM205:AM268" si="61">AM204+1</f>
        <v>194</v>
      </c>
      <c r="AN205" s="5">
        <f t="shared" ref="AN205:AN268" si="62">IF(AND(AM205&gt;=$AS$8, AM205&lt;= ($AS$7+$AS$8)), PMT($AO$8/12, $AS$7, $AO$7), 0)</f>
        <v>0</v>
      </c>
      <c r="AO205" s="5">
        <f t="shared" ref="AO205:AO268" si="63">IF(AND(AM205&gt;=$AS$8, AM205&lt;= ($AS$7+$AS$8)), (IPMT($AO$8/12, (AM205-$AS$8), $AS$7, $AO$7)), 0)</f>
        <v>0</v>
      </c>
      <c r="AP205" s="5">
        <f t="shared" ref="AP205:AP268" si="64">IF(AND(AM205&gt;=$AS$8, AM205&lt;= ($AS$7+$AS$8)), (PPMT($AO$8/12, (AM205-$AS$8), $AS$7, $AO$7)), 0)</f>
        <v>0</v>
      </c>
      <c r="AQ205" s="5">
        <f>IF(CreditAmort4BEST[[#This Row],[Month]]=AS$8,AO$7,0)</f>
        <v>0</v>
      </c>
      <c r="AR205" s="13">
        <f t="shared" ref="AR205:AR268" si="65">IF(AND(AM205&gt;=$AS$8, AM205&lt;= ($AS$7+$AS$8)), AR204+AP205, 0)</f>
        <v>0</v>
      </c>
      <c r="AS205" s="6" t="str">
        <f t="shared" ref="AS205:AS268" si="66">IF(AND(AM205&gt;=$AS$8, AM205&lt;= ($AS$7+$AS$8)), AO205/AN205, " ")</f>
        <v xml:space="preserve"> </v>
      </c>
      <c r="AT205" s="21" t="str">
        <f t="shared" ref="AT205:AT268" si="67">IF(AND(AM205&gt;=$AS$8, AM205&lt;= ($AS$7+$AS$8)), AP205/AN205, " ")</f>
        <v xml:space="preserve"> </v>
      </c>
    </row>
    <row r="206" spans="3:46">
      <c r="C206" s="22">
        <f t="shared" si="52"/>
        <v>195</v>
      </c>
      <c r="D206" s="23">
        <f>IF(AND(C206&gt;='Amort. Sched.-BEST'!$I$8, C206&lt;= ($I$7+$I$8)), PMT('Amort. Sched.-BEST'!$E$8/12, 'Amort. Sched.-BEST'!$I$7, 'Amort. Sched.-BEST'!$E$7), 0)</f>
        <v>-1350.6783839027553</v>
      </c>
      <c r="E206" s="5">
        <f>IF(AND(C206&gt;='Amort. Sched.-BEST'!$I$8, C206&lt;= ($I$7+$I$8)), (IPMT($E$8/12, (C206-$I$8), $I$7, $E$7)), 0)</f>
        <v>-682.84365998804958</v>
      </c>
      <c r="F206" s="23">
        <f>IF(AND(C206&gt;='Amort. Sched.-BEST'!$I$8, C206&lt;= ($I$7+$I$8)), (PPMT($E$8/12, (C206-$I$8), $I$7, $E$7)), 0)</f>
        <v>-667.83472391470571</v>
      </c>
      <c r="G206" s="5">
        <f>IF(MortgageAmortBEST[[#This Row],[Month]]=I$8,E$7,0)</f>
        <v>0</v>
      </c>
      <c r="H206" s="13">
        <f>IF(AND(C206&gt;='Amort. Sched.-BEST'!$I$8, C206&lt;= ($I$7+$I$8)), H205+F206, 0)</f>
        <v>101758.71427429271</v>
      </c>
      <c r="I206" s="24">
        <f>IF(AND(C206&gt;='Amort. Sched.-BEST'!$I$8, C206&lt;= ($I$7+$I$8)), E206/D206, " ")</f>
        <v>0.50555607324890173</v>
      </c>
      <c r="J206" s="25">
        <f>IF(AND(C206&gt;='Amort. Sched.-BEST'!$I$8, C206&lt;= ($I$7+$I$8)), F206/D206, " ")</f>
        <v>0.49444392675109827</v>
      </c>
      <c r="L206" s="20">
        <f t="shared" si="51"/>
        <v>195</v>
      </c>
      <c r="M206" s="5">
        <f>IF(AND(L206&gt;='Amort. Sched.-BEST'!$R$8, L206&lt;= ($R$7+$R$8)), PMT('Amort. Sched.-BEST'!$N$8/12, 'Amort. Sched.-BEST'!$R$7, 'Amort. Sched.-BEST'!$N$7), 0)</f>
        <v>0</v>
      </c>
      <c r="N206" s="5">
        <f>IF(AND(L206&gt;='Amort. Sched.-BEST'!$R$8, L206&lt;= ($R$7+$R$8)), (IPMT($N$8/12, (L206-$R$8), $R$7, $N$7)), 0)</f>
        <v>0</v>
      </c>
      <c r="O206" s="5">
        <f>IF(AND(L206&gt;='Amort. Sched.-BEST'!$R$8, L206&lt;= ($R$7+$R$8)), (PPMT($N$8/12, (L206-$R$8), $R$7, $N$7)), 0)</f>
        <v>0</v>
      </c>
      <c r="P206" s="5">
        <f>IF(CreditAmort1BEST[[#This Row],[Month]]=R$8,N$7,0)</f>
        <v>0</v>
      </c>
      <c r="Q206" s="13">
        <f>IF(AND(L206&gt;='Amort. Sched.-BEST'!$R$8, L206&lt;= ($R$7+$R$8)), Q205+O206, 0)</f>
        <v>0</v>
      </c>
      <c r="R206" s="6" t="str">
        <f>IF(AND(L206&gt;='Amort. Sched.-BEST'!$R$8, L206&lt;= ($R$7+$R$8)), N206/M206, " ")</f>
        <v xml:space="preserve"> </v>
      </c>
      <c r="S206" s="21" t="str">
        <f>IF(AND(L206&gt;='Amort. Sched.-BEST'!$R$8, L206&lt;= ($R$7+$R$8)), O206/M206, " ")</f>
        <v xml:space="preserve"> </v>
      </c>
      <c r="U206" s="22">
        <f t="shared" si="53"/>
        <v>195</v>
      </c>
      <c r="V206" s="23">
        <f>IF(AND(U206&gt;='Amort. Sched.-BEST'!$AA$8, U206&lt;= ($AA$7+$AA$8)), PMT('Amort. Sched.-BEST'!$W$8/12, 'Amort. Sched.-BEST'!$AA$7, 'Amort. Sched.-BEST'!$W$7), 0)</f>
        <v>0</v>
      </c>
      <c r="W206" s="5">
        <f>IF(AND(U206&gt;='Amort. Sched.-BEST'!$AA$8, U206&lt;= ($AA$7+$AA$8)), (IPMT($W$8/12, (U206-$AA$8), $AA$7, $W$7)), 0)</f>
        <v>0</v>
      </c>
      <c r="X206" s="23">
        <f>IF(AND(U206&gt;='Amort. Sched.-BEST'!$AA$8, U206&lt;= ($AA$7+$AA$8)), (PPMT($W$8/12, (U206-$AA$8), $AA$7, $W$7)), 0)</f>
        <v>0</v>
      </c>
      <c r="Y206" s="5">
        <f>IF(CreditAmort2BEST[[#This Row],[Month]]=AA$8,W$7,0)</f>
        <v>0</v>
      </c>
      <c r="Z206" s="13">
        <f>IF(AND(U206&gt;='Amort. Sched.-BEST'!$AA$8, U206&lt;= ($AA$7+$AA$8)), Z205+X206, 0)</f>
        <v>0</v>
      </c>
      <c r="AA206" s="24" t="str">
        <f>IF(AND(U206&gt;='Amort. Sched.-BEST'!$AA$8, U206&lt;= ($AA$7+$AA$8)), W206/V206, " ")</f>
        <v xml:space="preserve"> </v>
      </c>
      <c r="AB206" s="25" t="str">
        <f>IF(AND(U206&gt;='Amort. Sched.-BEST'!$AA$8, U206&lt;= ($AA$7+$AA$8)), X206/V206, " ")</f>
        <v xml:space="preserve"> </v>
      </c>
      <c r="AD206" s="22">
        <f t="shared" si="54"/>
        <v>195</v>
      </c>
      <c r="AE206" s="5">
        <f t="shared" si="55"/>
        <v>0</v>
      </c>
      <c r="AF206" s="5">
        <f t="shared" si="56"/>
        <v>0</v>
      </c>
      <c r="AG206" s="5">
        <f t="shared" si="57"/>
        <v>0</v>
      </c>
      <c r="AH206" s="5">
        <f>IF(CreditAmort3BEST[[#This Row],[Month]]=AJ$8,AF$7,0)</f>
        <v>0</v>
      </c>
      <c r="AI206" s="13">
        <f t="shared" si="58"/>
        <v>0</v>
      </c>
      <c r="AJ206" s="6" t="str">
        <f t="shared" si="59"/>
        <v xml:space="preserve"> </v>
      </c>
      <c r="AK206" s="21" t="str">
        <f t="shared" si="60"/>
        <v xml:space="preserve"> </v>
      </c>
      <c r="AM206" s="20">
        <f t="shared" si="61"/>
        <v>195</v>
      </c>
      <c r="AN206" s="5">
        <f t="shared" si="62"/>
        <v>0</v>
      </c>
      <c r="AO206" s="5">
        <f t="shared" si="63"/>
        <v>0</v>
      </c>
      <c r="AP206" s="5">
        <f t="shared" si="64"/>
        <v>0</v>
      </c>
      <c r="AQ206" s="5">
        <f>IF(CreditAmort4BEST[[#This Row],[Month]]=AS$8,AO$7,0)</f>
        <v>0</v>
      </c>
      <c r="AR206" s="13">
        <f t="shared" si="65"/>
        <v>0</v>
      </c>
      <c r="AS206" s="6" t="str">
        <f t="shared" si="66"/>
        <v xml:space="preserve"> </v>
      </c>
      <c r="AT206" s="21" t="str">
        <f t="shared" si="67"/>
        <v xml:space="preserve"> </v>
      </c>
    </row>
    <row r="207" spans="3:46">
      <c r="C207" s="22">
        <f t="shared" si="52"/>
        <v>196</v>
      </c>
      <c r="D207" s="23">
        <f>IF(AND(C207&gt;='Amort. Sched.-BEST'!$I$8, C207&lt;= ($I$7+$I$8)), PMT('Amort. Sched.-BEST'!$E$8/12, 'Amort. Sched.-BEST'!$I$7, 'Amort. Sched.-BEST'!$E$7), 0)</f>
        <v>-1350.6783839027553</v>
      </c>
      <c r="E207" s="5">
        <f>IF(AND(C207&gt;='Amort. Sched.-BEST'!$I$8, C207&lt;= ($I$7+$I$8)), (IPMT($E$8/12, (C207-$I$8), $I$7, $E$7)), 0)</f>
        <v>-678.39142849528491</v>
      </c>
      <c r="F207" s="23">
        <f>IF(AND(C207&gt;='Amort. Sched.-BEST'!$I$8, C207&lt;= ($I$7+$I$8)), (PPMT($E$8/12, (C207-$I$8), $I$7, $E$7)), 0)</f>
        <v>-672.28695540747037</v>
      </c>
      <c r="G207" s="5">
        <f>IF(MortgageAmortBEST[[#This Row],[Month]]=I$8,E$7,0)</f>
        <v>0</v>
      </c>
      <c r="H207" s="13">
        <f>IF(AND(C207&gt;='Amort. Sched.-BEST'!$I$8, C207&lt;= ($I$7+$I$8)), H206+F207, 0)</f>
        <v>101086.42731888524</v>
      </c>
      <c r="I207" s="24">
        <f>IF(AND(C207&gt;='Amort. Sched.-BEST'!$I$8, C207&lt;= ($I$7+$I$8)), E207/D207, " ")</f>
        <v>0.50225978040389441</v>
      </c>
      <c r="J207" s="25">
        <f>IF(AND(C207&gt;='Amort. Sched.-BEST'!$I$8, C207&lt;= ($I$7+$I$8)), F207/D207, " ")</f>
        <v>0.49774021959610554</v>
      </c>
      <c r="L207" s="20">
        <f t="shared" si="51"/>
        <v>196</v>
      </c>
      <c r="M207" s="5">
        <f>IF(AND(L207&gt;='Amort. Sched.-BEST'!$R$8, L207&lt;= ($R$7+$R$8)), PMT('Amort. Sched.-BEST'!$N$8/12, 'Amort. Sched.-BEST'!$R$7, 'Amort. Sched.-BEST'!$N$7), 0)</f>
        <v>0</v>
      </c>
      <c r="N207" s="5">
        <f>IF(AND(L207&gt;='Amort. Sched.-BEST'!$R$8, L207&lt;= ($R$7+$R$8)), (IPMT($N$8/12, (L207-$R$8), $R$7, $N$7)), 0)</f>
        <v>0</v>
      </c>
      <c r="O207" s="5">
        <f>IF(AND(L207&gt;='Amort. Sched.-BEST'!$R$8, L207&lt;= ($R$7+$R$8)), (PPMT($N$8/12, (L207-$R$8), $R$7, $N$7)), 0)</f>
        <v>0</v>
      </c>
      <c r="P207" s="5">
        <f>IF(CreditAmort1BEST[[#This Row],[Month]]=R$8,N$7,0)</f>
        <v>0</v>
      </c>
      <c r="Q207" s="13">
        <f>IF(AND(L207&gt;='Amort. Sched.-BEST'!$R$8, L207&lt;= ($R$7+$R$8)), Q206+O207, 0)</f>
        <v>0</v>
      </c>
      <c r="R207" s="6" t="str">
        <f>IF(AND(L207&gt;='Amort. Sched.-BEST'!$R$8, L207&lt;= ($R$7+$R$8)), N207/M207, " ")</f>
        <v xml:space="preserve"> </v>
      </c>
      <c r="S207" s="21" t="str">
        <f>IF(AND(L207&gt;='Amort. Sched.-BEST'!$R$8, L207&lt;= ($R$7+$R$8)), O207/M207, " ")</f>
        <v xml:space="preserve"> </v>
      </c>
      <c r="U207" s="22">
        <f t="shared" si="53"/>
        <v>196</v>
      </c>
      <c r="V207" s="23">
        <f>IF(AND(U207&gt;='Amort. Sched.-BEST'!$AA$8, U207&lt;= ($AA$7+$AA$8)), PMT('Amort. Sched.-BEST'!$W$8/12, 'Amort. Sched.-BEST'!$AA$7, 'Amort. Sched.-BEST'!$W$7), 0)</f>
        <v>0</v>
      </c>
      <c r="W207" s="5">
        <f>IF(AND(U207&gt;='Amort. Sched.-BEST'!$AA$8, U207&lt;= ($AA$7+$AA$8)), (IPMT($W$8/12, (U207-$AA$8), $AA$7, $W$7)), 0)</f>
        <v>0</v>
      </c>
      <c r="X207" s="23">
        <f>IF(AND(U207&gt;='Amort. Sched.-BEST'!$AA$8, U207&lt;= ($AA$7+$AA$8)), (PPMT($W$8/12, (U207-$AA$8), $AA$7, $W$7)), 0)</f>
        <v>0</v>
      </c>
      <c r="Y207" s="5">
        <f>IF(CreditAmort2BEST[[#This Row],[Month]]=AA$8,W$7,0)</f>
        <v>0</v>
      </c>
      <c r="Z207" s="13">
        <f>IF(AND(U207&gt;='Amort. Sched.-BEST'!$AA$8, U207&lt;= ($AA$7+$AA$8)), Z206+X207, 0)</f>
        <v>0</v>
      </c>
      <c r="AA207" s="24" t="str">
        <f>IF(AND(U207&gt;='Amort. Sched.-BEST'!$AA$8, U207&lt;= ($AA$7+$AA$8)), W207/V207, " ")</f>
        <v xml:space="preserve"> </v>
      </c>
      <c r="AB207" s="25" t="str">
        <f>IF(AND(U207&gt;='Amort. Sched.-BEST'!$AA$8, U207&lt;= ($AA$7+$AA$8)), X207/V207, " ")</f>
        <v xml:space="preserve"> </v>
      </c>
      <c r="AD207" s="22">
        <f t="shared" si="54"/>
        <v>196</v>
      </c>
      <c r="AE207" s="5">
        <f t="shared" si="55"/>
        <v>0</v>
      </c>
      <c r="AF207" s="5">
        <f t="shared" si="56"/>
        <v>0</v>
      </c>
      <c r="AG207" s="5">
        <f t="shared" si="57"/>
        <v>0</v>
      </c>
      <c r="AH207" s="5">
        <f>IF(CreditAmort3BEST[[#This Row],[Month]]=AJ$8,AF$7,0)</f>
        <v>0</v>
      </c>
      <c r="AI207" s="13">
        <f t="shared" si="58"/>
        <v>0</v>
      </c>
      <c r="AJ207" s="6" t="str">
        <f t="shared" si="59"/>
        <v xml:space="preserve"> </v>
      </c>
      <c r="AK207" s="21" t="str">
        <f t="shared" si="60"/>
        <v xml:space="preserve"> </v>
      </c>
      <c r="AM207" s="20">
        <f t="shared" si="61"/>
        <v>196</v>
      </c>
      <c r="AN207" s="5">
        <f t="shared" si="62"/>
        <v>0</v>
      </c>
      <c r="AO207" s="5">
        <f t="shared" si="63"/>
        <v>0</v>
      </c>
      <c r="AP207" s="5">
        <f t="shared" si="64"/>
        <v>0</v>
      </c>
      <c r="AQ207" s="5">
        <f>IF(CreditAmort4BEST[[#This Row],[Month]]=AS$8,AO$7,0)</f>
        <v>0</v>
      </c>
      <c r="AR207" s="13">
        <f t="shared" si="65"/>
        <v>0</v>
      </c>
      <c r="AS207" s="6" t="str">
        <f t="shared" si="66"/>
        <v xml:space="preserve"> </v>
      </c>
      <c r="AT207" s="21" t="str">
        <f t="shared" si="67"/>
        <v xml:space="preserve"> </v>
      </c>
    </row>
    <row r="208" spans="3:46">
      <c r="C208" s="22">
        <f t="shared" si="52"/>
        <v>197</v>
      </c>
      <c r="D208" s="23">
        <f>IF(AND(C208&gt;='Amort. Sched.-BEST'!$I$8, C208&lt;= ($I$7+$I$8)), PMT('Amort. Sched.-BEST'!$E$8/12, 'Amort. Sched.-BEST'!$I$7, 'Amort. Sched.-BEST'!$E$7), 0)</f>
        <v>-1350.6783839027553</v>
      </c>
      <c r="E208" s="5">
        <f>IF(AND(C208&gt;='Amort. Sched.-BEST'!$I$8, C208&lt;= ($I$7+$I$8)), (IPMT($E$8/12, (C208-$I$8), $I$7, $E$7)), 0)</f>
        <v>-673.90951545923519</v>
      </c>
      <c r="F208" s="23">
        <f>IF(AND(C208&gt;='Amort. Sched.-BEST'!$I$8, C208&lt;= ($I$7+$I$8)), (PPMT($E$8/12, (C208-$I$8), $I$7, $E$7)), 0)</f>
        <v>-676.76886844352032</v>
      </c>
      <c r="G208" s="5">
        <f>IF(MortgageAmortBEST[[#This Row],[Month]]=I$8,E$7,0)</f>
        <v>0</v>
      </c>
      <c r="H208" s="13">
        <f>IF(AND(C208&gt;='Amort. Sched.-BEST'!$I$8, C208&lt;= ($I$7+$I$8)), H207+F208, 0)</f>
        <v>100409.65845044171</v>
      </c>
      <c r="I208" s="24">
        <f>IF(AND(C208&gt;='Amort. Sched.-BEST'!$I$8, C208&lt;= ($I$7+$I$8)), E208/D208, " ")</f>
        <v>0.49894151227325378</v>
      </c>
      <c r="J208" s="25">
        <f>IF(AND(C208&gt;='Amort. Sched.-BEST'!$I$8, C208&lt;= ($I$7+$I$8)), F208/D208, " ")</f>
        <v>0.50105848772674633</v>
      </c>
      <c r="L208" s="20">
        <f t="shared" si="51"/>
        <v>197</v>
      </c>
      <c r="M208" s="5">
        <f>IF(AND(L208&gt;='Amort. Sched.-BEST'!$R$8, L208&lt;= ($R$7+$R$8)), PMT('Amort. Sched.-BEST'!$N$8/12, 'Amort. Sched.-BEST'!$R$7, 'Amort. Sched.-BEST'!$N$7), 0)</f>
        <v>0</v>
      </c>
      <c r="N208" s="5">
        <f>IF(AND(L208&gt;='Amort. Sched.-BEST'!$R$8, L208&lt;= ($R$7+$R$8)), (IPMT($N$8/12, (L208-$R$8), $R$7, $N$7)), 0)</f>
        <v>0</v>
      </c>
      <c r="O208" s="5">
        <f>IF(AND(L208&gt;='Amort. Sched.-BEST'!$R$8, L208&lt;= ($R$7+$R$8)), (PPMT($N$8/12, (L208-$R$8), $R$7, $N$7)), 0)</f>
        <v>0</v>
      </c>
      <c r="P208" s="5">
        <f>IF(CreditAmort1BEST[[#This Row],[Month]]=R$8,N$7,0)</f>
        <v>0</v>
      </c>
      <c r="Q208" s="13">
        <f>IF(AND(L208&gt;='Amort. Sched.-BEST'!$R$8, L208&lt;= ($R$7+$R$8)), Q207+O208, 0)</f>
        <v>0</v>
      </c>
      <c r="R208" s="6" t="str">
        <f>IF(AND(L208&gt;='Amort. Sched.-BEST'!$R$8, L208&lt;= ($R$7+$R$8)), N208/M208, " ")</f>
        <v xml:space="preserve"> </v>
      </c>
      <c r="S208" s="21" t="str">
        <f>IF(AND(L208&gt;='Amort. Sched.-BEST'!$R$8, L208&lt;= ($R$7+$R$8)), O208/M208, " ")</f>
        <v xml:space="preserve"> </v>
      </c>
      <c r="U208" s="22">
        <f t="shared" si="53"/>
        <v>197</v>
      </c>
      <c r="V208" s="23">
        <f>IF(AND(U208&gt;='Amort. Sched.-BEST'!$AA$8, U208&lt;= ($AA$7+$AA$8)), PMT('Amort. Sched.-BEST'!$W$8/12, 'Amort. Sched.-BEST'!$AA$7, 'Amort. Sched.-BEST'!$W$7), 0)</f>
        <v>0</v>
      </c>
      <c r="W208" s="5">
        <f>IF(AND(U208&gt;='Amort. Sched.-BEST'!$AA$8, U208&lt;= ($AA$7+$AA$8)), (IPMT($W$8/12, (U208-$AA$8), $AA$7, $W$7)), 0)</f>
        <v>0</v>
      </c>
      <c r="X208" s="23">
        <f>IF(AND(U208&gt;='Amort. Sched.-BEST'!$AA$8, U208&lt;= ($AA$7+$AA$8)), (PPMT($W$8/12, (U208-$AA$8), $AA$7, $W$7)), 0)</f>
        <v>0</v>
      </c>
      <c r="Y208" s="5">
        <f>IF(CreditAmort2BEST[[#This Row],[Month]]=AA$8,W$7,0)</f>
        <v>0</v>
      </c>
      <c r="Z208" s="13">
        <f>IF(AND(U208&gt;='Amort. Sched.-BEST'!$AA$8, U208&lt;= ($AA$7+$AA$8)), Z207+X208, 0)</f>
        <v>0</v>
      </c>
      <c r="AA208" s="24" t="str">
        <f>IF(AND(U208&gt;='Amort. Sched.-BEST'!$AA$8, U208&lt;= ($AA$7+$AA$8)), W208/V208, " ")</f>
        <v xml:space="preserve"> </v>
      </c>
      <c r="AB208" s="25" t="str">
        <f>IF(AND(U208&gt;='Amort. Sched.-BEST'!$AA$8, U208&lt;= ($AA$7+$AA$8)), X208/V208, " ")</f>
        <v xml:space="preserve"> </v>
      </c>
      <c r="AD208" s="22">
        <f t="shared" si="54"/>
        <v>197</v>
      </c>
      <c r="AE208" s="5">
        <f t="shared" si="55"/>
        <v>0</v>
      </c>
      <c r="AF208" s="5">
        <f t="shared" si="56"/>
        <v>0</v>
      </c>
      <c r="AG208" s="5">
        <f t="shared" si="57"/>
        <v>0</v>
      </c>
      <c r="AH208" s="5">
        <f>IF(CreditAmort3BEST[[#This Row],[Month]]=AJ$8,AF$7,0)</f>
        <v>0</v>
      </c>
      <c r="AI208" s="13">
        <f t="shared" si="58"/>
        <v>0</v>
      </c>
      <c r="AJ208" s="6" t="str">
        <f t="shared" si="59"/>
        <v xml:space="preserve"> </v>
      </c>
      <c r="AK208" s="21" t="str">
        <f t="shared" si="60"/>
        <v xml:space="preserve"> </v>
      </c>
      <c r="AM208" s="20">
        <f t="shared" si="61"/>
        <v>197</v>
      </c>
      <c r="AN208" s="5">
        <f t="shared" si="62"/>
        <v>0</v>
      </c>
      <c r="AO208" s="5">
        <f t="shared" si="63"/>
        <v>0</v>
      </c>
      <c r="AP208" s="5">
        <f t="shared" si="64"/>
        <v>0</v>
      </c>
      <c r="AQ208" s="5">
        <f>IF(CreditAmort4BEST[[#This Row],[Month]]=AS$8,AO$7,0)</f>
        <v>0</v>
      </c>
      <c r="AR208" s="13">
        <f t="shared" si="65"/>
        <v>0</v>
      </c>
      <c r="AS208" s="6" t="str">
        <f t="shared" si="66"/>
        <v xml:space="preserve"> </v>
      </c>
      <c r="AT208" s="21" t="str">
        <f t="shared" si="67"/>
        <v xml:space="preserve"> </v>
      </c>
    </row>
    <row r="209" spans="3:46">
      <c r="C209" s="22">
        <f t="shared" si="52"/>
        <v>198</v>
      </c>
      <c r="D209" s="23">
        <f>IF(AND(C209&gt;='Amort. Sched.-BEST'!$I$8, C209&lt;= ($I$7+$I$8)), PMT('Amort. Sched.-BEST'!$E$8/12, 'Amort. Sched.-BEST'!$I$7, 'Amort. Sched.-BEST'!$E$7), 0)</f>
        <v>-1350.6783839027553</v>
      </c>
      <c r="E209" s="5">
        <f>IF(AND(C209&gt;='Amort. Sched.-BEST'!$I$8, C209&lt;= ($I$7+$I$8)), (IPMT($E$8/12, (C209-$I$8), $I$7, $E$7)), 0)</f>
        <v>-669.3977230029451</v>
      </c>
      <c r="F209" s="23">
        <f>IF(AND(C209&gt;='Amort. Sched.-BEST'!$I$8, C209&lt;= ($I$7+$I$8)), (PPMT($E$8/12, (C209-$I$8), $I$7, $E$7)), 0)</f>
        <v>-681.28066089981041</v>
      </c>
      <c r="G209" s="5">
        <f>IF(MortgageAmortBEST[[#This Row],[Month]]=I$8,E$7,0)</f>
        <v>0</v>
      </c>
      <c r="H209" s="13">
        <f>IF(AND(C209&gt;='Amort. Sched.-BEST'!$I$8, C209&lt;= ($I$7+$I$8)), H208+F209, 0)</f>
        <v>99728.377789541904</v>
      </c>
      <c r="I209" s="24">
        <f>IF(AND(C209&gt;='Amort. Sched.-BEST'!$I$8, C209&lt;= ($I$7+$I$8)), E209/D209, " ")</f>
        <v>0.49560112235507553</v>
      </c>
      <c r="J209" s="25">
        <f>IF(AND(C209&gt;='Amort. Sched.-BEST'!$I$8, C209&lt;= ($I$7+$I$8)), F209/D209, " ")</f>
        <v>0.50439887764492464</v>
      </c>
      <c r="L209" s="20">
        <f t="shared" si="51"/>
        <v>198</v>
      </c>
      <c r="M209" s="5">
        <f>IF(AND(L209&gt;='Amort. Sched.-BEST'!$R$8, L209&lt;= ($R$7+$R$8)), PMT('Amort. Sched.-BEST'!$N$8/12, 'Amort. Sched.-BEST'!$R$7, 'Amort. Sched.-BEST'!$N$7), 0)</f>
        <v>0</v>
      </c>
      <c r="N209" s="5">
        <f>IF(AND(L209&gt;='Amort. Sched.-BEST'!$R$8, L209&lt;= ($R$7+$R$8)), (IPMT($N$8/12, (L209-$R$8), $R$7, $N$7)), 0)</f>
        <v>0</v>
      </c>
      <c r="O209" s="5">
        <f>IF(AND(L209&gt;='Amort. Sched.-BEST'!$R$8, L209&lt;= ($R$7+$R$8)), (PPMT($N$8/12, (L209-$R$8), $R$7, $N$7)), 0)</f>
        <v>0</v>
      </c>
      <c r="P209" s="5">
        <f>IF(CreditAmort1BEST[[#This Row],[Month]]=R$8,N$7,0)</f>
        <v>0</v>
      </c>
      <c r="Q209" s="13">
        <f>IF(AND(L209&gt;='Amort. Sched.-BEST'!$R$8, L209&lt;= ($R$7+$R$8)), Q208+O209, 0)</f>
        <v>0</v>
      </c>
      <c r="R209" s="6" t="str">
        <f>IF(AND(L209&gt;='Amort. Sched.-BEST'!$R$8, L209&lt;= ($R$7+$R$8)), N209/M209, " ")</f>
        <v xml:space="preserve"> </v>
      </c>
      <c r="S209" s="21" t="str">
        <f>IF(AND(L209&gt;='Amort. Sched.-BEST'!$R$8, L209&lt;= ($R$7+$R$8)), O209/M209, " ")</f>
        <v xml:space="preserve"> </v>
      </c>
      <c r="U209" s="22">
        <f t="shared" si="53"/>
        <v>198</v>
      </c>
      <c r="V209" s="23">
        <f>IF(AND(U209&gt;='Amort. Sched.-BEST'!$AA$8, U209&lt;= ($AA$7+$AA$8)), PMT('Amort. Sched.-BEST'!$W$8/12, 'Amort. Sched.-BEST'!$AA$7, 'Amort. Sched.-BEST'!$W$7), 0)</f>
        <v>0</v>
      </c>
      <c r="W209" s="5">
        <f>IF(AND(U209&gt;='Amort. Sched.-BEST'!$AA$8, U209&lt;= ($AA$7+$AA$8)), (IPMT($W$8/12, (U209-$AA$8), $AA$7, $W$7)), 0)</f>
        <v>0</v>
      </c>
      <c r="X209" s="23">
        <f>IF(AND(U209&gt;='Amort. Sched.-BEST'!$AA$8, U209&lt;= ($AA$7+$AA$8)), (PPMT($W$8/12, (U209-$AA$8), $AA$7, $W$7)), 0)</f>
        <v>0</v>
      </c>
      <c r="Y209" s="5">
        <f>IF(CreditAmort2BEST[[#This Row],[Month]]=AA$8,W$7,0)</f>
        <v>0</v>
      </c>
      <c r="Z209" s="13">
        <f>IF(AND(U209&gt;='Amort. Sched.-BEST'!$AA$8, U209&lt;= ($AA$7+$AA$8)), Z208+X209, 0)</f>
        <v>0</v>
      </c>
      <c r="AA209" s="24" t="str">
        <f>IF(AND(U209&gt;='Amort. Sched.-BEST'!$AA$8, U209&lt;= ($AA$7+$AA$8)), W209/V209, " ")</f>
        <v xml:space="preserve"> </v>
      </c>
      <c r="AB209" s="25" t="str">
        <f>IF(AND(U209&gt;='Amort. Sched.-BEST'!$AA$8, U209&lt;= ($AA$7+$AA$8)), X209/V209, " ")</f>
        <v xml:space="preserve"> </v>
      </c>
      <c r="AD209" s="22">
        <f t="shared" si="54"/>
        <v>198</v>
      </c>
      <c r="AE209" s="5">
        <f t="shared" si="55"/>
        <v>0</v>
      </c>
      <c r="AF209" s="5">
        <f t="shared" si="56"/>
        <v>0</v>
      </c>
      <c r="AG209" s="5">
        <f t="shared" si="57"/>
        <v>0</v>
      </c>
      <c r="AH209" s="5">
        <f>IF(CreditAmort3BEST[[#This Row],[Month]]=AJ$8,AF$7,0)</f>
        <v>0</v>
      </c>
      <c r="AI209" s="13">
        <f t="shared" si="58"/>
        <v>0</v>
      </c>
      <c r="AJ209" s="6" t="str">
        <f t="shared" si="59"/>
        <v xml:space="preserve"> </v>
      </c>
      <c r="AK209" s="21" t="str">
        <f t="shared" si="60"/>
        <v xml:space="preserve"> </v>
      </c>
      <c r="AM209" s="20">
        <f t="shared" si="61"/>
        <v>198</v>
      </c>
      <c r="AN209" s="5">
        <f t="shared" si="62"/>
        <v>0</v>
      </c>
      <c r="AO209" s="5">
        <f t="shared" si="63"/>
        <v>0</v>
      </c>
      <c r="AP209" s="5">
        <f t="shared" si="64"/>
        <v>0</v>
      </c>
      <c r="AQ209" s="5">
        <f>IF(CreditAmort4BEST[[#This Row],[Month]]=AS$8,AO$7,0)</f>
        <v>0</v>
      </c>
      <c r="AR209" s="13">
        <f t="shared" si="65"/>
        <v>0</v>
      </c>
      <c r="AS209" s="6" t="str">
        <f t="shared" si="66"/>
        <v xml:space="preserve"> </v>
      </c>
      <c r="AT209" s="21" t="str">
        <f t="shared" si="67"/>
        <v xml:space="preserve"> </v>
      </c>
    </row>
    <row r="210" spans="3:46">
      <c r="C210" s="22">
        <f t="shared" si="52"/>
        <v>199</v>
      </c>
      <c r="D210" s="23">
        <f>IF(AND(C210&gt;='Amort. Sched.-BEST'!$I$8, C210&lt;= ($I$7+$I$8)), PMT('Amort. Sched.-BEST'!$E$8/12, 'Amort. Sched.-BEST'!$I$7, 'Amort. Sched.-BEST'!$E$7), 0)</f>
        <v>-1350.6783839027553</v>
      </c>
      <c r="E210" s="5">
        <f>IF(AND(C210&gt;='Amort. Sched.-BEST'!$I$8, C210&lt;= ($I$7+$I$8)), (IPMT($E$8/12, (C210-$I$8), $I$7, $E$7)), 0)</f>
        <v>-664.85585193027964</v>
      </c>
      <c r="F210" s="23">
        <f>IF(AND(C210&gt;='Amort. Sched.-BEST'!$I$8, C210&lt;= ($I$7+$I$8)), (PPMT($E$8/12, (C210-$I$8), $I$7, $E$7)), 0)</f>
        <v>-685.82253197247576</v>
      </c>
      <c r="G210" s="5">
        <f>IF(MortgageAmortBEST[[#This Row],[Month]]=I$8,E$7,0)</f>
        <v>0</v>
      </c>
      <c r="H210" s="13">
        <f>IF(AND(C210&gt;='Amort. Sched.-BEST'!$I$8, C210&lt;= ($I$7+$I$8)), H209+F210, 0)</f>
        <v>99042.555257569431</v>
      </c>
      <c r="I210" s="24">
        <f>IF(AND(C210&gt;='Amort. Sched.-BEST'!$I$8, C210&lt;= ($I$7+$I$8)), E210/D210, " ")</f>
        <v>0.49223846317077596</v>
      </c>
      <c r="J210" s="25">
        <f>IF(AND(C210&gt;='Amort. Sched.-BEST'!$I$8, C210&lt;= ($I$7+$I$8)), F210/D210, " ")</f>
        <v>0.50776153682922409</v>
      </c>
      <c r="L210" s="20">
        <f t="shared" si="51"/>
        <v>199</v>
      </c>
      <c r="M210" s="5">
        <f>IF(AND(L210&gt;='Amort. Sched.-BEST'!$R$8, L210&lt;= ($R$7+$R$8)), PMT('Amort. Sched.-BEST'!$N$8/12, 'Amort. Sched.-BEST'!$R$7, 'Amort. Sched.-BEST'!$N$7), 0)</f>
        <v>0</v>
      </c>
      <c r="N210" s="5">
        <f>IF(AND(L210&gt;='Amort. Sched.-BEST'!$R$8, L210&lt;= ($R$7+$R$8)), (IPMT($N$8/12, (L210-$R$8), $R$7, $N$7)), 0)</f>
        <v>0</v>
      </c>
      <c r="O210" s="5">
        <f>IF(AND(L210&gt;='Amort. Sched.-BEST'!$R$8, L210&lt;= ($R$7+$R$8)), (PPMT($N$8/12, (L210-$R$8), $R$7, $N$7)), 0)</f>
        <v>0</v>
      </c>
      <c r="P210" s="5">
        <f>IF(CreditAmort1BEST[[#This Row],[Month]]=R$8,N$7,0)</f>
        <v>0</v>
      </c>
      <c r="Q210" s="13">
        <f>IF(AND(L210&gt;='Amort. Sched.-BEST'!$R$8, L210&lt;= ($R$7+$R$8)), Q209+O210, 0)</f>
        <v>0</v>
      </c>
      <c r="R210" s="6" t="str">
        <f>IF(AND(L210&gt;='Amort. Sched.-BEST'!$R$8, L210&lt;= ($R$7+$R$8)), N210/M210, " ")</f>
        <v xml:space="preserve"> </v>
      </c>
      <c r="S210" s="21" t="str">
        <f>IF(AND(L210&gt;='Amort. Sched.-BEST'!$R$8, L210&lt;= ($R$7+$R$8)), O210/M210, " ")</f>
        <v xml:space="preserve"> </v>
      </c>
      <c r="U210" s="22">
        <f t="shared" si="53"/>
        <v>199</v>
      </c>
      <c r="V210" s="23">
        <f>IF(AND(U210&gt;='Amort. Sched.-BEST'!$AA$8, U210&lt;= ($AA$7+$AA$8)), PMT('Amort. Sched.-BEST'!$W$8/12, 'Amort. Sched.-BEST'!$AA$7, 'Amort. Sched.-BEST'!$W$7), 0)</f>
        <v>0</v>
      </c>
      <c r="W210" s="5">
        <f>IF(AND(U210&gt;='Amort. Sched.-BEST'!$AA$8, U210&lt;= ($AA$7+$AA$8)), (IPMT($W$8/12, (U210-$AA$8), $AA$7, $W$7)), 0)</f>
        <v>0</v>
      </c>
      <c r="X210" s="23">
        <f>IF(AND(U210&gt;='Amort. Sched.-BEST'!$AA$8, U210&lt;= ($AA$7+$AA$8)), (PPMT($W$8/12, (U210-$AA$8), $AA$7, $W$7)), 0)</f>
        <v>0</v>
      </c>
      <c r="Y210" s="5">
        <f>IF(CreditAmort2BEST[[#This Row],[Month]]=AA$8,W$7,0)</f>
        <v>0</v>
      </c>
      <c r="Z210" s="13">
        <f>IF(AND(U210&gt;='Amort. Sched.-BEST'!$AA$8, U210&lt;= ($AA$7+$AA$8)), Z209+X210, 0)</f>
        <v>0</v>
      </c>
      <c r="AA210" s="24" t="str">
        <f>IF(AND(U210&gt;='Amort. Sched.-BEST'!$AA$8, U210&lt;= ($AA$7+$AA$8)), W210/V210, " ")</f>
        <v xml:space="preserve"> </v>
      </c>
      <c r="AB210" s="25" t="str">
        <f>IF(AND(U210&gt;='Amort. Sched.-BEST'!$AA$8, U210&lt;= ($AA$7+$AA$8)), X210/V210, " ")</f>
        <v xml:space="preserve"> </v>
      </c>
      <c r="AD210" s="22">
        <f t="shared" si="54"/>
        <v>199</v>
      </c>
      <c r="AE210" s="5">
        <f t="shared" si="55"/>
        <v>0</v>
      </c>
      <c r="AF210" s="5">
        <f t="shared" si="56"/>
        <v>0</v>
      </c>
      <c r="AG210" s="5">
        <f t="shared" si="57"/>
        <v>0</v>
      </c>
      <c r="AH210" s="5">
        <f>IF(CreditAmort3BEST[[#This Row],[Month]]=AJ$8,AF$7,0)</f>
        <v>0</v>
      </c>
      <c r="AI210" s="13">
        <f t="shared" si="58"/>
        <v>0</v>
      </c>
      <c r="AJ210" s="6" t="str">
        <f t="shared" si="59"/>
        <v xml:space="preserve"> </v>
      </c>
      <c r="AK210" s="21" t="str">
        <f t="shared" si="60"/>
        <v xml:space="preserve"> </v>
      </c>
      <c r="AM210" s="20">
        <f t="shared" si="61"/>
        <v>199</v>
      </c>
      <c r="AN210" s="5">
        <f t="shared" si="62"/>
        <v>0</v>
      </c>
      <c r="AO210" s="5">
        <f t="shared" si="63"/>
        <v>0</v>
      </c>
      <c r="AP210" s="5">
        <f t="shared" si="64"/>
        <v>0</v>
      </c>
      <c r="AQ210" s="5">
        <f>IF(CreditAmort4BEST[[#This Row],[Month]]=AS$8,AO$7,0)</f>
        <v>0</v>
      </c>
      <c r="AR210" s="13">
        <f t="shared" si="65"/>
        <v>0</v>
      </c>
      <c r="AS210" s="6" t="str">
        <f t="shared" si="66"/>
        <v xml:space="preserve"> </v>
      </c>
      <c r="AT210" s="21" t="str">
        <f t="shared" si="67"/>
        <v xml:space="preserve"> </v>
      </c>
    </row>
    <row r="211" spans="3:46">
      <c r="C211" s="22">
        <f t="shared" si="52"/>
        <v>200</v>
      </c>
      <c r="D211" s="23">
        <f>IF(AND(C211&gt;='Amort. Sched.-BEST'!$I$8, C211&lt;= ($I$7+$I$8)), PMT('Amort. Sched.-BEST'!$E$8/12, 'Amort. Sched.-BEST'!$I$7, 'Amort. Sched.-BEST'!$E$7), 0)</f>
        <v>-1350.6783839027553</v>
      </c>
      <c r="E211" s="5">
        <f>IF(AND(C211&gt;='Amort. Sched.-BEST'!$I$8, C211&lt;= ($I$7+$I$8)), (IPMT($E$8/12, (C211-$I$8), $I$7, $E$7)), 0)</f>
        <v>-660.28370171712982</v>
      </c>
      <c r="F211" s="23">
        <f>IF(AND(C211&gt;='Amort. Sched.-BEST'!$I$8, C211&lt;= ($I$7+$I$8)), (PPMT($E$8/12, (C211-$I$8), $I$7, $E$7)), 0)</f>
        <v>-690.39468218562558</v>
      </c>
      <c r="G211" s="5">
        <f>IF(MortgageAmortBEST[[#This Row],[Month]]=I$8,E$7,0)</f>
        <v>0</v>
      </c>
      <c r="H211" s="13">
        <f>IF(AND(C211&gt;='Amort. Sched.-BEST'!$I$8, C211&lt;= ($I$7+$I$8)), H210+F211, 0)</f>
        <v>98352.160575383808</v>
      </c>
      <c r="I211" s="24">
        <f>IF(AND(C211&gt;='Amort. Sched.-BEST'!$I$8, C211&lt;= ($I$7+$I$8)), E211/D211, " ")</f>
        <v>0.48885338625858116</v>
      </c>
      <c r="J211" s="25">
        <f>IF(AND(C211&gt;='Amort. Sched.-BEST'!$I$8, C211&lt;= ($I$7+$I$8)), F211/D211, " ")</f>
        <v>0.5111466137414189</v>
      </c>
      <c r="L211" s="20">
        <f t="shared" si="51"/>
        <v>200</v>
      </c>
      <c r="M211" s="5">
        <f>IF(AND(L211&gt;='Amort. Sched.-BEST'!$R$8, L211&lt;= ($R$7+$R$8)), PMT('Amort. Sched.-BEST'!$N$8/12, 'Amort. Sched.-BEST'!$R$7, 'Amort. Sched.-BEST'!$N$7), 0)</f>
        <v>0</v>
      </c>
      <c r="N211" s="5">
        <f>IF(AND(L211&gt;='Amort. Sched.-BEST'!$R$8, L211&lt;= ($R$7+$R$8)), (IPMT($N$8/12, (L211-$R$8), $R$7, $N$7)), 0)</f>
        <v>0</v>
      </c>
      <c r="O211" s="5">
        <f>IF(AND(L211&gt;='Amort. Sched.-BEST'!$R$8, L211&lt;= ($R$7+$R$8)), (PPMT($N$8/12, (L211-$R$8), $R$7, $N$7)), 0)</f>
        <v>0</v>
      </c>
      <c r="P211" s="5">
        <f>IF(CreditAmort1BEST[[#This Row],[Month]]=R$8,N$7,0)</f>
        <v>0</v>
      </c>
      <c r="Q211" s="13">
        <f>IF(AND(L211&gt;='Amort. Sched.-BEST'!$R$8, L211&lt;= ($R$7+$R$8)), Q210+O211, 0)</f>
        <v>0</v>
      </c>
      <c r="R211" s="6" t="str">
        <f>IF(AND(L211&gt;='Amort. Sched.-BEST'!$R$8, L211&lt;= ($R$7+$R$8)), N211/M211, " ")</f>
        <v xml:space="preserve"> </v>
      </c>
      <c r="S211" s="21" t="str">
        <f>IF(AND(L211&gt;='Amort. Sched.-BEST'!$R$8, L211&lt;= ($R$7+$R$8)), O211/M211, " ")</f>
        <v xml:space="preserve"> </v>
      </c>
      <c r="U211" s="22">
        <f t="shared" si="53"/>
        <v>200</v>
      </c>
      <c r="V211" s="23">
        <f>IF(AND(U211&gt;='Amort. Sched.-BEST'!$AA$8, U211&lt;= ($AA$7+$AA$8)), PMT('Amort. Sched.-BEST'!$W$8/12, 'Amort. Sched.-BEST'!$AA$7, 'Amort. Sched.-BEST'!$W$7), 0)</f>
        <v>0</v>
      </c>
      <c r="W211" s="5">
        <f>IF(AND(U211&gt;='Amort. Sched.-BEST'!$AA$8, U211&lt;= ($AA$7+$AA$8)), (IPMT($W$8/12, (U211-$AA$8), $AA$7, $W$7)), 0)</f>
        <v>0</v>
      </c>
      <c r="X211" s="23">
        <f>IF(AND(U211&gt;='Amort. Sched.-BEST'!$AA$8, U211&lt;= ($AA$7+$AA$8)), (PPMT($W$8/12, (U211-$AA$8), $AA$7, $W$7)), 0)</f>
        <v>0</v>
      </c>
      <c r="Y211" s="5">
        <f>IF(CreditAmort2BEST[[#This Row],[Month]]=AA$8,W$7,0)</f>
        <v>0</v>
      </c>
      <c r="Z211" s="13">
        <f>IF(AND(U211&gt;='Amort. Sched.-BEST'!$AA$8, U211&lt;= ($AA$7+$AA$8)), Z210+X211, 0)</f>
        <v>0</v>
      </c>
      <c r="AA211" s="24" t="str">
        <f>IF(AND(U211&gt;='Amort. Sched.-BEST'!$AA$8, U211&lt;= ($AA$7+$AA$8)), W211/V211, " ")</f>
        <v xml:space="preserve"> </v>
      </c>
      <c r="AB211" s="25" t="str">
        <f>IF(AND(U211&gt;='Amort. Sched.-BEST'!$AA$8, U211&lt;= ($AA$7+$AA$8)), X211/V211, " ")</f>
        <v xml:space="preserve"> </v>
      </c>
      <c r="AD211" s="22">
        <f t="shared" si="54"/>
        <v>200</v>
      </c>
      <c r="AE211" s="5">
        <f t="shared" si="55"/>
        <v>0</v>
      </c>
      <c r="AF211" s="5">
        <f t="shared" si="56"/>
        <v>0</v>
      </c>
      <c r="AG211" s="5">
        <f t="shared" si="57"/>
        <v>0</v>
      </c>
      <c r="AH211" s="5">
        <f>IF(CreditAmort3BEST[[#This Row],[Month]]=AJ$8,AF$7,0)</f>
        <v>0</v>
      </c>
      <c r="AI211" s="13">
        <f t="shared" si="58"/>
        <v>0</v>
      </c>
      <c r="AJ211" s="6" t="str">
        <f t="shared" si="59"/>
        <v xml:space="preserve"> </v>
      </c>
      <c r="AK211" s="21" t="str">
        <f t="shared" si="60"/>
        <v xml:space="preserve"> </v>
      </c>
      <c r="AM211" s="20">
        <f t="shared" si="61"/>
        <v>200</v>
      </c>
      <c r="AN211" s="5">
        <f t="shared" si="62"/>
        <v>0</v>
      </c>
      <c r="AO211" s="5">
        <f t="shared" si="63"/>
        <v>0</v>
      </c>
      <c r="AP211" s="5">
        <f t="shared" si="64"/>
        <v>0</v>
      </c>
      <c r="AQ211" s="5">
        <f>IF(CreditAmort4BEST[[#This Row],[Month]]=AS$8,AO$7,0)</f>
        <v>0</v>
      </c>
      <c r="AR211" s="13">
        <f t="shared" si="65"/>
        <v>0</v>
      </c>
      <c r="AS211" s="6" t="str">
        <f t="shared" si="66"/>
        <v xml:space="preserve"> </v>
      </c>
      <c r="AT211" s="21" t="str">
        <f t="shared" si="67"/>
        <v xml:space="preserve"> </v>
      </c>
    </row>
    <row r="212" spans="3:46">
      <c r="C212" s="22">
        <f t="shared" si="52"/>
        <v>201</v>
      </c>
      <c r="D212" s="23">
        <f>IF(AND(C212&gt;='Amort. Sched.-BEST'!$I$8, C212&lt;= ($I$7+$I$8)), PMT('Amort. Sched.-BEST'!$E$8/12, 'Amort. Sched.-BEST'!$I$7, 'Amort. Sched.-BEST'!$E$7), 0)</f>
        <v>-1350.6783839027553</v>
      </c>
      <c r="E212" s="5">
        <f>IF(AND(C212&gt;='Amort. Sched.-BEST'!$I$8, C212&lt;= ($I$7+$I$8)), (IPMT($E$8/12, (C212-$I$8), $I$7, $E$7)), 0)</f>
        <v>-655.6810705025589</v>
      </c>
      <c r="F212" s="23">
        <f>IF(AND(C212&gt;='Amort. Sched.-BEST'!$I$8, C212&lt;= ($I$7+$I$8)), (PPMT($E$8/12, (C212-$I$8), $I$7, $E$7)), 0)</f>
        <v>-694.99731340019639</v>
      </c>
      <c r="G212" s="5">
        <f>IF(MortgageAmortBEST[[#This Row],[Month]]=I$8,E$7,0)</f>
        <v>0</v>
      </c>
      <c r="H212" s="13">
        <f>IF(AND(C212&gt;='Amort. Sched.-BEST'!$I$8, C212&lt;= ($I$7+$I$8)), H211+F212, 0)</f>
        <v>97657.163261983616</v>
      </c>
      <c r="I212" s="24">
        <f>IF(AND(C212&gt;='Amort. Sched.-BEST'!$I$8, C212&lt;= ($I$7+$I$8)), E212/D212, " ")</f>
        <v>0.48544574216697167</v>
      </c>
      <c r="J212" s="25">
        <f>IF(AND(C212&gt;='Amort. Sched.-BEST'!$I$8, C212&lt;= ($I$7+$I$8)), F212/D212, " ")</f>
        <v>0.51455425783302833</v>
      </c>
      <c r="L212" s="20">
        <f t="shared" si="51"/>
        <v>201</v>
      </c>
      <c r="M212" s="5">
        <f>IF(AND(L212&gt;='Amort. Sched.-BEST'!$R$8, L212&lt;= ($R$7+$R$8)), PMT('Amort. Sched.-BEST'!$N$8/12, 'Amort. Sched.-BEST'!$R$7, 'Amort. Sched.-BEST'!$N$7), 0)</f>
        <v>0</v>
      </c>
      <c r="N212" s="5">
        <f>IF(AND(L212&gt;='Amort. Sched.-BEST'!$R$8, L212&lt;= ($R$7+$R$8)), (IPMT($N$8/12, (L212-$R$8), $R$7, $N$7)), 0)</f>
        <v>0</v>
      </c>
      <c r="O212" s="5">
        <f>IF(AND(L212&gt;='Amort. Sched.-BEST'!$R$8, L212&lt;= ($R$7+$R$8)), (PPMT($N$8/12, (L212-$R$8), $R$7, $N$7)), 0)</f>
        <v>0</v>
      </c>
      <c r="P212" s="5">
        <f>IF(CreditAmort1BEST[[#This Row],[Month]]=R$8,N$7,0)</f>
        <v>0</v>
      </c>
      <c r="Q212" s="13">
        <f>IF(AND(L212&gt;='Amort. Sched.-BEST'!$R$8, L212&lt;= ($R$7+$R$8)), Q211+O212, 0)</f>
        <v>0</v>
      </c>
      <c r="R212" s="6" t="str">
        <f>IF(AND(L212&gt;='Amort. Sched.-BEST'!$R$8, L212&lt;= ($R$7+$R$8)), N212/M212, " ")</f>
        <v xml:space="preserve"> </v>
      </c>
      <c r="S212" s="21" t="str">
        <f>IF(AND(L212&gt;='Amort. Sched.-BEST'!$R$8, L212&lt;= ($R$7+$R$8)), O212/M212, " ")</f>
        <v xml:space="preserve"> </v>
      </c>
      <c r="U212" s="22">
        <f t="shared" si="53"/>
        <v>201</v>
      </c>
      <c r="V212" s="23">
        <f>IF(AND(U212&gt;='Amort. Sched.-BEST'!$AA$8, U212&lt;= ($AA$7+$AA$8)), PMT('Amort. Sched.-BEST'!$W$8/12, 'Amort. Sched.-BEST'!$AA$7, 'Amort. Sched.-BEST'!$W$7), 0)</f>
        <v>0</v>
      </c>
      <c r="W212" s="5">
        <f>IF(AND(U212&gt;='Amort. Sched.-BEST'!$AA$8, U212&lt;= ($AA$7+$AA$8)), (IPMT($W$8/12, (U212-$AA$8), $AA$7, $W$7)), 0)</f>
        <v>0</v>
      </c>
      <c r="X212" s="23">
        <f>IF(AND(U212&gt;='Amort. Sched.-BEST'!$AA$8, U212&lt;= ($AA$7+$AA$8)), (PPMT($W$8/12, (U212-$AA$8), $AA$7, $W$7)), 0)</f>
        <v>0</v>
      </c>
      <c r="Y212" s="5">
        <f>IF(CreditAmort2BEST[[#This Row],[Month]]=AA$8,W$7,0)</f>
        <v>0</v>
      </c>
      <c r="Z212" s="13">
        <f>IF(AND(U212&gt;='Amort. Sched.-BEST'!$AA$8, U212&lt;= ($AA$7+$AA$8)), Z211+X212, 0)</f>
        <v>0</v>
      </c>
      <c r="AA212" s="24" t="str">
        <f>IF(AND(U212&gt;='Amort. Sched.-BEST'!$AA$8, U212&lt;= ($AA$7+$AA$8)), W212/V212, " ")</f>
        <v xml:space="preserve"> </v>
      </c>
      <c r="AB212" s="25" t="str">
        <f>IF(AND(U212&gt;='Amort. Sched.-BEST'!$AA$8, U212&lt;= ($AA$7+$AA$8)), X212/V212, " ")</f>
        <v xml:space="preserve"> </v>
      </c>
      <c r="AD212" s="22">
        <f t="shared" si="54"/>
        <v>201</v>
      </c>
      <c r="AE212" s="5">
        <f t="shared" si="55"/>
        <v>0</v>
      </c>
      <c r="AF212" s="5">
        <f t="shared" si="56"/>
        <v>0</v>
      </c>
      <c r="AG212" s="5">
        <f t="shared" si="57"/>
        <v>0</v>
      </c>
      <c r="AH212" s="5">
        <f>IF(CreditAmort3BEST[[#This Row],[Month]]=AJ$8,AF$7,0)</f>
        <v>0</v>
      </c>
      <c r="AI212" s="13">
        <f t="shared" si="58"/>
        <v>0</v>
      </c>
      <c r="AJ212" s="6" t="str">
        <f t="shared" si="59"/>
        <v xml:space="preserve"> </v>
      </c>
      <c r="AK212" s="21" t="str">
        <f t="shared" si="60"/>
        <v xml:space="preserve"> </v>
      </c>
      <c r="AM212" s="20">
        <f t="shared" si="61"/>
        <v>201</v>
      </c>
      <c r="AN212" s="5">
        <f t="shared" si="62"/>
        <v>0</v>
      </c>
      <c r="AO212" s="5">
        <f t="shared" si="63"/>
        <v>0</v>
      </c>
      <c r="AP212" s="5">
        <f t="shared" si="64"/>
        <v>0</v>
      </c>
      <c r="AQ212" s="5">
        <f>IF(CreditAmort4BEST[[#This Row],[Month]]=AS$8,AO$7,0)</f>
        <v>0</v>
      </c>
      <c r="AR212" s="13">
        <f t="shared" si="65"/>
        <v>0</v>
      </c>
      <c r="AS212" s="6" t="str">
        <f t="shared" si="66"/>
        <v xml:space="preserve"> </v>
      </c>
      <c r="AT212" s="21" t="str">
        <f t="shared" si="67"/>
        <v xml:space="preserve"> </v>
      </c>
    </row>
    <row r="213" spans="3:46">
      <c r="C213" s="22">
        <f t="shared" si="52"/>
        <v>202</v>
      </c>
      <c r="D213" s="23">
        <f>IF(AND(C213&gt;='Amort. Sched.-BEST'!$I$8, C213&lt;= ($I$7+$I$8)), PMT('Amort. Sched.-BEST'!$E$8/12, 'Amort. Sched.-BEST'!$I$7, 'Amort. Sched.-BEST'!$E$7), 0)</f>
        <v>-1350.6783839027553</v>
      </c>
      <c r="E213" s="5">
        <f>IF(AND(C213&gt;='Amort. Sched.-BEST'!$I$8, C213&lt;= ($I$7+$I$8)), (IPMT($E$8/12, (C213-$I$8), $I$7, $E$7)), 0)</f>
        <v>-651.04775507989098</v>
      </c>
      <c r="F213" s="23">
        <f>IF(AND(C213&gt;='Amort. Sched.-BEST'!$I$8, C213&lt;= ($I$7+$I$8)), (PPMT($E$8/12, (C213-$I$8), $I$7, $E$7)), 0)</f>
        <v>-699.63062882286442</v>
      </c>
      <c r="G213" s="5">
        <f>IF(MortgageAmortBEST[[#This Row],[Month]]=I$8,E$7,0)</f>
        <v>0</v>
      </c>
      <c r="H213" s="13">
        <f>IF(AND(C213&gt;='Amort. Sched.-BEST'!$I$8, C213&lt;= ($I$7+$I$8)), H212+F213, 0)</f>
        <v>96957.53263316075</v>
      </c>
      <c r="I213" s="24">
        <f>IF(AND(C213&gt;='Amort. Sched.-BEST'!$I$8, C213&lt;= ($I$7+$I$8)), E213/D213, " ")</f>
        <v>0.48201538044808484</v>
      </c>
      <c r="J213" s="25">
        <f>IF(AND(C213&gt;='Amort. Sched.-BEST'!$I$8, C213&lt;= ($I$7+$I$8)), F213/D213, " ")</f>
        <v>0.51798461955191522</v>
      </c>
      <c r="L213" s="20">
        <f t="shared" si="51"/>
        <v>202</v>
      </c>
      <c r="M213" s="5">
        <f>IF(AND(L213&gt;='Amort. Sched.-BEST'!$R$8, L213&lt;= ($R$7+$R$8)), PMT('Amort. Sched.-BEST'!$N$8/12, 'Amort. Sched.-BEST'!$R$7, 'Amort. Sched.-BEST'!$N$7), 0)</f>
        <v>0</v>
      </c>
      <c r="N213" s="5">
        <f>IF(AND(L213&gt;='Amort. Sched.-BEST'!$R$8, L213&lt;= ($R$7+$R$8)), (IPMT($N$8/12, (L213-$R$8), $R$7, $N$7)), 0)</f>
        <v>0</v>
      </c>
      <c r="O213" s="5">
        <f>IF(AND(L213&gt;='Amort. Sched.-BEST'!$R$8, L213&lt;= ($R$7+$R$8)), (PPMT($N$8/12, (L213-$R$8), $R$7, $N$7)), 0)</f>
        <v>0</v>
      </c>
      <c r="P213" s="5">
        <f>IF(CreditAmort1BEST[[#This Row],[Month]]=R$8,N$7,0)</f>
        <v>0</v>
      </c>
      <c r="Q213" s="13">
        <f>IF(AND(L213&gt;='Amort. Sched.-BEST'!$R$8, L213&lt;= ($R$7+$R$8)), Q212+O213, 0)</f>
        <v>0</v>
      </c>
      <c r="R213" s="6" t="str">
        <f>IF(AND(L213&gt;='Amort. Sched.-BEST'!$R$8, L213&lt;= ($R$7+$R$8)), N213/M213, " ")</f>
        <v xml:space="preserve"> </v>
      </c>
      <c r="S213" s="21" t="str">
        <f>IF(AND(L213&gt;='Amort. Sched.-BEST'!$R$8, L213&lt;= ($R$7+$R$8)), O213/M213, " ")</f>
        <v xml:space="preserve"> </v>
      </c>
      <c r="U213" s="22">
        <f t="shared" si="53"/>
        <v>202</v>
      </c>
      <c r="V213" s="23">
        <f>IF(AND(U213&gt;='Amort. Sched.-BEST'!$AA$8, U213&lt;= ($AA$7+$AA$8)), PMT('Amort. Sched.-BEST'!$W$8/12, 'Amort. Sched.-BEST'!$AA$7, 'Amort. Sched.-BEST'!$W$7), 0)</f>
        <v>0</v>
      </c>
      <c r="W213" s="5">
        <f>IF(AND(U213&gt;='Amort. Sched.-BEST'!$AA$8, U213&lt;= ($AA$7+$AA$8)), (IPMT($W$8/12, (U213-$AA$8), $AA$7, $W$7)), 0)</f>
        <v>0</v>
      </c>
      <c r="X213" s="23">
        <f>IF(AND(U213&gt;='Amort. Sched.-BEST'!$AA$8, U213&lt;= ($AA$7+$AA$8)), (PPMT($W$8/12, (U213-$AA$8), $AA$7, $W$7)), 0)</f>
        <v>0</v>
      </c>
      <c r="Y213" s="5">
        <f>IF(CreditAmort2BEST[[#This Row],[Month]]=AA$8,W$7,0)</f>
        <v>0</v>
      </c>
      <c r="Z213" s="13">
        <f>IF(AND(U213&gt;='Amort. Sched.-BEST'!$AA$8, U213&lt;= ($AA$7+$AA$8)), Z212+X213, 0)</f>
        <v>0</v>
      </c>
      <c r="AA213" s="24" t="str">
        <f>IF(AND(U213&gt;='Amort. Sched.-BEST'!$AA$8, U213&lt;= ($AA$7+$AA$8)), W213/V213, " ")</f>
        <v xml:space="preserve"> </v>
      </c>
      <c r="AB213" s="25" t="str">
        <f>IF(AND(U213&gt;='Amort. Sched.-BEST'!$AA$8, U213&lt;= ($AA$7+$AA$8)), X213/V213, " ")</f>
        <v xml:space="preserve"> </v>
      </c>
      <c r="AD213" s="22">
        <f t="shared" si="54"/>
        <v>202</v>
      </c>
      <c r="AE213" s="5">
        <f t="shared" si="55"/>
        <v>0</v>
      </c>
      <c r="AF213" s="5">
        <f t="shared" si="56"/>
        <v>0</v>
      </c>
      <c r="AG213" s="5">
        <f t="shared" si="57"/>
        <v>0</v>
      </c>
      <c r="AH213" s="5">
        <f>IF(CreditAmort3BEST[[#This Row],[Month]]=AJ$8,AF$7,0)</f>
        <v>0</v>
      </c>
      <c r="AI213" s="13">
        <f t="shared" si="58"/>
        <v>0</v>
      </c>
      <c r="AJ213" s="6" t="str">
        <f t="shared" si="59"/>
        <v xml:space="preserve"> </v>
      </c>
      <c r="AK213" s="21" t="str">
        <f t="shared" si="60"/>
        <v xml:space="preserve"> </v>
      </c>
      <c r="AM213" s="20">
        <f t="shared" si="61"/>
        <v>202</v>
      </c>
      <c r="AN213" s="5">
        <f t="shared" si="62"/>
        <v>0</v>
      </c>
      <c r="AO213" s="5">
        <f t="shared" si="63"/>
        <v>0</v>
      </c>
      <c r="AP213" s="5">
        <f t="shared" si="64"/>
        <v>0</v>
      </c>
      <c r="AQ213" s="5">
        <f>IF(CreditAmort4BEST[[#This Row],[Month]]=AS$8,AO$7,0)</f>
        <v>0</v>
      </c>
      <c r="AR213" s="13">
        <f t="shared" si="65"/>
        <v>0</v>
      </c>
      <c r="AS213" s="6" t="str">
        <f t="shared" si="66"/>
        <v xml:space="preserve"> </v>
      </c>
      <c r="AT213" s="21" t="str">
        <f t="shared" si="67"/>
        <v xml:space="preserve"> </v>
      </c>
    </row>
    <row r="214" spans="3:46">
      <c r="C214" s="22">
        <f t="shared" si="52"/>
        <v>203</v>
      </c>
      <c r="D214" s="23">
        <f>IF(AND(C214&gt;='Amort. Sched.-BEST'!$I$8, C214&lt;= ($I$7+$I$8)), PMT('Amort. Sched.-BEST'!$E$8/12, 'Amort. Sched.-BEST'!$I$7, 'Amort. Sched.-BEST'!$E$7), 0)</f>
        <v>-1350.6783839027553</v>
      </c>
      <c r="E214" s="5">
        <f>IF(AND(C214&gt;='Amort. Sched.-BEST'!$I$8, C214&lt;= ($I$7+$I$8)), (IPMT($E$8/12, (C214-$I$8), $I$7, $E$7)), 0)</f>
        <v>-646.38355088773858</v>
      </c>
      <c r="F214" s="23">
        <f>IF(AND(C214&gt;='Amort. Sched.-BEST'!$I$8, C214&lt;= ($I$7+$I$8)), (PPMT($E$8/12, (C214-$I$8), $I$7, $E$7)), 0)</f>
        <v>-704.29483301501682</v>
      </c>
      <c r="G214" s="5">
        <f>IF(MortgageAmortBEST[[#This Row],[Month]]=I$8,E$7,0)</f>
        <v>0</v>
      </c>
      <c r="H214" s="13">
        <f>IF(AND(C214&gt;='Amort. Sched.-BEST'!$I$8, C214&lt;= ($I$7+$I$8)), H213+F214, 0)</f>
        <v>96253.23780014574</v>
      </c>
      <c r="I214" s="24">
        <f>IF(AND(C214&gt;='Amort. Sched.-BEST'!$I$8, C214&lt;= ($I$7+$I$8)), E214/D214, " ")</f>
        <v>0.47856214965107208</v>
      </c>
      <c r="J214" s="25">
        <f>IF(AND(C214&gt;='Amort. Sched.-BEST'!$I$8, C214&lt;= ($I$7+$I$8)), F214/D214, " ")</f>
        <v>0.52143785034892798</v>
      </c>
      <c r="L214" s="20">
        <f t="shared" si="51"/>
        <v>203</v>
      </c>
      <c r="M214" s="5">
        <f>IF(AND(L214&gt;='Amort. Sched.-BEST'!$R$8, L214&lt;= ($R$7+$R$8)), PMT('Amort. Sched.-BEST'!$N$8/12, 'Amort. Sched.-BEST'!$R$7, 'Amort. Sched.-BEST'!$N$7), 0)</f>
        <v>0</v>
      </c>
      <c r="N214" s="5">
        <f>IF(AND(L214&gt;='Amort. Sched.-BEST'!$R$8, L214&lt;= ($R$7+$R$8)), (IPMT($N$8/12, (L214-$R$8), $R$7, $N$7)), 0)</f>
        <v>0</v>
      </c>
      <c r="O214" s="5">
        <f>IF(AND(L214&gt;='Amort. Sched.-BEST'!$R$8, L214&lt;= ($R$7+$R$8)), (PPMT($N$8/12, (L214-$R$8), $R$7, $N$7)), 0)</f>
        <v>0</v>
      </c>
      <c r="P214" s="5">
        <f>IF(CreditAmort1BEST[[#This Row],[Month]]=R$8,N$7,0)</f>
        <v>0</v>
      </c>
      <c r="Q214" s="13">
        <f>IF(AND(L214&gt;='Amort. Sched.-BEST'!$R$8, L214&lt;= ($R$7+$R$8)), Q213+O214, 0)</f>
        <v>0</v>
      </c>
      <c r="R214" s="6" t="str">
        <f>IF(AND(L214&gt;='Amort. Sched.-BEST'!$R$8, L214&lt;= ($R$7+$R$8)), N214/M214, " ")</f>
        <v xml:space="preserve"> </v>
      </c>
      <c r="S214" s="21" t="str">
        <f>IF(AND(L214&gt;='Amort. Sched.-BEST'!$R$8, L214&lt;= ($R$7+$R$8)), O214/M214, " ")</f>
        <v xml:space="preserve"> </v>
      </c>
      <c r="U214" s="22">
        <f t="shared" si="53"/>
        <v>203</v>
      </c>
      <c r="V214" s="23">
        <f>IF(AND(U214&gt;='Amort. Sched.-BEST'!$AA$8, U214&lt;= ($AA$7+$AA$8)), PMT('Amort. Sched.-BEST'!$W$8/12, 'Amort. Sched.-BEST'!$AA$7, 'Amort. Sched.-BEST'!$W$7), 0)</f>
        <v>0</v>
      </c>
      <c r="W214" s="5">
        <f>IF(AND(U214&gt;='Amort. Sched.-BEST'!$AA$8, U214&lt;= ($AA$7+$AA$8)), (IPMT($W$8/12, (U214-$AA$8), $AA$7, $W$7)), 0)</f>
        <v>0</v>
      </c>
      <c r="X214" s="23">
        <f>IF(AND(U214&gt;='Amort. Sched.-BEST'!$AA$8, U214&lt;= ($AA$7+$AA$8)), (PPMT($W$8/12, (U214-$AA$8), $AA$7, $W$7)), 0)</f>
        <v>0</v>
      </c>
      <c r="Y214" s="5">
        <f>IF(CreditAmort2BEST[[#This Row],[Month]]=AA$8,W$7,0)</f>
        <v>0</v>
      </c>
      <c r="Z214" s="13">
        <f>IF(AND(U214&gt;='Amort. Sched.-BEST'!$AA$8, U214&lt;= ($AA$7+$AA$8)), Z213+X214, 0)</f>
        <v>0</v>
      </c>
      <c r="AA214" s="24" t="str">
        <f>IF(AND(U214&gt;='Amort. Sched.-BEST'!$AA$8, U214&lt;= ($AA$7+$AA$8)), W214/V214, " ")</f>
        <v xml:space="preserve"> </v>
      </c>
      <c r="AB214" s="25" t="str">
        <f>IF(AND(U214&gt;='Amort. Sched.-BEST'!$AA$8, U214&lt;= ($AA$7+$AA$8)), X214/V214, " ")</f>
        <v xml:space="preserve"> </v>
      </c>
      <c r="AD214" s="22">
        <f t="shared" si="54"/>
        <v>203</v>
      </c>
      <c r="AE214" s="5">
        <f t="shared" si="55"/>
        <v>0</v>
      </c>
      <c r="AF214" s="5">
        <f t="shared" si="56"/>
        <v>0</v>
      </c>
      <c r="AG214" s="5">
        <f t="shared" si="57"/>
        <v>0</v>
      </c>
      <c r="AH214" s="5">
        <f>IF(CreditAmort3BEST[[#This Row],[Month]]=AJ$8,AF$7,0)</f>
        <v>0</v>
      </c>
      <c r="AI214" s="13">
        <f t="shared" si="58"/>
        <v>0</v>
      </c>
      <c r="AJ214" s="6" t="str">
        <f t="shared" si="59"/>
        <v xml:space="preserve"> </v>
      </c>
      <c r="AK214" s="21" t="str">
        <f t="shared" si="60"/>
        <v xml:space="preserve"> </v>
      </c>
      <c r="AM214" s="20">
        <f t="shared" si="61"/>
        <v>203</v>
      </c>
      <c r="AN214" s="5">
        <f t="shared" si="62"/>
        <v>0</v>
      </c>
      <c r="AO214" s="5">
        <f t="shared" si="63"/>
        <v>0</v>
      </c>
      <c r="AP214" s="5">
        <f t="shared" si="64"/>
        <v>0</v>
      </c>
      <c r="AQ214" s="5">
        <f>IF(CreditAmort4BEST[[#This Row],[Month]]=AS$8,AO$7,0)</f>
        <v>0</v>
      </c>
      <c r="AR214" s="13">
        <f t="shared" si="65"/>
        <v>0</v>
      </c>
      <c r="AS214" s="6" t="str">
        <f t="shared" si="66"/>
        <v xml:space="preserve"> </v>
      </c>
      <c r="AT214" s="21" t="str">
        <f t="shared" si="67"/>
        <v xml:space="preserve"> </v>
      </c>
    </row>
    <row r="215" spans="3:46">
      <c r="C215" s="22">
        <f t="shared" si="52"/>
        <v>204</v>
      </c>
      <c r="D215" s="23">
        <f>IF(AND(C215&gt;='Amort. Sched.-BEST'!$I$8, C215&lt;= ($I$7+$I$8)), PMT('Amort. Sched.-BEST'!$E$8/12, 'Amort. Sched.-BEST'!$I$7, 'Amort. Sched.-BEST'!$E$7), 0)</f>
        <v>-1350.6783839027553</v>
      </c>
      <c r="E215" s="5">
        <f>IF(AND(C215&gt;='Amort. Sched.-BEST'!$I$8, C215&lt;= ($I$7+$I$8)), (IPMT($E$8/12, (C215-$I$8), $I$7, $E$7)), 0)</f>
        <v>-641.6882520009716</v>
      </c>
      <c r="F215" s="23">
        <f>IF(AND(C215&gt;='Amort. Sched.-BEST'!$I$8, C215&lt;= ($I$7+$I$8)), (PPMT($E$8/12, (C215-$I$8), $I$7, $E$7)), 0)</f>
        <v>-708.99013190178357</v>
      </c>
      <c r="G215" s="5">
        <f>IF(MortgageAmortBEST[[#This Row],[Month]]=I$8,E$7,0)</f>
        <v>0</v>
      </c>
      <c r="H215" s="13">
        <f>IF(AND(C215&gt;='Amort. Sched.-BEST'!$I$8, C215&lt;= ($I$7+$I$8)), H214+F215, 0)</f>
        <v>95544.247668243959</v>
      </c>
      <c r="I215" s="24">
        <f>IF(AND(C215&gt;='Amort. Sched.-BEST'!$I$8, C215&lt;= ($I$7+$I$8)), E215/D215, " ")</f>
        <v>0.47508589731541245</v>
      </c>
      <c r="J215" s="25">
        <f>IF(AND(C215&gt;='Amort. Sched.-BEST'!$I$8, C215&lt;= ($I$7+$I$8)), F215/D215, " ")</f>
        <v>0.52491410268458749</v>
      </c>
      <c r="L215" s="20">
        <f t="shared" si="51"/>
        <v>204</v>
      </c>
      <c r="M215" s="5">
        <f>IF(AND(L215&gt;='Amort. Sched.-BEST'!$R$8, L215&lt;= ($R$7+$R$8)), PMT('Amort. Sched.-BEST'!$N$8/12, 'Amort. Sched.-BEST'!$R$7, 'Amort. Sched.-BEST'!$N$7), 0)</f>
        <v>0</v>
      </c>
      <c r="N215" s="5">
        <f>IF(AND(L215&gt;='Amort. Sched.-BEST'!$R$8, L215&lt;= ($R$7+$R$8)), (IPMT($N$8/12, (L215-$R$8), $R$7, $N$7)), 0)</f>
        <v>0</v>
      </c>
      <c r="O215" s="5">
        <f>IF(AND(L215&gt;='Amort. Sched.-BEST'!$R$8, L215&lt;= ($R$7+$R$8)), (PPMT($N$8/12, (L215-$R$8), $R$7, $N$7)), 0)</f>
        <v>0</v>
      </c>
      <c r="P215" s="5">
        <f>IF(CreditAmort1BEST[[#This Row],[Month]]=R$8,N$7,0)</f>
        <v>0</v>
      </c>
      <c r="Q215" s="13">
        <f>IF(AND(L215&gt;='Amort. Sched.-BEST'!$R$8, L215&lt;= ($R$7+$R$8)), Q214+O215, 0)</f>
        <v>0</v>
      </c>
      <c r="R215" s="6" t="str">
        <f>IF(AND(L215&gt;='Amort. Sched.-BEST'!$R$8, L215&lt;= ($R$7+$R$8)), N215/M215, " ")</f>
        <v xml:space="preserve"> </v>
      </c>
      <c r="S215" s="21" t="str">
        <f>IF(AND(L215&gt;='Amort. Sched.-BEST'!$R$8, L215&lt;= ($R$7+$R$8)), O215/M215, " ")</f>
        <v xml:space="preserve"> </v>
      </c>
      <c r="U215" s="22">
        <f t="shared" si="53"/>
        <v>204</v>
      </c>
      <c r="V215" s="23">
        <f>IF(AND(U215&gt;='Amort. Sched.-BEST'!$AA$8, U215&lt;= ($AA$7+$AA$8)), PMT('Amort. Sched.-BEST'!$W$8/12, 'Amort. Sched.-BEST'!$AA$7, 'Amort. Sched.-BEST'!$W$7), 0)</f>
        <v>0</v>
      </c>
      <c r="W215" s="5">
        <f>IF(AND(U215&gt;='Amort. Sched.-BEST'!$AA$8, U215&lt;= ($AA$7+$AA$8)), (IPMT($W$8/12, (U215-$AA$8), $AA$7, $W$7)), 0)</f>
        <v>0</v>
      </c>
      <c r="X215" s="23">
        <f>IF(AND(U215&gt;='Amort. Sched.-BEST'!$AA$8, U215&lt;= ($AA$7+$AA$8)), (PPMT($W$8/12, (U215-$AA$8), $AA$7, $W$7)), 0)</f>
        <v>0</v>
      </c>
      <c r="Y215" s="5">
        <f>IF(CreditAmort2BEST[[#This Row],[Month]]=AA$8,W$7,0)</f>
        <v>0</v>
      </c>
      <c r="Z215" s="13">
        <f>IF(AND(U215&gt;='Amort. Sched.-BEST'!$AA$8, U215&lt;= ($AA$7+$AA$8)), Z214+X215, 0)</f>
        <v>0</v>
      </c>
      <c r="AA215" s="24" t="str">
        <f>IF(AND(U215&gt;='Amort. Sched.-BEST'!$AA$8, U215&lt;= ($AA$7+$AA$8)), W215/V215, " ")</f>
        <v xml:space="preserve"> </v>
      </c>
      <c r="AB215" s="25" t="str">
        <f>IF(AND(U215&gt;='Amort. Sched.-BEST'!$AA$8, U215&lt;= ($AA$7+$AA$8)), X215/V215, " ")</f>
        <v xml:space="preserve"> </v>
      </c>
      <c r="AD215" s="22">
        <f t="shared" si="54"/>
        <v>204</v>
      </c>
      <c r="AE215" s="5">
        <f t="shared" si="55"/>
        <v>0</v>
      </c>
      <c r="AF215" s="5">
        <f t="shared" si="56"/>
        <v>0</v>
      </c>
      <c r="AG215" s="5">
        <f t="shared" si="57"/>
        <v>0</v>
      </c>
      <c r="AH215" s="5">
        <f>IF(CreditAmort3BEST[[#This Row],[Month]]=AJ$8,AF$7,0)</f>
        <v>0</v>
      </c>
      <c r="AI215" s="13">
        <f t="shared" si="58"/>
        <v>0</v>
      </c>
      <c r="AJ215" s="6" t="str">
        <f t="shared" si="59"/>
        <v xml:space="preserve"> </v>
      </c>
      <c r="AK215" s="21" t="str">
        <f t="shared" si="60"/>
        <v xml:space="preserve"> </v>
      </c>
      <c r="AM215" s="20">
        <f t="shared" si="61"/>
        <v>204</v>
      </c>
      <c r="AN215" s="5">
        <f t="shared" si="62"/>
        <v>0</v>
      </c>
      <c r="AO215" s="5">
        <f t="shared" si="63"/>
        <v>0</v>
      </c>
      <c r="AP215" s="5">
        <f t="shared" si="64"/>
        <v>0</v>
      </c>
      <c r="AQ215" s="5">
        <f>IF(CreditAmort4BEST[[#This Row],[Month]]=AS$8,AO$7,0)</f>
        <v>0</v>
      </c>
      <c r="AR215" s="13">
        <f t="shared" si="65"/>
        <v>0</v>
      </c>
      <c r="AS215" s="6" t="str">
        <f t="shared" si="66"/>
        <v xml:space="preserve"> </v>
      </c>
      <c r="AT215" s="21" t="str">
        <f t="shared" si="67"/>
        <v xml:space="preserve"> </v>
      </c>
    </row>
    <row r="216" spans="3:46">
      <c r="C216" s="22">
        <f t="shared" si="52"/>
        <v>205</v>
      </c>
      <c r="D216" s="23">
        <f>IF(AND(C216&gt;='Amort. Sched.-BEST'!$I$8, C216&lt;= ($I$7+$I$8)), PMT('Amort. Sched.-BEST'!$E$8/12, 'Amort. Sched.-BEST'!$I$7, 'Amort. Sched.-BEST'!$E$7), 0)</f>
        <v>-1350.6783839027553</v>
      </c>
      <c r="E216" s="5">
        <f>IF(AND(C216&gt;='Amort. Sched.-BEST'!$I$8, C216&lt;= ($I$7+$I$8)), (IPMT($E$8/12, (C216-$I$8), $I$7, $E$7)), 0)</f>
        <v>-636.96165112162657</v>
      </c>
      <c r="F216" s="23">
        <f>IF(AND(C216&gt;='Amort. Sched.-BEST'!$I$8, C216&lt;= ($I$7+$I$8)), (PPMT($E$8/12, (C216-$I$8), $I$7, $E$7)), 0)</f>
        <v>-713.71673278112894</v>
      </c>
      <c r="G216" s="5">
        <f>IF(MortgageAmortBEST[[#This Row],[Month]]=I$8,E$7,0)</f>
        <v>0</v>
      </c>
      <c r="H216" s="13">
        <f>IF(AND(C216&gt;='Amort. Sched.-BEST'!$I$8, C216&lt;= ($I$7+$I$8)), H215+F216, 0)</f>
        <v>94830.530935462826</v>
      </c>
      <c r="I216" s="24">
        <f>IF(AND(C216&gt;='Amort. Sched.-BEST'!$I$8, C216&lt;= ($I$7+$I$8)), E216/D216, " ")</f>
        <v>0.47158646996418196</v>
      </c>
      <c r="J216" s="25">
        <f>IF(AND(C216&gt;='Amort. Sched.-BEST'!$I$8, C216&lt;= ($I$7+$I$8)), F216/D216, " ")</f>
        <v>0.52841353003581815</v>
      </c>
      <c r="L216" s="20">
        <f t="shared" si="51"/>
        <v>205</v>
      </c>
      <c r="M216" s="5">
        <f>IF(AND(L216&gt;='Amort. Sched.-BEST'!$R$8, L216&lt;= ($R$7+$R$8)), PMT('Amort. Sched.-BEST'!$N$8/12, 'Amort. Sched.-BEST'!$R$7, 'Amort. Sched.-BEST'!$N$7), 0)</f>
        <v>0</v>
      </c>
      <c r="N216" s="5">
        <f>IF(AND(L216&gt;='Amort. Sched.-BEST'!$R$8, L216&lt;= ($R$7+$R$8)), (IPMT($N$8/12, (L216-$R$8), $R$7, $N$7)), 0)</f>
        <v>0</v>
      </c>
      <c r="O216" s="5">
        <f>IF(AND(L216&gt;='Amort. Sched.-BEST'!$R$8, L216&lt;= ($R$7+$R$8)), (PPMT($N$8/12, (L216-$R$8), $R$7, $N$7)), 0)</f>
        <v>0</v>
      </c>
      <c r="P216" s="5">
        <f>IF(CreditAmort1BEST[[#This Row],[Month]]=R$8,N$7,0)</f>
        <v>0</v>
      </c>
      <c r="Q216" s="13">
        <f>IF(AND(L216&gt;='Amort. Sched.-BEST'!$R$8, L216&lt;= ($R$7+$R$8)), Q215+O216, 0)</f>
        <v>0</v>
      </c>
      <c r="R216" s="6" t="str">
        <f>IF(AND(L216&gt;='Amort. Sched.-BEST'!$R$8, L216&lt;= ($R$7+$R$8)), N216/M216, " ")</f>
        <v xml:space="preserve"> </v>
      </c>
      <c r="S216" s="21" t="str">
        <f>IF(AND(L216&gt;='Amort. Sched.-BEST'!$R$8, L216&lt;= ($R$7+$R$8)), O216/M216, " ")</f>
        <v xml:space="preserve"> </v>
      </c>
      <c r="U216" s="22">
        <f t="shared" si="53"/>
        <v>205</v>
      </c>
      <c r="V216" s="23">
        <f>IF(AND(U216&gt;='Amort. Sched.-BEST'!$AA$8, U216&lt;= ($AA$7+$AA$8)), PMT('Amort. Sched.-BEST'!$W$8/12, 'Amort. Sched.-BEST'!$AA$7, 'Amort. Sched.-BEST'!$W$7), 0)</f>
        <v>0</v>
      </c>
      <c r="W216" s="5">
        <f>IF(AND(U216&gt;='Amort. Sched.-BEST'!$AA$8, U216&lt;= ($AA$7+$AA$8)), (IPMT($W$8/12, (U216-$AA$8), $AA$7, $W$7)), 0)</f>
        <v>0</v>
      </c>
      <c r="X216" s="23">
        <f>IF(AND(U216&gt;='Amort. Sched.-BEST'!$AA$8, U216&lt;= ($AA$7+$AA$8)), (PPMT($W$8/12, (U216-$AA$8), $AA$7, $W$7)), 0)</f>
        <v>0</v>
      </c>
      <c r="Y216" s="5">
        <f>IF(CreditAmort2BEST[[#This Row],[Month]]=AA$8,W$7,0)</f>
        <v>0</v>
      </c>
      <c r="Z216" s="13">
        <f>IF(AND(U216&gt;='Amort. Sched.-BEST'!$AA$8, U216&lt;= ($AA$7+$AA$8)), Z215+X216, 0)</f>
        <v>0</v>
      </c>
      <c r="AA216" s="24" t="str">
        <f>IF(AND(U216&gt;='Amort. Sched.-BEST'!$AA$8, U216&lt;= ($AA$7+$AA$8)), W216/V216, " ")</f>
        <v xml:space="preserve"> </v>
      </c>
      <c r="AB216" s="25" t="str">
        <f>IF(AND(U216&gt;='Amort. Sched.-BEST'!$AA$8, U216&lt;= ($AA$7+$AA$8)), X216/V216, " ")</f>
        <v xml:space="preserve"> </v>
      </c>
      <c r="AD216" s="22">
        <f t="shared" si="54"/>
        <v>205</v>
      </c>
      <c r="AE216" s="5">
        <f t="shared" si="55"/>
        <v>0</v>
      </c>
      <c r="AF216" s="5">
        <f t="shared" si="56"/>
        <v>0</v>
      </c>
      <c r="AG216" s="5">
        <f t="shared" si="57"/>
        <v>0</v>
      </c>
      <c r="AH216" s="5">
        <f>IF(CreditAmort3BEST[[#This Row],[Month]]=AJ$8,AF$7,0)</f>
        <v>0</v>
      </c>
      <c r="AI216" s="13">
        <f t="shared" si="58"/>
        <v>0</v>
      </c>
      <c r="AJ216" s="6" t="str">
        <f t="shared" si="59"/>
        <v xml:space="preserve"> </v>
      </c>
      <c r="AK216" s="21" t="str">
        <f t="shared" si="60"/>
        <v xml:space="preserve"> </v>
      </c>
      <c r="AM216" s="20">
        <f t="shared" si="61"/>
        <v>205</v>
      </c>
      <c r="AN216" s="5">
        <f t="shared" si="62"/>
        <v>0</v>
      </c>
      <c r="AO216" s="5">
        <f t="shared" si="63"/>
        <v>0</v>
      </c>
      <c r="AP216" s="5">
        <f t="shared" si="64"/>
        <v>0</v>
      </c>
      <c r="AQ216" s="5">
        <f>IF(CreditAmort4BEST[[#This Row],[Month]]=AS$8,AO$7,0)</f>
        <v>0</v>
      </c>
      <c r="AR216" s="13">
        <f t="shared" si="65"/>
        <v>0</v>
      </c>
      <c r="AS216" s="6" t="str">
        <f t="shared" si="66"/>
        <v xml:space="preserve"> </v>
      </c>
      <c r="AT216" s="21" t="str">
        <f t="shared" si="67"/>
        <v xml:space="preserve"> </v>
      </c>
    </row>
    <row r="217" spans="3:46">
      <c r="C217" s="22">
        <f t="shared" si="52"/>
        <v>206</v>
      </c>
      <c r="D217" s="23">
        <f>IF(AND(C217&gt;='Amort. Sched.-BEST'!$I$8, C217&lt;= ($I$7+$I$8)), PMT('Amort. Sched.-BEST'!$E$8/12, 'Amort. Sched.-BEST'!$I$7, 'Amort. Sched.-BEST'!$E$7), 0)</f>
        <v>-1350.6783839027553</v>
      </c>
      <c r="E217" s="5">
        <f>IF(AND(C217&gt;='Amort. Sched.-BEST'!$I$8, C217&lt;= ($I$7+$I$8)), (IPMT($E$8/12, (C217-$I$8), $I$7, $E$7)), 0)</f>
        <v>-632.20353956975237</v>
      </c>
      <c r="F217" s="23">
        <f>IF(AND(C217&gt;='Amort. Sched.-BEST'!$I$8, C217&lt;= ($I$7+$I$8)), (PPMT($E$8/12, (C217-$I$8), $I$7, $E$7)), 0)</f>
        <v>-718.47484433300303</v>
      </c>
      <c r="G217" s="5">
        <f>IF(MortgageAmortBEST[[#This Row],[Month]]=I$8,E$7,0)</f>
        <v>0</v>
      </c>
      <c r="H217" s="13">
        <f>IF(AND(C217&gt;='Amort. Sched.-BEST'!$I$8, C217&lt;= ($I$7+$I$8)), H216+F217, 0)</f>
        <v>94112.056091129823</v>
      </c>
      <c r="I217" s="24">
        <f>IF(AND(C217&gt;='Amort. Sched.-BEST'!$I$8, C217&lt;= ($I$7+$I$8)), E217/D217, " ")</f>
        <v>0.46806371309727651</v>
      </c>
      <c r="J217" s="25">
        <f>IF(AND(C217&gt;='Amort. Sched.-BEST'!$I$8, C217&lt;= ($I$7+$I$8)), F217/D217, " ")</f>
        <v>0.53193628690272354</v>
      </c>
      <c r="L217" s="20">
        <f t="shared" si="51"/>
        <v>206</v>
      </c>
      <c r="M217" s="5">
        <f>IF(AND(L217&gt;='Amort. Sched.-BEST'!$R$8, L217&lt;= ($R$7+$R$8)), PMT('Amort. Sched.-BEST'!$N$8/12, 'Amort. Sched.-BEST'!$R$7, 'Amort. Sched.-BEST'!$N$7), 0)</f>
        <v>0</v>
      </c>
      <c r="N217" s="5">
        <f>IF(AND(L217&gt;='Amort. Sched.-BEST'!$R$8, L217&lt;= ($R$7+$R$8)), (IPMT($N$8/12, (L217-$R$8), $R$7, $N$7)), 0)</f>
        <v>0</v>
      </c>
      <c r="O217" s="5">
        <f>IF(AND(L217&gt;='Amort. Sched.-BEST'!$R$8, L217&lt;= ($R$7+$R$8)), (PPMT($N$8/12, (L217-$R$8), $R$7, $N$7)), 0)</f>
        <v>0</v>
      </c>
      <c r="P217" s="5">
        <f>IF(CreditAmort1BEST[[#This Row],[Month]]=R$8,N$7,0)</f>
        <v>0</v>
      </c>
      <c r="Q217" s="13">
        <f>IF(AND(L217&gt;='Amort. Sched.-BEST'!$R$8, L217&lt;= ($R$7+$R$8)), Q216+O217, 0)</f>
        <v>0</v>
      </c>
      <c r="R217" s="6" t="str">
        <f>IF(AND(L217&gt;='Amort. Sched.-BEST'!$R$8, L217&lt;= ($R$7+$R$8)), N217/M217, " ")</f>
        <v xml:space="preserve"> </v>
      </c>
      <c r="S217" s="21" t="str">
        <f>IF(AND(L217&gt;='Amort. Sched.-BEST'!$R$8, L217&lt;= ($R$7+$R$8)), O217/M217, " ")</f>
        <v xml:space="preserve"> </v>
      </c>
      <c r="U217" s="22">
        <f t="shared" si="53"/>
        <v>206</v>
      </c>
      <c r="V217" s="23">
        <f>IF(AND(U217&gt;='Amort. Sched.-BEST'!$AA$8, U217&lt;= ($AA$7+$AA$8)), PMT('Amort. Sched.-BEST'!$W$8/12, 'Amort. Sched.-BEST'!$AA$7, 'Amort. Sched.-BEST'!$W$7), 0)</f>
        <v>0</v>
      </c>
      <c r="W217" s="5">
        <f>IF(AND(U217&gt;='Amort. Sched.-BEST'!$AA$8, U217&lt;= ($AA$7+$AA$8)), (IPMT($W$8/12, (U217-$AA$8), $AA$7, $W$7)), 0)</f>
        <v>0</v>
      </c>
      <c r="X217" s="23">
        <f>IF(AND(U217&gt;='Amort. Sched.-BEST'!$AA$8, U217&lt;= ($AA$7+$AA$8)), (PPMT($W$8/12, (U217-$AA$8), $AA$7, $W$7)), 0)</f>
        <v>0</v>
      </c>
      <c r="Y217" s="5">
        <f>IF(CreditAmort2BEST[[#This Row],[Month]]=AA$8,W$7,0)</f>
        <v>0</v>
      </c>
      <c r="Z217" s="13">
        <f>IF(AND(U217&gt;='Amort. Sched.-BEST'!$AA$8, U217&lt;= ($AA$7+$AA$8)), Z216+X217, 0)</f>
        <v>0</v>
      </c>
      <c r="AA217" s="24" t="str">
        <f>IF(AND(U217&gt;='Amort. Sched.-BEST'!$AA$8, U217&lt;= ($AA$7+$AA$8)), W217/V217, " ")</f>
        <v xml:space="preserve"> </v>
      </c>
      <c r="AB217" s="25" t="str">
        <f>IF(AND(U217&gt;='Amort. Sched.-BEST'!$AA$8, U217&lt;= ($AA$7+$AA$8)), X217/V217, " ")</f>
        <v xml:space="preserve"> </v>
      </c>
      <c r="AD217" s="22">
        <f t="shared" si="54"/>
        <v>206</v>
      </c>
      <c r="AE217" s="5">
        <f t="shared" si="55"/>
        <v>0</v>
      </c>
      <c r="AF217" s="5">
        <f t="shared" si="56"/>
        <v>0</v>
      </c>
      <c r="AG217" s="5">
        <f t="shared" si="57"/>
        <v>0</v>
      </c>
      <c r="AH217" s="5">
        <f>IF(CreditAmort3BEST[[#This Row],[Month]]=AJ$8,AF$7,0)</f>
        <v>0</v>
      </c>
      <c r="AI217" s="13">
        <f t="shared" si="58"/>
        <v>0</v>
      </c>
      <c r="AJ217" s="6" t="str">
        <f t="shared" si="59"/>
        <v xml:space="preserve"> </v>
      </c>
      <c r="AK217" s="21" t="str">
        <f t="shared" si="60"/>
        <v xml:space="preserve"> </v>
      </c>
      <c r="AM217" s="20">
        <f t="shared" si="61"/>
        <v>206</v>
      </c>
      <c r="AN217" s="5">
        <f t="shared" si="62"/>
        <v>0</v>
      </c>
      <c r="AO217" s="5">
        <f t="shared" si="63"/>
        <v>0</v>
      </c>
      <c r="AP217" s="5">
        <f t="shared" si="64"/>
        <v>0</v>
      </c>
      <c r="AQ217" s="5">
        <f>IF(CreditAmort4BEST[[#This Row],[Month]]=AS$8,AO$7,0)</f>
        <v>0</v>
      </c>
      <c r="AR217" s="13">
        <f t="shared" si="65"/>
        <v>0</v>
      </c>
      <c r="AS217" s="6" t="str">
        <f t="shared" si="66"/>
        <v xml:space="preserve"> </v>
      </c>
      <c r="AT217" s="21" t="str">
        <f t="shared" si="67"/>
        <v xml:space="preserve"> </v>
      </c>
    </row>
    <row r="218" spans="3:46">
      <c r="C218" s="22">
        <f t="shared" si="52"/>
        <v>207</v>
      </c>
      <c r="D218" s="23">
        <f>IF(AND(C218&gt;='Amort. Sched.-BEST'!$I$8, C218&lt;= ($I$7+$I$8)), PMT('Amort. Sched.-BEST'!$E$8/12, 'Amort. Sched.-BEST'!$I$7, 'Amort. Sched.-BEST'!$E$7), 0)</f>
        <v>-1350.6783839027553</v>
      </c>
      <c r="E218" s="5">
        <f>IF(AND(C218&gt;='Amort. Sched.-BEST'!$I$8, C218&lt;= ($I$7+$I$8)), (IPMT($E$8/12, (C218-$I$8), $I$7, $E$7)), 0)</f>
        <v>-627.41370727419906</v>
      </c>
      <c r="F218" s="23">
        <f>IF(AND(C218&gt;='Amort. Sched.-BEST'!$I$8, C218&lt;= ($I$7+$I$8)), (PPMT($E$8/12, (C218-$I$8), $I$7, $E$7)), 0)</f>
        <v>-723.26467662855634</v>
      </c>
      <c r="G218" s="5">
        <f>IF(MortgageAmortBEST[[#This Row],[Month]]=I$8,E$7,0)</f>
        <v>0</v>
      </c>
      <c r="H218" s="13">
        <f>IF(AND(C218&gt;='Amort. Sched.-BEST'!$I$8, C218&lt;= ($I$7+$I$8)), H217+F218, 0)</f>
        <v>93388.791414501262</v>
      </c>
      <c r="I218" s="24">
        <f>IF(AND(C218&gt;='Amort. Sched.-BEST'!$I$8, C218&lt;= ($I$7+$I$8)), E218/D218, " ")</f>
        <v>0.46451747118459175</v>
      </c>
      <c r="J218" s="25">
        <f>IF(AND(C218&gt;='Amort. Sched.-BEST'!$I$8, C218&lt;= ($I$7+$I$8)), F218/D218, " ")</f>
        <v>0.53548252881540837</v>
      </c>
      <c r="L218" s="20">
        <f t="shared" si="51"/>
        <v>207</v>
      </c>
      <c r="M218" s="5">
        <f>IF(AND(L218&gt;='Amort. Sched.-BEST'!$R$8, L218&lt;= ($R$7+$R$8)), PMT('Amort. Sched.-BEST'!$N$8/12, 'Amort. Sched.-BEST'!$R$7, 'Amort. Sched.-BEST'!$N$7), 0)</f>
        <v>0</v>
      </c>
      <c r="N218" s="5">
        <f>IF(AND(L218&gt;='Amort. Sched.-BEST'!$R$8, L218&lt;= ($R$7+$R$8)), (IPMT($N$8/12, (L218-$R$8), $R$7, $N$7)), 0)</f>
        <v>0</v>
      </c>
      <c r="O218" s="5">
        <f>IF(AND(L218&gt;='Amort. Sched.-BEST'!$R$8, L218&lt;= ($R$7+$R$8)), (PPMT($N$8/12, (L218-$R$8), $R$7, $N$7)), 0)</f>
        <v>0</v>
      </c>
      <c r="P218" s="5">
        <f>IF(CreditAmort1BEST[[#This Row],[Month]]=R$8,N$7,0)</f>
        <v>0</v>
      </c>
      <c r="Q218" s="13">
        <f>IF(AND(L218&gt;='Amort. Sched.-BEST'!$R$8, L218&lt;= ($R$7+$R$8)), Q217+O218, 0)</f>
        <v>0</v>
      </c>
      <c r="R218" s="6" t="str">
        <f>IF(AND(L218&gt;='Amort. Sched.-BEST'!$R$8, L218&lt;= ($R$7+$R$8)), N218/M218, " ")</f>
        <v xml:space="preserve"> </v>
      </c>
      <c r="S218" s="21" t="str">
        <f>IF(AND(L218&gt;='Amort. Sched.-BEST'!$R$8, L218&lt;= ($R$7+$R$8)), O218/M218, " ")</f>
        <v xml:space="preserve"> </v>
      </c>
      <c r="U218" s="22">
        <f t="shared" si="53"/>
        <v>207</v>
      </c>
      <c r="V218" s="23">
        <f>IF(AND(U218&gt;='Amort. Sched.-BEST'!$AA$8, U218&lt;= ($AA$7+$AA$8)), PMT('Amort. Sched.-BEST'!$W$8/12, 'Amort. Sched.-BEST'!$AA$7, 'Amort. Sched.-BEST'!$W$7), 0)</f>
        <v>0</v>
      </c>
      <c r="W218" s="5">
        <f>IF(AND(U218&gt;='Amort. Sched.-BEST'!$AA$8, U218&lt;= ($AA$7+$AA$8)), (IPMT($W$8/12, (U218-$AA$8), $AA$7, $W$7)), 0)</f>
        <v>0</v>
      </c>
      <c r="X218" s="23">
        <f>IF(AND(U218&gt;='Amort. Sched.-BEST'!$AA$8, U218&lt;= ($AA$7+$AA$8)), (PPMT($W$8/12, (U218-$AA$8), $AA$7, $W$7)), 0)</f>
        <v>0</v>
      </c>
      <c r="Y218" s="5">
        <f>IF(CreditAmort2BEST[[#This Row],[Month]]=AA$8,W$7,0)</f>
        <v>0</v>
      </c>
      <c r="Z218" s="13">
        <f>IF(AND(U218&gt;='Amort. Sched.-BEST'!$AA$8, U218&lt;= ($AA$7+$AA$8)), Z217+X218, 0)</f>
        <v>0</v>
      </c>
      <c r="AA218" s="24" t="str">
        <f>IF(AND(U218&gt;='Amort. Sched.-BEST'!$AA$8, U218&lt;= ($AA$7+$AA$8)), W218/V218, " ")</f>
        <v xml:space="preserve"> </v>
      </c>
      <c r="AB218" s="25" t="str">
        <f>IF(AND(U218&gt;='Amort. Sched.-BEST'!$AA$8, U218&lt;= ($AA$7+$AA$8)), X218/V218, " ")</f>
        <v xml:space="preserve"> </v>
      </c>
      <c r="AD218" s="22">
        <f t="shared" si="54"/>
        <v>207</v>
      </c>
      <c r="AE218" s="5">
        <f t="shared" si="55"/>
        <v>0</v>
      </c>
      <c r="AF218" s="5">
        <f t="shared" si="56"/>
        <v>0</v>
      </c>
      <c r="AG218" s="5">
        <f t="shared" si="57"/>
        <v>0</v>
      </c>
      <c r="AH218" s="5">
        <f>IF(CreditAmort3BEST[[#This Row],[Month]]=AJ$8,AF$7,0)</f>
        <v>0</v>
      </c>
      <c r="AI218" s="13">
        <f t="shared" si="58"/>
        <v>0</v>
      </c>
      <c r="AJ218" s="6" t="str">
        <f t="shared" si="59"/>
        <v xml:space="preserve"> </v>
      </c>
      <c r="AK218" s="21" t="str">
        <f t="shared" si="60"/>
        <v xml:space="preserve"> </v>
      </c>
      <c r="AM218" s="20">
        <f t="shared" si="61"/>
        <v>207</v>
      </c>
      <c r="AN218" s="5">
        <f t="shared" si="62"/>
        <v>0</v>
      </c>
      <c r="AO218" s="5">
        <f t="shared" si="63"/>
        <v>0</v>
      </c>
      <c r="AP218" s="5">
        <f t="shared" si="64"/>
        <v>0</v>
      </c>
      <c r="AQ218" s="5">
        <f>IF(CreditAmort4BEST[[#This Row],[Month]]=AS$8,AO$7,0)</f>
        <v>0</v>
      </c>
      <c r="AR218" s="13">
        <f t="shared" si="65"/>
        <v>0</v>
      </c>
      <c r="AS218" s="6" t="str">
        <f t="shared" si="66"/>
        <v xml:space="preserve"> </v>
      </c>
      <c r="AT218" s="21" t="str">
        <f t="shared" si="67"/>
        <v xml:space="preserve"> </v>
      </c>
    </row>
    <row r="219" spans="3:46">
      <c r="C219" s="22">
        <f t="shared" si="52"/>
        <v>208</v>
      </c>
      <c r="D219" s="23">
        <f>IF(AND(C219&gt;='Amort. Sched.-BEST'!$I$8, C219&lt;= ($I$7+$I$8)), PMT('Amort. Sched.-BEST'!$E$8/12, 'Amort. Sched.-BEST'!$I$7, 'Amort. Sched.-BEST'!$E$7), 0)</f>
        <v>-1350.6783839027553</v>
      </c>
      <c r="E219" s="5">
        <f>IF(AND(C219&gt;='Amort. Sched.-BEST'!$I$8, C219&lt;= ($I$7+$I$8)), (IPMT($E$8/12, (C219-$I$8), $I$7, $E$7)), 0)</f>
        <v>-622.59194276334199</v>
      </c>
      <c r="F219" s="23">
        <f>IF(AND(C219&gt;='Amort. Sched.-BEST'!$I$8, C219&lt;= ($I$7+$I$8)), (PPMT($E$8/12, (C219-$I$8), $I$7, $E$7)), 0)</f>
        <v>-728.08644113941341</v>
      </c>
      <c r="G219" s="5">
        <f>IF(MortgageAmortBEST[[#This Row],[Month]]=I$8,E$7,0)</f>
        <v>0</v>
      </c>
      <c r="H219" s="13">
        <f>IF(AND(C219&gt;='Amort. Sched.-BEST'!$I$8, C219&lt;= ($I$7+$I$8)), H218+F219, 0)</f>
        <v>92660.704973361848</v>
      </c>
      <c r="I219" s="24">
        <f>IF(AND(C219&gt;='Amort. Sched.-BEST'!$I$8, C219&lt;= ($I$7+$I$8)), E219/D219, " ")</f>
        <v>0.46094758765915567</v>
      </c>
      <c r="J219" s="25">
        <f>IF(AND(C219&gt;='Amort. Sched.-BEST'!$I$8, C219&lt;= ($I$7+$I$8)), F219/D219, " ")</f>
        <v>0.53905241234084444</v>
      </c>
      <c r="L219" s="20">
        <f t="shared" si="51"/>
        <v>208</v>
      </c>
      <c r="M219" s="5">
        <f>IF(AND(L219&gt;='Amort. Sched.-BEST'!$R$8, L219&lt;= ($R$7+$R$8)), PMT('Amort. Sched.-BEST'!$N$8/12, 'Amort. Sched.-BEST'!$R$7, 'Amort. Sched.-BEST'!$N$7), 0)</f>
        <v>0</v>
      </c>
      <c r="N219" s="5">
        <f>IF(AND(L219&gt;='Amort. Sched.-BEST'!$R$8, L219&lt;= ($R$7+$R$8)), (IPMT($N$8/12, (L219-$R$8), $R$7, $N$7)), 0)</f>
        <v>0</v>
      </c>
      <c r="O219" s="5">
        <f>IF(AND(L219&gt;='Amort. Sched.-BEST'!$R$8, L219&lt;= ($R$7+$R$8)), (PPMT($N$8/12, (L219-$R$8), $R$7, $N$7)), 0)</f>
        <v>0</v>
      </c>
      <c r="P219" s="5">
        <f>IF(CreditAmort1BEST[[#This Row],[Month]]=R$8,N$7,0)</f>
        <v>0</v>
      </c>
      <c r="Q219" s="13">
        <f>IF(AND(L219&gt;='Amort. Sched.-BEST'!$R$8, L219&lt;= ($R$7+$R$8)), Q218+O219, 0)</f>
        <v>0</v>
      </c>
      <c r="R219" s="6" t="str">
        <f>IF(AND(L219&gt;='Amort. Sched.-BEST'!$R$8, L219&lt;= ($R$7+$R$8)), N219/M219, " ")</f>
        <v xml:space="preserve"> </v>
      </c>
      <c r="S219" s="21" t="str">
        <f>IF(AND(L219&gt;='Amort. Sched.-BEST'!$R$8, L219&lt;= ($R$7+$R$8)), O219/M219, " ")</f>
        <v xml:space="preserve"> </v>
      </c>
      <c r="U219" s="22">
        <f t="shared" si="53"/>
        <v>208</v>
      </c>
      <c r="V219" s="23">
        <f>IF(AND(U219&gt;='Amort. Sched.-BEST'!$AA$8, U219&lt;= ($AA$7+$AA$8)), PMT('Amort. Sched.-BEST'!$W$8/12, 'Amort. Sched.-BEST'!$AA$7, 'Amort. Sched.-BEST'!$W$7), 0)</f>
        <v>0</v>
      </c>
      <c r="W219" s="5">
        <f>IF(AND(U219&gt;='Amort. Sched.-BEST'!$AA$8, U219&lt;= ($AA$7+$AA$8)), (IPMT($W$8/12, (U219-$AA$8), $AA$7, $W$7)), 0)</f>
        <v>0</v>
      </c>
      <c r="X219" s="23">
        <f>IF(AND(U219&gt;='Amort. Sched.-BEST'!$AA$8, U219&lt;= ($AA$7+$AA$8)), (PPMT($W$8/12, (U219-$AA$8), $AA$7, $W$7)), 0)</f>
        <v>0</v>
      </c>
      <c r="Y219" s="5">
        <f>IF(CreditAmort2BEST[[#This Row],[Month]]=AA$8,W$7,0)</f>
        <v>0</v>
      </c>
      <c r="Z219" s="13">
        <f>IF(AND(U219&gt;='Amort. Sched.-BEST'!$AA$8, U219&lt;= ($AA$7+$AA$8)), Z218+X219, 0)</f>
        <v>0</v>
      </c>
      <c r="AA219" s="24" t="str">
        <f>IF(AND(U219&gt;='Amort. Sched.-BEST'!$AA$8, U219&lt;= ($AA$7+$AA$8)), W219/V219, " ")</f>
        <v xml:space="preserve"> </v>
      </c>
      <c r="AB219" s="25" t="str">
        <f>IF(AND(U219&gt;='Amort. Sched.-BEST'!$AA$8, U219&lt;= ($AA$7+$AA$8)), X219/V219, " ")</f>
        <v xml:space="preserve"> </v>
      </c>
      <c r="AD219" s="22">
        <f t="shared" si="54"/>
        <v>208</v>
      </c>
      <c r="AE219" s="5">
        <f t="shared" si="55"/>
        <v>0</v>
      </c>
      <c r="AF219" s="5">
        <f t="shared" si="56"/>
        <v>0</v>
      </c>
      <c r="AG219" s="5">
        <f t="shared" si="57"/>
        <v>0</v>
      </c>
      <c r="AH219" s="5">
        <f>IF(CreditAmort3BEST[[#This Row],[Month]]=AJ$8,AF$7,0)</f>
        <v>0</v>
      </c>
      <c r="AI219" s="13">
        <f t="shared" si="58"/>
        <v>0</v>
      </c>
      <c r="AJ219" s="6" t="str">
        <f t="shared" si="59"/>
        <v xml:space="preserve"> </v>
      </c>
      <c r="AK219" s="21" t="str">
        <f t="shared" si="60"/>
        <v xml:space="preserve"> </v>
      </c>
      <c r="AM219" s="20">
        <f t="shared" si="61"/>
        <v>208</v>
      </c>
      <c r="AN219" s="5">
        <f t="shared" si="62"/>
        <v>0</v>
      </c>
      <c r="AO219" s="5">
        <f t="shared" si="63"/>
        <v>0</v>
      </c>
      <c r="AP219" s="5">
        <f t="shared" si="64"/>
        <v>0</v>
      </c>
      <c r="AQ219" s="5">
        <f>IF(CreditAmort4BEST[[#This Row],[Month]]=AS$8,AO$7,0)</f>
        <v>0</v>
      </c>
      <c r="AR219" s="13">
        <f t="shared" si="65"/>
        <v>0</v>
      </c>
      <c r="AS219" s="6" t="str">
        <f t="shared" si="66"/>
        <v xml:space="preserve"> </v>
      </c>
      <c r="AT219" s="21" t="str">
        <f t="shared" si="67"/>
        <v xml:space="preserve"> </v>
      </c>
    </row>
    <row r="220" spans="3:46">
      <c r="C220" s="22">
        <f t="shared" si="52"/>
        <v>209</v>
      </c>
      <c r="D220" s="23">
        <f>IF(AND(C220&gt;='Amort. Sched.-BEST'!$I$8, C220&lt;= ($I$7+$I$8)), PMT('Amort. Sched.-BEST'!$E$8/12, 'Amort. Sched.-BEST'!$I$7, 'Amort. Sched.-BEST'!$E$7), 0)</f>
        <v>-1350.6783839027553</v>
      </c>
      <c r="E220" s="5">
        <f>IF(AND(C220&gt;='Amort. Sched.-BEST'!$I$8, C220&lt;= ($I$7+$I$8)), (IPMT($E$8/12, (C220-$I$8), $I$7, $E$7)), 0)</f>
        <v>-617.73803315574571</v>
      </c>
      <c r="F220" s="23">
        <f>IF(AND(C220&gt;='Amort. Sched.-BEST'!$I$8, C220&lt;= ($I$7+$I$8)), (PPMT($E$8/12, (C220-$I$8), $I$7, $E$7)), 0)</f>
        <v>-732.94035074700946</v>
      </c>
      <c r="G220" s="5">
        <f>IF(MortgageAmortBEST[[#This Row],[Month]]=I$8,E$7,0)</f>
        <v>0</v>
      </c>
      <c r="H220" s="13">
        <f>IF(AND(C220&gt;='Amort. Sched.-BEST'!$I$8, C220&lt;= ($I$7+$I$8)), H219+F220, 0)</f>
        <v>91927.764622614835</v>
      </c>
      <c r="I220" s="24">
        <f>IF(AND(C220&gt;='Amort. Sched.-BEST'!$I$8, C220&lt;= ($I$7+$I$8)), E220/D220, " ")</f>
        <v>0.45735390491021655</v>
      </c>
      <c r="J220" s="25">
        <f>IF(AND(C220&gt;='Amort. Sched.-BEST'!$I$8, C220&lt;= ($I$7+$I$8)), F220/D220, " ")</f>
        <v>0.54264609508978334</v>
      </c>
      <c r="L220" s="20">
        <f t="shared" si="51"/>
        <v>209</v>
      </c>
      <c r="M220" s="5">
        <f>IF(AND(L220&gt;='Amort. Sched.-BEST'!$R$8, L220&lt;= ($R$7+$R$8)), PMT('Amort. Sched.-BEST'!$N$8/12, 'Amort. Sched.-BEST'!$R$7, 'Amort. Sched.-BEST'!$N$7), 0)</f>
        <v>0</v>
      </c>
      <c r="N220" s="5">
        <f>IF(AND(L220&gt;='Amort. Sched.-BEST'!$R$8, L220&lt;= ($R$7+$R$8)), (IPMT($N$8/12, (L220-$R$8), $R$7, $N$7)), 0)</f>
        <v>0</v>
      </c>
      <c r="O220" s="5">
        <f>IF(AND(L220&gt;='Amort. Sched.-BEST'!$R$8, L220&lt;= ($R$7+$R$8)), (PPMT($N$8/12, (L220-$R$8), $R$7, $N$7)), 0)</f>
        <v>0</v>
      </c>
      <c r="P220" s="5">
        <f>IF(CreditAmort1BEST[[#This Row],[Month]]=R$8,N$7,0)</f>
        <v>0</v>
      </c>
      <c r="Q220" s="13">
        <f>IF(AND(L220&gt;='Amort. Sched.-BEST'!$R$8, L220&lt;= ($R$7+$R$8)), Q219+O220, 0)</f>
        <v>0</v>
      </c>
      <c r="R220" s="6" t="str">
        <f>IF(AND(L220&gt;='Amort. Sched.-BEST'!$R$8, L220&lt;= ($R$7+$R$8)), N220/M220, " ")</f>
        <v xml:space="preserve"> </v>
      </c>
      <c r="S220" s="21" t="str">
        <f>IF(AND(L220&gt;='Amort. Sched.-BEST'!$R$8, L220&lt;= ($R$7+$R$8)), O220/M220, " ")</f>
        <v xml:space="preserve"> </v>
      </c>
      <c r="U220" s="22">
        <f t="shared" si="53"/>
        <v>209</v>
      </c>
      <c r="V220" s="23">
        <f>IF(AND(U220&gt;='Amort. Sched.-BEST'!$AA$8, U220&lt;= ($AA$7+$AA$8)), PMT('Amort. Sched.-BEST'!$W$8/12, 'Amort. Sched.-BEST'!$AA$7, 'Amort. Sched.-BEST'!$W$7), 0)</f>
        <v>0</v>
      </c>
      <c r="W220" s="5">
        <f>IF(AND(U220&gt;='Amort. Sched.-BEST'!$AA$8, U220&lt;= ($AA$7+$AA$8)), (IPMT($W$8/12, (U220-$AA$8), $AA$7, $W$7)), 0)</f>
        <v>0</v>
      </c>
      <c r="X220" s="23">
        <f>IF(AND(U220&gt;='Amort. Sched.-BEST'!$AA$8, U220&lt;= ($AA$7+$AA$8)), (PPMT($W$8/12, (U220-$AA$8), $AA$7, $W$7)), 0)</f>
        <v>0</v>
      </c>
      <c r="Y220" s="5">
        <f>IF(CreditAmort2BEST[[#This Row],[Month]]=AA$8,W$7,0)</f>
        <v>0</v>
      </c>
      <c r="Z220" s="13">
        <f>IF(AND(U220&gt;='Amort. Sched.-BEST'!$AA$8, U220&lt;= ($AA$7+$AA$8)), Z219+X220, 0)</f>
        <v>0</v>
      </c>
      <c r="AA220" s="24" t="str">
        <f>IF(AND(U220&gt;='Amort. Sched.-BEST'!$AA$8, U220&lt;= ($AA$7+$AA$8)), W220/V220, " ")</f>
        <v xml:space="preserve"> </v>
      </c>
      <c r="AB220" s="25" t="str">
        <f>IF(AND(U220&gt;='Amort. Sched.-BEST'!$AA$8, U220&lt;= ($AA$7+$AA$8)), X220/V220, " ")</f>
        <v xml:space="preserve"> </v>
      </c>
      <c r="AD220" s="22">
        <f t="shared" si="54"/>
        <v>209</v>
      </c>
      <c r="AE220" s="5">
        <f t="shared" si="55"/>
        <v>0</v>
      </c>
      <c r="AF220" s="5">
        <f t="shared" si="56"/>
        <v>0</v>
      </c>
      <c r="AG220" s="5">
        <f t="shared" si="57"/>
        <v>0</v>
      </c>
      <c r="AH220" s="5">
        <f>IF(CreditAmort3BEST[[#This Row],[Month]]=AJ$8,AF$7,0)</f>
        <v>0</v>
      </c>
      <c r="AI220" s="13">
        <f t="shared" si="58"/>
        <v>0</v>
      </c>
      <c r="AJ220" s="6" t="str">
        <f t="shared" si="59"/>
        <v xml:space="preserve"> </v>
      </c>
      <c r="AK220" s="21" t="str">
        <f t="shared" si="60"/>
        <v xml:space="preserve"> </v>
      </c>
      <c r="AM220" s="20">
        <f t="shared" si="61"/>
        <v>209</v>
      </c>
      <c r="AN220" s="5">
        <f t="shared" si="62"/>
        <v>0</v>
      </c>
      <c r="AO220" s="5">
        <f t="shared" si="63"/>
        <v>0</v>
      </c>
      <c r="AP220" s="5">
        <f t="shared" si="64"/>
        <v>0</v>
      </c>
      <c r="AQ220" s="5">
        <f>IF(CreditAmort4BEST[[#This Row],[Month]]=AS$8,AO$7,0)</f>
        <v>0</v>
      </c>
      <c r="AR220" s="13">
        <f t="shared" si="65"/>
        <v>0</v>
      </c>
      <c r="AS220" s="6" t="str">
        <f t="shared" si="66"/>
        <v xml:space="preserve"> </v>
      </c>
      <c r="AT220" s="21" t="str">
        <f t="shared" si="67"/>
        <v xml:space="preserve"> </v>
      </c>
    </row>
    <row r="221" spans="3:46">
      <c r="C221" s="22">
        <f t="shared" si="52"/>
        <v>210</v>
      </c>
      <c r="D221" s="23">
        <f>IF(AND(C221&gt;='Amort. Sched.-BEST'!$I$8, C221&lt;= ($I$7+$I$8)), PMT('Amort. Sched.-BEST'!$E$8/12, 'Amort. Sched.-BEST'!$I$7, 'Amort. Sched.-BEST'!$E$7), 0)</f>
        <v>-1350.6783839027553</v>
      </c>
      <c r="E221" s="5">
        <f>IF(AND(C221&gt;='Amort. Sched.-BEST'!$I$8, C221&lt;= ($I$7+$I$8)), (IPMT($E$8/12, (C221-$I$8), $I$7, $E$7)), 0)</f>
        <v>-612.85176415076569</v>
      </c>
      <c r="F221" s="23">
        <f>IF(AND(C221&gt;='Amort. Sched.-BEST'!$I$8, C221&lt;= ($I$7+$I$8)), (PPMT($E$8/12, (C221-$I$8), $I$7, $E$7)), 0)</f>
        <v>-737.8266197519896</v>
      </c>
      <c r="G221" s="5">
        <f>IF(MortgageAmortBEST[[#This Row],[Month]]=I$8,E$7,0)</f>
        <v>0</v>
      </c>
      <c r="H221" s="13">
        <f>IF(AND(C221&gt;='Amort. Sched.-BEST'!$I$8, C221&lt;= ($I$7+$I$8)), H220+F221, 0)</f>
        <v>91189.938002862851</v>
      </c>
      <c r="I221" s="24">
        <f>IF(AND(C221&gt;='Amort. Sched.-BEST'!$I$8, C221&lt;= ($I$7+$I$8)), E221/D221, " ")</f>
        <v>0.45373626427628472</v>
      </c>
      <c r="J221" s="25">
        <f>IF(AND(C221&gt;='Amort. Sched.-BEST'!$I$8, C221&lt;= ($I$7+$I$8)), F221/D221, " ")</f>
        <v>0.54626373572371534</v>
      </c>
      <c r="L221" s="20">
        <f t="shared" si="51"/>
        <v>210</v>
      </c>
      <c r="M221" s="5">
        <f>IF(AND(L221&gt;='Amort. Sched.-BEST'!$R$8, L221&lt;= ($R$7+$R$8)), PMT('Amort. Sched.-BEST'!$N$8/12, 'Amort. Sched.-BEST'!$R$7, 'Amort. Sched.-BEST'!$N$7), 0)</f>
        <v>0</v>
      </c>
      <c r="N221" s="5">
        <f>IF(AND(L221&gt;='Amort. Sched.-BEST'!$R$8, L221&lt;= ($R$7+$R$8)), (IPMT($N$8/12, (L221-$R$8), $R$7, $N$7)), 0)</f>
        <v>0</v>
      </c>
      <c r="O221" s="5">
        <f>IF(AND(L221&gt;='Amort. Sched.-BEST'!$R$8, L221&lt;= ($R$7+$R$8)), (PPMT($N$8/12, (L221-$R$8), $R$7, $N$7)), 0)</f>
        <v>0</v>
      </c>
      <c r="P221" s="5">
        <f>IF(CreditAmort1BEST[[#This Row],[Month]]=R$8,N$7,0)</f>
        <v>0</v>
      </c>
      <c r="Q221" s="13">
        <f>IF(AND(L221&gt;='Amort. Sched.-BEST'!$R$8, L221&lt;= ($R$7+$R$8)), Q220+O221, 0)</f>
        <v>0</v>
      </c>
      <c r="R221" s="6" t="str">
        <f>IF(AND(L221&gt;='Amort. Sched.-BEST'!$R$8, L221&lt;= ($R$7+$R$8)), N221/M221, " ")</f>
        <v xml:space="preserve"> </v>
      </c>
      <c r="S221" s="21" t="str">
        <f>IF(AND(L221&gt;='Amort. Sched.-BEST'!$R$8, L221&lt;= ($R$7+$R$8)), O221/M221, " ")</f>
        <v xml:space="preserve"> </v>
      </c>
      <c r="U221" s="22">
        <f t="shared" si="53"/>
        <v>210</v>
      </c>
      <c r="V221" s="23">
        <f>IF(AND(U221&gt;='Amort. Sched.-BEST'!$AA$8, U221&lt;= ($AA$7+$AA$8)), PMT('Amort. Sched.-BEST'!$W$8/12, 'Amort. Sched.-BEST'!$AA$7, 'Amort. Sched.-BEST'!$W$7), 0)</f>
        <v>0</v>
      </c>
      <c r="W221" s="5">
        <f>IF(AND(U221&gt;='Amort. Sched.-BEST'!$AA$8, U221&lt;= ($AA$7+$AA$8)), (IPMT($W$8/12, (U221-$AA$8), $AA$7, $W$7)), 0)</f>
        <v>0</v>
      </c>
      <c r="X221" s="23">
        <f>IF(AND(U221&gt;='Amort. Sched.-BEST'!$AA$8, U221&lt;= ($AA$7+$AA$8)), (PPMT($W$8/12, (U221-$AA$8), $AA$7, $W$7)), 0)</f>
        <v>0</v>
      </c>
      <c r="Y221" s="5">
        <f>IF(CreditAmort2BEST[[#This Row],[Month]]=AA$8,W$7,0)</f>
        <v>0</v>
      </c>
      <c r="Z221" s="13">
        <f>IF(AND(U221&gt;='Amort. Sched.-BEST'!$AA$8, U221&lt;= ($AA$7+$AA$8)), Z220+X221, 0)</f>
        <v>0</v>
      </c>
      <c r="AA221" s="24" t="str">
        <f>IF(AND(U221&gt;='Amort. Sched.-BEST'!$AA$8, U221&lt;= ($AA$7+$AA$8)), W221/V221, " ")</f>
        <v xml:space="preserve"> </v>
      </c>
      <c r="AB221" s="25" t="str">
        <f>IF(AND(U221&gt;='Amort. Sched.-BEST'!$AA$8, U221&lt;= ($AA$7+$AA$8)), X221/V221, " ")</f>
        <v xml:space="preserve"> </v>
      </c>
      <c r="AD221" s="22">
        <f t="shared" si="54"/>
        <v>210</v>
      </c>
      <c r="AE221" s="5">
        <f t="shared" si="55"/>
        <v>0</v>
      </c>
      <c r="AF221" s="5">
        <f t="shared" si="56"/>
        <v>0</v>
      </c>
      <c r="AG221" s="5">
        <f t="shared" si="57"/>
        <v>0</v>
      </c>
      <c r="AH221" s="5">
        <f>IF(CreditAmort3BEST[[#This Row],[Month]]=AJ$8,AF$7,0)</f>
        <v>0</v>
      </c>
      <c r="AI221" s="13">
        <f t="shared" si="58"/>
        <v>0</v>
      </c>
      <c r="AJ221" s="6" t="str">
        <f t="shared" si="59"/>
        <v xml:space="preserve"> </v>
      </c>
      <c r="AK221" s="21" t="str">
        <f t="shared" si="60"/>
        <v xml:space="preserve"> </v>
      </c>
      <c r="AM221" s="20">
        <f t="shared" si="61"/>
        <v>210</v>
      </c>
      <c r="AN221" s="5">
        <f t="shared" si="62"/>
        <v>0</v>
      </c>
      <c r="AO221" s="5">
        <f t="shared" si="63"/>
        <v>0</v>
      </c>
      <c r="AP221" s="5">
        <f t="shared" si="64"/>
        <v>0</v>
      </c>
      <c r="AQ221" s="5">
        <f>IF(CreditAmort4BEST[[#This Row],[Month]]=AS$8,AO$7,0)</f>
        <v>0</v>
      </c>
      <c r="AR221" s="13">
        <f t="shared" si="65"/>
        <v>0</v>
      </c>
      <c r="AS221" s="6" t="str">
        <f t="shared" si="66"/>
        <v xml:space="preserve"> </v>
      </c>
      <c r="AT221" s="21" t="str">
        <f t="shared" si="67"/>
        <v xml:space="preserve"> </v>
      </c>
    </row>
    <row r="222" spans="3:46">
      <c r="C222" s="22">
        <f t="shared" si="52"/>
        <v>211</v>
      </c>
      <c r="D222" s="23">
        <f>IF(AND(C222&gt;='Amort. Sched.-BEST'!$I$8, C222&lt;= ($I$7+$I$8)), PMT('Amort. Sched.-BEST'!$E$8/12, 'Amort. Sched.-BEST'!$I$7, 'Amort. Sched.-BEST'!$E$7), 0)</f>
        <v>-1350.6783839027553</v>
      </c>
      <c r="E222" s="5">
        <f>IF(AND(C222&gt;='Amort. Sched.-BEST'!$I$8, C222&lt;= ($I$7+$I$8)), (IPMT($E$8/12, (C222-$I$8), $I$7, $E$7)), 0)</f>
        <v>-607.93292001908583</v>
      </c>
      <c r="F222" s="23">
        <f>IF(AND(C222&gt;='Amort. Sched.-BEST'!$I$8, C222&lt;= ($I$7+$I$8)), (PPMT($E$8/12, (C222-$I$8), $I$7, $E$7)), 0)</f>
        <v>-742.74546388366957</v>
      </c>
      <c r="G222" s="5">
        <f>IF(MortgageAmortBEST[[#This Row],[Month]]=I$8,E$7,0)</f>
        <v>0</v>
      </c>
      <c r="H222" s="13">
        <f>IF(AND(C222&gt;='Amort. Sched.-BEST'!$I$8, C222&lt;= ($I$7+$I$8)), H221+F222, 0)</f>
        <v>90447.192538979187</v>
      </c>
      <c r="I222" s="24">
        <f>IF(AND(C222&gt;='Amort. Sched.-BEST'!$I$8, C222&lt;= ($I$7+$I$8)), E222/D222, " ")</f>
        <v>0.45009450603812662</v>
      </c>
      <c r="J222" s="25">
        <f>IF(AND(C222&gt;='Amort. Sched.-BEST'!$I$8, C222&lt;= ($I$7+$I$8)), F222/D222, " ")</f>
        <v>0.54990549396187349</v>
      </c>
      <c r="L222" s="20">
        <f t="shared" si="51"/>
        <v>211</v>
      </c>
      <c r="M222" s="5">
        <f>IF(AND(L222&gt;='Amort. Sched.-BEST'!$R$8, L222&lt;= ($R$7+$R$8)), PMT('Amort. Sched.-BEST'!$N$8/12, 'Amort. Sched.-BEST'!$R$7, 'Amort. Sched.-BEST'!$N$7), 0)</f>
        <v>0</v>
      </c>
      <c r="N222" s="5">
        <f>IF(AND(L222&gt;='Amort. Sched.-BEST'!$R$8, L222&lt;= ($R$7+$R$8)), (IPMT($N$8/12, (L222-$R$8), $R$7, $N$7)), 0)</f>
        <v>0</v>
      </c>
      <c r="O222" s="5">
        <f>IF(AND(L222&gt;='Amort. Sched.-BEST'!$R$8, L222&lt;= ($R$7+$R$8)), (PPMT($N$8/12, (L222-$R$8), $R$7, $N$7)), 0)</f>
        <v>0</v>
      </c>
      <c r="P222" s="5">
        <f>IF(CreditAmort1BEST[[#This Row],[Month]]=R$8,N$7,0)</f>
        <v>0</v>
      </c>
      <c r="Q222" s="13">
        <f>IF(AND(L222&gt;='Amort. Sched.-BEST'!$R$8, L222&lt;= ($R$7+$R$8)), Q221+O222, 0)</f>
        <v>0</v>
      </c>
      <c r="R222" s="6" t="str">
        <f>IF(AND(L222&gt;='Amort. Sched.-BEST'!$R$8, L222&lt;= ($R$7+$R$8)), N222/M222, " ")</f>
        <v xml:space="preserve"> </v>
      </c>
      <c r="S222" s="21" t="str">
        <f>IF(AND(L222&gt;='Amort. Sched.-BEST'!$R$8, L222&lt;= ($R$7+$R$8)), O222/M222, " ")</f>
        <v xml:space="preserve"> </v>
      </c>
      <c r="U222" s="22">
        <f t="shared" si="53"/>
        <v>211</v>
      </c>
      <c r="V222" s="23">
        <f>IF(AND(U222&gt;='Amort. Sched.-BEST'!$AA$8, U222&lt;= ($AA$7+$AA$8)), PMT('Amort. Sched.-BEST'!$W$8/12, 'Amort. Sched.-BEST'!$AA$7, 'Amort. Sched.-BEST'!$W$7), 0)</f>
        <v>0</v>
      </c>
      <c r="W222" s="5">
        <f>IF(AND(U222&gt;='Amort. Sched.-BEST'!$AA$8, U222&lt;= ($AA$7+$AA$8)), (IPMT($W$8/12, (U222-$AA$8), $AA$7, $W$7)), 0)</f>
        <v>0</v>
      </c>
      <c r="X222" s="23">
        <f>IF(AND(U222&gt;='Amort. Sched.-BEST'!$AA$8, U222&lt;= ($AA$7+$AA$8)), (PPMT($W$8/12, (U222-$AA$8), $AA$7, $W$7)), 0)</f>
        <v>0</v>
      </c>
      <c r="Y222" s="5">
        <f>IF(CreditAmort2BEST[[#This Row],[Month]]=AA$8,W$7,0)</f>
        <v>0</v>
      </c>
      <c r="Z222" s="13">
        <f>IF(AND(U222&gt;='Amort. Sched.-BEST'!$AA$8, U222&lt;= ($AA$7+$AA$8)), Z221+X222, 0)</f>
        <v>0</v>
      </c>
      <c r="AA222" s="24" t="str">
        <f>IF(AND(U222&gt;='Amort. Sched.-BEST'!$AA$8, U222&lt;= ($AA$7+$AA$8)), W222/V222, " ")</f>
        <v xml:space="preserve"> </v>
      </c>
      <c r="AB222" s="25" t="str">
        <f>IF(AND(U222&gt;='Amort. Sched.-BEST'!$AA$8, U222&lt;= ($AA$7+$AA$8)), X222/V222, " ")</f>
        <v xml:space="preserve"> </v>
      </c>
      <c r="AD222" s="22">
        <f t="shared" si="54"/>
        <v>211</v>
      </c>
      <c r="AE222" s="5">
        <f t="shared" si="55"/>
        <v>0</v>
      </c>
      <c r="AF222" s="5">
        <f t="shared" si="56"/>
        <v>0</v>
      </c>
      <c r="AG222" s="5">
        <f t="shared" si="57"/>
        <v>0</v>
      </c>
      <c r="AH222" s="5">
        <f>IF(CreditAmort3BEST[[#This Row],[Month]]=AJ$8,AF$7,0)</f>
        <v>0</v>
      </c>
      <c r="AI222" s="13">
        <f t="shared" si="58"/>
        <v>0</v>
      </c>
      <c r="AJ222" s="6" t="str">
        <f t="shared" si="59"/>
        <v xml:space="preserve"> </v>
      </c>
      <c r="AK222" s="21" t="str">
        <f t="shared" si="60"/>
        <v xml:space="preserve"> </v>
      </c>
      <c r="AM222" s="20">
        <f t="shared" si="61"/>
        <v>211</v>
      </c>
      <c r="AN222" s="5">
        <f t="shared" si="62"/>
        <v>0</v>
      </c>
      <c r="AO222" s="5">
        <f t="shared" si="63"/>
        <v>0</v>
      </c>
      <c r="AP222" s="5">
        <f t="shared" si="64"/>
        <v>0</v>
      </c>
      <c r="AQ222" s="5">
        <f>IF(CreditAmort4BEST[[#This Row],[Month]]=AS$8,AO$7,0)</f>
        <v>0</v>
      </c>
      <c r="AR222" s="13">
        <f t="shared" si="65"/>
        <v>0</v>
      </c>
      <c r="AS222" s="6" t="str">
        <f t="shared" si="66"/>
        <v xml:space="preserve"> </v>
      </c>
      <c r="AT222" s="21" t="str">
        <f t="shared" si="67"/>
        <v xml:space="preserve"> </v>
      </c>
    </row>
    <row r="223" spans="3:46">
      <c r="C223" s="22">
        <f t="shared" si="52"/>
        <v>212</v>
      </c>
      <c r="D223" s="23">
        <f>IF(AND(C223&gt;='Amort. Sched.-BEST'!$I$8, C223&lt;= ($I$7+$I$8)), PMT('Amort. Sched.-BEST'!$E$8/12, 'Amort. Sched.-BEST'!$I$7, 'Amort. Sched.-BEST'!$E$7), 0)</f>
        <v>-1350.6783839027553</v>
      </c>
      <c r="E223" s="5">
        <f>IF(AND(C223&gt;='Amort. Sched.-BEST'!$I$8, C223&lt;= ($I$7+$I$8)), (IPMT($E$8/12, (C223-$I$8), $I$7, $E$7)), 0)</f>
        <v>-602.98128359319469</v>
      </c>
      <c r="F223" s="23">
        <f>IF(AND(C223&gt;='Amort. Sched.-BEST'!$I$8, C223&lt;= ($I$7+$I$8)), (PPMT($E$8/12, (C223-$I$8), $I$7, $E$7)), 0)</f>
        <v>-747.69710030956071</v>
      </c>
      <c r="G223" s="5">
        <f>IF(MortgageAmortBEST[[#This Row],[Month]]=I$8,E$7,0)</f>
        <v>0</v>
      </c>
      <c r="H223" s="13">
        <f>IF(AND(C223&gt;='Amort. Sched.-BEST'!$I$8, C223&lt;= ($I$7+$I$8)), H222+F223, 0)</f>
        <v>89699.495438669619</v>
      </c>
      <c r="I223" s="24">
        <f>IF(AND(C223&gt;='Amort. Sched.-BEST'!$I$8, C223&lt;= ($I$7+$I$8)), E223/D223, " ")</f>
        <v>0.44642846941171416</v>
      </c>
      <c r="J223" s="25">
        <f>IF(AND(C223&gt;='Amort. Sched.-BEST'!$I$8, C223&lt;= ($I$7+$I$8)), F223/D223, " ")</f>
        <v>0.5535715305882859</v>
      </c>
      <c r="L223" s="20">
        <f t="shared" si="51"/>
        <v>212</v>
      </c>
      <c r="M223" s="5">
        <f>IF(AND(L223&gt;='Amort. Sched.-BEST'!$R$8, L223&lt;= ($R$7+$R$8)), PMT('Amort. Sched.-BEST'!$N$8/12, 'Amort. Sched.-BEST'!$R$7, 'Amort. Sched.-BEST'!$N$7), 0)</f>
        <v>0</v>
      </c>
      <c r="N223" s="5">
        <f>IF(AND(L223&gt;='Amort. Sched.-BEST'!$R$8, L223&lt;= ($R$7+$R$8)), (IPMT($N$8/12, (L223-$R$8), $R$7, $N$7)), 0)</f>
        <v>0</v>
      </c>
      <c r="O223" s="5">
        <f>IF(AND(L223&gt;='Amort. Sched.-BEST'!$R$8, L223&lt;= ($R$7+$R$8)), (PPMT($N$8/12, (L223-$R$8), $R$7, $N$7)), 0)</f>
        <v>0</v>
      </c>
      <c r="P223" s="5">
        <f>IF(CreditAmort1BEST[[#This Row],[Month]]=R$8,N$7,0)</f>
        <v>0</v>
      </c>
      <c r="Q223" s="13">
        <f>IF(AND(L223&gt;='Amort. Sched.-BEST'!$R$8, L223&lt;= ($R$7+$R$8)), Q222+O223, 0)</f>
        <v>0</v>
      </c>
      <c r="R223" s="6" t="str">
        <f>IF(AND(L223&gt;='Amort. Sched.-BEST'!$R$8, L223&lt;= ($R$7+$R$8)), N223/M223, " ")</f>
        <v xml:space="preserve"> </v>
      </c>
      <c r="S223" s="21" t="str">
        <f>IF(AND(L223&gt;='Amort. Sched.-BEST'!$R$8, L223&lt;= ($R$7+$R$8)), O223/M223, " ")</f>
        <v xml:space="preserve"> </v>
      </c>
      <c r="U223" s="22">
        <f t="shared" si="53"/>
        <v>212</v>
      </c>
      <c r="V223" s="23">
        <f>IF(AND(U223&gt;='Amort. Sched.-BEST'!$AA$8, U223&lt;= ($AA$7+$AA$8)), PMT('Amort. Sched.-BEST'!$W$8/12, 'Amort. Sched.-BEST'!$AA$7, 'Amort. Sched.-BEST'!$W$7), 0)</f>
        <v>0</v>
      </c>
      <c r="W223" s="5">
        <f>IF(AND(U223&gt;='Amort. Sched.-BEST'!$AA$8, U223&lt;= ($AA$7+$AA$8)), (IPMT($W$8/12, (U223-$AA$8), $AA$7, $W$7)), 0)</f>
        <v>0</v>
      </c>
      <c r="X223" s="23">
        <f>IF(AND(U223&gt;='Amort. Sched.-BEST'!$AA$8, U223&lt;= ($AA$7+$AA$8)), (PPMT($W$8/12, (U223-$AA$8), $AA$7, $W$7)), 0)</f>
        <v>0</v>
      </c>
      <c r="Y223" s="5">
        <f>IF(CreditAmort2BEST[[#This Row],[Month]]=AA$8,W$7,0)</f>
        <v>0</v>
      </c>
      <c r="Z223" s="13">
        <f>IF(AND(U223&gt;='Amort. Sched.-BEST'!$AA$8, U223&lt;= ($AA$7+$AA$8)), Z222+X223, 0)</f>
        <v>0</v>
      </c>
      <c r="AA223" s="24" t="str">
        <f>IF(AND(U223&gt;='Amort. Sched.-BEST'!$AA$8, U223&lt;= ($AA$7+$AA$8)), W223/V223, " ")</f>
        <v xml:space="preserve"> </v>
      </c>
      <c r="AB223" s="25" t="str">
        <f>IF(AND(U223&gt;='Amort. Sched.-BEST'!$AA$8, U223&lt;= ($AA$7+$AA$8)), X223/V223, " ")</f>
        <v xml:space="preserve"> </v>
      </c>
      <c r="AD223" s="22">
        <f t="shared" si="54"/>
        <v>212</v>
      </c>
      <c r="AE223" s="5">
        <f t="shared" si="55"/>
        <v>0</v>
      </c>
      <c r="AF223" s="5">
        <f t="shared" si="56"/>
        <v>0</v>
      </c>
      <c r="AG223" s="5">
        <f t="shared" si="57"/>
        <v>0</v>
      </c>
      <c r="AH223" s="5">
        <f>IF(CreditAmort3BEST[[#This Row],[Month]]=AJ$8,AF$7,0)</f>
        <v>0</v>
      </c>
      <c r="AI223" s="13">
        <f t="shared" si="58"/>
        <v>0</v>
      </c>
      <c r="AJ223" s="6" t="str">
        <f t="shared" si="59"/>
        <v xml:space="preserve"> </v>
      </c>
      <c r="AK223" s="21" t="str">
        <f t="shared" si="60"/>
        <v xml:space="preserve"> </v>
      </c>
      <c r="AM223" s="20">
        <f t="shared" si="61"/>
        <v>212</v>
      </c>
      <c r="AN223" s="5">
        <f t="shared" si="62"/>
        <v>0</v>
      </c>
      <c r="AO223" s="5">
        <f t="shared" si="63"/>
        <v>0</v>
      </c>
      <c r="AP223" s="5">
        <f t="shared" si="64"/>
        <v>0</v>
      </c>
      <c r="AQ223" s="5">
        <f>IF(CreditAmort4BEST[[#This Row],[Month]]=AS$8,AO$7,0)</f>
        <v>0</v>
      </c>
      <c r="AR223" s="13">
        <f t="shared" si="65"/>
        <v>0</v>
      </c>
      <c r="AS223" s="6" t="str">
        <f t="shared" si="66"/>
        <v xml:space="preserve"> </v>
      </c>
      <c r="AT223" s="21" t="str">
        <f t="shared" si="67"/>
        <v xml:space="preserve"> </v>
      </c>
    </row>
    <row r="224" spans="3:46">
      <c r="C224" s="22">
        <f t="shared" si="52"/>
        <v>213</v>
      </c>
      <c r="D224" s="23">
        <f>IF(AND(C224&gt;='Amort. Sched.-BEST'!$I$8, C224&lt;= ($I$7+$I$8)), PMT('Amort. Sched.-BEST'!$E$8/12, 'Amort. Sched.-BEST'!$I$7, 'Amort. Sched.-BEST'!$E$7), 0)</f>
        <v>-1350.6783839027553</v>
      </c>
      <c r="E224" s="5">
        <f>IF(AND(C224&gt;='Amort. Sched.-BEST'!$I$8, C224&lt;= ($I$7+$I$8)), (IPMT($E$8/12, (C224-$I$8), $I$7, $E$7)), 0)</f>
        <v>-597.99663625779749</v>
      </c>
      <c r="F224" s="23">
        <f>IF(AND(C224&gt;='Amort. Sched.-BEST'!$I$8, C224&lt;= ($I$7+$I$8)), (PPMT($E$8/12, (C224-$I$8), $I$7, $E$7)), 0)</f>
        <v>-752.6817476449578</v>
      </c>
      <c r="G224" s="5">
        <f>IF(MortgageAmortBEST[[#This Row],[Month]]=I$8,E$7,0)</f>
        <v>0</v>
      </c>
      <c r="H224" s="13">
        <f>IF(AND(C224&gt;='Amort. Sched.-BEST'!$I$8, C224&lt;= ($I$7+$I$8)), H223+F224, 0)</f>
        <v>88946.813691024669</v>
      </c>
      <c r="I224" s="24">
        <f>IF(AND(C224&gt;='Amort. Sched.-BEST'!$I$8, C224&lt;= ($I$7+$I$8)), E224/D224, " ")</f>
        <v>0.4427379925411255</v>
      </c>
      <c r="J224" s="25">
        <f>IF(AND(C224&gt;='Amort. Sched.-BEST'!$I$8, C224&lt;= ($I$7+$I$8)), F224/D224, " ")</f>
        <v>0.55726200745887455</v>
      </c>
      <c r="L224" s="20">
        <f t="shared" si="51"/>
        <v>213</v>
      </c>
      <c r="M224" s="5">
        <f>IF(AND(L224&gt;='Amort. Sched.-BEST'!$R$8, L224&lt;= ($R$7+$R$8)), PMT('Amort. Sched.-BEST'!$N$8/12, 'Amort. Sched.-BEST'!$R$7, 'Amort. Sched.-BEST'!$N$7), 0)</f>
        <v>0</v>
      </c>
      <c r="N224" s="5">
        <f>IF(AND(L224&gt;='Amort. Sched.-BEST'!$R$8, L224&lt;= ($R$7+$R$8)), (IPMT($N$8/12, (L224-$R$8), $R$7, $N$7)), 0)</f>
        <v>0</v>
      </c>
      <c r="O224" s="5">
        <f>IF(AND(L224&gt;='Amort. Sched.-BEST'!$R$8, L224&lt;= ($R$7+$R$8)), (PPMT($N$8/12, (L224-$R$8), $R$7, $N$7)), 0)</f>
        <v>0</v>
      </c>
      <c r="P224" s="5">
        <f>IF(CreditAmort1BEST[[#This Row],[Month]]=R$8,N$7,0)</f>
        <v>0</v>
      </c>
      <c r="Q224" s="13">
        <f>IF(AND(L224&gt;='Amort. Sched.-BEST'!$R$8, L224&lt;= ($R$7+$R$8)), Q223+O224, 0)</f>
        <v>0</v>
      </c>
      <c r="R224" s="6" t="str">
        <f>IF(AND(L224&gt;='Amort. Sched.-BEST'!$R$8, L224&lt;= ($R$7+$R$8)), N224/M224, " ")</f>
        <v xml:space="preserve"> </v>
      </c>
      <c r="S224" s="21" t="str">
        <f>IF(AND(L224&gt;='Amort. Sched.-BEST'!$R$8, L224&lt;= ($R$7+$R$8)), O224/M224, " ")</f>
        <v xml:space="preserve"> </v>
      </c>
      <c r="U224" s="22">
        <f t="shared" si="53"/>
        <v>213</v>
      </c>
      <c r="V224" s="23">
        <f>IF(AND(U224&gt;='Amort. Sched.-BEST'!$AA$8, U224&lt;= ($AA$7+$AA$8)), PMT('Amort. Sched.-BEST'!$W$8/12, 'Amort. Sched.-BEST'!$AA$7, 'Amort. Sched.-BEST'!$W$7), 0)</f>
        <v>0</v>
      </c>
      <c r="W224" s="5">
        <f>IF(AND(U224&gt;='Amort. Sched.-BEST'!$AA$8, U224&lt;= ($AA$7+$AA$8)), (IPMT($W$8/12, (U224-$AA$8), $AA$7, $W$7)), 0)</f>
        <v>0</v>
      </c>
      <c r="X224" s="23">
        <f>IF(AND(U224&gt;='Amort. Sched.-BEST'!$AA$8, U224&lt;= ($AA$7+$AA$8)), (PPMT($W$8/12, (U224-$AA$8), $AA$7, $W$7)), 0)</f>
        <v>0</v>
      </c>
      <c r="Y224" s="5">
        <f>IF(CreditAmort2BEST[[#This Row],[Month]]=AA$8,W$7,0)</f>
        <v>0</v>
      </c>
      <c r="Z224" s="13">
        <f>IF(AND(U224&gt;='Amort. Sched.-BEST'!$AA$8, U224&lt;= ($AA$7+$AA$8)), Z223+X224, 0)</f>
        <v>0</v>
      </c>
      <c r="AA224" s="24" t="str">
        <f>IF(AND(U224&gt;='Amort. Sched.-BEST'!$AA$8, U224&lt;= ($AA$7+$AA$8)), W224/V224, " ")</f>
        <v xml:space="preserve"> </v>
      </c>
      <c r="AB224" s="25" t="str">
        <f>IF(AND(U224&gt;='Amort. Sched.-BEST'!$AA$8, U224&lt;= ($AA$7+$AA$8)), X224/V224, " ")</f>
        <v xml:space="preserve"> </v>
      </c>
      <c r="AD224" s="22">
        <f t="shared" si="54"/>
        <v>213</v>
      </c>
      <c r="AE224" s="5">
        <f t="shared" si="55"/>
        <v>0</v>
      </c>
      <c r="AF224" s="5">
        <f t="shared" si="56"/>
        <v>0</v>
      </c>
      <c r="AG224" s="5">
        <f t="shared" si="57"/>
        <v>0</v>
      </c>
      <c r="AH224" s="5">
        <f>IF(CreditAmort3BEST[[#This Row],[Month]]=AJ$8,AF$7,0)</f>
        <v>0</v>
      </c>
      <c r="AI224" s="13">
        <f t="shared" si="58"/>
        <v>0</v>
      </c>
      <c r="AJ224" s="6" t="str">
        <f t="shared" si="59"/>
        <v xml:space="preserve"> </v>
      </c>
      <c r="AK224" s="21" t="str">
        <f t="shared" si="60"/>
        <v xml:space="preserve"> </v>
      </c>
      <c r="AM224" s="20">
        <f t="shared" si="61"/>
        <v>213</v>
      </c>
      <c r="AN224" s="5">
        <f t="shared" si="62"/>
        <v>0</v>
      </c>
      <c r="AO224" s="5">
        <f t="shared" si="63"/>
        <v>0</v>
      </c>
      <c r="AP224" s="5">
        <f t="shared" si="64"/>
        <v>0</v>
      </c>
      <c r="AQ224" s="5">
        <f>IF(CreditAmort4BEST[[#This Row],[Month]]=AS$8,AO$7,0)</f>
        <v>0</v>
      </c>
      <c r="AR224" s="13">
        <f t="shared" si="65"/>
        <v>0</v>
      </c>
      <c r="AS224" s="6" t="str">
        <f t="shared" si="66"/>
        <v xml:space="preserve"> </v>
      </c>
      <c r="AT224" s="21" t="str">
        <f t="shared" si="67"/>
        <v xml:space="preserve"> </v>
      </c>
    </row>
    <row r="225" spans="3:46">
      <c r="C225" s="22">
        <f t="shared" si="52"/>
        <v>214</v>
      </c>
      <c r="D225" s="23">
        <f>IF(AND(C225&gt;='Amort. Sched.-BEST'!$I$8, C225&lt;= ($I$7+$I$8)), PMT('Amort. Sched.-BEST'!$E$8/12, 'Amort. Sched.-BEST'!$I$7, 'Amort. Sched.-BEST'!$E$7), 0)</f>
        <v>-1350.6783839027553</v>
      </c>
      <c r="E225" s="5">
        <f>IF(AND(C225&gt;='Amort. Sched.-BEST'!$I$8, C225&lt;= ($I$7+$I$8)), (IPMT($E$8/12, (C225-$I$8), $I$7, $E$7)), 0)</f>
        <v>-592.97875794016443</v>
      </c>
      <c r="F225" s="23">
        <f>IF(AND(C225&gt;='Amort. Sched.-BEST'!$I$8, C225&lt;= ($I$7+$I$8)), (PPMT($E$8/12, (C225-$I$8), $I$7, $E$7)), 0)</f>
        <v>-757.69962596259086</v>
      </c>
      <c r="G225" s="5">
        <f>IF(MortgageAmortBEST[[#This Row],[Month]]=I$8,E$7,0)</f>
        <v>0</v>
      </c>
      <c r="H225" s="13">
        <f>IF(AND(C225&gt;='Amort. Sched.-BEST'!$I$8, C225&lt;= ($I$7+$I$8)), H224+F225, 0)</f>
        <v>88189.11406506208</v>
      </c>
      <c r="I225" s="24">
        <f>IF(AND(C225&gt;='Amort. Sched.-BEST'!$I$8, C225&lt;= ($I$7+$I$8)), E225/D225, " ")</f>
        <v>0.43902291249139963</v>
      </c>
      <c r="J225" s="25">
        <f>IF(AND(C225&gt;='Amort. Sched.-BEST'!$I$8, C225&lt;= ($I$7+$I$8)), F225/D225, " ")</f>
        <v>0.56097708750860031</v>
      </c>
      <c r="L225" s="20">
        <f t="shared" si="51"/>
        <v>214</v>
      </c>
      <c r="M225" s="5">
        <f>IF(AND(L225&gt;='Amort. Sched.-BEST'!$R$8, L225&lt;= ($R$7+$R$8)), PMT('Amort. Sched.-BEST'!$N$8/12, 'Amort. Sched.-BEST'!$R$7, 'Amort. Sched.-BEST'!$N$7), 0)</f>
        <v>0</v>
      </c>
      <c r="N225" s="5">
        <f>IF(AND(L225&gt;='Amort. Sched.-BEST'!$R$8, L225&lt;= ($R$7+$R$8)), (IPMT($N$8/12, (L225-$R$8), $R$7, $N$7)), 0)</f>
        <v>0</v>
      </c>
      <c r="O225" s="5">
        <f>IF(AND(L225&gt;='Amort. Sched.-BEST'!$R$8, L225&lt;= ($R$7+$R$8)), (PPMT($N$8/12, (L225-$R$8), $R$7, $N$7)), 0)</f>
        <v>0</v>
      </c>
      <c r="P225" s="5">
        <f>IF(CreditAmort1BEST[[#This Row],[Month]]=R$8,N$7,0)</f>
        <v>0</v>
      </c>
      <c r="Q225" s="13">
        <f>IF(AND(L225&gt;='Amort. Sched.-BEST'!$R$8, L225&lt;= ($R$7+$R$8)), Q224+O225, 0)</f>
        <v>0</v>
      </c>
      <c r="R225" s="6" t="str">
        <f>IF(AND(L225&gt;='Amort. Sched.-BEST'!$R$8, L225&lt;= ($R$7+$R$8)), N225/M225, " ")</f>
        <v xml:space="preserve"> </v>
      </c>
      <c r="S225" s="21" t="str">
        <f>IF(AND(L225&gt;='Amort. Sched.-BEST'!$R$8, L225&lt;= ($R$7+$R$8)), O225/M225, " ")</f>
        <v xml:space="preserve"> </v>
      </c>
      <c r="U225" s="22">
        <f t="shared" si="53"/>
        <v>214</v>
      </c>
      <c r="V225" s="23">
        <f>IF(AND(U225&gt;='Amort. Sched.-BEST'!$AA$8, U225&lt;= ($AA$7+$AA$8)), PMT('Amort. Sched.-BEST'!$W$8/12, 'Amort. Sched.-BEST'!$AA$7, 'Amort. Sched.-BEST'!$W$7), 0)</f>
        <v>0</v>
      </c>
      <c r="W225" s="5">
        <f>IF(AND(U225&gt;='Amort. Sched.-BEST'!$AA$8, U225&lt;= ($AA$7+$AA$8)), (IPMT($W$8/12, (U225-$AA$8), $AA$7, $W$7)), 0)</f>
        <v>0</v>
      </c>
      <c r="X225" s="23">
        <f>IF(AND(U225&gt;='Amort. Sched.-BEST'!$AA$8, U225&lt;= ($AA$7+$AA$8)), (PPMT($W$8/12, (U225-$AA$8), $AA$7, $W$7)), 0)</f>
        <v>0</v>
      </c>
      <c r="Y225" s="5">
        <f>IF(CreditAmort2BEST[[#This Row],[Month]]=AA$8,W$7,0)</f>
        <v>0</v>
      </c>
      <c r="Z225" s="13">
        <f>IF(AND(U225&gt;='Amort. Sched.-BEST'!$AA$8, U225&lt;= ($AA$7+$AA$8)), Z224+X225, 0)</f>
        <v>0</v>
      </c>
      <c r="AA225" s="24" t="str">
        <f>IF(AND(U225&gt;='Amort. Sched.-BEST'!$AA$8, U225&lt;= ($AA$7+$AA$8)), W225/V225, " ")</f>
        <v xml:space="preserve"> </v>
      </c>
      <c r="AB225" s="25" t="str">
        <f>IF(AND(U225&gt;='Amort. Sched.-BEST'!$AA$8, U225&lt;= ($AA$7+$AA$8)), X225/V225, " ")</f>
        <v xml:space="preserve"> </v>
      </c>
      <c r="AD225" s="22">
        <f t="shared" si="54"/>
        <v>214</v>
      </c>
      <c r="AE225" s="5">
        <f t="shared" si="55"/>
        <v>0</v>
      </c>
      <c r="AF225" s="5">
        <f t="shared" si="56"/>
        <v>0</v>
      </c>
      <c r="AG225" s="5">
        <f t="shared" si="57"/>
        <v>0</v>
      </c>
      <c r="AH225" s="5">
        <f>IF(CreditAmort3BEST[[#This Row],[Month]]=AJ$8,AF$7,0)</f>
        <v>0</v>
      </c>
      <c r="AI225" s="13">
        <f t="shared" si="58"/>
        <v>0</v>
      </c>
      <c r="AJ225" s="6" t="str">
        <f t="shared" si="59"/>
        <v xml:space="preserve"> </v>
      </c>
      <c r="AK225" s="21" t="str">
        <f t="shared" si="60"/>
        <v xml:space="preserve"> </v>
      </c>
      <c r="AM225" s="20">
        <f t="shared" si="61"/>
        <v>214</v>
      </c>
      <c r="AN225" s="5">
        <f t="shared" si="62"/>
        <v>0</v>
      </c>
      <c r="AO225" s="5">
        <f t="shared" si="63"/>
        <v>0</v>
      </c>
      <c r="AP225" s="5">
        <f t="shared" si="64"/>
        <v>0</v>
      </c>
      <c r="AQ225" s="5">
        <f>IF(CreditAmort4BEST[[#This Row],[Month]]=AS$8,AO$7,0)</f>
        <v>0</v>
      </c>
      <c r="AR225" s="13">
        <f t="shared" si="65"/>
        <v>0</v>
      </c>
      <c r="AS225" s="6" t="str">
        <f t="shared" si="66"/>
        <v xml:space="preserve"> </v>
      </c>
      <c r="AT225" s="21" t="str">
        <f t="shared" si="67"/>
        <v xml:space="preserve"> </v>
      </c>
    </row>
    <row r="226" spans="3:46">
      <c r="C226" s="22">
        <f t="shared" si="52"/>
        <v>215</v>
      </c>
      <c r="D226" s="23">
        <f>IF(AND(C226&gt;='Amort. Sched.-BEST'!$I$8, C226&lt;= ($I$7+$I$8)), PMT('Amort. Sched.-BEST'!$E$8/12, 'Amort. Sched.-BEST'!$I$7, 'Amort. Sched.-BEST'!$E$7), 0)</f>
        <v>-1350.6783839027553</v>
      </c>
      <c r="E226" s="5">
        <f>IF(AND(C226&gt;='Amort. Sched.-BEST'!$I$8, C226&lt;= ($I$7+$I$8)), (IPMT($E$8/12, (C226-$I$8), $I$7, $E$7)), 0)</f>
        <v>-587.92742710041398</v>
      </c>
      <c r="F226" s="23">
        <f>IF(AND(C226&gt;='Amort. Sched.-BEST'!$I$8, C226&lt;= ($I$7+$I$8)), (PPMT($E$8/12, (C226-$I$8), $I$7, $E$7)), 0)</f>
        <v>-762.75095680234131</v>
      </c>
      <c r="G226" s="5">
        <f>IF(MortgageAmortBEST[[#This Row],[Month]]=I$8,E$7,0)</f>
        <v>0</v>
      </c>
      <c r="H226" s="13">
        <f>IF(AND(C226&gt;='Amort. Sched.-BEST'!$I$8, C226&lt;= ($I$7+$I$8)), H225+F226, 0)</f>
        <v>87426.363108259742</v>
      </c>
      <c r="I226" s="24">
        <f>IF(AND(C226&gt;='Amort. Sched.-BEST'!$I$8, C226&lt;= ($I$7+$I$8)), E226/D226, " ")</f>
        <v>0.43528306524134242</v>
      </c>
      <c r="J226" s="25">
        <f>IF(AND(C226&gt;='Amort. Sched.-BEST'!$I$8, C226&lt;= ($I$7+$I$8)), F226/D226, " ")</f>
        <v>0.56471693475865758</v>
      </c>
      <c r="L226" s="20">
        <f t="shared" si="51"/>
        <v>215</v>
      </c>
      <c r="M226" s="5">
        <f>IF(AND(L226&gt;='Amort. Sched.-BEST'!$R$8, L226&lt;= ($R$7+$R$8)), PMT('Amort. Sched.-BEST'!$N$8/12, 'Amort. Sched.-BEST'!$R$7, 'Amort. Sched.-BEST'!$N$7), 0)</f>
        <v>0</v>
      </c>
      <c r="N226" s="5">
        <f>IF(AND(L226&gt;='Amort. Sched.-BEST'!$R$8, L226&lt;= ($R$7+$R$8)), (IPMT($N$8/12, (L226-$R$8), $R$7, $N$7)), 0)</f>
        <v>0</v>
      </c>
      <c r="O226" s="5">
        <f>IF(AND(L226&gt;='Amort. Sched.-BEST'!$R$8, L226&lt;= ($R$7+$R$8)), (PPMT($N$8/12, (L226-$R$8), $R$7, $N$7)), 0)</f>
        <v>0</v>
      </c>
      <c r="P226" s="5">
        <f>IF(CreditAmort1BEST[[#This Row],[Month]]=R$8,N$7,0)</f>
        <v>0</v>
      </c>
      <c r="Q226" s="13">
        <f>IF(AND(L226&gt;='Amort. Sched.-BEST'!$R$8, L226&lt;= ($R$7+$R$8)), Q225+O226, 0)</f>
        <v>0</v>
      </c>
      <c r="R226" s="6" t="str">
        <f>IF(AND(L226&gt;='Amort. Sched.-BEST'!$R$8, L226&lt;= ($R$7+$R$8)), N226/M226, " ")</f>
        <v xml:space="preserve"> </v>
      </c>
      <c r="S226" s="21" t="str">
        <f>IF(AND(L226&gt;='Amort. Sched.-BEST'!$R$8, L226&lt;= ($R$7+$R$8)), O226/M226, " ")</f>
        <v xml:space="preserve"> </v>
      </c>
      <c r="U226" s="22">
        <f t="shared" si="53"/>
        <v>215</v>
      </c>
      <c r="V226" s="23">
        <f>IF(AND(U226&gt;='Amort. Sched.-BEST'!$AA$8, U226&lt;= ($AA$7+$AA$8)), PMT('Amort. Sched.-BEST'!$W$8/12, 'Amort. Sched.-BEST'!$AA$7, 'Amort. Sched.-BEST'!$W$7), 0)</f>
        <v>0</v>
      </c>
      <c r="W226" s="5">
        <f>IF(AND(U226&gt;='Amort. Sched.-BEST'!$AA$8, U226&lt;= ($AA$7+$AA$8)), (IPMT($W$8/12, (U226-$AA$8), $AA$7, $W$7)), 0)</f>
        <v>0</v>
      </c>
      <c r="X226" s="23">
        <f>IF(AND(U226&gt;='Amort. Sched.-BEST'!$AA$8, U226&lt;= ($AA$7+$AA$8)), (PPMT($W$8/12, (U226-$AA$8), $AA$7, $W$7)), 0)</f>
        <v>0</v>
      </c>
      <c r="Y226" s="5">
        <f>IF(CreditAmort2BEST[[#This Row],[Month]]=AA$8,W$7,0)</f>
        <v>0</v>
      </c>
      <c r="Z226" s="13">
        <f>IF(AND(U226&gt;='Amort. Sched.-BEST'!$AA$8, U226&lt;= ($AA$7+$AA$8)), Z225+X226, 0)</f>
        <v>0</v>
      </c>
      <c r="AA226" s="24" t="str">
        <f>IF(AND(U226&gt;='Amort. Sched.-BEST'!$AA$8, U226&lt;= ($AA$7+$AA$8)), W226/V226, " ")</f>
        <v xml:space="preserve"> </v>
      </c>
      <c r="AB226" s="25" t="str">
        <f>IF(AND(U226&gt;='Amort. Sched.-BEST'!$AA$8, U226&lt;= ($AA$7+$AA$8)), X226/V226, " ")</f>
        <v xml:space="preserve"> </v>
      </c>
      <c r="AD226" s="22">
        <f t="shared" si="54"/>
        <v>215</v>
      </c>
      <c r="AE226" s="5">
        <f t="shared" si="55"/>
        <v>0</v>
      </c>
      <c r="AF226" s="5">
        <f t="shared" si="56"/>
        <v>0</v>
      </c>
      <c r="AG226" s="5">
        <f t="shared" si="57"/>
        <v>0</v>
      </c>
      <c r="AH226" s="5">
        <f>IF(CreditAmort3BEST[[#This Row],[Month]]=AJ$8,AF$7,0)</f>
        <v>0</v>
      </c>
      <c r="AI226" s="13">
        <f t="shared" si="58"/>
        <v>0</v>
      </c>
      <c r="AJ226" s="6" t="str">
        <f t="shared" si="59"/>
        <v xml:space="preserve"> </v>
      </c>
      <c r="AK226" s="21" t="str">
        <f t="shared" si="60"/>
        <v xml:space="preserve"> </v>
      </c>
      <c r="AM226" s="20">
        <f t="shared" si="61"/>
        <v>215</v>
      </c>
      <c r="AN226" s="5">
        <f t="shared" si="62"/>
        <v>0</v>
      </c>
      <c r="AO226" s="5">
        <f t="shared" si="63"/>
        <v>0</v>
      </c>
      <c r="AP226" s="5">
        <f t="shared" si="64"/>
        <v>0</v>
      </c>
      <c r="AQ226" s="5">
        <f>IF(CreditAmort4BEST[[#This Row],[Month]]=AS$8,AO$7,0)</f>
        <v>0</v>
      </c>
      <c r="AR226" s="13">
        <f t="shared" si="65"/>
        <v>0</v>
      </c>
      <c r="AS226" s="6" t="str">
        <f t="shared" si="66"/>
        <v xml:space="preserve"> </v>
      </c>
      <c r="AT226" s="21" t="str">
        <f t="shared" si="67"/>
        <v xml:space="preserve"> </v>
      </c>
    </row>
    <row r="227" spans="3:46">
      <c r="C227" s="22">
        <f t="shared" si="52"/>
        <v>216</v>
      </c>
      <c r="D227" s="23">
        <f>IF(AND(C227&gt;='Amort. Sched.-BEST'!$I$8, C227&lt;= ($I$7+$I$8)), PMT('Amort. Sched.-BEST'!$E$8/12, 'Amort. Sched.-BEST'!$I$7, 'Amort. Sched.-BEST'!$E$7), 0)</f>
        <v>-1350.6783839027553</v>
      </c>
      <c r="E227" s="5">
        <f>IF(AND(C227&gt;='Amort. Sched.-BEST'!$I$8, C227&lt;= ($I$7+$I$8)), (IPMT($E$8/12, (C227-$I$8), $I$7, $E$7)), 0)</f>
        <v>-582.84242072173174</v>
      </c>
      <c r="F227" s="23">
        <f>IF(AND(C227&gt;='Amort. Sched.-BEST'!$I$8, C227&lt;= ($I$7+$I$8)), (PPMT($E$8/12, (C227-$I$8), $I$7, $E$7)), 0)</f>
        <v>-767.83596318102354</v>
      </c>
      <c r="G227" s="5">
        <f>IF(MortgageAmortBEST[[#This Row],[Month]]=I$8,E$7,0)</f>
        <v>0</v>
      </c>
      <c r="H227" s="13">
        <f>IF(AND(C227&gt;='Amort. Sched.-BEST'!$I$8, C227&lt;= ($I$7+$I$8)), H226+F227, 0)</f>
        <v>86658.527145078726</v>
      </c>
      <c r="I227" s="24">
        <f>IF(AND(C227&gt;='Amort. Sched.-BEST'!$I$8, C227&lt;= ($I$7+$I$8)), E227/D227, " ")</f>
        <v>0.43151828567628475</v>
      </c>
      <c r="J227" s="25">
        <f>IF(AND(C227&gt;='Amort. Sched.-BEST'!$I$8, C227&lt;= ($I$7+$I$8)), F227/D227, " ")</f>
        <v>0.5684817143237153</v>
      </c>
      <c r="L227" s="20">
        <f t="shared" si="51"/>
        <v>216</v>
      </c>
      <c r="M227" s="5">
        <f>IF(AND(L227&gt;='Amort. Sched.-BEST'!$R$8, L227&lt;= ($R$7+$R$8)), PMT('Amort. Sched.-BEST'!$N$8/12, 'Amort. Sched.-BEST'!$R$7, 'Amort. Sched.-BEST'!$N$7), 0)</f>
        <v>0</v>
      </c>
      <c r="N227" s="5">
        <f>IF(AND(L227&gt;='Amort. Sched.-BEST'!$R$8, L227&lt;= ($R$7+$R$8)), (IPMT($N$8/12, (L227-$R$8), $R$7, $N$7)), 0)</f>
        <v>0</v>
      </c>
      <c r="O227" s="5">
        <f>IF(AND(L227&gt;='Amort. Sched.-BEST'!$R$8, L227&lt;= ($R$7+$R$8)), (PPMT($N$8/12, (L227-$R$8), $R$7, $N$7)), 0)</f>
        <v>0</v>
      </c>
      <c r="P227" s="5">
        <f>IF(CreditAmort1BEST[[#This Row],[Month]]=R$8,N$7,0)</f>
        <v>0</v>
      </c>
      <c r="Q227" s="13">
        <f>IF(AND(L227&gt;='Amort. Sched.-BEST'!$R$8, L227&lt;= ($R$7+$R$8)), Q226+O227, 0)</f>
        <v>0</v>
      </c>
      <c r="R227" s="6" t="str">
        <f>IF(AND(L227&gt;='Amort. Sched.-BEST'!$R$8, L227&lt;= ($R$7+$R$8)), N227/M227, " ")</f>
        <v xml:space="preserve"> </v>
      </c>
      <c r="S227" s="21" t="str">
        <f>IF(AND(L227&gt;='Amort. Sched.-BEST'!$R$8, L227&lt;= ($R$7+$R$8)), O227/M227, " ")</f>
        <v xml:space="preserve"> </v>
      </c>
      <c r="U227" s="22">
        <f t="shared" si="53"/>
        <v>216</v>
      </c>
      <c r="V227" s="23">
        <f>IF(AND(U227&gt;='Amort. Sched.-BEST'!$AA$8, U227&lt;= ($AA$7+$AA$8)), PMT('Amort. Sched.-BEST'!$W$8/12, 'Amort. Sched.-BEST'!$AA$7, 'Amort. Sched.-BEST'!$W$7), 0)</f>
        <v>0</v>
      </c>
      <c r="W227" s="5">
        <f>IF(AND(U227&gt;='Amort. Sched.-BEST'!$AA$8, U227&lt;= ($AA$7+$AA$8)), (IPMT($W$8/12, (U227-$AA$8), $AA$7, $W$7)), 0)</f>
        <v>0</v>
      </c>
      <c r="X227" s="23">
        <f>IF(AND(U227&gt;='Amort. Sched.-BEST'!$AA$8, U227&lt;= ($AA$7+$AA$8)), (PPMT($W$8/12, (U227-$AA$8), $AA$7, $W$7)), 0)</f>
        <v>0</v>
      </c>
      <c r="Y227" s="5">
        <f>IF(CreditAmort2BEST[[#This Row],[Month]]=AA$8,W$7,0)</f>
        <v>0</v>
      </c>
      <c r="Z227" s="13">
        <f>IF(AND(U227&gt;='Amort. Sched.-BEST'!$AA$8, U227&lt;= ($AA$7+$AA$8)), Z226+X227, 0)</f>
        <v>0</v>
      </c>
      <c r="AA227" s="24" t="str">
        <f>IF(AND(U227&gt;='Amort. Sched.-BEST'!$AA$8, U227&lt;= ($AA$7+$AA$8)), W227/V227, " ")</f>
        <v xml:space="preserve"> </v>
      </c>
      <c r="AB227" s="25" t="str">
        <f>IF(AND(U227&gt;='Amort. Sched.-BEST'!$AA$8, U227&lt;= ($AA$7+$AA$8)), X227/V227, " ")</f>
        <v xml:space="preserve"> </v>
      </c>
      <c r="AD227" s="22">
        <f t="shared" si="54"/>
        <v>216</v>
      </c>
      <c r="AE227" s="5">
        <f t="shared" si="55"/>
        <v>0</v>
      </c>
      <c r="AF227" s="5">
        <f t="shared" si="56"/>
        <v>0</v>
      </c>
      <c r="AG227" s="5">
        <f t="shared" si="57"/>
        <v>0</v>
      </c>
      <c r="AH227" s="5">
        <f>IF(CreditAmort3BEST[[#This Row],[Month]]=AJ$8,AF$7,0)</f>
        <v>0</v>
      </c>
      <c r="AI227" s="13">
        <f t="shared" si="58"/>
        <v>0</v>
      </c>
      <c r="AJ227" s="6" t="str">
        <f t="shared" si="59"/>
        <v xml:space="preserve"> </v>
      </c>
      <c r="AK227" s="21" t="str">
        <f t="shared" si="60"/>
        <v xml:space="preserve"> </v>
      </c>
      <c r="AM227" s="20">
        <f t="shared" si="61"/>
        <v>216</v>
      </c>
      <c r="AN227" s="5">
        <f t="shared" si="62"/>
        <v>0</v>
      </c>
      <c r="AO227" s="5">
        <f t="shared" si="63"/>
        <v>0</v>
      </c>
      <c r="AP227" s="5">
        <f t="shared" si="64"/>
        <v>0</v>
      </c>
      <c r="AQ227" s="5">
        <f>IF(CreditAmort4BEST[[#This Row],[Month]]=AS$8,AO$7,0)</f>
        <v>0</v>
      </c>
      <c r="AR227" s="13">
        <f t="shared" si="65"/>
        <v>0</v>
      </c>
      <c r="AS227" s="6" t="str">
        <f t="shared" si="66"/>
        <v xml:space="preserve"> </v>
      </c>
      <c r="AT227" s="21" t="str">
        <f t="shared" si="67"/>
        <v xml:space="preserve"> </v>
      </c>
    </row>
    <row r="228" spans="3:46">
      <c r="C228" s="22">
        <f t="shared" si="52"/>
        <v>217</v>
      </c>
      <c r="D228" s="23">
        <f>IF(AND(C228&gt;='Amort. Sched.-BEST'!$I$8, C228&lt;= ($I$7+$I$8)), PMT('Amort. Sched.-BEST'!$E$8/12, 'Amort. Sched.-BEST'!$I$7, 'Amort. Sched.-BEST'!$E$7), 0)</f>
        <v>-1350.6783839027553</v>
      </c>
      <c r="E228" s="5">
        <f>IF(AND(C228&gt;='Amort. Sched.-BEST'!$I$8, C228&lt;= ($I$7+$I$8)), (IPMT($E$8/12, (C228-$I$8), $I$7, $E$7)), 0)</f>
        <v>-577.72351430052493</v>
      </c>
      <c r="F228" s="23">
        <f>IF(AND(C228&gt;='Amort. Sched.-BEST'!$I$8, C228&lt;= ($I$7+$I$8)), (PPMT($E$8/12, (C228-$I$8), $I$7, $E$7)), 0)</f>
        <v>-772.95486960223047</v>
      </c>
      <c r="G228" s="5">
        <f>IF(MortgageAmortBEST[[#This Row],[Month]]=I$8,E$7,0)</f>
        <v>0</v>
      </c>
      <c r="H228" s="13">
        <f>IF(AND(C228&gt;='Amort. Sched.-BEST'!$I$8, C228&lt;= ($I$7+$I$8)), H227+F228, 0)</f>
        <v>85885.572275476501</v>
      </c>
      <c r="I228" s="24">
        <f>IF(AND(C228&gt;='Amort. Sched.-BEST'!$I$8, C228&lt;= ($I$7+$I$8)), E228/D228, " ")</f>
        <v>0.42772840758079328</v>
      </c>
      <c r="J228" s="25">
        <f>IF(AND(C228&gt;='Amort. Sched.-BEST'!$I$8, C228&lt;= ($I$7+$I$8)), F228/D228, " ")</f>
        <v>0.57227159241920678</v>
      </c>
      <c r="L228" s="20">
        <f t="shared" si="51"/>
        <v>217</v>
      </c>
      <c r="M228" s="5">
        <f>IF(AND(L228&gt;='Amort. Sched.-BEST'!$R$8, L228&lt;= ($R$7+$R$8)), PMT('Amort. Sched.-BEST'!$N$8/12, 'Amort. Sched.-BEST'!$R$7, 'Amort. Sched.-BEST'!$N$7), 0)</f>
        <v>0</v>
      </c>
      <c r="N228" s="5">
        <f>IF(AND(L228&gt;='Amort. Sched.-BEST'!$R$8, L228&lt;= ($R$7+$R$8)), (IPMT($N$8/12, (L228-$R$8), $R$7, $N$7)), 0)</f>
        <v>0</v>
      </c>
      <c r="O228" s="5">
        <f>IF(AND(L228&gt;='Amort. Sched.-BEST'!$R$8, L228&lt;= ($R$7+$R$8)), (PPMT($N$8/12, (L228-$R$8), $R$7, $N$7)), 0)</f>
        <v>0</v>
      </c>
      <c r="P228" s="5">
        <f>IF(CreditAmort1BEST[[#This Row],[Month]]=R$8,N$7,0)</f>
        <v>0</v>
      </c>
      <c r="Q228" s="13">
        <f>IF(AND(L228&gt;='Amort. Sched.-BEST'!$R$8, L228&lt;= ($R$7+$R$8)), Q227+O228, 0)</f>
        <v>0</v>
      </c>
      <c r="R228" s="6" t="str">
        <f>IF(AND(L228&gt;='Amort. Sched.-BEST'!$R$8, L228&lt;= ($R$7+$R$8)), N228/M228, " ")</f>
        <v xml:space="preserve"> </v>
      </c>
      <c r="S228" s="21" t="str">
        <f>IF(AND(L228&gt;='Amort. Sched.-BEST'!$R$8, L228&lt;= ($R$7+$R$8)), O228/M228, " ")</f>
        <v xml:space="preserve"> </v>
      </c>
      <c r="U228" s="22">
        <f t="shared" si="53"/>
        <v>217</v>
      </c>
      <c r="V228" s="23">
        <f>IF(AND(U228&gt;='Amort. Sched.-BEST'!$AA$8, U228&lt;= ($AA$7+$AA$8)), PMT('Amort. Sched.-BEST'!$W$8/12, 'Amort. Sched.-BEST'!$AA$7, 'Amort. Sched.-BEST'!$W$7), 0)</f>
        <v>0</v>
      </c>
      <c r="W228" s="5">
        <f>IF(AND(U228&gt;='Amort. Sched.-BEST'!$AA$8, U228&lt;= ($AA$7+$AA$8)), (IPMT($W$8/12, (U228-$AA$8), $AA$7, $W$7)), 0)</f>
        <v>0</v>
      </c>
      <c r="X228" s="23">
        <f>IF(AND(U228&gt;='Amort. Sched.-BEST'!$AA$8, U228&lt;= ($AA$7+$AA$8)), (PPMT($W$8/12, (U228-$AA$8), $AA$7, $W$7)), 0)</f>
        <v>0</v>
      </c>
      <c r="Y228" s="5">
        <f>IF(CreditAmort2BEST[[#This Row],[Month]]=AA$8,W$7,0)</f>
        <v>0</v>
      </c>
      <c r="Z228" s="13">
        <f>IF(AND(U228&gt;='Amort. Sched.-BEST'!$AA$8, U228&lt;= ($AA$7+$AA$8)), Z227+X228, 0)</f>
        <v>0</v>
      </c>
      <c r="AA228" s="24" t="str">
        <f>IF(AND(U228&gt;='Amort. Sched.-BEST'!$AA$8, U228&lt;= ($AA$7+$AA$8)), W228/V228, " ")</f>
        <v xml:space="preserve"> </v>
      </c>
      <c r="AB228" s="25" t="str">
        <f>IF(AND(U228&gt;='Amort. Sched.-BEST'!$AA$8, U228&lt;= ($AA$7+$AA$8)), X228/V228, " ")</f>
        <v xml:space="preserve"> </v>
      </c>
      <c r="AD228" s="22">
        <f t="shared" si="54"/>
        <v>217</v>
      </c>
      <c r="AE228" s="5">
        <f t="shared" si="55"/>
        <v>0</v>
      </c>
      <c r="AF228" s="5">
        <f t="shared" si="56"/>
        <v>0</v>
      </c>
      <c r="AG228" s="5">
        <f t="shared" si="57"/>
        <v>0</v>
      </c>
      <c r="AH228" s="5">
        <f>IF(CreditAmort3BEST[[#This Row],[Month]]=AJ$8,AF$7,0)</f>
        <v>0</v>
      </c>
      <c r="AI228" s="13">
        <f t="shared" si="58"/>
        <v>0</v>
      </c>
      <c r="AJ228" s="6" t="str">
        <f t="shared" si="59"/>
        <v xml:space="preserve"> </v>
      </c>
      <c r="AK228" s="21" t="str">
        <f t="shared" si="60"/>
        <v xml:space="preserve"> </v>
      </c>
      <c r="AM228" s="20">
        <f t="shared" si="61"/>
        <v>217</v>
      </c>
      <c r="AN228" s="5">
        <f t="shared" si="62"/>
        <v>0</v>
      </c>
      <c r="AO228" s="5">
        <f t="shared" si="63"/>
        <v>0</v>
      </c>
      <c r="AP228" s="5">
        <f t="shared" si="64"/>
        <v>0</v>
      </c>
      <c r="AQ228" s="5">
        <f>IF(CreditAmort4BEST[[#This Row],[Month]]=AS$8,AO$7,0)</f>
        <v>0</v>
      </c>
      <c r="AR228" s="13">
        <f t="shared" si="65"/>
        <v>0</v>
      </c>
      <c r="AS228" s="6" t="str">
        <f t="shared" si="66"/>
        <v xml:space="preserve"> </v>
      </c>
      <c r="AT228" s="21" t="str">
        <f t="shared" si="67"/>
        <v xml:space="preserve"> </v>
      </c>
    </row>
    <row r="229" spans="3:46">
      <c r="C229" s="22">
        <f t="shared" si="52"/>
        <v>218</v>
      </c>
      <c r="D229" s="23">
        <f>IF(AND(C229&gt;='Amort. Sched.-BEST'!$I$8, C229&lt;= ($I$7+$I$8)), PMT('Amort. Sched.-BEST'!$E$8/12, 'Amort. Sched.-BEST'!$I$7, 'Amort. Sched.-BEST'!$E$7), 0)</f>
        <v>-1350.6783839027553</v>
      </c>
      <c r="E229" s="5">
        <f>IF(AND(C229&gt;='Amort. Sched.-BEST'!$I$8, C229&lt;= ($I$7+$I$8)), (IPMT($E$8/12, (C229-$I$8), $I$7, $E$7)), 0)</f>
        <v>-572.57048183651</v>
      </c>
      <c r="F229" s="23">
        <f>IF(AND(C229&gt;='Amort. Sched.-BEST'!$I$8, C229&lt;= ($I$7+$I$8)), (PPMT($E$8/12, (C229-$I$8), $I$7, $E$7)), 0)</f>
        <v>-778.1079020662454</v>
      </c>
      <c r="G229" s="5">
        <f>IF(MortgageAmortBEST[[#This Row],[Month]]=I$8,E$7,0)</f>
        <v>0</v>
      </c>
      <c r="H229" s="13">
        <f>IF(AND(C229&gt;='Amort. Sched.-BEST'!$I$8, C229&lt;= ($I$7+$I$8)), H228+F229, 0)</f>
        <v>85107.464373410257</v>
      </c>
      <c r="I229" s="24">
        <f>IF(AND(C229&gt;='Amort. Sched.-BEST'!$I$8, C229&lt;= ($I$7+$I$8)), E229/D229, " ")</f>
        <v>0.42391326363133186</v>
      </c>
      <c r="J229" s="25">
        <f>IF(AND(C229&gt;='Amort. Sched.-BEST'!$I$8, C229&lt;= ($I$7+$I$8)), F229/D229, " ")</f>
        <v>0.57608673636866825</v>
      </c>
      <c r="L229" s="20">
        <f t="shared" si="51"/>
        <v>218</v>
      </c>
      <c r="M229" s="5">
        <f>IF(AND(L229&gt;='Amort. Sched.-BEST'!$R$8, L229&lt;= ($R$7+$R$8)), PMT('Amort. Sched.-BEST'!$N$8/12, 'Amort. Sched.-BEST'!$R$7, 'Amort. Sched.-BEST'!$N$7), 0)</f>
        <v>0</v>
      </c>
      <c r="N229" s="5">
        <f>IF(AND(L229&gt;='Amort. Sched.-BEST'!$R$8, L229&lt;= ($R$7+$R$8)), (IPMT($N$8/12, (L229-$R$8), $R$7, $N$7)), 0)</f>
        <v>0</v>
      </c>
      <c r="O229" s="5">
        <f>IF(AND(L229&gt;='Amort. Sched.-BEST'!$R$8, L229&lt;= ($R$7+$R$8)), (PPMT($N$8/12, (L229-$R$8), $R$7, $N$7)), 0)</f>
        <v>0</v>
      </c>
      <c r="P229" s="5">
        <f>IF(CreditAmort1BEST[[#This Row],[Month]]=R$8,N$7,0)</f>
        <v>0</v>
      </c>
      <c r="Q229" s="13">
        <f>IF(AND(L229&gt;='Amort. Sched.-BEST'!$R$8, L229&lt;= ($R$7+$R$8)), Q228+O229, 0)</f>
        <v>0</v>
      </c>
      <c r="R229" s="6" t="str">
        <f>IF(AND(L229&gt;='Amort. Sched.-BEST'!$R$8, L229&lt;= ($R$7+$R$8)), N229/M229, " ")</f>
        <v xml:space="preserve"> </v>
      </c>
      <c r="S229" s="21" t="str">
        <f>IF(AND(L229&gt;='Amort. Sched.-BEST'!$R$8, L229&lt;= ($R$7+$R$8)), O229/M229, " ")</f>
        <v xml:space="preserve"> </v>
      </c>
      <c r="U229" s="22">
        <f t="shared" si="53"/>
        <v>218</v>
      </c>
      <c r="V229" s="23">
        <f>IF(AND(U229&gt;='Amort. Sched.-BEST'!$AA$8, U229&lt;= ($AA$7+$AA$8)), PMT('Amort. Sched.-BEST'!$W$8/12, 'Amort. Sched.-BEST'!$AA$7, 'Amort. Sched.-BEST'!$W$7), 0)</f>
        <v>0</v>
      </c>
      <c r="W229" s="5">
        <f>IF(AND(U229&gt;='Amort. Sched.-BEST'!$AA$8, U229&lt;= ($AA$7+$AA$8)), (IPMT($W$8/12, (U229-$AA$8), $AA$7, $W$7)), 0)</f>
        <v>0</v>
      </c>
      <c r="X229" s="23">
        <f>IF(AND(U229&gt;='Amort. Sched.-BEST'!$AA$8, U229&lt;= ($AA$7+$AA$8)), (PPMT($W$8/12, (U229-$AA$8), $AA$7, $W$7)), 0)</f>
        <v>0</v>
      </c>
      <c r="Y229" s="5">
        <f>IF(CreditAmort2BEST[[#This Row],[Month]]=AA$8,W$7,0)</f>
        <v>0</v>
      </c>
      <c r="Z229" s="13">
        <f>IF(AND(U229&gt;='Amort. Sched.-BEST'!$AA$8, U229&lt;= ($AA$7+$AA$8)), Z228+X229, 0)</f>
        <v>0</v>
      </c>
      <c r="AA229" s="24" t="str">
        <f>IF(AND(U229&gt;='Amort. Sched.-BEST'!$AA$8, U229&lt;= ($AA$7+$AA$8)), W229/V229, " ")</f>
        <v xml:space="preserve"> </v>
      </c>
      <c r="AB229" s="25" t="str">
        <f>IF(AND(U229&gt;='Amort. Sched.-BEST'!$AA$8, U229&lt;= ($AA$7+$AA$8)), X229/V229, " ")</f>
        <v xml:space="preserve"> </v>
      </c>
      <c r="AD229" s="22">
        <f t="shared" si="54"/>
        <v>218</v>
      </c>
      <c r="AE229" s="5">
        <f t="shared" si="55"/>
        <v>0</v>
      </c>
      <c r="AF229" s="5">
        <f t="shared" si="56"/>
        <v>0</v>
      </c>
      <c r="AG229" s="5">
        <f t="shared" si="57"/>
        <v>0</v>
      </c>
      <c r="AH229" s="5">
        <f>IF(CreditAmort3BEST[[#This Row],[Month]]=AJ$8,AF$7,0)</f>
        <v>0</v>
      </c>
      <c r="AI229" s="13">
        <f t="shared" si="58"/>
        <v>0</v>
      </c>
      <c r="AJ229" s="6" t="str">
        <f t="shared" si="59"/>
        <v xml:space="preserve"> </v>
      </c>
      <c r="AK229" s="21" t="str">
        <f t="shared" si="60"/>
        <v xml:space="preserve"> </v>
      </c>
      <c r="AM229" s="20">
        <f t="shared" si="61"/>
        <v>218</v>
      </c>
      <c r="AN229" s="5">
        <f t="shared" si="62"/>
        <v>0</v>
      </c>
      <c r="AO229" s="5">
        <f t="shared" si="63"/>
        <v>0</v>
      </c>
      <c r="AP229" s="5">
        <f t="shared" si="64"/>
        <v>0</v>
      </c>
      <c r="AQ229" s="5">
        <f>IF(CreditAmort4BEST[[#This Row],[Month]]=AS$8,AO$7,0)</f>
        <v>0</v>
      </c>
      <c r="AR229" s="13">
        <f t="shared" si="65"/>
        <v>0</v>
      </c>
      <c r="AS229" s="6" t="str">
        <f t="shared" si="66"/>
        <v xml:space="preserve"> </v>
      </c>
      <c r="AT229" s="21" t="str">
        <f t="shared" si="67"/>
        <v xml:space="preserve"> </v>
      </c>
    </row>
    <row r="230" spans="3:46">
      <c r="C230" s="22">
        <f t="shared" si="52"/>
        <v>219</v>
      </c>
      <c r="D230" s="23">
        <f>IF(AND(C230&gt;='Amort. Sched.-BEST'!$I$8, C230&lt;= ($I$7+$I$8)), PMT('Amort. Sched.-BEST'!$E$8/12, 'Amort. Sched.-BEST'!$I$7, 'Amort. Sched.-BEST'!$E$7), 0)</f>
        <v>-1350.6783839027553</v>
      </c>
      <c r="E230" s="5">
        <f>IF(AND(C230&gt;='Amort. Sched.-BEST'!$I$8, C230&lt;= ($I$7+$I$8)), (IPMT($E$8/12, (C230-$I$8), $I$7, $E$7)), 0)</f>
        <v>-567.38309582273507</v>
      </c>
      <c r="F230" s="23">
        <f>IF(AND(C230&gt;='Amort. Sched.-BEST'!$I$8, C230&lt;= ($I$7+$I$8)), (PPMT($E$8/12, (C230-$I$8), $I$7, $E$7)), 0)</f>
        <v>-783.29528808002021</v>
      </c>
      <c r="G230" s="5">
        <f>IF(MortgageAmortBEST[[#This Row],[Month]]=I$8,E$7,0)</f>
        <v>0</v>
      </c>
      <c r="H230" s="13">
        <f>IF(AND(C230&gt;='Amort. Sched.-BEST'!$I$8, C230&lt;= ($I$7+$I$8)), H229+F230, 0)</f>
        <v>84324.169085330243</v>
      </c>
      <c r="I230" s="24">
        <f>IF(AND(C230&gt;='Amort. Sched.-BEST'!$I$8, C230&lt;= ($I$7+$I$8)), E230/D230, " ")</f>
        <v>0.42007268538887416</v>
      </c>
      <c r="J230" s="25">
        <f>IF(AND(C230&gt;='Amort. Sched.-BEST'!$I$8, C230&lt;= ($I$7+$I$8)), F230/D230, " ")</f>
        <v>0.5799273146111259</v>
      </c>
      <c r="L230" s="20">
        <f t="shared" si="51"/>
        <v>219</v>
      </c>
      <c r="M230" s="5">
        <f>IF(AND(L230&gt;='Amort. Sched.-BEST'!$R$8, L230&lt;= ($R$7+$R$8)), PMT('Amort. Sched.-BEST'!$N$8/12, 'Amort. Sched.-BEST'!$R$7, 'Amort. Sched.-BEST'!$N$7), 0)</f>
        <v>0</v>
      </c>
      <c r="N230" s="5">
        <f>IF(AND(L230&gt;='Amort. Sched.-BEST'!$R$8, L230&lt;= ($R$7+$R$8)), (IPMT($N$8/12, (L230-$R$8), $R$7, $N$7)), 0)</f>
        <v>0</v>
      </c>
      <c r="O230" s="5">
        <f>IF(AND(L230&gt;='Amort. Sched.-BEST'!$R$8, L230&lt;= ($R$7+$R$8)), (PPMT($N$8/12, (L230-$R$8), $R$7, $N$7)), 0)</f>
        <v>0</v>
      </c>
      <c r="P230" s="5">
        <f>IF(CreditAmort1BEST[[#This Row],[Month]]=R$8,N$7,0)</f>
        <v>0</v>
      </c>
      <c r="Q230" s="13">
        <f>IF(AND(L230&gt;='Amort. Sched.-BEST'!$R$8, L230&lt;= ($R$7+$R$8)), Q229+O230, 0)</f>
        <v>0</v>
      </c>
      <c r="R230" s="6" t="str">
        <f>IF(AND(L230&gt;='Amort. Sched.-BEST'!$R$8, L230&lt;= ($R$7+$R$8)), N230/M230, " ")</f>
        <v xml:space="preserve"> </v>
      </c>
      <c r="S230" s="21" t="str">
        <f>IF(AND(L230&gt;='Amort. Sched.-BEST'!$R$8, L230&lt;= ($R$7+$R$8)), O230/M230, " ")</f>
        <v xml:space="preserve"> </v>
      </c>
      <c r="U230" s="22">
        <f t="shared" si="53"/>
        <v>219</v>
      </c>
      <c r="V230" s="23">
        <f>IF(AND(U230&gt;='Amort. Sched.-BEST'!$AA$8, U230&lt;= ($AA$7+$AA$8)), PMT('Amort. Sched.-BEST'!$W$8/12, 'Amort. Sched.-BEST'!$AA$7, 'Amort. Sched.-BEST'!$W$7), 0)</f>
        <v>0</v>
      </c>
      <c r="W230" s="5">
        <f>IF(AND(U230&gt;='Amort. Sched.-BEST'!$AA$8, U230&lt;= ($AA$7+$AA$8)), (IPMT($W$8/12, (U230-$AA$8), $AA$7, $W$7)), 0)</f>
        <v>0</v>
      </c>
      <c r="X230" s="23">
        <f>IF(AND(U230&gt;='Amort. Sched.-BEST'!$AA$8, U230&lt;= ($AA$7+$AA$8)), (PPMT($W$8/12, (U230-$AA$8), $AA$7, $W$7)), 0)</f>
        <v>0</v>
      </c>
      <c r="Y230" s="5">
        <f>IF(CreditAmort2BEST[[#This Row],[Month]]=AA$8,W$7,0)</f>
        <v>0</v>
      </c>
      <c r="Z230" s="13">
        <f>IF(AND(U230&gt;='Amort. Sched.-BEST'!$AA$8, U230&lt;= ($AA$7+$AA$8)), Z229+X230, 0)</f>
        <v>0</v>
      </c>
      <c r="AA230" s="24" t="str">
        <f>IF(AND(U230&gt;='Amort. Sched.-BEST'!$AA$8, U230&lt;= ($AA$7+$AA$8)), W230/V230, " ")</f>
        <v xml:space="preserve"> </v>
      </c>
      <c r="AB230" s="25" t="str">
        <f>IF(AND(U230&gt;='Amort. Sched.-BEST'!$AA$8, U230&lt;= ($AA$7+$AA$8)), X230/V230, " ")</f>
        <v xml:space="preserve"> </v>
      </c>
      <c r="AD230" s="22">
        <f t="shared" si="54"/>
        <v>219</v>
      </c>
      <c r="AE230" s="5">
        <f t="shared" si="55"/>
        <v>0</v>
      </c>
      <c r="AF230" s="5">
        <f t="shared" si="56"/>
        <v>0</v>
      </c>
      <c r="AG230" s="5">
        <f t="shared" si="57"/>
        <v>0</v>
      </c>
      <c r="AH230" s="5">
        <f>IF(CreditAmort3BEST[[#This Row],[Month]]=AJ$8,AF$7,0)</f>
        <v>0</v>
      </c>
      <c r="AI230" s="13">
        <f t="shared" si="58"/>
        <v>0</v>
      </c>
      <c r="AJ230" s="6" t="str">
        <f t="shared" si="59"/>
        <v xml:space="preserve"> </v>
      </c>
      <c r="AK230" s="21" t="str">
        <f t="shared" si="60"/>
        <v xml:space="preserve"> </v>
      </c>
      <c r="AM230" s="20">
        <f t="shared" si="61"/>
        <v>219</v>
      </c>
      <c r="AN230" s="5">
        <f t="shared" si="62"/>
        <v>0</v>
      </c>
      <c r="AO230" s="5">
        <f t="shared" si="63"/>
        <v>0</v>
      </c>
      <c r="AP230" s="5">
        <f t="shared" si="64"/>
        <v>0</v>
      </c>
      <c r="AQ230" s="5">
        <f>IF(CreditAmort4BEST[[#This Row],[Month]]=AS$8,AO$7,0)</f>
        <v>0</v>
      </c>
      <c r="AR230" s="13">
        <f t="shared" si="65"/>
        <v>0</v>
      </c>
      <c r="AS230" s="6" t="str">
        <f t="shared" si="66"/>
        <v xml:space="preserve"> </v>
      </c>
      <c r="AT230" s="21" t="str">
        <f t="shared" si="67"/>
        <v xml:space="preserve"> </v>
      </c>
    </row>
    <row r="231" spans="3:46">
      <c r="C231" s="22">
        <f t="shared" si="52"/>
        <v>220</v>
      </c>
      <c r="D231" s="23">
        <f>IF(AND(C231&gt;='Amort. Sched.-BEST'!$I$8, C231&lt;= ($I$7+$I$8)), PMT('Amort. Sched.-BEST'!$E$8/12, 'Amort. Sched.-BEST'!$I$7, 'Amort. Sched.-BEST'!$E$7), 0)</f>
        <v>-1350.6783839027553</v>
      </c>
      <c r="E231" s="5">
        <f>IF(AND(C231&gt;='Amort. Sched.-BEST'!$I$8, C231&lt;= ($I$7+$I$8)), (IPMT($E$8/12, (C231-$I$8), $I$7, $E$7)), 0)</f>
        <v>-562.16112723553476</v>
      </c>
      <c r="F231" s="23">
        <f>IF(AND(C231&gt;='Amort. Sched.-BEST'!$I$8, C231&lt;= ($I$7+$I$8)), (PPMT($E$8/12, (C231-$I$8), $I$7, $E$7)), 0)</f>
        <v>-788.51725666722041</v>
      </c>
      <c r="G231" s="5">
        <f>IF(MortgageAmortBEST[[#This Row],[Month]]=I$8,E$7,0)</f>
        <v>0</v>
      </c>
      <c r="H231" s="13">
        <f>IF(AND(C231&gt;='Amort. Sched.-BEST'!$I$8, C231&lt;= ($I$7+$I$8)), H230+F231, 0)</f>
        <v>83535.651828663016</v>
      </c>
      <c r="I231" s="24">
        <f>IF(AND(C231&gt;='Amort. Sched.-BEST'!$I$8, C231&lt;= ($I$7+$I$8)), E231/D231, " ")</f>
        <v>0.41620650329146647</v>
      </c>
      <c r="J231" s="25">
        <f>IF(AND(C231&gt;='Amort. Sched.-BEST'!$I$8, C231&lt;= ($I$7+$I$8)), F231/D231, " ")</f>
        <v>0.58379349670853342</v>
      </c>
      <c r="L231" s="20">
        <f t="shared" si="51"/>
        <v>220</v>
      </c>
      <c r="M231" s="5">
        <f>IF(AND(L231&gt;='Amort. Sched.-BEST'!$R$8, L231&lt;= ($R$7+$R$8)), PMT('Amort. Sched.-BEST'!$N$8/12, 'Amort. Sched.-BEST'!$R$7, 'Amort. Sched.-BEST'!$N$7), 0)</f>
        <v>0</v>
      </c>
      <c r="N231" s="5">
        <f>IF(AND(L231&gt;='Amort. Sched.-BEST'!$R$8, L231&lt;= ($R$7+$R$8)), (IPMT($N$8/12, (L231-$R$8), $R$7, $N$7)), 0)</f>
        <v>0</v>
      </c>
      <c r="O231" s="5">
        <f>IF(AND(L231&gt;='Amort. Sched.-BEST'!$R$8, L231&lt;= ($R$7+$R$8)), (PPMT($N$8/12, (L231-$R$8), $R$7, $N$7)), 0)</f>
        <v>0</v>
      </c>
      <c r="P231" s="5">
        <f>IF(CreditAmort1BEST[[#This Row],[Month]]=R$8,N$7,0)</f>
        <v>0</v>
      </c>
      <c r="Q231" s="13">
        <f>IF(AND(L231&gt;='Amort. Sched.-BEST'!$R$8, L231&lt;= ($R$7+$R$8)), Q230+O231, 0)</f>
        <v>0</v>
      </c>
      <c r="R231" s="6" t="str">
        <f>IF(AND(L231&gt;='Amort. Sched.-BEST'!$R$8, L231&lt;= ($R$7+$R$8)), N231/M231, " ")</f>
        <v xml:space="preserve"> </v>
      </c>
      <c r="S231" s="21" t="str">
        <f>IF(AND(L231&gt;='Amort. Sched.-BEST'!$R$8, L231&lt;= ($R$7+$R$8)), O231/M231, " ")</f>
        <v xml:space="preserve"> </v>
      </c>
      <c r="U231" s="22">
        <f t="shared" si="53"/>
        <v>220</v>
      </c>
      <c r="V231" s="23">
        <f>IF(AND(U231&gt;='Amort. Sched.-BEST'!$AA$8, U231&lt;= ($AA$7+$AA$8)), PMT('Amort. Sched.-BEST'!$W$8/12, 'Amort. Sched.-BEST'!$AA$7, 'Amort. Sched.-BEST'!$W$7), 0)</f>
        <v>0</v>
      </c>
      <c r="W231" s="5">
        <f>IF(AND(U231&gt;='Amort. Sched.-BEST'!$AA$8, U231&lt;= ($AA$7+$AA$8)), (IPMT($W$8/12, (U231-$AA$8), $AA$7, $W$7)), 0)</f>
        <v>0</v>
      </c>
      <c r="X231" s="23">
        <f>IF(AND(U231&gt;='Amort. Sched.-BEST'!$AA$8, U231&lt;= ($AA$7+$AA$8)), (PPMT($W$8/12, (U231-$AA$8), $AA$7, $W$7)), 0)</f>
        <v>0</v>
      </c>
      <c r="Y231" s="5">
        <f>IF(CreditAmort2BEST[[#This Row],[Month]]=AA$8,W$7,0)</f>
        <v>0</v>
      </c>
      <c r="Z231" s="13">
        <f>IF(AND(U231&gt;='Amort. Sched.-BEST'!$AA$8, U231&lt;= ($AA$7+$AA$8)), Z230+X231, 0)</f>
        <v>0</v>
      </c>
      <c r="AA231" s="24" t="str">
        <f>IF(AND(U231&gt;='Amort. Sched.-BEST'!$AA$8, U231&lt;= ($AA$7+$AA$8)), W231/V231, " ")</f>
        <v xml:space="preserve"> </v>
      </c>
      <c r="AB231" s="25" t="str">
        <f>IF(AND(U231&gt;='Amort. Sched.-BEST'!$AA$8, U231&lt;= ($AA$7+$AA$8)), X231/V231, " ")</f>
        <v xml:space="preserve"> </v>
      </c>
      <c r="AD231" s="22">
        <f t="shared" si="54"/>
        <v>220</v>
      </c>
      <c r="AE231" s="5">
        <f t="shared" si="55"/>
        <v>0</v>
      </c>
      <c r="AF231" s="5">
        <f t="shared" si="56"/>
        <v>0</v>
      </c>
      <c r="AG231" s="5">
        <f t="shared" si="57"/>
        <v>0</v>
      </c>
      <c r="AH231" s="5">
        <f>IF(CreditAmort3BEST[[#This Row],[Month]]=AJ$8,AF$7,0)</f>
        <v>0</v>
      </c>
      <c r="AI231" s="13">
        <f t="shared" si="58"/>
        <v>0</v>
      </c>
      <c r="AJ231" s="6" t="str">
        <f t="shared" si="59"/>
        <v xml:space="preserve"> </v>
      </c>
      <c r="AK231" s="21" t="str">
        <f t="shared" si="60"/>
        <v xml:space="preserve"> </v>
      </c>
      <c r="AM231" s="20">
        <f t="shared" si="61"/>
        <v>220</v>
      </c>
      <c r="AN231" s="5">
        <f t="shared" si="62"/>
        <v>0</v>
      </c>
      <c r="AO231" s="5">
        <f t="shared" si="63"/>
        <v>0</v>
      </c>
      <c r="AP231" s="5">
        <f t="shared" si="64"/>
        <v>0</v>
      </c>
      <c r="AQ231" s="5">
        <f>IF(CreditAmort4BEST[[#This Row],[Month]]=AS$8,AO$7,0)</f>
        <v>0</v>
      </c>
      <c r="AR231" s="13">
        <f t="shared" si="65"/>
        <v>0</v>
      </c>
      <c r="AS231" s="6" t="str">
        <f t="shared" si="66"/>
        <v xml:space="preserve"> </v>
      </c>
      <c r="AT231" s="21" t="str">
        <f t="shared" si="67"/>
        <v xml:space="preserve"> </v>
      </c>
    </row>
    <row r="232" spans="3:46">
      <c r="C232" s="22">
        <f t="shared" si="52"/>
        <v>221</v>
      </c>
      <c r="D232" s="23">
        <f>IF(AND(C232&gt;='Amort. Sched.-BEST'!$I$8, C232&lt;= ($I$7+$I$8)), PMT('Amort. Sched.-BEST'!$E$8/12, 'Amort. Sched.-BEST'!$I$7, 'Amort. Sched.-BEST'!$E$7), 0)</f>
        <v>-1350.6783839027553</v>
      </c>
      <c r="E232" s="5">
        <f>IF(AND(C232&gt;='Amort. Sched.-BEST'!$I$8, C232&lt;= ($I$7+$I$8)), (IPMT($E$8/12, (C232-$I$8), $I$7, $E$7)), 0)</f>
        <v>-556.90434552441991</v>
      </c>
      <c r="F232" s="23">
        <f>IF(AND(C232&gt;='Amort. Sched.-BEST'!$I$8, C232&lt;= ($I$7+$I$8)), (PPMT($E$8/12, (C232-$I$8), $I$7, $E$7)), 0)</f>
        <v>-793.77403837833515</v>
      </c>
      <c r="G232" s="5">
        <f>IF(MortgageAmortBEST[[#This Row],[Month]]=I$8,E$7,0)</f>
        <v>0</v>
      </c>
      <c r="H232" s="13">
        <f>IF(AND(C232&gt;='Amort. Sched.-BEST'!$I$8, C232&lt;= ($I$7+$I$8)), H231+F232, 0)</f>
        <v>82741.877790284678</v>
      </c>
      <c r="I232" s="24">
        <f>IF(AND(C232&gt;='Amort. Sched.-BEST'!$I$8, C232&lt;= ($I$7+$I$8)), E232/D232, " ")</f>
        <v>0.41231454664674289</v>
      </c>
      <c r="J232" s="25">
        <f>IF(AND(C232&gt;='Amort. Sched.-BEST'!$I$8, C232&lt;= ($I$7+$I$8)), F232/D232, " ")</f>
        <v>0.58768545335325695</v>
      </c>
      <c r="L232" s="20">
        <f t="shared" si="51"/>
        <v>221</v>
      </c>
      <c r="M232" s="5">
        <f>IF(AND(L232&gt;='Amort. Sched.-BEST'!$R$8, L232&lt;= ($R$7+$R$8)), PMT('Amort. Sched.-BEST'!$N$8/12, 'Amort. Sched.-BEST'!$R$7, 'Amort. Sched.-BEST'!$N$7), 0)</f>
        <v>0</v>
      </c>
      <c r="N232" s="5">
        <f>IF(AND(L232&gt;='Amort. Sched.-BEST'!$R$8, L232&lt;= ($R$7+$R$8)), (IPMT($N$8/12, (L232-$R$8), $R$7, $N$7)), 0)</f>
        <v>0</v>
      </c>
      <c r="O232" s="5">
        <f>IF(AND(L232&gt;='Amort. Sched.-BEST'!$R$8, L232&lt;= ($R$7+$R$8)), (PPMT($N$8/12, (L232-$R$8), $R$7, $N$7)), 0)</f>
        <v>0</v>
      </c>
      <c r="P232" s="5">
        <f>IF(CreditAmort1BEST[[#This Row],[Month]]=R$8,N$7,0)</f>
        <v>0</v>
      </c>
      <c r="Q232" s="13">
        <f>IF(AND(L232&gt;='Amort. Sched.-BEST'!$R$8, L232&lt;= ($R$7+$R$8)), Q231+O232, 0)</f>
        <v>0</v>
      </c>
      <c r="R232" s="6" t="str">
        <f>IF(AND(L232&gt;='Amort. Sched.-BEST'!$R$8, L232&lt;= ($R$7+$R$8)), N232/M232, " ")</f>
        <v xml:space="preserve"> </v>
      </c>
      <c r="S232" s="21" t="str">
        <f>IF(AND(L232&gt;='Amort. Sched.-BEST'!$R$8, L232&lt;= ($R$7+$R$8)), O232/M232, " ")</f>
        <v xml:space="preserve"> </v>
      </c>
      <c r="U232" s="22">
        <f t="shared" si="53"/>
        <v>221</v>
      </c>
      <c r="V232" s="23">
        <f>IF(AND(U232&gt;='Amort. Sched.-BEST'!$AA$8, U232&lt;= ($AA$7+$AA$8)), PMT('Amort. Sched.-BEST'!$W$8/12, 'Amort. Sched.-BEST'!$AA$7, 'Amort. Sched.-BEST'!$W$7), 0)</f>
        <v>0</v>
      </c>
      <c r="W232" s="5">
        <f>IF(AND(U232&gt;='Amort. Sched.-BEST'!$AA$8, U232&lt;= ($AA$7+$AA$8)), (IPMT($W$8/12, (U232-$AA$8), $AA$7, $W$7)), 0)</f>
        <v>0</v>
      </c>
      <c r="X232" s="23">
        <f>IF(AND(U232&gt;='Amort. Sched.-BEST'!$AA$8, U232&lt;= ($AA$7+$AA$8)), (PPMT($W$8/12, (U232-$AA$8), $AA$7, $W$7)), 0)</f>
        <v>0</v>
      </c>
      <c r="Y232" s="5">
        <f>IF(CreditAmort2BEST[[#This Row],[Month]]=AA$8,W$7,0)</f>
        <v>0</v>
      </c>
      <c r="Z232" s="13">
        <f>IF(AND(U232&gt;='Amort. Sched.-BEST'!$AA$8, U232&lt;= ($AA$7+$AA$8)), Z231+X232, 0)</f>
        <v>0</v>
      </c>
      <c r="AA232" s="24" t="str">
        <f>IF(AND(U232&gt;='Amort. Sched.-BEST'!$AA$8, U232&lt;= ($AA$7+$AA$8)), W232/V232, " ")</f>
        <v xml:space="preserve"> </v>
      </c>
      <c r="AB232" s="25" t="str">
        <f>IF(AND(U232&gt;='Amort. Sched.-BEST'!$AA$8, U232&lt;= ($AA$7+$AA$8)), X232/V232, " ")</f>
        <v xml:space="preserve"> </v>
      </c>
      <c r="AD232" s="22">
        <f t="shared" si="54"/>
        <v>221</v>
      </c>
      <c r="AE232" s="5">
        <f t="shared" si="55"/>
        <v>0</v>
      </c>
      <c r="AF232" s="5">
        <f t="shared" si="56"/>
        <v>0</v>
      </c>
      <c r="AG232" s="5">
        <f t="shared" si="57"/>
        <v>0</v>
      </c>
      <c r="AH232" s="5">
        <f>IF(CreditAmort3BEST[[#This Row],[Month]]=AJ$8,AF$7,0)</f>
        <v>0</v>
      </c>
      <c r="AI232" s="13">
        <f t="shared" si="58"/>
        <v>0</v>
      </c>
      <c r="AJ232" s="6" t="str">
        <f t="shared" si="59"/>
        <v xml:space="preserve"> </v>
      </c>
      <c r="AK232" s="21" t="str">
        <f t="shared" si="60"/>
        <v xml:space="preserve"> </v>
      </c>
      <c r="AM232" s="20">
        <f t="shared" si="61"/>
        <v>221</v>
      </c>
      <c r="AN232" s="5">
        <f t="shared" si="62"/>
        <v>0</v>
      </c>
      <c r="AO232" s="5">
        <f t="shared" si="63"/>
        <v>0</v>
      </c>
      <c r="AP232" s="5">
        <f t="shared" si="64"/>
        <v>0</v>
      </c>
      <c r="AQ232" s="5">
        <f>IF(CreditAmort4BEST[[#This Row],[Month]]=AS$8,AO$7,0)</f>
        <v>0</v>
      </c>
      <c r="AR232" s="13">
        <f t="shared" si="65"/>
        <v>0</v>
      </c>
      <c r="AS232" s="6" t="str">
        <f t="shared" si="66"/>
        <v xml:space="preserve"> </v>
      </c>
      <c r="AT232" s="21" t="str">
        <f t="shared" si="67"/>
        <v xml:space="preserve"> </v>
      </c>
    </row>
    <row r="233" spans="3:46">
      <c r="C233" s="22">
        <f t="shared" si="52"/>
        <v>222</v>
      </c>
      <c r="D233" s="23">
        <f>IF(AND(C233&gt;='Amort. Sched.-BEST'!$I$8, C233&lt;= ($I$7+$I$8)), PMT('Amort. Sched.-BEST'!$E$8/12, 'Amort. Sched.-BEST'!$I$7, 'Amort. Sched.-BEST'!$E$7), 0)</f>
        <v>-1350.6783839027553</v>
      </c>
      <c r="E233" s="5">
        <f>IF(AND(C233&gt;='Amort. Sched.-BEST'!$I$8, C233&lt;= ($I$7+$I$8)), (IPMT($E$8/12, (C233-$I$8), $I$7, $E$7)), 0)</f>
        <v>-551.61251860189793</v>
      </c>
      <c r="F233" s="23">
        <f>IF(AND(C233&gt;='Amort. Sched.-BEST'!$I$8, C233&lt;= ($I$7+$I$8)), (PPMT($E$8/12, (C233-$I$8), $I$7, $E$7)), 0)</f>
        <v>-799.06586530085747</v>
      </c>
      <c r="G233" s="5">
        <f>IF(MortgageAmortBEST[[#This Row],[Month]]=I$8,E$7,0)</f>
        <v>0</v>
      </c>
      <c r="H233" s="13">
        <f>IF(AND(C233&gt;='Amort. Sched.-BEST'!$I$8, C233&lt;= ($I$7+$I$8)), H232+F233, 0)</f>
        <v>81942.81192498382</v>
      </c>
      <c r="I233" s="24">
        <f>IF(AND(C233&gt;='Amort. Sched.-BEST'!$I$8, C233&lt;= ($I$7+$I$8)), E233/D233, " ")</f>
        <v>0.40839664362438804</v>
      </c>
      <c r="J233" s="25">
        <f>IF(AND(C233&gt;='Amort. Sched.-BEST'!$I$8, C233&lt;= ($I$7+$I$8)), F233/D233, " ")</f>
        <v>0.59160335637561201</v>
      </c>
      <c r="L233" s="20">
        <f t="shared" si="51"/>
        <v>222</v>
      </c>
      <c r="M233" s="5">
        <f>IF(AND(L233&gt;='Amort. Sched.-BEST'!$R$8, L233&lt;= ($R$7+$R$8)), PMT('Amort. Sched.-BEST'!$N$8/12, 'Amort. Sched.-BEST'!$R$7, 'Amort. Sched.-BEST'!$N$7), 0)</f>
        <v>0</v>
      </c>
      <c r="N233" s="5">
        <f>IF(AND(L233&gt;='Amort. Sched.-BEST'!$R$8, L233&lt;= ($R$7+$R$8)), (IPMT($N$8/12, (L233-$R$8), $R$7, $N$7)), 0)</f>
        <v>0</v>
      </c>
      <c r="O233" s="5">
        <f>IF(AND(L233&gt;='Amort. Sched.-BEST'!$R$8, L233&lt;= ($R$7+$R$8)), (PPMT($N$8/12, (L233-$R$8), $R$7, $N$7)), 0)</f>
        <v>0</v>
      </c>
      <c r="P233" s="5">
        <f>IF(CreditAmort1BEST[[#This Row],[Month]]=R$8,N$7,0)</f>
        <v>0</v>
      </c>
      <c r="Q233" s="13">
        <f>IF(AND(L233&gt;='Amort. Sched.-BEST'!$R$8, L233&lt;= ($R$7+$R$8)), Q232+O233, 0)</f>
        <v>0</v>
      </c>
      <c r="R233" s="6" t="str">
        <f>IF(AND(L233&gt;='Amort. Sched.-BEST'!$R$8, L233&lt;= ($R$7+$R$8)), N233/M233, " ")</f>
        <v xml:space="preserve"> </v>
      </c>
      <c r="S233" s="21" t="str">
        <f>IF(AND(L233&gt;='Amort. Sched.-BEST'!$R$8, L233&lt;= ($R$7+$R$8)), O233/M233, " ")</f>
        <v xml:space="preserve"> </v>
      </c>
      <c r="U233" s="22">
        <f t="shared" si="53"/>
        <v>222</v>
      </c>
      <c r="V233" s="23">
        <f>IF(AND(U233&gt;='Amort. Sched.-BEST'!$AA$8, U233&lt;= ($AA$7+$AA$8)), PMT('Amort. Sched.-BEST'!$W$8/12, 'Amort. Sched.-BEST'!$AA$7, 'Amort. Sched.-BEST'!$W$7), 0)</f>
        <v>0</v>
      </c>
      <c r="W233" s="5">
        <f>IF(AND(U233&gt;='Amort. Sched.-BEST'!$AA$8, U233&lt;= ($AA$7+$AA$8)), (IPMT($W$8/12, (U233-$AA$8), $AA$7, $W$7)), 0)</f>
        <v>0</v>
      </c>
      <c r="X233" s="23">
        <f>IF(AND(U233&gt;='Amort. Sched.-BEST'!$AA$8, U233&lt;= ($AA$7+$AA$8)), (PPMT($W$8/12, (U233-$AA$8), $AA$7, $W$7)), 0)</f>
        <v>0</v>
      </c>
      <c r="Y233" s="5">
        <f>IF(CreditAmort2BEST[[#This Row],[Month]]=AA$8,W$7,0)</f>
        <v>0</v>
      </c>
      <c r="Z233" s="13">
        <f>IF(AND(U233&gt;='Amort. Sched.-BEST'!$AA$8, U233&lt;= ($AA$7+$AA$8)), Z232+X233, 0)</f>
        <v>0</v>
      </c>
      <c r="AA233" s="24" t="str">
        <f>IF(AND(U233&gt;='Amort. Sched.-BEST'!$AA$8, U233&lt;= ($AA$7+$AA$8)), W233/V233, " ")</f>
        <v xml:space="preserve"> </v>
      </c>
      <c r="AB233" s="25" t="str">
        <f>IF(AND(U233&gt;='Amort. Sched.-BEST'!$AA$8, U233&lt;= ($AA$7+$AA$8)), X233/V233, " ")</f>
        <v xml:space="preserve"> </v>
      </c>
      <c r="AD233" s="22">
        <f t="shared" si="54"/>
        <v>222</v>
      </c>
      <c r="AE233" s="5">
        <f t="shared" si="55"/>
        <v>0</v>
      </c>
      <c r="AF233" s="5">
        <f t="shared" si="56"/>
        <v>0</v>
      </c>
      <c r="AG233" s="5">
        <f t="shared" si="57"/>
        <v>0</v>
      </c>
      <c r="AH233" s="5">
        <f>IF(CreditAmort3BEST[[#This Row],[Month]]=AJ$8,AF$7,0)</f>
        <v>0</v>
      </c>
      <c r="AI233" s="13">
        <f t="shared" si="58"/>
        <v>0</v>
      </c>
      <c r="AJ233" s="6" t="str">
        <f t="shared" si="59"/>
        <v xml:space="preserve"> </v>
      </c>
      <c r="AK233" s="21" t="str">
        <f t="shared" si="60"/>
        <v xml:space="preserve"> </v>
      </c>
      <c r="AM233" s="20">
        <f t="shared" si="61"/>
        <v>222</v>
      </c>
      <c r="AN233" s="5">
        <f t="shared" si="62"/>
        <v>0</v>
      </c>
      <c r="AO233" s="5">
        <f t="shared" si="63"/>
        <v>0</v>
      </c>
      <c r="AP233" s="5">
        <f t="shared" si="64"/>
        <v>0</v>
      </c>
      <c r="AQ233" s="5">
        <f>IF(CreditAmort4BEST[[#This Row],[Month]]=AS$8,AO$7,0)</f>
        <v>0</v>
      </c>
      <c r="AR233" s="13">
        <f t="shared" si="65"/>
        <v>0</v>
      </c>
      <c r="AS233" s="6" t="str">
        <f t="shared" si="66"/>
        <v xml:space="preserve"> </v>
      </c>
      <c r="AT233" s="21" t="str">
        <f t="shared" si="67"/>
        <v xml:space="preserve"> </v>
      </c>
    </row>
    <row r="234" spans="3:46">
      <c r="C234" s="22">
        <f t="shared" si="52"/>
        <v>223</v>
      </c>
      <c r="D234" s="23">
        <f>IF(AND(C234&gt;='Amort. Sched.-BEST'!$I$8, C234&lt;= ($I$7+$I$8)), PMT('Amort. Sched.-BEST'!$E$8/12, 'Amort. Sched.-BEST'!$I$7, 'Amort. Sched.-BEST'!$E$7), 0)</f>
        <v>-1350.6783839027553</v>
      </c>
      <c r="E234" s="5">
        <f>IF(AND(C234&gt;='Amort. Sched.-BEST'!$I$8, C234&lt;= ($I$7+$I$8)), (IPMT($E$8/12, (C234-$I$8), $I$7, $E$7)), 0)</f>
        <v>-546.28541283322545</v>
      </c>
      <c r="F234" s="23">
        <f>IF(AND(C234&gt;='Amort. Sched.-BEST'!$I$8, C234&lt;= ($I$7+$I$8)), (PPMT($E$8/12, (C234-$I$8), $I$7, $E$7)), 0)</f>
        <v>-804.39297106952995</v>
      </c>
      <c r="G234" s="5">
        <f>IF(MortgageAmortBEST[[#This Row],[Month]]=I$8,E$7,0)</f>
        <v>0</v>
      </c>
      <c r="H234" s="13">
        <f>IF(AND(C234&gt;='Amort. Sched.-BEST'!$I$8, C234&lt;= ($I$7+$I$8)), H233+F234, 0)</f>
        <v>81138.418953914297</v>
      </c>
      <c r="I234" s="24">
        <f>IF(AND(C234&gt;='Amort. Sched.-BEST'!$I$8, C234&lt;= ($I$7+$I$8)), E234/D234, " ")</f>
        <v>0.40445262124855058</v>
      </c>
      <c r="J234" s="25">
        <f>IF(AND(C234&gt;='Amort. Sched.-BEST'!$I$8, C234&lt;= ($I$7+$I$8)), F234/D234, " ")</f>
        <v>0.59554737875144947</v>
      </c>
      <c r="L234" s="20">
        <f t="shared" si="51"/>
        <v>223</v>
      </c>
      <c r="M234" s="5">
        <f>IF(AND(L234&gt;='Amort. Sched.-BEST'!$R$8, L234&lt;= ($R$7+$R$8)), PMT('Amort. Sched.-BEST'!$N$8/12, 'Amort. Sched.-BEST'!$R$7, 'Amort. Sched.-BEST'!$N$7), 0)</f>
        <v>0</v>
      </c>
      <c r="N234" s="5">
        <f>IF(AND(L234&gt;='Amort. Sched.-BEST'!$R$8, L234&lt;= ($R$7+$R$8)), (IPMT($N$8/12, (L234-$R$8), $R$7, $N$7)), 0)</f>
        <v>0</v>
      </c>
      <c r="O234" s="5">
        <f>IF(AND(L234&gt;='Amort. Sched.-BEST'!$R$8, L234&lt;= ($R$7+$R$8)), (PPMT($N$8/12, (L234-$R$8), $R$7, $N$7)), 0)</f>
        <v>0</v>
      </c>
      <c r="P234" s="5">
        <f>IF(CreditAmort1BEST[[#This Row],[Month]]=R$8,N$7,0)</f>
        <v>0</v>
      </c>
      <c r="Q234" s="13">
        <f>IF(AND(L234&gt;='Amort. Sched.-BEST'!$R$8, L234&lt;= ($R$7+$R$8)), Q233+O234, 0)</f>
        <v>0</v>
      </c>
      <c r="R234" s="6" t="str">
        <f>IF(AND(L234&gt;='Amort. Sched.-BEST'!$R$8, L234&lt;= ($R$7+$R$8)), N234/M234, " ")</f>
        <v xml:space="preserve"> </v>
      </c>
      <c r="S234" s="21" t="str">
        <f>IF(AND(L234&gt;='Amort. Sched.-BEST'!$R$8, L234&lt;= ($R$7+$R$8)), O234/M234, " ")</f>
        <v xml:space="preserve"> </v>
      </c>
      <c r="U234" s="22">
        <f t="shared" si="53"/>
        <v>223</v>
      </c>
      <c r="V234" s="23">
        <f>IF(AND(U234&gt;='Amort. Sched.-BEST'!$AA$8, U234&lt;= ($AA$7+$AA$8)), PMT('Amort. Sched.-BEST'!$W$8/12, 'Amort. Sched.-BEST'!$AA$7, 'Amort. Sched.-BEST'!$W$7), 0)</f>
        <v>0</v>
      </c>
      <c r="W234" s="5">
        <f>IF(AND(U234&gt;='Amort. Sched.-BEST'!$AA$8, U234&lt;= ($AA$7+$AA$8)), (IPMT($W$8/12, (U234-$AA$8), $AA$7, $W$7)), 0)</f>
        <v>0</v>
      </c>
      <c r="X234" s="23">
        <f>IF(AND(U234&gt;='Amort. Sched.-BEST'!$AA$8, U234&lt;= ($AA$7+$AA$8)), (PPMT($W$8/12, (U234-$AA$8), $AA$7, $W$7)), 0)</f>
        <v>0</v>
      </c>
      <c r="Y234" s="5">
        <f>IF(CreditAmort2BEST[[#This Row],[Month]]=AA$8,W$7,0)</f>
        <v>0</v>
      </c>
      <c r="Z234" s="13">
        <f>IF(AND(U234&gt;='Amort. Sched.-BEST'!$AA$8, U234&lt;= ($AA$7+$AA$8)), Z233+X234, 0)</f>
        <v>0</v>
      </c>
      <c r="AA234" s="24" t="str">
        <f>IF(AND(U234&gt;='Amort. Sched.-BEST'!$AA$8, U234&lt;= ($AA$7+$AA$8)), W234/V234, " ")</f>
        <v xml:space="preserve"> </v>
      </c>
      <c r="AB234" s="25" t="str">
        <f>IF(AND(U234&gt;='Amort. Sched.-BEST'!$AA$8, U234&lt;= ($AA$7+$AA$8)), X234/V234, " ")</f>
        <v xml:space="preserve"> </v>
      </c>
      <c r="AD234" s="22">
        <f t="shared" si="54"/>
        <v>223</v>
      </c>
      <c r="AE234" s="5">
        <f t="shared" si="55"/>
        <v>0</v>
      </c>
      <c r="AF234" s="5">
        <f t="shared" si="56"/>
        <v>0</v>
      </c>
      <c r="AG234" s="5">
        <f t="shared" si="57"/>
        <v>0</v>
      </c>
      <c r="AH234" s="5">
        <f>IF(CreditAmort3BEST[[#This Row],[Month]]=AJ$8,AF$7,0)</f>
        <v>0</v>
      </c>
      <c r="AI234" s="13">
        <f t="shared" si="58"/>
        <v>0</v>
      </c>
      <c r="AJ234" s="6" t="str">
        <f t="shared" si="59"/>
        <v xml:space="preserve"> </v>
      </c>
      <c r="AK234" s="21" t="str">
        <f t="shared" si="60"/>
        <v xml:space="preserve"> </v>
      </c>
      <c r="AM234" s="20">
        <f t="shared" si="61"/>
        <v>223</v>
      </c>
      <c r="AN234" s="5">
        <f t="shared" si="62"/>
        <v>0</v>
      </c>
      <c r="AO234" s="5">
        <f t="shared" si="63"/>
        <v>0</v>
      </c>
      <c r="AP234" s="5">
        <f t="shared" si="64"/>
        <v>0</v>
      </c>
      <c r="AQ234" s="5">
        <f>IF(CreditAmort4BEST[[#This Row],[Month]]=AS$8,AO$7,0)</f>
        <v>0</v>
      </c>
      <c r="AR234" s="13">
        <f t="shared" si="65"/>
        <v>0</v>
      </c>
      <c r="AS234" s="6" t="str">
        <f t="shared" si="66"/>
        <v xml:space="preserve"> </v>
      </c>
      <c r="AT234" s="21" t="str">
        <f t="shared" si="67"/>
        <v xml:space="preserve"> </v>
      </c>
    </row>
    <row r="235" spans="3:46">
      <c r="C235" s="22">
        <f t="shared" si="52"/>
        <v>224</v>
      </c>
      <c r="D235" s="23">
        <f>IF(AND(C235&gt;='Amort. Sched.-BEST'!$I$8, C235&lt;= ($I$7+$I$8)), PMT('Amort. Sched.-BEST'!$E$8/12, 'Amort. Sched.-BEST'!$I$7, 'Amort. Sched.-BEST'!$E$7), 0)</f>
        <v>-1350.6783839027553</v>
      </c>
      <c r="E235" s="5">
        <f>IF(AND(C235&gt;='Amort. Sched.-BEST'!$I$8, C235&lt;= ($I$7+$I$8)), (IPMT($E$8/12, (C235-$I$8), $I$7, $E$7)), 0)</f>
        <v>-540.92279302609529</v>
      </c>
      <c r="F235" s="23">
        <f>IF(AND(C235&gt;='Amort. Sched.-BEST'!$I$8, C235&lt;= ($I$7+$I$8)), (PPMT($E$8/12, (C235-$I$8), $I$7, $E$7)), 0)</f>
        <v>-809.75559087666011</v>
      </c>
      <c r="G235" s="5">
        <f>IF(MortgageAmortBEST[[#This Row],[Month]]=I$8,E$7,0)</f>
        <v>0</v>
      </c>
      <c r="H235" s="13">
        <f>IF(AND(C235&gt;='Amort. Sched.-BEST'!$I$8, C235&lt;= ($I$7+$I$8)), H234+F235, 0)</f>
        <v>80328.663363037631</v>
      </c>
      <c r="I235" s="24">
        <f>IF(AND(C235&gt;='Amort. Sched.-BEST'!$I$8, C235&lt;= ($I$7+$I$8)), E235/D235, " ")</f>
        <v>0.40048230539020757</v>
      </c>
      <c r="J235" s="25">
        <f>IF(AND(C235&gt;='Amort. Sched.-BEST'!$I$8, C235&lt;= ($I$7+$I$8)), F235/D235, " ")</f>
        <v>0.59951769460979254</v>
      </c>
      <c r="L235" s="20">
        <f t="shared" si="51"/>
        <v>224</v>
      </c>
      <c r="M235" s="5">
        <f>IF(AND(L235&gt;='Amort. Sched.-BEST'!$R$8, L235&lt;= ($R$7+$R$8)), PMT('Amort. Sched.-BEST'!$N$8/12, 'Amort. Sched.-BEST'!$R$7, 'Amort. Sched.-BEST'!$N$7), 0)</f>
        <v>0</v>
      </c>
      <c r="N235" s="5">
        <f>IF(AND(L235&gt;='Amort. Sched.-BEST'!$R$8, L235&lt;= ($R$7+$R$8)), (IPMT($N$8/12, (L235-$R$8), $R$7, $N$7)), 0)</f>
        <v>0</v>
      </c>
      <c r="O235" s="5">
        <f>IF(AND(L235&gt;='Amort. Sched.-BEST'!$R$8, L235&lt;= ($R$7+$R$8)), (PPMT($N$8/12, (L235-$R$8), $R$7, $N$7)), 0)</f>
        <v>0</v>
      </c>
      <c r="P235" s="5">
        <f>IF(CreditAmort1BEST[[#This Row],[Month]]=R$8,N$7,0)</f>
        <v>0</v>
      </c>
      <c r="Q235" s="13">
        <f>IF(AND(L235&gt;='Amort. Sched.-BEST'!$R$8, L235&lt;= ($R$7+$R$8)), Q234+O235, 0)</f>
        <v>0</v>
      </c>
      <c r="R235" s="6" t="str">
        <f>IF(AND(L235&gt;='Amort. Sched.-BEST'!$R$8, L235&lt;= ($R$7+$R$8)), N235/M235, " ")</f>
        <v xml:space="preserve"> </v>
      </c>
      <c r="S235" s="21" t="str">
        <f>IF(AND(L235&gt;='Amort. Sched.-BEST'!$R$8, L235&lt;= ($R$7+$R$8)), O235/M235, " ")</f>
        <v xml:space="preserve"> </v>
      </c>
      <c r="U235" s="22">
        <f t="shared" si="53"/>
        <v>224</v>
      </c>
      <c r="V235" s="23">
        <f>IF(AND(U235&gt;='Amort. Sched.-BEST'!$AA$8, U235&lt;= ($AA$7+$AA$8)), PMT('Amort. Sched.-BEST'!$W$8/12, 'Amort. Sched.-BEST'!$AA$7, 'Amort. Sched.-BEST'!$W$7), 0)</f>
        <v>0</v>
      </c>
      <c r="W235" s="5">
        <f>IF(AND(U235&gt;='Amort. Sched.-BEST'!$AA$8, U235&lt;= ($AA$7+$AA$8)), (IPMT($W$8/12, (U235-$AA$8), $AA$7, $W$7)), 0)</f>
        <v>0</v>
      </c>
      <c r="X235" s="23">
        <f>IF(AND(U235&gt;='Amort. Sched.-BEST'!$AA$8, U235&lt;= ($AA$7+$AA$8)), (PPMT($W$8/12, (U235-$AA$8), $AA$7, $W$7)), 0)</f>
        <v>0</v>
      </c>
      <c r="Y235" s="5">
        <f>IF(CreditAmort2BEST[[#This Row],[Month]]=AA$8,W$7,0)</f>
        <v>0</v>
      </c>
      <c r="Z235" s="13">
        <f>IF(AND(U235&gt;='Amort. Sched.-BEST'!$AA$8, U235&lt;= ($AA$7+$AA$8)), Z234+X235, 0)</f>
        <v>0</v>
      </c>
      <c r="AA235" s="24" t="str">
        <f>IF(AND(U235&gt;='Amort. Sched.-BEST'!$AA$8, U235&lt;= ($AA$7+$AA$8)), W235/V235, " ")</f>
        <v xml:space="preserve"> </v>
      </c>
      <c r="AB235" s="25" t="str">
        <f>IF(AND(U235&gt;='Amort. Sched.-BEST'!$AA$8, U235&lt;= ($AA$7+$AA$8)), X235/V235, " ")</f>
        <v xml:space="preserve"> </v>
      </c>
      <c r="AD235" s="22">
        <f t="shared" si="54"/>
        <v>224</v>
      </c>
      <c r="AE235" s="5">
        <f t="shared" si="55"/>
        <v>0</v>
      </c>
      <c r="AF235" s="5">
        <f t="shared" si="56"/>
        <v>0</v>
      </c>
      <c r="AG235" s="5">
        <f t="shared" si="57"/>
        <v>0</v>
      </c>
      <c r="AH235" s="5">
        <f>IF(CreditAmort3BEST[[#This Row],[Month]]=AJ$8,AF$7,0)</f>
        <v>0</v>
      </c>
      <c r="AI235" s="13">
        <f t="shared" si="58"/>
        <v>0</v>
      </c>
      <c r="AJ235" s="6" t="str">
        <f t="shared" si="59"/>
        <v xml:space="preserve"> </v>
      </c>
      <c r="AK235" s="21" t="str">
        <f t="shared" si="60"/>
        <v xml:space="preserve"> </v>
      </c>
      <c r="AM235" s="20">
        <f t="shared" si="61"/>
        <v>224</v>
      </c>
      <c r="AN235" s="5">
        <f t="shared" si="62"/>
        <v>0</v>
      </c>
      <c r="AO235" s="5">
        <f t="shared" si="63"/>
        <v>0</v>
      </c>
      <c r="AP235" s="5">
        <f t="shared" si="64"/>
        <v>0</v>
      </c>
      <c r="AQ235" s="5">
        <f>IF(CreditAmort4BEST[[#This Row],[Month]]=AS$8,AO$7,0)</f>
        <v>0</v>
      </c>
      <c r="AR235" s="13">
        <f t="shared" si="65"/>
        <v>0</v>
      </c>
      <c r="AS235" s="6" t="str">
        <f t="shared" si="66"/>
        <v xml:space="preserve"> </v>
      </c>
      <c r="AT235" s="21" t="str">
        <f t="shared" si="67"/>
        <v xml:space="preserve"> </v>
      </c>
    </row>
    <row r="236" spans="3:46">
      <c r="C236" s="22">
        <f t="shared" si="52"/>
        <v>225</v>
      </c>
      <c r="D236" s="23">
        <f>IF(AND(C236&gt;='Amort. Sched.-BEST'!$I$8, C236&lt;= ($I$7+$I$8)), PMT('Amort. Sched.-BEST'!$E$8/12, 'Amort. Sched.-BEST'!$I$7, 'Amort. Sched.-BEST'!$E$7), 0)</f>
        <v>-1350.6783839027553</v>
      </c>
      <c r="E236" s="5">
        <f>IF(AND(C236&gt;='Amort. Sched.-BEST'!$I$8, C236&lt;= ($I$7+$I$8)), (IPMT($E$8/12, (C236-$I$8), $I$7, $E$7)), 0)</f>
        <v>-535.52442242025086</v>
      </c>
      <c r="F236" s="23">
        <f>IF(AND(C236&gt;='Amort. Sched.-BEST'!$I$8, C236&lt;= ($I$7+$I$8)), (PPMT($E$8/12, (C236-$I$8), $I$7, $E$7)), 0)</f>
        <v>-815.15396148250443</v>
      </c>
      <c r="G236" s="5">
        <f>IF(MortgageAmortBEST[[#This Row],[Month]]=I$8,E$7,0)</f>
        <v>0</v>
      </c>
      <c r="H236" s="13">
        <f>IF(AND(C236&gt;='Amort. Sched.-BEST'!$I$8, C236&lt;= ($I$7+$I$8)), H235+F236, 0)</f>
        <v>79513.509401555129</v>
      </c>
      <c r="I236" s="24">
        <f>IF(AND(C236&gt;='Amort. Sched.-BEST'!$I$8, C236&lt;= ($I$7+$I$8)), E236/D236, " ")</f>
        <v>0.39648552075947563</v>
      </c>
      <c r="J236" s="25">
        <f>IF(AND(C236&gt;='Amort. Sched.-BEST'!$I$8, C236&lt;= ($I$7+$I$8)), F236/D236, " ")</f>
        <v>0.60351447924052437</v>
      </c>
      <c r="L236" s="20">
        <f t="shared" si="51"/>
        <v>225</v>
      </c>
      <c r="M236" s="5">
        <f>IF(AND(L236&gt;='Amort. Sched.-BEST'!$R$8, L236&lt;= ($R$7+$R$8)), PMT('Amort. Sched.-BEST'!$N$8/12, 'Amort. Sched.-BEST'!$R$7, 'Amort. Sched.-BEST'!$N$7), 0)</f>
        <v>0</v>
      </c>
      <c r="N236" s="5">
        <f>IF(AND(L236&gt;='Amort. Sched.-BEST'!$R$8, L236&lt;= ($R$7+$R$8)), (IPMT($N$8/12, (L236-$R$8), $R$7, $N$7)), 0)</f>
        <v>0</v>
      </c>
      <c r="O236" s="5">
        <f>IF(AND(L236&gt;='Amort. Sched.-BEST'!$R$8, L236&lt;= ($R$7+$R$8)), (PPMT($N$8/12, (L236-$R$8), $R$7, $N$7)), 0)</f>
        <v>0</v>
      </c>
      <c r="P236" s="5">
        <f>IF(CreditAmort1BEST[[#This Row],[Month]]=R$8,N$7,0)</f>
        <v>0</v>
      </c>
      <c r="Q236" s="13">
        <f>IF(AND(L236&gt;='Amort. Sched.-BEST'!$R$8, L236&lt;= ($R$7+$R$8)), Q235+O236, 0)</f>
        <v>0</v>
      </c>
      <c r="R236" s="6" t="str">
        <f>IF(AND(L236&gt;='Amort. Sched.-BEST'!$R$8, L236&lt;= ($R$7+$R$8)), N236/M236, " ")</f>
        <v xml:space="preserve"> </v>
      </c>
      <c r="S236" s="21" t="str">
        <f>IF(AND(L236&gt;='Amort. Sched.-BEST'!$R$8, L236&lt;= ($R$7+$R$8)), O236/M236, " ")</f>
        <v xml:space="preserve"> </v>
      </c>
      <c r="U236" s="22">
        <f t="shared" si="53"/>
        <v>225</v>
      </c>
      <c r="V236" s="23">
        <f>IF(AND(U236&gt;='Amort. Sched.-BEST'!$AA$8, U236&lt;= ($AA$7+$AA$8)), PMT('Amort. Sched.-BEST'!$W$8/12, 'Amort. Sched.-BEST'!$AA$7, 'Amort. Sched.-BEST'!$W$7), 0)</f>
        <v>0</v>
      </c>
      <c r="W236" s="5">
        <f>IF(AND(U236&gt;='Amort. Sched.-BEST'!$AA$8, U236&lt;= ($AA$7+$AA$8)), (IPMT($W$8/12, (U236-$AA$8), $AA$7, $W$7)), 0)</f>
        <v>0</v>
      </c>
      <c r="X236" s="23">
        <f>IF(AND(U236&gt;='Amort. Sched.-BEST'!$AA$8, U236&lt;= ($AA$7+$AA$8)), (PPMT($W$8/12, (U236-$AA$8), $AA$7, $W$7)), 0)</f>
        <v>0</v>
      </c>
      <c r="Y236" s="5">
        <f>IF(CreditAmort2BEST[[#This Row],[Month]]=AA$8,W$7,0)</f>
        <v>0</v>
      </c>
      <c r="Z236" s="13">
        <f>IF(AND(U236&gt;='Amort. Sched.-BEST'!$AA$8, U236&lt;= ($AA$7+$AA$8)), Z235+X236, 0)</f>
        <v>0</v>
      </c>
      <c r="AA236" s="24" t="str">
        <f>IF(AND(U236&gt;='Amort. Sched.-BEST'!$AA$8, U236&lt;= ($AA$7+$AA$8)), W236/V236, " ")</f>
        <v xml:space="preserve"> </v>
      </c>
      <c r="AB236" s="25" t="str">
        <f>IF(AND(U236&gt;='Amort. Sched.-BEST'!$AA$8, U236&lt;= ($AA$7+$AA$8)), X236/V236, " ")</f>
        <v xml:space="preserve"> </v>
      </c>
      <c r="AD236" s="22">
        <f t="shared" si="54"/>
        <v>225</v>
      </c>
      <c r="AE236" s="5">
        <f t="shared" si="55"/>
        <v>0</v>
      </c>
      <c r="AF236" s="5">
        <f t="shared" si="56"/>
        <v>0</v>
      </c>
      <c r="AG236" s="5">
        <f t="shared" si="57"/>
        <v>0</v>
      </c>
      <c r="AH236" s="5">
        <f>IF(CreditAmort3BEST[[#This Row],[Month]]=AJ$8,AF$7,0)</f>
        <v>0</v>
      </c>
      <c r="AI236" s="13">
        <f t="shared" si="58"/>
        <v>0</v>
      </c>
      <c r="AJ236" s="6" t="str">
        <f t="shared" si="59"/>
        <v xml:space="preserve"> </v>
      </c>
      <c r="AK236" s="21" t="str">
        <f t="shared" si="60"/>
        <v xml:space="preserve"> </v>
      </c>
      <c r="AM236" s="20">
        <f t="shared" si="61"/>
        <v>225</v>
      </c>
      <c r="AN236" s="5">
        <f t="shared" si="62"/>
        <v>0</v>
      </c>
      <c r="AO236" s="5">
        <f t="shared" si="63"/>
        <v>0</v>
      </c>
      <c r="AP236" s="5">
        <f t="shared" si="64"/>
        <v>0</v>
      </c>
      <c r="AQ236" s="5">
        <f>IF(CreditAmort4BEST[[#This Row],[Month]]=AS$8,AO$7,0)</f>
        <v>0</v>
      </c>
      <c r="AR236" s="13">
        <f t="shared" si="65"/>
        <v>0</v>
      </c>
      <c r="AS236" s="6" t="str">
        <f t="shared" si="66"/>
        <v xml:space="preserve"> </v>
      </c>
      <c r="AT236" s="21" t="str">
        <f t="shared" si="67"/>
        <v xml:space="preserve"> </v>
      </c>
    </row>
    <row r="237" spans="3:46">
      <c r="C237" s="22">
        <f t="shared" si="52"/>
        <v>226</v>
      </c>
      <c r="D237" s="23">
        <f>IF(AND(C237&gt;='Amort. Sched.-BEST'!$I$8, C237&lt;= ($I$7+$I$8)), PMT('Amort. Sched.-BEST'!$E$8/12, 'Amort. Sched.-BEST'!$I$7, 'Amort. Sched.-BEST'!$E$7), 0)</f>
        <v>-1350.6783839027553</v>
      </c>
      <c r="E237" s="5">
        <f>IF(AND(C237&gt;='Amort. Sched.-BEST'!$I$8, C237&lt;= ($I$7+$I$8)), (IPMT($E$8/12, (C237-$I$8), $I$7, $E$7)), 0)</f>
        <v>-530.0900626770341</v>
      </c>
      <c r="F237" s="23">
        <f>IF(AND(C237&gt;='Amort. Sched.-BEST'!$I$8, C237&lt;= ($I$7+$I$8)), (PPMT($E$8/12, (C237-$I$8), $I$7, $E$7)), 0)</f>
        <v>-820.58832122572119</v>
      </c>
      <c r="G237" s="5">
        <f>IF(MortgageAmortBEST[[#This Row],[Month]]=I$8,E$7,0)</f>
        <v>0</v>
      </c>
      <c r="H237" s="13">
        <f>IF(AND(C237&gt;='Amort. Sched.-BEST'!$I$8, C237&lt;= ($I$7+$I$8)), H236+F237, 0)</f>
        <v>78692.921080329412</v>
      </c>
      <c r="I237" s="24">
        <f>IF(AND(C237&gt;='Amort. Sched.-BEST'!$I$8, C237&lt;= ($I$7+$I$8)), E237/D237, " ")</f>
        <v>0.3924620908978721</v>
      </c>
      <c r="J237" s="25">
        <f>IF(AND(C237&gt;='Amort. Sched.-BEST'!$I$8, C237&lt;= ($I$7+$I$8)), F237/D237, " ")</f>
        <v>0.6075379091021279</v>
      </c>
      <c r="L237" s="20">
        <f t="shared" si="51"/>
        <v>226</v>
      </c>
      <c r="M237" s="5">
        <f>IF(AND(L237&gt;='Amort. Sched.-BEST'!$R$8, L237&lt;= ($R$7+$R$8)), PMT('Amort. Sched.-BEST'!$N$8/12, 'Amort. Sched.-BEST'!$R$7, 'Amort. Sched.-BEST'!$N$7), 0)</f>
        <v>0</v>
      </c>
      <c r="N237" s="5">
        <f>IF(AND(L237&gt;='Amort. Sched.-BEST'!$R$8, L237&lt;= ($R$7+$R$8)), (IPMT($N$8/12, (L237-$R$8), $R$7, $N$7)), 0)</f>
        <v>0</v>
      </c>
      <c r="O237" s="5">
        <f>IF(AND(L237&gt;='Amort. Sched.-BEST'!$R$8, L237&lt;= ($R$7+$R$8)), (PPMT($N$8/12, (L237-$R$8), $R$7, $N$7)), 0)</f>
        <v>0</v>
      </c>
      <c r="P237" s="5">
        <f>IF(CreditAmort1BEST[[#This Row],[Month]]=R$8,N$7,0)</f>
        <v>0</v>
      </c>
      <c r="Q237" s="13">
        <f>IF(AND(L237&gt;='Amort. Sched.-BEST'!$R$8, L237&lt;= ($R$7+$R$8)), Q236+O237, 0)</f>
        <v>0</v>
      </c>
      <c r="R237" s="6" t="str">
        <f>IF(AND(L237&gt;='Amort. Sched.-BEST'!$R$8, L237&lt;= ($R$7+$R$8)), N237/M237, " ")</f>
        <v xml:space="preserve"> </v>
      </c>
      <c r="S237" s="21" t="str">
        <f>IF(AND(L237&gt;='Amort. Sched.-BEST'!$R$8, L237&lt;= ($R$7+$R$8)), O237/M237, " ")</f>
        <v xml:space="preserve"> </v>
      </c>
      <c r="U237" s="22">
        <f t="shared" si="53"/>
        <v>226</v>
      </c>
      <c r="V237" s="23">
        <f>IF(AND(U237&gt;='Amort. Sched.-BEST'!$AA$8, U237&lt;= ($AA$7+$AA$8)), PMT('Amort. Sched.-BEST'!$W$8/12, 'Amort. Sched.-BEST'!$AA$7, 'Amort. Sched.-BEST'!$W$7), 0)</f>
        <v>0</v>
      </c>
      <c r="W237" s="5">
        <f>IF(AND(U237&gt;='Amort. Sched.-BEST'!$AA$8, U237&lt;= ($AA$7+$AA$8)), (IPMT($W$8/12, (U237-$AA$8), $AA$7, $W$7)), 0)</f>
        <v>0</v>
      </c>
      <c r="X237" s="23">
        <f>IF(AND(U237&gt;='Amort. Sched.-BEST'!$AA$8, U237&lt;= ($AA$7+$AA$8)), (PPMT($W$8/12, (U237-$AA$8), $AA$7, $W$7)), 0)</f>
        <v>0</v>
      </c>
      <c r="Y237" s="5">
        <f>IF(CreditAmort2BEST[[#This Row],[Month]]=AA$8,W$7,0)</f>
        <v>0</v>
      </c>
      <c r="Z237" s="13">
        <f>IF(AND(U237&gt;='Amort. Sched.-BEST'!$AA$8, U237&lt;= ($AA$7+$AA$8)), Z236+X237, 0)</f>
        <v>0</v>
      </c>
      <c r="AA237" s="24" t="str">
        <f>IF(AND(U237&gt;='Amort. Sched.-BEST'!$AA$8, U237&lt;= ($AA$7+$AA$8)), W237/V237, " ")</f>
        <v xml:space="preserve"> </v>
      </c>
      <c r="AB237" s="25" t="str">
        <f>IF(AND(U237&gt;='Amort. Sched.-BEST'!$AA$8, U237&lt;= ($AA$7+$AA$8)), X237/V237, " ")</f>
        <v xml:space="preserve"> </v>
      </c>
      <c r="AD237" s="22">
        <f t="shared" si="54"/>
        <v>226</v>
      </c>
      <c r="AE237" s="5">
        <f t="shared" si="55"/>
        <v>0</v>
      </c>
      <c r="AF237" s="5">
        <f t="shared" si="56"/>
        <v>0</v>
      </c>
      <c r="AG237" s="5">
        <f t="shared" si="57"/>
        <v>0</v>
      </c>
      <c r="AH237" s="5">
        <f>IF(CreditAmort3BEST[[#This Row],[Month]]=AJ$8,AF$7,0)</f>
        <v>0</v>
      </c>
      <c r="AI237" s="13">
        <f t="shared" si="58"/>
        <v>0</v>
      </c>
      <c r="AJ237" s="6" t="str">
        <f t="shared" si="59"/>
        <v xml:space="preserve"> </v>
      </c>
      <c r="AK237" s="21" t="str">
        <f t="shared" si="60"/>
        <v xml:space="preserve"> </v>
      </c>
      <c r="AM237" s="20">
        <f t="shared" si="61"/>
        <v>226</v>
      </c>
      <c r="AN237" s="5">
        <f t="shared" si="62"/>
        <v>0</v>
      </c>
      <c r="AO237" s="5">
        <f t="shared" si="63"/>
        <v>0</v>
      </c>
      <c r="AP237" s="5">
        <f t="shared" si="64"/>
        <v>0</v>
      </c>
      <c r="AQ237" s="5">
        <f>IF(CreditAmort4BEST[[#This Row],[Month]]=AS$8,AO$7,0)</f>
        <v>0</v>
      </c>
      <c r="AR237" s="13">
        <f t="shared" si="65"/>
        <v>0</v>
      </c>
      <c r="AS237" s="6" t="str">
        <f t="shared" si="66"/>
        <v xml:space="preserve"> </v>
      </c>
      <c r="AT237" s="21" t="str">
        <f t="shared" si="67"/>
        <v xml:space="preserve"> </v>
      </c>
    </row>
    <row r="238" spans="3:46">
      <c r="C238" s="22">
        <f t="shared" si="52"/>
        <v>227</v>
      </c>
      <c r="D238" s="23">
        <f>IF(AND(C238&gt;='Amort. Sched.-BEST'!$I$8, C238&lt;= ($I$7+$I$8)), PMT('Amort. Sched.-BEST'!$E$8/12, 'Amort. Sched.-BEST'!$I$7, 'Amort. Sched.-BEST'!$E$7), 0)</f>
        <v>-1350.6783839027553</v>
      </c>
      <c r="E238" s="5">
        <f>IF(AND(C238&gt;='Amort. Sched.-BEST'!$I$8, C238&lt;= ($I$7+$I$8)), (IPMT($E$8/12, (C238-$I$8), $I$7, $E$7)), 0)</f>
        <v>-524.61947386886266</v>
      </c>
      <c r="F238" s="23">
        <f>IF(AND(C238&gt;='Amort. Sched.-BEST'!$I$8, C238&lt;= ($I$7+$I$8)), (PPMT($E$8/12, (C238-$I$8), $I$7, $E$7)), 0)</f>
        <v>-826.05891003389263</v>
      </c>
      <c r="G238" s="5">
        <f>IF(MortgageAmortBEST[[#This Row],[Month]]=I$8,E$7,0)</f>
        <v>0</v>
      </c>
      <c r="H238" s="13">
        <f>IF(AND(C238&gt;='Amort. Sched.-BEST'!$I$8, C238&lt;= ($I$7+$I$8)), H237+F238, 0)</f>
        <v>77866.862170295513</v>
      </c>
      <c r="I238" s="24">
        <f>IF(AND(C238&gt;='Amort. Sched.-BEST'!$I$8, C238&lt;= ($I$7+$I$8)), E238/D238, " ")</f>
        <v>0.3884118381705246</v>
      </c>
      <c r="J238" s="25">
        <f>IF(AND(C238&gt;='Amort. Sched.-BEST'!$I$8, C238&lt;= ($I$7+$I$8)), F238/D238, " ")</f>
        <v>0.6115881618294754</v>
      </c>
      <c r="L238" s="20">
        <f t="shared" si="51"/>
        <v>227</v>
      </c>
      <c r="M238" s="5">
        <f>IF(AND(L238&gt;='Amort. Sched.-BEST'!$R$8, L238&lt;= ($R$7+$R$8)), PMT('Amort. Sched.-BEST'!$N$8/12, 'Amort. Sched.-BEST'!$R$7, 'Amort. Sched.-BEST'!$N$7), 0)</f>
        <v>0</v>
      </c>
      <c r="N238" s="5">
        <f>IF(AND(L238&gt;='Amort. Sched.-BEST'!$R$8, L238&lt;= ($R$7+$R$8)), (IPMT($N$8/12, (L238-$R$8), $R$7, $N$7)), 0)</f>
        <v>0</v>
      </c>
      <c r="O238" s="5">
        <f>IF(AND(L238&gt;='Amort. Sched.-BEST'!$R$8, L238&lt;= ($R$7+$R$8)), (PPMT($N$8/12, (L238-$R$8), $R$7, $N$7)), 0)</f>
        <v>0</v>
      </c>
      <c r="P238" s="5">
        <f>IF(CreditAmort1BEST[[#This Row],[Month]]=R$8,N$7,0)</f>
        <v>0</v>
      </c>
      <c r="Q238" s="13">
        <f>IF(AND(L238&gt;='Amort. Sched.-BEST'!$R$8, L238&lt;= ($R$7+$R$8)), Q237+O238, 0)</f>
        <v>0</v>
      </c>
      <c r="R238" s="6" t="str">
        <f>IF(AND(L238&gt;='Amort. Sched.-BEST'!$R$8, L238&lt;= ($R$7+$R$8)), N238/M238, " ")</f>
        <v xml:space="preserve"> </v>
      </c>
      <c r="S238" s="21" t="str">
        <f>IF(AND(L238&gt;='Amort. Sched.-BEST'!$R$8, L238&lt;= ($R$7+$R$8)), O238/M238, " ")</f>
        <v xml:space="preserve"> </v>
      </c>
      <c r="U238" s="22">
        <f t="shared" si="53"/>
        <v>227</v>
      </c>
      <c r="V238" s="23">
        <f>IF(AND(U238&gt;='Amort. Sched.-BEST'!$AA$8, U238&lt;= ($AA$7+$AA$8)), PMT('Amort. Sched.-BEST'!$W$8/12, 'Amort. Sched.-BEST'!$AA$7, 'Amort. Sched.-BEST'!$W$7), 0)</f>
        <v>0</v>
      </c>
      <c r="W238" s="5">
        <f>IF(AND(U238&gt;='Amort. Sched.-BEST'!$AA$8, U238&lt;= ($AA$7+$AA$8)), (IPMT($W$8/12, (U238-$AA$8), $AA$7, $W$7)), 0)</f>
        <v>0</v>
      </c>
      <c r="X238" s="23">
        <f>IF(AND(U238&gt;='Amort. Sched.-BEST'!$AA$8, U238&lt;= ($AA$7+$AA$8)), (PPMT($W$8/12, (U238-$AA$8), $AA$7, $W$7)), 0)</f>
        <v>0</v>
      </c>
      <c r="Y238" s="5">
        <f>IF(CreditAmort2BEST[[#This Row],[Month]]=AA$8,W$7,0)</f>
        <v>0</v>
      </c>
      <c r="Z238" s="13">
        <f>IF(AND(U238&gt;='Amort. Sched.-BEST'!$AA$8, U238&lt;= ($AA$7+$AA$8)), Z237+X238, 0)</f>
        <v>0</v>
      </c>
      <c r="AA238" s="24" t="str">
        <f>IF(AND(U238&gt;='Amort. Sched.-BEST'!$AA$8, U238&lt;= ($AA$7+$AA$8)), W238/V238, " ")</f>
        <v xml:space="preserve"> </v>
      </c>
      <c r="AB238" s="25" t="str">
        <f>IF(AND(U238&gt;='Amort. Sched.-BEST'!$AA$8, U238&lt;= ($AA$7+$AA$8)), X238/V238, " ")</f>
        <v xml:space="preserve"> </v>
      </c>
      <c r="AD238" s="22">
        <f t="shared" si="54"/>
        <v>227</v>
      </c>
      <c r="AE238" s="5">
        <f t="shared" si="55"/>
        <v>0</v>
      </c>
      <c r="AF238" s="5">
        <f t="shared" si="56"/>
        <v>0</v>
      </c>
      <c r="AG238" s="5">
        <f t="shared" si="57"/>
        <v>0</v>
      </c>
      <c r="AH238" s="5">
        <f>IF(CreditAmort3BEST[[#This Row],[Month]]=AJ$8,AF$7,0)</f>
        <v>0</v>
      </c>
      <c r="AI238" s="13">
        <f t="shared" si="58"/>
        <v>0</v>
      </c>
      <c r="AJ238" s="6" t="str">
        <f t="shared" si="59"/>
        <v xml:space="preserve"> </v>
      </c>
      <c r="AK238" s="21" t="str">
        <f t="shared" si="60"/>
        <v xml:space="preserve"> </v>
      </c>
      <c r="AM238" s="20">
        <f t="shared" si="61"/>
        <v>227</v>
      </c>
      <c r="AN238" s="5">
        <f t="shared" si="62"/>
        <v>0</v>
      </c>
      <c r="AO238" s="5">
        <f t="shared" si="63"/>
        <v>0</v>
      </c>
      <c r="AP238" s="5">
        <f t="shared" si="64"/>
        <v>0</v>
      </c>
      <c r="AQ238" s="5">
        <f>IF(CreditAmort4BEST[[#This Row],[Month]]=AS$8,AO$7,0)</f>
        <v>0</v>
      </c>
      <c r="AR238" s="13">
        <f t="shared" si="65"/>
        <v>0</v>
      </c>
      <c r="AS238" s="6" t="str">
        <f t="shared" si="66"/>
        <v xml:space="preserve"> </v>
      </c>
      <c r="AT238" s="21" t="str">
        <f t="shared" si="67"/>
        <v xml:space="preserve"> </v>
      </c>
    </row>
    <row r="239" spans="3:46">
      <c r="C239" s="22">
        <f t="shared" si="52"/>
        <v>228</v>
      </c>
      <c r="D239" s="23">
        <f>IF(AND(C239&gt;='Amort. Sched.-BEST'!$I$8, C239&lt;= ($I$7+$I$8)), PMT('Amort. Sched.-BEST'!$E$8/12, 'Amort. Sched.-BEST'!$I$7, 'Amort. Sched.-BEST'!$E$7), 0)</f>
        <v>-1350.6783839027553</v>
      </c>
      <c r="E239" s="5">
        <f>IF(AND(C239&gt;='Amort. Sched.-BEST'!$I$8, C239&lt;= ($I$7+$I$8)), (IPMT($E$8/12, (C239-$I$8), $I$7, $E$7)), 0)</f>
        <v>-519.11241446863676</v>
      </c>
      <c r="F239" s="23">
        <f>IF(AND(C239&gt;='Amort. Sched.-BEST'!$I$8, C239&lt;= ($I$7+$I$8)), (PPMT($E$8/12, (C239-$I$8), $I$7, $E$7)), 0)</f>
        <v>-831.56596943411864</v>
      </c>
      <c r="G239" s="5">
        <f>IF(MortgageAmortBEST[[#This Row],[Month]]=I$8,E$7,0)</f>
        <v>0</v>
      </c>
      <c r="H239" s="13">
        <f>IF(AND(C239&gt;='Amort. Sched.-BEST'!$I$8, C239&lt;= ($I$7+$I$8)), H238+F239, 0)</f>
        <v>77035.296200861398</v>
      </c>
      <c r="I239" s="24">
        <f>IF(AND(C239&gt;='Amort. Sched.-BEST'!$I$8, C239&lt;= ($I$7+$I$8)), E239/D239, " ")</f>
        <v>0.38433458375832813</v>
      </c>
      <c r="J239" s="25">
        <f>IF(AND(C239&gt;='Amort. Sched.-BEST'!$I$8, C239&lt;= ($I$7+$I$8)), F239/D239, " ")</f>
        <v>0.61566541624167193</v>
      </c>
      <c r="L239" s="20">
        <f t="shared" si="51"/>
        <v>228</v>
      </c>
      <c r="M239" s="5">
        <f>IF(AND(L239&gt;='Amort. Sched.-BEST'!$R$8, L239&lt;= ($R$7+$R$8)), PMT('Amort. Sched.-BEST'!$N$8/12, 'Amort. Sched.-BEST'!$R$7, 'Amort. Sched.-BEST'!$N$7), 0)</f>
        <v>0</v>
      </c>
      <c r="N239" s="5">
        <f>IF(AND(L239&gt;='Amort. Sched.-BEST'!$R$8, L239&lt;= ($R$7+$R$8)), (IPMT($N$8/12, (L239-$R$8), $R$7, $N$7)), 0)</f>
        <v>0</v>
      </c>
      <c r="O239" s="5">
        <f>IF(AND(L239&gt;='Amort. Sched.-BEST'!$R$8, L239&lt;= ($R$7+$R$8)), (PPMT($N$8/12, (L239-$R$8), $R$7, $N$7)), 0)</f>
        <v>0</v>
      </c>
      <c r="P239" s="5">
        <f>IF(CreditAmort1BEST[[#This Row],[Month]]=R$8,N$7,0)</f>
        <v>0</v>
      </c>
      <c r="Q239" s="13">
        <f>IF(AND(L239&gt;='Amort. Sched.-BEST'!$R$8, L239&lt;= ($R$7+$R$8)), Q238+O239, 0)</f>
        <v>0</v>
      </c>
      <c r="R239" s="6" t="str">
        <f>IF(AND(L239&gt;='Amort. Sched.-BEST'!$R$8, L239&lt;= ($R$7+$R$8)), N239/M239, " ")</f>
        <v xml:space="preserve"> </v>
      </c>
      <c r="S239" s="21" t="str">
        <f>IF(AND(L239&gt;='Amort. Sched.-BEST'!$R$8, L239&lt;= ($R$7+$R$8)), O239/M239, " ")</f>
        <v xml:space="preserve"> </v>
      </c>
      <c r="U239" s="22">
        <f t="shared" si="53"/>
        <v>228</v>
      </c>
      <c r="V239" s="23">
        <f>IF(AND(U239&gt;='Amort. Sched.-BEST'!$AA$8, U239&lt;= ($AA$7+$AA$8)), PMT('Amort. Sched.-BEST'!$W$8/12, 'Amort. Sched.-BEST'!$AA$7, 'Amort. Sched.-BEST'!$W$7), 0)</f>
        <v>0</v>
      </c>
      <c r="W239" s="5">
        <f>IF(AND(U239&gt;='Amort. Sched.-BEST'!$AA$8, U239&lt;= ($AA$7+$AA$8)), (IPMT($W$8/12, (U239-$AA$8), $AA$7, $W$7)), 0)</f>
        <v>0</v>
      </c>
      <c r="X239" s="23">
        <f>IF(AND(U239&gt;='Amort. Sched.-BEST'!$AA$8, U239&lt;= ($AA$7+$AA$8)), (PPMT($W$8/12, (U239-$AA$8), $AA$7, $W$7)), 0)</f>
        <v>0</v>
      </c>
      <c r="Y239" s="5">
        <f>IF(CreditAmort2BEST[[#This Row],[Month]]=AA$8,W$7,0)</f>
        <v>0</v>
      </c>
      <c r="Z239" s="13">
        <f>IF(AND(U239&gt;='Amort. Sched.-BEST'!$AA$8, U239&lt;= ($AA$7+$AA$8)), Z238+X239, 0)</f>
        <v>0</v>
      </c>
      <c r="AA239" s="24" t="str">
        <f>IF(AND(U239&gt;='Amort. Sched.-BEST'!$AA$8, U239&lt;= ($AA$7+$AA$8)), W239/V239, " ")</f>
        <v xml:space="preserve"> </v>
      </c>
      <c r="AB239" s="25" t="str">
        <f>IF(AND(U239&gt;='Amort. Sched.-BEST'!$AA$8, U239&lt;= ($AA$7+$AA$8)), X239/V239, " ")</f>
        <v xml:space="preserve"> </v>
      </c>
      <c r="AD239" s="22">
        <f t="shared" si="54"/>
        <v>228</v>
      </c>
      <c r="AE239" s="5">
        <f t="shared" si="55"/>
        <v>0</v>
      </c>
      <c r="AF239" s="5">
        <f t="shared" si="56"/>
        <v>0</v>
      </c>
      <c r="AG239" s="5">
        <f t="shared" si="57"/>
        <v>0</v>
      </c>
      <c r="AH239" s="5">
        <f>IF(CreditAmort3BEST[[#This Row],[Month]]=AJ$8,AF$7,0)</f>
        <v>0</v>
      </c>
      <c r="AI239" s="13">
        <f t="shared" si="58"/>
        <v>0</v>
      </c>
      <c r="AJ239" s="6" t="str">
        <f t="shared" si="59"/>
        <v xml:space="preserve"> </v>
      </c>
      <c r="AK239" s="21" t="str">
        <f t="shared" si="60"/>
        <v xml:space="preserve"> </v>
      </c>
      <c r="AM239" s="20">
        <f t="shared" si="61"/>
        <v>228</v>
      </c>
      <c r="AN239" s="5">
        <f t="shared" si="62"/>
        <v>0</v>
      </c>
      <c r="AO239" s="5">
        <f t="shared" si="63"/>
        <v>0</v>
      </c>
      <c r="AP239" s="5">
        <f t="shared" si="64"/>
        <v>0</v>
      </c>
      <c r="AQ239" s="5">
        <f>IF(CreditAmort4BEST[[#This Row],[Month]]=AS$8,AO$7,0)</f>
        <v>0</v>
      </c>
      <c r="AR239" s="13">
        <f t="shared" si="65"/>
        <v>0</v>
      </c>
      <c r="AS239" s="6" t="str">
        <f t="shared" si="66"/>
        <v xml:space="preserve"> </v>
      </c>
      <c r="AT239" s="21" t="str">
        <f t="shared" si="67"/>
        <v xml:space="preserve"> </v>
      </c>
    </row>
    <row r="240" spans="3:46">
      <c r="C240" s="22">
        <f t="shared" si="52"/>
        <v>229</v>
      </c>
      <c r="D240" s="23">
        <f>IF(AND(C240&gt;='Amort. Sched.-BEST'!$I$8, C240&lt;= ($I$7+$I$8)), PMT('Amort. Sched.-BEST'!$E$8/12, 'Amort. Sched.-BEST'!$I$7, 'Amort. Sched.-BEST'!$E$7), 0)</f>
        <v>-1350.6783839027553</v>
      </c>
      <c r="E240" s="5">
        <f>IF(AND(C240&gt;='Amort. Sched.-BEST'!$I$8, C240&lt;= ($I$7+$I$8)), (IPMT($E$8/12, (C240-$I$8), $I$7, $E$7)), 0)</f>
        <v>-513.56864133907595</v>
      </c>
      <c r="F240" s="23">
        <f>IF(AND(C240&gt;='Amort. Sched.-BEST'!$I$8, C240&lt;= ($I$7+$I$8)), (PPMT($E$8/12, (C240-$I$8), $I$7, $E$7)), 0)</f>
        <v>-837.10974256367945</v>
      </c>
      <c r="G240" s="5">
        <f>IF(MortgageAmortBEST[[#This Row],[Month]]=I$8,E$7,0)</f>
        <v>0</v>
      </c>
      <c r="H240" s="13">
        <f>IF(AND(C240&gt;='Amort. Sched.-BEST'!$I$8, C240&lt;= ($I$7+$I$8)), H239+F240, 0)</f>
        <v>76198.186458297714</v>
      </c>
      <c r="I240" s="24">
        <f>IF(AND(C240&gt;='Amort. Sched.-BEST'!$I$8, C240&lt;= ($I$7+$I$8)), E240/D240, " ")</f>
        <v>0.38023014765005031</v>
      </c>
      <c r="J240" s="25">
        <f>IF(AND(C240&gt;='Amort. Sched.-BEST'!$I$8, C240&lt;= ($I$7+$I$8)), F240/D240, " ")</f>
        <v>0.61976985234994975</v>
      </c>
      <c r="L240" s="20">
        <f t="shared" si="51"/>
        <v>229</v>
      </c>
      <c r="M240" s="5">
        <f>IF(AND(L240&gt;='Amort. Sched.-BEST'!$R$8, L240&lt;= ($R$7+$R$8)), PMT('Amort. Sched.-BEST'!$N$8/12, 'Amort. Sched.-BEST'!$R$7, 'Amort. Sched.-BEST'!$N$7), 0)</f>
        <v>0</v>
      </c>
      <c r="N240" s="5">
        <f>IF(AND(L240&gt;='Amort. Sched.-BEST'!$R$8, L240&lt;= ($R$7+$R$8)), (IPMT($N$8/12, (L240-$R$8), $R$7, $N$7)), 0)</f>
        <v>0</v>
      </c>
      <c r="O240" s="5">
        <f>IF(AND(L240&gt;='Amort. Sched.-BEST'!$R$8, L240&lt;= ($R$7+$R$8)), (PPMT($N$8/12, (L240-$R$8), $R$7, $N$7)), 0)</f>
        <v>0</v>
      </c>
      <c r="P240" s="5">
        <f>IF(CreditAmort1BEST[[#This Row],[Month]]=R$8,N$7,0)</f>
        <v>0</v>
      </c>
      <c r="Q240" s="13">
        <f>IF(AND(L240&gt;='Amort. Sched.-BEST'!$R$8, L240&lt;= ($R$7+$R$8)), Q239+O240, 0)</f>
        <v>0</v>
      </c>
      <c r="R240" s="6" t="str">
        <f>IF(AND(L240&gt;='Amort. Sched.-BEST'!$R$8, L240&lt;= ($R$7+$R$8)), N240/M240, " ")</f>
        <v xml:space="preserve"> </v>
      </c>
      <c r="S240" s="21" t="str">
        <f>IF(AND(L240&gt;='Amort. Sched.-BEST'!$R$8, L240&lt;= ($R$7+$R$8)), O240/M240, " ")</f>
        <v xml:space="preserve"> </v>
      </c>
      <c r="U240" s="22">
        <f t="shared" si="53"/>
        <v>229</v>
      </c>
      <c r="V240" s="23">
        <f>IF(AND(U240&gt;='Amort. Sched.-BEST'!$AA$8, U240&lt;= ($AA$7+$AA$8)), PMT('Amort. Sched.-BEST'!$W$8/12, 'Amort. Sched.-BEST'!$AA$7, 'Amort. Sched.-BEST'!$W$7), 0)</f>
        <v>0</v>
      </c>
      <c r="W240" s="5">
        <f>IF(AND(U240&gt;='Amort. Sched.-BEST'!$AA$8, U240&lt;= ($AA$7+$AA$8)), (IPMT($W$8/12, (U240-$AA$8), $AA$7, $W$7)), 0)</f>
        <v>0</v>
      </c>
      <c r="X240" s="23">
        <f>IF(AND(U240&gt;='Amort. Sched.-BEST'!$AA$8, U240&lt;= ($AA$7+$AA$8)), (PPMT($W$8/12, (U240-$AA$8), $AA$7, $W$7)), 0)</f>
        <v>0</v>
      </c>
      <c r="Y240" s="5">
        <f>IF(CreditAmort2BEST[[#This Row],[Month]]=AA$8,W$7,0)</f>
        <v>0</v>
      </c>
      <c r="Z240" s="13">
        <f>IF(AND(U240&gt;='Amort. Sched.-BEST'!$AA$8, U240&lt;= ($AA$7+$AA$8)), Z239+X240, 0)</f>
        <v>0</v>
      </c>
      <c r="AA240" s="24" t="str">
        <f>IF(AND(U240&gt;='Amort. Sched.-BEST'!$AA$8, U240&lt;= ($AA$7+$AA$8)), W240/V240, " ")</f>
        <v xml:space="preserve"> </v>
      </c>
      <c r="AB240" s="25" t="str">
        <f>IF(AND(U240&gt;='Amort. Sched.-BEST'!$AA$8, U240&lt;= ($AA$7+$AA$8)), X240/V240, " ")</f>
        <v xml:space="preserve"> </v>
      </c>
      <c r="AD240" s="22">
        <f t="shared" si="54"/>
        <v>229</v>
      </c>
      <c r="AE240" s="5">
        <f t="shared" si="55"/>
        <v>0</v>
      </c>
      <c r="AF240" s="5">
        <f t="shared" si="56"/>
        <v>0</v>
      </c>
      <c r="AG240" s="5">
        <f t="shared" si="57"/>
        <v>0</v>
      </c>
      <c r="AH240" s="5">
        <f>IF(CreditAmort3BEST[[#This Row],[Month]]=AJ$8,AF$7,0)</f>
        <v>0</v>
      </c>
      <c r="AI240" s="13">
        <f t="shared" si="58"/>
        <v>0</v>
      </c>
      <c r="AJ240" s="6" t="str">
        <f t="shared" si="59"/>
        <v xml:space="preserve"> </v>
      </c>
      <c r="AK240" s="21" t="str">
        <f t="shared" si="60"/>
        <v xml:space="preserve"> </v>
      </c>
      <c r="AM240" s="20">
        <f t="shared" si="61"/>
        <v>229</v>
      </c>
      <c r="AN240" s="5">
        <f t="shared" si="62"/>
        <v>0</v>
      </c>
      <c r="AO240" s="5">
        <f t="shared" si="63"/>
        <v>0</v>
      </c>
      <c r="AP240" s="5">
        <f t="shared" si="64"/>
        <v>0</v>
      </c>
      <c r="AQ240" s="5">
        <f>IF(CreditAmort4BEST[[#This Row],[Month]]=AS$8,AO$7,0)</f>
        <v>0</v>
      </c>
      <c r="AR240" s="13">
        <f t="shared" si="65"/>
        <v>0</v>
      </c>
      <c r="AS240" s="6" t="str">
        <f t="shared" si="66"/>
        <v xml:space="preserve"> </v>
      </c>
      <c r="AT240" s="21" t="str">
        <f t="shared" si="67"/>
        <v xml:space="preserve"> </v>
      </c>
    </row>
    <row r="241" spans="3:46">
      <c r="C241" s="22">
        <f t="shared" si="52"/>
        <v>230</v>
      </c>
      <c r="D241" s="23">
        <f>IF(AND(C241&gt;='Amort. Sched.-BEST'!$I$8, C241&lt;= ($I$7+$I$8)), PMT('Amort. Sched.-BEST'!$E$8/12, 'Amort. Sched.-BEST'!$I$7, 'Amort. Sched.-BEST'!$E$7), 0)</f>
        <v>-1350.6783839027553</v>
      </c>
      <c r="E241" s="5">
        <f>IF(AND(C241&gt;='Amort. Sched.-BEST'!$I$8, C241&lt;= ($I$7+$I$8)), (IPMT($E$8/12, (C241-$I$8), $I$7, $E$7)), 0)</f>
        <v>-507.98790972198469</v>
      </c>
      <c r="F241" s="23">
        <f>IF(AND(C241&gt;='Amort. Sched.-BEST'!$I$8, C241&lt;= ($I$7+$I$8)), (PPMT($E$8/12, (C241-$I$8), $I$7, $E$7)), 0)</f>
        <v>-842.69047418077059</v>
      </c>
      <c r="G241" s="5">
        <f>IF(MortgageAmortBEST[[#This Row],[Month]]=I$8,E$7,0)</f>
        <v>0</v>
      </c>
      <c r="H241" s="13">
        <f>IF(AND(C241&gt;='Amort. Sched.-BEST'!$I$8, C241&lt;= ($I$7+$I$8)), H240+F241, 0)</f>
        <v>75355.495984116948</v>
      </c>
      <c r="I241" s="24">
        <f>IF(AND(C241&gt;='Amort. Sched.-BEST'!$I$8, C241&lt;= ($I$7+$I$8)), E241/D241, " ")</f>
        <v>0.37609834863438391</v>
      </c>
      <c r="J241" s="25">
        <f>IF(AND(C241&gt;='Amort. Sched.-BEST'!$I$8, C241&lt;= ($I$7+$I$8)), F241/D241, " ")</f>
        <v>0.62390165136561604</v>
      </c>
      <c r="L241" s="20">
        <f t="shared" si="51"/>
        <v>230</v>
      </c>
      <c r="M241" s="5">
        <f>IF(AND(L241&gt;='Amort. Sched.-BEST'!$R$8, L241&lt;= ($R$7+$R$8)), PMT('Amort. Sched.-BEST'!$N$8/12, 'Amort. Sched.-BEST'!$R$7, 'Amort. Sched.-BEST'!$N$7), 0)</f>
        <v>0</v>
      </c>
      <c r="N241" s="5">
        <f>IF(AND(L241&gt;='Amort. Sched.-BEST'!$R$8, L241&lt;= ($R$7+$R$8)), (IPMT($N$8/12, (L241-$R$8), $R$7, $N$7)), 0)</f>
        <v>0</v>
      </c>
      <c r="O241" s="5">
        <f>IF(AND(L241&gt;='Amort. Sched.-BEST'!$R$8, L241&lt;= ($R$7+$R$8)), (PPMT($N$8/12, (L241-$R$8), $R$7, $N$7)), 0)</f>
        <v>0</v>
      </c>
      <c r="P241" s="5">
        <f>IF(CreditAmort1BEST[[#This Row],[Month]]=R$8,N$7,0)</f>
        <v>0</v>
      </c>
      <c r="Q241" s="13">
        <f>IF(AND(L241&gt;='Amort. Sched.-BEST'!$R$8, L241&lt;= ($R$7+$R$8)), Q240+O241, 0)</f>
        <v>0</v>
      </c>
      <c r="R241" s="6" t="str">
        <f>IF(AND(L241&gt;='Amort. Sched.-BEST'!$R$8, L241&lt;= ($R$7+$R$8)), N241/M241, " ")</f>
        <v xml:space="preserve"> </v>
      </c>
      <c r="S241" s="21" t="str">
        <f>IF(AND(L241&gt;='Amort. Sched.-BEST'!$R$8, L241&lt;= ($R$7+$R$8)), O241/M241, " ")</f>
        <v xml:space="preserve"> </v>
      </c>
      <c r="U241" s="22">
        <f t="shared" si="53"/>
        <v>230</v>
      </c>
      <c r="V241" s="23">
        <f>IF(AND(U241&gt;='Amort. Sched.-BEST'!$AA$8, U241&lt;= ($AA$7+$AA$8)), PMT('Amort. Sched.-BEST'!$W$8/12, 'Amort. Sched.-BEST'!$AA$7, 'Amort. Sched.-BEST'!$W$7), 0)</f>
        <v>0</v>
      </c>
      <c r="W241" s="5">
        <f>IF(AND(U241&gt;='Amort. Sched.-BEST'!$AA$8, U241&lt;= ($AA$7+$AA$8)), (IPMT($W$8/12, (U241-$AA$8), $AA$7, $W$7)), 0)</f>
        <v>0</v>
      </c>
      <c r="X241" s="23">
        <f>IF(AND(U241&gt;='Amort. Sched.-BEST'!$AA$8, U241&lt;= ($AA$7+$AA$8)), (PPMT($W$8/12, (U241-$AA$8), $AA$7, $W$7)), 0)</f>
        <v>0</v>
      </c>
      <c r="Y241" s="5">
        <f>IF(CreditAmort2BEST[[#This Row],[Month]]=AA$8,W$7,0)</f>
        <v>0</v>
      </c>
      <c r="Z241" s="13">
        <f>IF(AND(U241&gt;='Amort. Sched.-BEST'!$AA$8, U241&lt;= ($AA$7+$AA$8)), Z240+X241, 0)</f>
        <v>0</v>
      </c>
      <c r="AA241" s="24" t="str">
        <f>IF(AND(U241&gt;='Amort. Sched.-BEST'!$AA$8, U241&lt;= ($AA$7+$AA$8)), W241/V241, " ")</f>
        <v xml:space="preserve"> </v>
      </c>
      <c r="AB241" s="25" t="str">
        <f>IF(AND(U241&gt;='Amort. Sched.-BEST'!$AA$8, U241&lt;= ($AA$7+$AA$8)), X241/V241, " ")</f>
        <v xml:space="preserve"> </v>
      </c>
      <c r="AD241" s="22">
        <f t="shared" si="54"/>
        <v>230</v>
      </c>
      <c r="AE241" s="5">
        <f t="shared" si="55"/>
        <v>0</v>
      </c>
      <c r="AF241" s="5">
        <f t="shared" si="56"/>
        <v>0</v>
      </c>
      <c r="AG241" s="5">
        <f t="shared" si="57"/>
        <v>0</v>
      </c>
      <c r="AH241" s="5">
        <f>IF(CreditAmort3BEST[[#This Row],[Month]]=AJ$8,AF$7,0)</f>
        <v>0</v>
      </c>
      <c r="AI241" s="13">
        <f t="shared" si="58"/>
        <v>0</v>
      </c>
      <c r="AJ241" s="6" t="str">
        <f t="shared" si="59"/>
        <v xml:space="preserve"> </v>
      </c>
      <c r="AK241" s="21" t="str">
        <f t="shared" si="60"/>
        <v xml:space="preserve"> </v>
      </c>
      <c r="AM241" s="20">
        <f t="shared" si="61"/>
        <v>230</v>
      </c>
      <c r="AN241" s="5">
        <f t="shared" si="62"/>
        <v>0</v>
      </c>
      <c r="AO241" s="5">
        <f t="shared" si="63"/>
        <v>0</v>
      </c>
      <c r="AP241" s="5">
        <f t="shared" si="64"/>
        <v>0</v>
      </c>
      <c r="AQ241" s="5">
        <f>IF(CreditAmort4BEST[[#This Row],[Month]]=AS$8,AO$7,0)</f>
        <v>0</v>
      </c>
      <c r="AR241" s="13">
        <f t="shared" si="65"/>
        <v>0</v>
      </c>
      <c r="AS241" s="6" t="str">
        <f t="shared" si="66"/>
        <v xml:space="preserve"> </v>
      </c>
      <c r="AT241" s="21" t="str">
        <f t="shared" si="67"/>
        <v xml:space="preserve"> </v>
      </c>
    </row>
    <row r="242" spans="3:46">
      <c r="C242" s="22">
        <f t="shared" si="52"/>
        <v>231</v>
      </c>
      <c r="D242" s="23">
        <f>IF(AND(C242&gt;='Amort. Sched.-BEST'!$I$8, C242&lt;= ($I$7+$I$8)), PMT('Amort. Sched.-BEST'!$E$8/12, 'Amort. Sched.-BEST'!$I$7, 'Amort. Sched.-BEST'!$E$7), 0)</f>
        <v>-1350.6783839027553</v>
      </c>
      <c r="E242" s="5">
        <f>IF(AND(C242&gt;='Amort. Sched.-BEST'!$I$8, C242&lt;= ($I$7+$I$8)), (IPMT($E$8/12, (C242-$I$8), $I$7, $E$7)), 0)</f>
        <v>-502.36997322744634</v>
      </c>
      <c r="F242" s="23">
        <f>IF(AND(C242&gt;='Amort. Sched.-BEST'!$I$8, C242&lt;= ($I$7+$I$8)), (PPMT($E$8/12, (C242-$I$8), $I$7, $E$7)), 0)</f>
        <v>-848.30841067530912</v>
      </c>
      <c r="G242" s="5">
        <f>IF(MortgageAmortBEST[[#This Row],[Month]]=I$8,E$7,0)</f>
        <v>0</v>
      </c>
      <c r="H242" s="13">
        <f>IF(AND(C242&gt;='Amort. Sched.-BEST'!$I$8, C242&lt;= ($I$7+$I$8)), H241+F242, 0)</f>
        <v>74507.187573441639</v>
      </c>
      <c r="I242" s="24">
        <f>IF(AND(C242&gt;='Amort. Sched.-BEST'!$I$8, C242&lt;= ($I$7+$I$8)), E242/D242, " ")</f>
        <v>0.37193900429194654</v>
      </c>
      <c r="J242" s="25">
        <f>IF(AND(C242&gt;='Amort. Sched.-BEST'!$I$8, C242&lt;= ($I$7+$I$8)), F242/D242, " ")</f>
        <v>0.62806099570805352</v>
      </c>
      <c r="L242" s="20">
        <f t="shared" si="51"/>
        <v>231</v>
      </c>
      <c r="M242" s="5">
        <f>IF(AND(L242&gt;='Amort. Sched.-BEST'!$R$8, L242&lt;= ($R$7+$R$8)), PMT('Amort. Sched.-BEST'!$N$8/12, 'Amort. Sched.-BEST'!$R$7, 'Amort. Sched.-BEST'!$N$7), 0)</f>
        <v>0</v>
      </c>
      <c r="N242" s="5">
        <f>IF(AND(L242&gt;='Amort. Sched.-BEST'!$R$8, L242&lt;= ($R$7+$R$8)), (IPMT($N$8/12, (L242-$R$8), $R$7, $N$7)), 0)</f>
        <v>0</v>
      </c>
      <c r="O242" s="5">
        <f>IF(AND(L242&gt;='Amort. Sched.-BEST'!$R$8, L242&lt;= ($R$7+$R$8)), (PPMT($N$8/12, (L242-$R$8), $R$7, $N$7)), 0)</f>
        <v>0</v>
      </c>
      <c r="P242" s="5">
        <f>IF(CreditAmort1BEST[[#This Row],[Month]]=R$8,N$7,0)</f>
        <v>0</v>
      </c>
      <c r="Q242" s="13">
        <f>IF(AND(L242&gt;='Amort. Sched.-BEST'!$R$8, L242&lt;= ($R$7+$R$8)), Q241+O242, 0)</f>
        <v>0</v>
      </c>
      <c r="R242" s="6" t="str">
        <f>IF(AND(L242&gt;='Amort. Sched.-BEST'!$R$8, L242&lt;= ($R$7+$R$8)), N242/M242, " ")</f>
        <v xml:space="preserve"> </v>
      </c>
      <c r="S242" s="21" t="str">
        <f>IF(AND(L242&gt;='Amort. Sched.-BEST'!$R$8, L242&lt;= ($R$7+$R$8)), O242/M242, " ")</f>
        <v xml:space="preserve"> </v>
      </c>
      <c r="U242" s="22">
        <f t="shared" si="53"/>
        <v>231</v>
      </c>
      <c r="V242" s="23">
        <f>IF(AND(U242&gt;='Amort. Sched.-BEST'!$AA$8, U242&lt;= ($AA$7+$AA$8)), PMT('Amort. Sched.-BEST'!$W$8/12, 'Amort. Sched.-BEST'!$AA$7, 'Amort. Sched.-BEST'!$W$7), 0)</f>
        <v>0</v>
      </c>
      <c r="W242" s="5">
        <f>IF(AND(U242&gt;='Amort. Sched.-BEST'!$AA$8, U242&lt;= ($AA$7+$AA$8)), (IPMT($W$8/12, (U242-$AA$8), $AA$7, $W$7)), 0)</f>
        <v>0</v>
      </c>
      <c r="X242" s="23">
        <f>IF(AND(U242&gt;='Amort. Sched.-BEST'!$AA$8, U242&lt;= ($AA$7+$AA$8)), (PPMT($W$8/12, (U242-$AA$8), $AA$7, $W$7)), 0)</f>
        <v>0</v>
      </c>
      <c r="Y242" s="5">
        <f>IF(CreditAmort2BEST[[#This Row],[Month]]=AA$8,W$7,0)</f>
        <v>0</v>
      </c>
      <c r="Z242" s="13">
        <f>IF(AND(U242&gt;='Amort. Sched.-BEST'!$AA$8, U242&lt;= ($AA$7+$AA$8)), Z241+X242, 0)</f>
        <v>0</v>
      </c>
      <c r="AA242" s="24" t="str">
        <f>IF(AND(U242&gt;='Amort. Sched.-BEST'!$AA$8, U242&lt;= ($AA$7+$AA$8)), W242/V242, " ")</f>
        <v xml:space="preserve"> </v>
      </c>
      <c r="AB242" s="25" t="str">
        <f>IF(AND(U242&gt;='Amort. Sched.-BEST'!$AA$8, U242&lt;= ($AA$7+$AA$8)), X242/V242, " ")</f>
        <v xml:space="preserve"> </v>
      </c>
      <c r="AD242" s="22">
        <f t="shared" si="54"/>
        <v>231</v>
      </c>
      <c r="AE242" s="5">
        <f t="shared" si="55"/>
        <v>0</v>
      </c>
      <c r="AF242" s="5">
        <f t="shared" si="56"/>
        <v>0</v>
      </c>
      <c r="AG242" s="5">
        <f t="shared" si="57"/>
        <v>0</v>
      </c>
      <c r="AH242" s="5">
        <f>IF(CreditAmort3BEST[[#This Row],[Month]]=AJ$8,AF$7,0)</f>
        <v>0</v>
      </c>
      <c r="AI242" s="13">
        <f t="shared" si="58"/>
        <v>0</v>
      </c>
      <c r="AJ242" s="6" t="str">
        <f t="shared" si="59"/>
        <v xml:space="preserve"> </v>
      </c>
      <c r="AK242" s="21" t="str">
        <f t="shared" si="60"/>
        <v xml:space="preserve"> </v>
      </c>
      <c r="AM242" s="20">
        <f t="shared" si="61"/>
        <v>231</v>
      </c>
      <c r="AN242" s="5">
        <f t="shared" si="62"/>
        <v>0</v>
      </c>
      <c r="AO242" s="5">
        <f t="shared" si="63"/>
        <v>0</v>
      </c>
      <c r="AP242" s="5">
        <f t="shared" si="64"/>
        <v>0</v>
      </c>
      <c r="AQ242" s="5">
        <f>IF(CreditAmort4BEST[[#This Row],[Month]]=AS$8,AO$7,0)</f>
        <v>0</v>
      </c>
      <c r="AR242" s="13">
        <f t="shared" si="65"/>
        <v>0</v>
      </c>
      <c r="AS242" s="6" t="str">
        <f t="shared" si="66"/>
        <v xml:space="preserve"> </v>
      </c>
      <c r="AT242" s="21" t="str">
        <f t="shared" si="67"/>
        <v xml:space="preserve"> </v>
      </c>
    </row>
    <row r="243" spans="3:46">
      <c r="C243" s="22">
        <f t="shared" si="52"/>
        <v>232</v>
      </c>
      <c r="D243" s="23">
        <f>IF(AND(C243&gt;='Amort. Sched.-BEST'!$I$8, C243&lt;= ($I$7+$I$8)), PMT('Amort. Sched.-BEST'!$E$8/12, 'Amort. Sched.-BEST'!$I$7, 'Amort. Sched.-BEST'!$E$7), 0)</f>
        <v>-1350.6783839027553</v>
      </c>
      <c r="E243" s="5">
        <f>IF(AND(C243&gt;='Amort. Sched.-BEST'!$I$8, C243&lt;= ($I$7+$I$8)), (IPMT($E$8/12, (C243-$I$8), $I$7, $E$7)), 0)</f>
        <v>-496.71458382294418</v>
      </c>
      <c r="F243" s="23">
        <f>IF(AND(C243&gt;='Amort. Sched.-BEST'!$I$8, C243&lt;= ($I$7+$I$8)), (PPMT($E$8/12, (C243-$I$8), $I$7, $E$7)), 0)</f>
        <v>-853.96380007981111</v>
      </c>
      <c r="G243" s="5">
        <f>IF(MortgageAmortBEST[[#This Row],[Month]]=I$8,E$7,0)</f>
        <v>0</v>
      </c>
      <c r="H243" s="13">
        <f>IF(AND(C243&gt;='Amort. Sched.-BEST'!$I$8, C243&lt;= ($I$7+$I$8)), H242+F243, 0)</f>
        <v>73653.223773361824</v>
      </c>
      <c r="I243" s="24">
        <f>IF(AND(C243&gt;='Amort. Sched.-BEST'!$I$8, C243&lt;= ($I$7+$I$8)), E243/D243, " ")</f>
        <v>0.36775193098722614</v>
      </c>
      <c r="J243" s="25">
        <f>IF(AND(C243&gt;='Amort. Sched.-BEST'!$I$8, C243&lt;= ($I$7+$I$8)), F243/D243, " ")</f>
        <v>0.63224806901277386</v>
      </c>
      <c r="L243" s="20">
        <f t="shared" si="51"/>
        <v>232</v>
      </c>
      <c r="M243" s="5">
        <f>IF(AND(L243&gt;='Amort. Sched.-BEST'!$R$8, L243&lt;= ($R$7+$R$8)), PMT('Amort. Sched.-BEST'!$N$8/12, 'Amort. Sched.-BEST'!$R$7, 'Amort. Sched.-BEST'!$N$7), 0)</f>
        <v>0</v>
      </c>
      <c r="N243" s="5">
        <f>IF(AND(L243&gt;='Amort. Sched.-BEST'!$R$8, L243&lt;= ($R$7+$R$8)), (IPMT($N$8/12, (L243-$R$8), $R$7, $N$7)), 0)</f>
        <v>0</v>
      </c>
      <c r="O243" s="5">
        <f>IF(AND(L243&gt;='Amort. Sched.-BEST'!$R$8, L243&lt;= ($R$7+$R$8)), (PPMT($N$8/12, (L243-$R$8), $R$7, $N$7)), 0)</f>
        <v>0</v>
      </c>
      <c r="P243" s="5">
        <f>IF(CreditAmort1BEST[[#This Row],[Month]]=R$8,N$7,0)</f>
        <v>0</v>
      </c>
      <c r="Q243" s="13">
        <f>IF(AND(L243&gt;='Amort. Sched.-BEST'!$R$8, L243&lt;= ($R$7+$R$8)), Q242+O243, 0)</f>
        <v>0</v>
      </c>
      <c r="R243" s="6" t="str">
        <f>IF(AND(L243&gt;='Amort. Sched.-BEST'!$R$8, L243&lt;= ($R$7+$R$8)), N243/M243, " ")</f>
        <v xml:space="preserve"> </v>
      </c>
      <c r="S243" s="21" t="str">
        <f>IF(AND(L243&gt;='Amort. Sched.-BEST'!$R$8, L243&lt;= ($R$7+$R$8)), O243/M243, " ")</f>
        <v xml:space="preserve"> </v>
      </c>
      <c r="U243" s="22">
        <f t="shared" si="53"/>
        <v>232</v>
      </c>
      <c r="V243" s="23">
        <f>IF(AND(U243&gt;='Amort. Sched.-BEST'!$AA$8, U243&lt;= ($AA$7+$AA$8)), PMT('Amort. Sched.-BEST'!$W$8/12, 'Amort. Sched.-BEST'!$AA$7, 'Amort. Sched.-BEST'!$W$7), 0)</f>
        <v>0</v>
      </c>
      <c r="W243" s="5">
        <f>IF(AND(U243&gt;='Amort. Sched.-BEST'!$AA$8, U243&lt;= ($AA$7+$AA$8)), (IPMT($W$8/12, (U243-$AA$8), $AA$7, $W$7)), 0)</f>
        <v>0</v>
      </c>
      <c r="X243" s="23">
        <f>IF(AND(U243&gt;='Amort. Sched.-BEST'!$AA$8, U243&lt;= ($AA$7+$AA$8)), (PPMT($W$8/12, (U243-$AA$8), $AA$7, $W$7)), 0)</f>
        <v>0</v>
      </c>
      <c r="Y243" s="5">
        <f>IF(CreditAmort2BEST[[#This Row],[Month]]=AA$8,W$7,0)</f>
        <v>0</v>
      </c>
      <c r="Z243" s="13">
        <f>IF(AND(U243&gt;='Amort. Sched.-BEST'!$AA$8, U243&lt;= ($AA$7+$AA$8)), Z242+X243, 0)</f>
        <v>0</v>
      </c>
      <c r="AA243" s="24" t="str">
        <f>IF(AND(U243&gt;='Amort. Sched.-BEST'!$AA$8, U243&lt;= ($AA$7+$AA$8)), W243/V243, " ")</f>
        <v xml:space="preserve"> </v>
      </c>
      <c r="AB243" s="25" t="str">
        <f>IF(AND(U243&gt;='Amort. Sched.-BEST'!$AA$8, U243&lt;= ($AA$7+$AA$8)), X243/V243, " ")</f>
        <v xml:space="preserve"> </v>
      </c>
      <c r="AD243" s="22">
        <f t="shared" si="54"/>
        <v>232</v>
      </c>
      <c r="AE243" s="5">
        <f t="shared" si="55"/>
        <v>0</v>
      </c>
      <c r="AF243" s="5">
        <f t="shared" si="56"/>
        <v>0</v>
      </c>
      <c r="AG243" s="5">
        <f t="shared" si="57"/>
        <v>0</v>
      </c>
      <c r="AH243" s="5">
        <f>IF(CreditAmort3BEST[[#This Row],[Month]]=AJ$8,AF$7,0)</f>
        <v>0</v>
      </c>
      <c r="AI243" s="13">
        <f t="shared" si="58"/>
        <v>0</v>
      </c>
      <c r="AJ243" s="6" t="str">
        <f t="shared" si="59"/>
        <v xml:space="preserve"> </v>
      </c>
      <c r="AK243" s="21" t="str">
        <f t="shared" si="60"/>
        <v xml:space="preserve"> </v>
      </c>
      <c r="AM243" s="20">
        <f t="shared" si="61"/>
        <v>232</v>
      </c>
      <c r="AN243" s="5">
        <f t="shared" si="62"/>
        <v>0</v>
      </c>
      <c r="AO243" s="5">
        <f t="shared" si="63"/>
        <v>0</v>
      </c>
      <c r="AP243" s="5">
        <f t="shared" si="64"/>
        <v>0</v>
      </c>
      <c r="AQ243" s="5">
        <f>IF(CreditAmort4BEST[[#This Row],[Month]]=AS$8,AO$7,0)</f>
        <v>0</v>
      </c>
      <c r="AR243" s="13">
        <f t="shared" si="65"/>
        <v>0</v>
      </c>
      <c r="AS243" s="6" t="str">
        <f t="shared" si="66"/>
        <v xml:space="preserve"> </v>
      </c>
      <c r="AT243" s="21" t="str">
        <f t="shared" si="67"/>
        <v xml:space="preserve"> </v>
      </c>
    </row>
    <row r="244" spans="3:46">
      <c r="C244" s="22">
        <f t="shared" si="52"/>
        <v>233</v>
      </c>
      <c r="D244" s="23">
        <f>IF(AND(C244&gt;='Amort. Sched.-BEST'!$I$8, C244&lt;= ($I$7+$I$8)), PMT('Amort. Sched.-BEST'!$E$8/12, 'Amort. Sched.-BEST'!$I$7, 'Amort. Sched.-BEST'!$E$7), 0)</f>
        <v>-1350.6783839027553</v>
      </c>
      <c r="E244" s="5">
        <f>IF(AND(C244&gt;='Amort. Sched.-BEST'!$I$8, C244&lt;= ($I$7+$I$8)), (IPMT($E$8/12, (C244-$I$8), $I$7, $E$7)), 0)</f>
        <v>-491.02149182241209</v>
      </c>
      <c r="F244" s="23">
        <f>IF(AND(C244&gt;='Amort. Sched.-BEST'!$I$8, C244&lt;= ($I$7+$I$8)), (PPMT($E$8/12, (C244-$I$8), $I$7, $E$7)), 0)</f>
        <v>-859.65689208034325</v>
      </c>
      <c r="G244" s="5">
        <f>IF(MortgageAmortBEST[[#This Row],[Month]]=I$8,E$7,0)</f>
        <v>0</v>
      </c>
      <c r="H244" s="13">
        <f>IF(AND(C244&gt;='Amort. Sched.-BEST'!$I$8, C244&lt;= ($I$7+$I$8)), H243+F244, 0)</f>
        <v>72793.566881281484</v>
      </c>
      <c r="I244" s="24">
        <f>IF(AND(C244&gt;='Amort. Sched.-BEST'!$I$8, C244&lt;= ($I$7+$I$8)), E244/D244, " ")</f>
        <v>0.3635369438604743</v>
      </c>
      <c r="J244" s="25">
        <f>IF(AND(C244&gt;='Amort. Sched.-BEST'!$I$8, C244&lt;= ($I$7+$I$8)), F244/D244, " ")</f>
        <v>0.63646305613952581</v>
      </c>
      <c r="L244" s="20">
        <f t="shared" si="51"/>
        <v>233</v>
      </c>
      <c r="M244" s="5">
        <f>IF(AND(L244&gt;='Amort. Sched.-BEST'!$R$8, L244&lt;= ($R$7+$R$8)), PMT('Amort. Sched.-BEST'!$N$8/12, 'Amort. Sched.-BEST'!$R$7, 'Amort. Sched.-BEST'!$N$7), 0)</f>
        <v>0</v>
      </c>
      <c r="N244" s="5">
        <f>IF(AND(L244&gt;='Amort. Sched.-BEST'!$R$8, L244&lt;= ($R$7+$R$8)), (IPMT($N$8/12, (L244-$R$8), $R$7, $N$7)), 0)</f>
        <v>0</v>
      </c>
      <c r="O244" s="5">
        <f>IF(AND(L244&gt;='Amort. Sched.-BEST'!$R$8, L244&lt;= ($R$7+$R$8)), (PPMT($N$8/12, (L244-$R$8), $R$7, $N$7)), 0)</f>
        <v>0</v>
      </c>
      <c r="P244" s="5">
        <f>IF(CreditAmort1BEST[[#This Row],[Month]]=R$8,N$7,0)</f>
        <v>0</v>
      </c>
      <c r="Q244" s="13">
        <f>IF(AND(L244&gt;='Amort. Sched.-BEST'!$R$8, L244&lt;= ($R$7+$R$8)), Q243+O244, 0)</f>
        <v>0</v>
      </c>
      <c r="R244" s="6" t="str">
        <f>IF(AND(L244&gt;='Amort. Sched.-BEST'!$R$8, L244&lt;= ($R$7+$R$8)), N244/M244, " ")</f>
        <v xml:space="preserve"> </v>
      </c>
      <c r="S244" s="21" t="str">
        <f>IF(AND(L244&gt;='Amort. Sched.-BEST'!$R$8, L244&lt;= ($R$7+$R$8)), O244/M244, " ")</f>
        <v xml:space="preserve"> </v>
      </c>
      <c r="U244" s="22">
        <f t="shared" si="53"/>
        <v>233</v>
      </c>
      <c r="V244" s="23">
        <f>IF(AND(U244&gt;='Amort. Sched.-BEST'!$AA$8, U244&lt;= ($AA$7+$AA$8)), PMT('Amort. Sched.-BEST'!$W$8/12, 'Amort. Sched.-BEST'!$AA$7, 'Amort. Sched.-BEST'!$W$7), 0)</f>
        <v>0</v>
      </c>
      <c r="W244" s="5">
        <f>IF(AND(U244&gt;='Amort. Sched.-BEST'!$AA$8, U244&lt;= ($AA$7+$AA$8)), (IPMT($W$8/12, (U244-$AA$8), $AA$7, $W$7)), 0)</f>
        <v>0</v>
      </c>
      <c r="X244" s="23">
        <f>IF(AND(U244&gt;='Amort. Sched.-BEST'!$AA$8, U244&lt;= ($AA$7+$AA$8)), (PPMT($W$8/12, (U244-$AA$8), $AA$7, $W$7)), 0)</f>
        <v>0</v>
      </c>
      <c r="Y244" s="5">
        <f>IF(CreditAmort2BEST[[#This Row],[Month]]=AA$8,W$7,0)</f>
        <v>0</v>
      </c>
      <c r="Z244" s="13">
        <f>IF(AND(U244&gt;='Amort. Sched.-BEST'!$AA$8, U244&lt;= ($AA$7+$AA$8)), Z243+X244, 0)</f>
        <v>0</v>
      </c>
      <c r="AA244" s="24" t="str">
        <f>IF(AND(U244&gt;='Amort. Sched.-BEST'!$AA$8, U244&lt;= ($AA$7+$AA$8)), W244/V244, " ")</f>
        <v xml:space="preserve"> </v>
      </c>
      <c r="AB244" s="25" t="str">
        <f>IF(AND(U244&gt;='Amort. Sched.-BEST'!$AA$8, U244&lt;= ($AA$7+$AA$8)), X244/V244, " ")</f>
        <v xml:space="preserve"> </v>
      </c>
      <c r="AD244" s="22">
        <f t="shared" si="54"/>
        <v>233</v>
      </c>
      <c r="AE244" s="5">
        <f t="shared" si="55"/>
        <v>0</v>
      </c>
      <c r="AF244" s="5">
        <f t="shared" si="56"/>
        <v>0</v>
      </c>
      <c r="AG244" s="5">
        <f t="shared" si="57"/>
        <v>0</v>
      </c>
      <c r="AH244" s="5">
        <f>IF(CreditAmort3BEST[[#This Row],[Month]]=AJ$8,AF$7,0)</f>
        <v>0</v>
      </c>
      <c r="AI244" s="13">
        <f t="shared" si="58"/>
        <v>0</v>
      </c>
      <c r="AJ244" s="6" t="str">
        <f t="shared" si="59"/>
        <v xml:space="preserve"> </v>
      </c>
      <c r="AK244" s="21" t="str">
        <f t="shared" si="60"/>
        <v xml:space="preserve"> </v>
      </c>
      <c r="AM244" s="20">
        <f t="shared" si="61"/>
        <v>233</v>
      </c>
      <c r="AN244" s="5">
        <f t="shared" si="62"/>
        <v>0</v>
      </c>
      <c r="AO244" s="5">
        <f t="shared" si="63"/>
        <v>0</v>
      </c>
      <c r="AP244" s="5">
        <f t="shared" si="64"/>
        <v>0</v>
      </c>
      <c r="AQ244" s="5">
        <f>IF(CreditAmort4BEST[[#This Row],[Month]]=AS$8,AO$7,0)</f>
        <v>0</v>
      </c>
      <c r="AR244" s="13">
        <f t="shared" si="65"/>
        <v>0</v>
      </c>
      <c r="AS244" s="6" t="str">
        <f t="shared" si="66"/>
        <v xml:space="preserve"> </v>
      </c>
      <c r="AT244" s="21" t="str">
        <f t="shared" si="67"/>
        <v xml:space="preserve"> </v>
      </c>
    </row>
    <row r="245" spans="3:46">
      <c r="C245" s="22">
        <f t="shared" si="52"/>
        <v>234</v>
      </c>
      <c r="D245" s="23">
        <f>IF(AND(C245&gt;='Amort. Sched.-BEST'!$I$8, C245&lt;= ($I$7+$I$8)), PMT('Amort. Sched.-BEST'!$E$8/12, 'Amort. Sched.-BEST'!$I$7, 'Amort. Sched.-BEST'!$E$7), 0)</f>
        <v>-1350.6783839027553</v>
      </c>
      <c r="E245" s="5">
        <f>IF(AND(C245&gt;='Amort. Sched.-BEST'!$I$8, C245&lt;= ($I$7+$I$8)), (IPMT($E$8/12, (C245-$I$8), $I$7, $E$7)), 0)</f>
        <v>-485.2904458752098</v>
      </c>
      <c r="F245" s="23">
        <f>IF(AND(C245&gt;='Amort. Sched.-BEST'!$I$8, C245&lt;= ($I$7+$I$8)), (PPMT($E$8/12, (C245-$I$8), $I$7, $E$7)), 0)</f>
        <v>-865.38793802754537</v>
      </c>
      <c r="G245" s="5">
        <f>IF(MortgageAmortBEST[[#This Row],[Month]]=I$8,E$7,0)</f>
        <v>0</v>
      </c>
      <c r="H245" s="13">
        <f>IF(AND(C245&gt;='Amort. Sched.-BEST'!$I$8, C245&lt;= ($I$7+$I$8)), H244+F245, 0)</f>
        <v>71928.178943253937</v>
      </c>
      <c r="I245" s="24">
        <f>IF(AND(C245&gt;='Amort. Sched.-BEST'!$I$8, C245&lt;= ($I$7+$I$8)), E245/D245, " ")</f>
        <v>0.35929385681954412</v>
      </c>
      <c r="J245" s="25">
        <f>IF(AND(C245&gt;='Amort. Sched.-BEST'!$I$8, C245&lt;= ($I$7+$I$8)), F245/D245, " ")</f>
        <v>0.64070614318045582</v>
      </c>
      <c r="L245" s="20">
        <f t="shared" si="51"/>
        <v>234</v>
      </c>
      <c r="M245" s="5">
        <f>IF(AND(L245&gt;='Amort. Sched.-BEST'!$R$8, L245&lt;= ($R$7+$R$8)), PMT('Amort. Sched.-BEST'!$N$8/12, 'Amort. Sched.-BEST'!$R$7, 'Amort. Sched.-BEST'!$N$7), 0)</f>
        <v>0</v>
      </c>
      <c r="N245" s="5">
        <f>IF(AND(L245&gt;='Amort. Sched.-BEST'!$R$8, L245&lt;= ($R$7+$R$8)), (IPMT($N$8/12, (L245-$R$8), $R$7, $N$7)), 0)</f>
        <v>0</v>
      </c>
      <c r="O245" s="5">
        <f>IF(AND(L245&gt;='Amort. Sched.-BEST'!$R$8, L245&lt;= ($R$7+$R$8)), (PPMT($N$8/12, (L245-$R$8), $R$7, $N$7)), 0)</f>
        <v>0</v>
      </c>
      <c r="P245" s="5">
        <f>IF(CreditAmort1BEST[[#This Row],[Month]]=R$8,N$7,0)</f>
        <v>0</v>
      </c>
      <c r="Q245" s="13">
        <f>IF(AND(L245&gt;='Amort. Sched.-BEST'!$R$8, L245&lt;= ($R$7+$R$8)), Q244+O245, 0)</f>
        <v>0</v>
      </c>
      <c r="R245" s="6" t="str">
        <f>IF(AND(L245&gt;='Amort. Sched.-BEST'!$R$8, L245&lt;= ($R$7+$R$8)), N245/M245, " ")</f>
        <v xml:space="preserve"> </v>
      </c>
      <c r="S245" s="21" t="str">
        <f>IF(AND(L245&gt;='Amort. Sched.-BEST'!$R$8, L245&lt;= ($R$7+$R$8)), O245/M245, " ")</f>
        <v xml:space="preserve"> </v>
      </c>
      <c r="U245" s="22">
        <f t="shared" si="53"/>
        <v>234</v>
      </c>
      <c r="V245" s="23">
        <f>IF(AND(U245&gt;='Amort. Sched.-BEST'!$AA$8, U245&lt;= ($AA$7+$AA$8)), PMT('Amort. Sched.-BEST'!$W$8/12, 'Amort. Sched.-BEST'!$AA$7, 'Amort. Sched.-BEST'!$W$7), 0)</f>
        <v>0</v>
      </c>
      <c r="W245" s="5">
        <f>IF(AND(U245&gt;='Amort. Sched.-BEST'!$AA$8, U245&lt;= ($AA$7+$AA$8)), (IPMT($W$8/12, (U245-$AA$8), $AA$7, $W$7)), 0)</f>
        <v>0</v>
      </c>
      <c r="X245" s="23">
        <f>IF(AND(U245&gt;='Amort. Sched.-BEST'!$AA$8, U245&lt;= ($AA$7+$AA$8)), (PPMT($W$8/12, (U245-$AA$8), $AA$7, $W$7)), 0)</f>
        <v>0</v>
      </c>
      <c r="Y245" s="5">
        <f>IF(CreditAmort2BEST[[#This Row],[Month]]=AA$8,W$7,0)</f>
        <v>0</v>
      </c>
      <c r="Z245" s="13">
        <f>IF(AND(U245&gt;='Amort. Sched.-BEST'!$AA$8, U245&lt;= ($AA$7+$AA$8)), Z244+X245, 0)</f>
        <v>0</v>
      </c>
      <c r="AA245" s="24" t="str">
        <f>IF(AND(U245&gt;='Amort. Sched.-BEST'!$AA$8, U245&lt;= ($AA$7+$AA$8)), W245/V245, " ")</f>
        <v xml:space="preserve"> </v>
      </c>
      <c r="AB245" s="25" t="str">
        <f>IF(AND(U245&gt;='Amort. Sched.-BEST'!$AA$8, U245&lt;= ($AA$7+$AA$8)), X245/V245, " ")</f>
        <v xml:space="preserve"> </v>
      </c>
      <c r="AD245" s="22">
        <f t="shared" si="54"/>
        <v>234</v>
      </c>
      <c r="AE245" s="5">
        <f t="shared" si="55"/>
        <v>0</v>
      </c>
      <c r="AF245" s="5">
        <f t="shared" si="56"/>
        <v>0</v>
      </c>
      <c r="AG245" s="5">
        <f t="shared" si="57"/>
        <v>0</v>
      </c>
      <c r="AH245" s="5">
        <f>IF(CreditAmort3BEST[[#This Row],[Month]]=AJ$8,AF$7,0)</f>
        <v>0</v>
      </c>
      <c r="AI245" s="13">
        <f t="shared" si="58"/>
        <v>0</v>
      </c>
      <c r="AJ245" s="6" t="str">
        <f t="shared" si="59"/>
        <v xml:space="preserve"> </v>
      </c>
      <c r="AK245" s="21" t="str">
        <f t="shared" si="60"/>
        <v xml:space="preserve"> </v>
      </c>
      <c r="AM245" s="20">
        <f t="shared" si="61"/>
        <v>234</v>
      </c>
      <c r="AN245" s="5">
        <f t="shared" si="62"/>
        <v>0</v>
      </c>
      <c r="AO245" s="5">
        <f t="shared" si="63"/>
        <v>0</v>
      </c>
      <c r="AP245" s="5">
        <f t="shared" si="64"/>
        <v>0</v>
      </c>
      <c r="AQ245" s="5">
        <f>IF(CreditAmort4BEST[[#This Row],[Month]]=AS$8,AO$7,0)</f>
        <v>0</v>
      </c>
      <c r="AR245" s="13">
        <f t="shared" si="65"/>
        <v>0</v>
      </c>
      <c r="AS245" s="6" t="str">
        <f t="shared" si="66"/>
        <v xml:space="preserve"> </v>
      </c>
      <c r="AT245" s="21" t="str">
        <f t="shared" si="67"/>
        <v xml:space="preserve"> </v>
      </c>
    </row>
    <row r="246" spans="3:46">
      <c r="C246" s="22">
        <f t="shared" si="52"/>
        <v>235</v>
      </c>
      <c r="D246" s="23">
        <f>IF(AND(C246&gt;='Amort. Sched.-BEST'!$I$8, C246&lt;= ($I$7+$I$8)), PMT('Amort. Sched.-BEST'!$E$8/12, 'Amort. Sched.-BEST'!$I$7, 'Amort. Sched.-BEST'!$E$7), 0)</f>
        <v>-1350.6783839027553</v>
      </c>
      <c r="E246" s="5">
        <f>IF(AND(C246&gt;='Amort. Sched.-BEST'!$I$8, C246&lt;= ($I$7+$I$8)), (IPMT($E$8/12, (C246-$I$8), $I$7, $E$7)), 0)</f>
        <v>-479.52119295502627</v>
      </c>
      <c r="F246" s="23">
        <f>IF(AND(C246&gt;='Amort. Sched.-BEST'!$I$8, C246&lt;= ($I$7+$I$8)), (PPMT($E$8/12, (C246-$I$8), $I$7, $E$7)), 0)</f>
        <v>-871.15719094772908</v>
      </c>
      <c r="G246" s="5">
        <f>IF(MortgageAmortBEST[[#This Row],[Month]]=I$8,E$7,0)</f>
        <v>0</v>
      </c>
      <c r="H246" s="13">
        <f>IF(AND(C246&gt;='Amort. Sched.-BEST'!$I$8, C246&lt;= ($I$7+$I$8)), H245+F246, 0)</f>
        <v>71057.021752306202</v>
      </c>
      <c r="I246" s="24">
        <f>IF(AND(C246&gt;='Amort. Sched.-BEST'!$I$8, C246&lt;= ($I$7+$I$8)), E246/D246, " ")</f>
        <v>0.35502248253167451</v>
      </c>
      <c r="J246" s="25">
        <f>IF(AND(C246&gt;='Amort. Sched.-BEST'!$I$8, C246&lt;= ($I$7+$I$8)), F246/D246, " ")</f>
        <v>0.64497751746832555</v>
      </c>
      <c r="L246" s="20">
        <f t="shared" si="51"/>
        <v>235</v>
      </c>
      <c r="M246" s="5">
        <f>IF(AND(L246&gt;='Amort. Sched.-BEST'!$R$8, L246&lt;= ($R$7+$R$8)), PMT('Amort. Sched.-BEST'!$N$8/12, 'Amort. Sched.-BEST'!$R$7, 'Amort. Sched.-BEST'!$N$7), 0)</f>
        <v>0</v>
      </c>
      <c r="N246" s="5">
        <f>IF(AND(L246&gt;='Amort. Sched.-BEST'!$R$8, L246&lt;= ($R$7+$R$8)), (IPMT($N$8/12, (L246-$R$8), $R$7, $N$7)), 0)</f>
        <v>0</v>
      </c>
      <c r="O246" s="5">
        <f>IF(AND(L246&gt;='Amort. Sched.-BEST'!$R$8, L246&lt;= ($R$7+$R$8)), (PPMT($N$8/12, (L246-$R$8), $R$7, $N$7)), 0)</f>
        <v>0</v>
      </c>
      <c r="P246" s="5">
        <f>IF(CreditAmort1BEST[[#This Row],[Month]]=R$8,N$7,0)</f>
        <v>0</v>
      </c>
      <c r="Q246" s="13">
        <f>IF(AND(L246&gt;='Amort. Sched.-BEST'!$R$8, L246&lt;= ($R$7+$R$8)), Q245+O246, 0)</f>
        <v>0</v>
      </c>
      <c r="R246" s="6" t="str">
        <f>IF(AND(L246&gt;='Amort. Sched.-BEST'!$R$8, L246&lt;= ($R$7+$R$8)), N246/M246, " ")</f>
        <v xml:space="preserve"> </v>
      </c>
      <c r="S246" s="21" t="str">
        <f>IF(AND(L246&gt;='Amort. Sched.-BEST'!$R$8, L246&lt;= ($R$7+$R$8)), O246/M246, " ")</f>
        <v xml:space="preserve"> </v>
      </c>
      <c r="U246" s="22">
        <f t="shared" si="53"/>
        <v>235</v>
      </c>
      <c r="V246" s="23">
        <f>IF(AND(U246&gt;='Amort. Sched.-BEST'!$AA$8, U246&lt;= ($AA$7+$AA$8)), PMT('Amort. Sched.-BEST'!$W$8/12, 'Amort. Sched.-BEST'!$AA$7, 'Amort. Sched.-BEST'!$W$7), 0)</f>
        <v>0</v>
      </c>
      <c r="W246" s="5">
        <f>IF(AND(U246&gt;='Amort. Sched.-BEST'!$AA$8, U246&lt;= ($AA$7+$AA$8)), (IPMT($W$8/12, (U246-$AA$8), $AA$7, $W$7)), 0)</f>
        <v>0</v>
      </c>
      <c r="X246" s="23">
        <f>IF(AND(U246&gt;='Amort. Sched.-BEST'!$AA$8, U246&lt;= ($AA$7+$AA$8)), (PPMT($W$8/12, (U246-$AA$8), $AA$7, $W$7)), 0)</f>
        <v>0</v>
      </c>
      <c r="Y246" s="5">
        <f>IF(CreditAmort2BEST[[#This Row],[Month]]=AA$8,W$7,0)</f>
        <v>0</v>
      </c>
      <c r="Z246" s="13">
        <f>IF(AND(U246&gt;='Amort. Sched.-BEST'!$AA$8, U246&lt;= ($AA$7+$AA$8)), Z245+X246, 0)</f>
        <v>0</v>
      </c>
      <c r="AA246" s="24" t="str">
        <f>IF(AND(U246&gt;='Amort. Sched.-BEST'!$AA$8, U246&lt;= ($AA$7+$AA$8)), W246/V246, " ")</f>
        <v xml:space="preserve"> </v>
      </c>
      <c r="AB246" s="25" t="str">
        <f>IF(AND(U246&gt;='Amort. Sched.-BEST'!$AA$8, U246&lt;= ($AA$7+$AA$8)), X246/V246, " ")</f>
        <v xml:space="preserve"> </v>
      </c>
      <c r="AD246" s="22">
        <f t="shared" si="54"/>
        <v>235</v>
      </c>
      <c r="AE246" s="5">
        <f t="shared" si="55"/>
        <v>0</v>
      </c>
      <c r="AF246" s="5">
        <f t="shared" si="56"/>
        <v>0</v>
      </c>
      <c r="AG246" s="5">
        <f t="shared" si="57"/>
        <v>0</v>
      </c>
      <c r="AH246" s="5">
        <f>IF(CreditAmort3BEST[[#This Row],[Month]]=AJ$8,AF$7,0)</f>
        <v>0</v>
      </c>
      <c r="AI246" s="13">
        <f t="shared" si="58"/>
        <v>0</v>
      </c>
      <c r="AJ246" s="6" t="str">
        <f t="shared" si="59"/>
        <v xml:space="preserve"> </v>
      </c>
      <c r="AK246" s="21" t="str">
        <f t="shared" si="60"/>
        <v xml:space="preserve"> </v>
      </c>
      <c r="AM246" s="20">
        <f t="shared" si="61"/>
        <v>235</v>
      </c>
      <c r="AN246" s="5">
        <f t="shared" si="62"/>
        <v>0</v>
      </c>
      <c r="AO246" s="5">
        <f t="shared" si="63"/>
        <v>0</v>
      </c>
      <c r="AP246" s="5">
        <f t="shared" si="64"/>
        <v>0</v>
      </c>
      <c r="AQ246" s="5">
        <f>IF(CreditAmort4BEST[[#This Row],[Month]]=AS$8,AO$7,0)</f>
        <v>0</v>
      </c>
      <c r="AR246" s="13">
        <f t="shared" si="65"/>
        <v>0</v>
      </c>
      <c r="AS246" s="6" t="str">
        <f t="shared" si="66"/>
        <v xml:space="preserve"> </v>
      </c>
      <c r="AT246" s="21" t="str">
        <f t="shared" si="67"/>
        <v xml:space="preserve"> </v>
      </c>
    </row>
    <row r="247" spans="3:46">
      <c r="C247" s="22">
        <f t="shared" si="52"/>
        <v>236</v>
      </c>
      <c r="D247" s="23">
        <f>IF(AND(C247&gt;='Amort. Sched.-BEST'!$I$8, C247&lt;= ($I$7+$I$8)), PMT('Amort. Sched.-BEST'!$E$8/12, 'Amort. Sched.-BEST'!$I$7, 'Amort. Sched.-BEST'!$E$7), 0)</f>
        <v>-1350.6783839027553</v>
      </c>
      <c r="E247" s="5">
        <f>IF(AND(C247&gt;='Amort. Sched.-BEST'!$I$8, C247&lt;= ($I$7+$I$8)), (IPMT($E$8/12, (C247-$I$8), $I$7, $E$7)), 0)</f>
        <v>-473.71347834870807</v>
      </c>
      <c r="F247" s="23">
        <f>IF(AND(C247&gt;='Amort. Sched.-BEST'!$I$8, C247&lt;= ($I$7+$I$8)), (PPMT($E$8/12, (C247-$I$8), $I$7, $E$7)), 0)</f>
        <v>-876.96490555404728</v>
      </c>
      <c r="G247" s="5">
        <f>IF(MortgageAmortBEST[[#This Row],[Month]]=I$8,E$7,0)</f>
        <v>0</v>
      </c>
      <c r="H247" s="13">
        <f>IF(AND(C247&gt;='Amort. Sched.-BEST'!$I$8, C247&lt;= ($I$7+$I$8)), H246+F247, 0)</f>
        <v>70180.056846752152</v>
      </c>
      <c r="I247" s="24">
        <f>IF(AND(C247&gt;='Amort. Sched.-BEST'!$I$8, C247&lt;= ($I$7+$I$8)), E247/D247, " ")</f>
        <v>0.350722632415219</v>
      </c>
      <c r="J247" s="25">
        <f>IF(AND(C247&gt;='Amort. Sched.-BEST'!$I$8, C247&lt;= ($I$7+$I$8)), F247/D247, " ")</f>
        <v>0.64927736758478105</v>
      </c>
      <c r="L247" s="20">
        <f t="shared" si="51"/>
        <v>236</v>
      </c>
      <c r="M247" s="5">
        <f>IF(AND(L247&gt;='Amort. Sched.-BEST'!$R$8, L247&lt;= ($R$7+$R$8)), PMT('Amort. Sched.-BEST'!$N$8/12, 'Amort. Sched.-BEST'!$R$7, 'Amort. Sched.-BEST'!$N$7), 0)</f>
        <v>0</v>
      </c>
      <c r="N247" s="5">
        <f>IF(AND(L247&gt;='Amort. Sched.-BEST'!$R$8, L247&lt;= ($R$7+$R$8)), (IPMT($N$8/12, (L247-$R$8), $R$7, $N$7)), 0)</f>
        <v>0</v>
      </c>
      <c r="O247" s="5">
        <f>IF(AND(L247&gt;='Amort. Sched.-BEST'!$R$8, L247&lt;= ($R$7+$R$8)), (PPMT($N$8/12, (L247-$R$8), $R$7, $N$7)), 0)</f>
        <v>0</v>
      </c>
      <c r="P247" s="5">
        <f>IF(CreditAmort1BEST[[#This Row],[Month]]=R$8,N$7,0)</f>
        <v>0</v>
      </c>
      <c r="Q247" s="13">
        <f>IF(AND(L247&gt;='Amort. Sched.-BEST'!$R$8, L247&lt;= ($R$7+$R$8)), Q246+O247, 0)</f>
        <v>0</v>
      </c>
      <c r="R247" s="6" t="str">
        <f>IF(AND(L247&gt;='Amort. Sched.-BEST'!$R$8, L247&lt;= ($R$7+$R$8)), N247/M247, " ")</f>
        <v xml:space="preserve"> </v>
      </c>
      <c r="S247" s="21" t="str">
        <f>IF(AND(L247&gt;='Amort. Sched.-BEST'!$R$8, L247&lt;= ($R$7+$R$8)), O247/M247, " ")</f>
        <v xml:space="preserve"> </v>
      </c>
      <c r="U247" s="22">
        <f t="shared" si="53"/>
        <v>236</v>
      </c>
      <c r="V247" s="23">
        <f>IF(AND(U247&gt;='Amort. Sched.-BEST'!$AA$8, U247&lt;= ($AA$7+$AA$8)), PMT('Amort. Sched.-BEST'!$W$8/12, 'Amort. Sched.-BEST'!$AA$7, 'Amort. Sched.-BEST'!$W$7), 0)</f>
        <v>0</v>
      </c>
      <c r="W247" s="5">
        <f>IF(AND(U247&gt;='Amort. Sched.-BEST'!$AA$8, U247&lt;= ($AA$7+$AA$8)), (IPMT($W$8/12, (U247-$AA$8), $AA$7, $W$7)), 0)</f>
        <v>0</v>
      </c>
      <c r="X247" s="23">
        <f>IF(AND(U247&gt;='Amort. Sched.-BEST'!$AA$8, U247&lt;= ($AA$7+$AA$8)), (PPMT($W$8/12, (U247-$AA$8), $AA$7, $W$7)), 0)</f>
        <v>0</v>
      </c>
      <c r="Y247" s="5">
        <f>IF(CreditAmort2BEST[[#This Row],[Month]]=AA$8,W$7,0)</f>
        <v>0</v>
      </c>
      <c r="Z247" s="13">
        <f>IF(AND(U247&gt;='Amort. Sched.-BEST'!$AA$8, U247&lt;= ($AA$7+$AA$8)), Z246+X247, 0)</f>
        <v>0</v>
      </c>
      <c r="AA247" s="24" t="str">
        <f>IF(AND(U247&gt;='Amort. Sched.-BEST'!$AA$8, U247&lt;= ($AA$7+$AA$8)), W247/V247, " ")</f>
        <v xml:space="preserve"> </v>
      </c>
      <c r="AB247" s="25" t="str">
        <f>IF(AND(U247&gt;='Amort. Sched.-BEST'!$AA$8, U247&lt;= ($AA$7+$AA$8)), X247/V247, " ")</f>
        <v xml:space="preserve"> </v>
      </c>
      <c r="AD247" s="22">
        <f t="shared" si="54"/>
        <v>236</v>
      </c>
      <c r="AE247" s="5">
        <f t="shared" si="55"/>
        <v>0</v>
      </c>
      <c r="AF247" s="5">
        <f t="shared" si="56"/>
        <v>0</v>
      </c>
      <c r="AG247" s="5">
        <f t="shared" si="57"/>
        <v>0</v>
      </c>
      <c r="AH247" s="5">
        <f>IF(CreditAmort3BEST[[#This Row],[Month]]=AJ$8,AF$7,0)</f>
        <v>0</v>
      </c>
      <c r="AI247" s="13">
        <f t="shared" si="58"/>
        <v>0</v>
      </c>
      <c r="AJ247" s="6" t="str">
        <f t="shared" si="59"/>
        <v xml:space="preserve"> </v>
      </c>
      <c r="AK247" s="21" t="str">
        <f t="shared" si="60"/>
        <v xml:space="preserve"> </v>
      </c>
      <c r="AM247" s="20">
        <f t="shared" si="61"/>
        <v>236</v>
      </c>
      <c r="AN247" s="5">
        <f t="shared" si="62"/>
        <v>0</v>
      </c>
      <c r="AO247" s="5">
        <f t="shared" si="63"/>
        <v>0</v>
      </c>
      <c r="AP247" s="5">
        <f t="shared" si="64"/>
        <v>0</v>
      </c>
      <c r="AQ247" s="5">
        <f>IF(CreditAmort4BEST[[#This Row],[Month]]=AS$8,AO$7,0)</f>
        <v>0</v>
      </c>
      <c r="AR247" s="13">
        <f t="shared" si="65"/>
        <v>0</v>
      </c>
      <c r="AS247" s="6" t="str">
        <f t="shared" si="66"/>
        <v xml:space="preserve"> </v>
      </c>
      <c r="AT247" s="21" t="str">
        <f t="shared" si="67"/>
        <v xml:space="preserve"> </v>
      </c>
    </row>
    <row r="248" spans="3:46">
      <c r="C248" s="22">
        <f t="shared" si="52"/>
        <v>237</v>
      </c>
      <c r="D248" s="23">
        <f>IF(AND(C248&gt;='Amort. Sched.-BEST'!$I$8, C248&lt;= ($I$7+$I$8)), PMT('Amort. Sched.-BEST'!$E$8/12, 'Amort. Sched.-BEST'!$I$7, 'Amort. Sched.-BEST'!$E$7), 0)</f>
        <v>-1350.6783839027553</v>
      </c>
      <c r="E248" s="5">
        <f>IF(AND(C248&gt;='Amort. Sched.-BEST'!$I$8, C248&lt;= ($I$7+$I$8)), (IPMT($E$8/12, (C248-$I$8), $I$7, $E$7)), 0)</f>
        <v>-467.8670456450144</v>
      </c>
      <c r="F248" s="23">
        <f>IF(AND(C248&gt;='Amort. Sched.-BEST'!$I$8, C248&lt;= ($I$7+$I$8)), (PPMT($E$8/12, (C248-$I$8), $I$7, $E$7)), 0)</f>
        <v>-882.811338257741</v>
      </c>
      <c r="G248" s="5">
        <f>IF(MortgageAmortBEST[[#This Row],[Month]]=I$8,E$7,0)</f>
        <v>0</v>
      </c>
      <c r="H248" s="13">
        <f>IF(AND(C248&gt;='Amort. Sched.-BEST'!$I$8, C248&lt;= ($I$7+$I$8)), H247+F248, 0)</f>
        <v>69297.245508494409</v>
      </c>
      <c r="I248" s="24">
        <f>IF(AND(C248&gt;='Amort. Sched.-BEST'!$I$8, C248&lt;= ($I$7+$I$8)), E248/D248, " ")</f>
        <v>0.34639411663132041</v>
      </c>
      <c r="J248" s="25">
        <f>IF(AND(C248&gt;='Amort. Sched.-BEST'!$I$8, C248&lt;= ($I$7+$I$8)), F248/D248, " ")</f>
        <v>0.65360588336867964</v>
      </c>
      <c r="L248" s="20">
        <f t="shared" si="51"/>
        <v>237</v>
      </c>
      <c r="M248" s="5">
        <f>IF(AND(L248&gt;='Amort. Sched.-BEST'!$R$8, L248&lt;= ($R$7+$R$8)), PMT('Amort. Sched.-BEST'!$N$8/12, 'Amort. Sched.-BEST'!$R$7, 'Amort. Sched.-BEST'!$N$7), 0)</f>
        <v>0</v>
      </c>
      <c r="N248" s="5">
        <f>IF(AND(L248&gt;='Amort. Sched.-BEST'!$R$8, L248&lt;= ($R$7+$R$8)), (IPMT($N$8/12, (L248-$R$8), $R$7, $N$7)), 0)</f>
        <v>0</v>
      </c>
      <c r="O248" s="5">
        <f>IF(AND(L248&gt;='Amort. Sched.-BEST'!$R$8, L248&lt;= ($R$7+$R$8)), (PPMT($N$8/12, (L248-$R$8), $R$7, $N$7)), 0)</f>
        <v>0</v>
      </c>
      <c r="P248" s="5">
        <f>IF(CreditAmort1BEST[[#This Row],[Month]]=R$8,N$7,0)</f>
        <v>0</v>
      </c>
      <c r="Q248" s="13">
        <f>IF(AND(L248&gt;='Amort. Sched.-BEST'!$R$8, L248&lt;= ($R$7+$R$8)), Q247+O248, 0)</f>
        <v>0</v>
      </c>
      <c r="R248" s="6" t="str">
        <f>IF(AND(L248&gt;='Amort. Sched.-BEST'!$R$8, L248&lt;= ($R$7+$R$8)), N248/M248, " ")</f>
        <v xml:space="preserve"> </v>
      </c>
      <c r="S248" s="21" t="str">
        <f>IF(AND(L248&gt;='Amort. Sched.-BEST'!$R$8, L248&lt;= ($R$7+$R$8)), O248/M248, " ")</f>
        <v xml:space="preserve"> </v>
      </c>
      <c r="U248" s="22">
        <f t="shared" si="53"/>
        <v>237</v>
      </c>
      <c r="V248" s="23">
        <f>IF(AND(U248&gt;='Amort. Sched.-BEST'!$AA$8, U248&lt;= ($AA$7+$AA$8)), PMT('Amort. Sched.-BEST'!$W$8/12, 'Amort. Sched.-BEST'!$AA$7, 'Amort. Sched.-BEST'!$W$7), 0)</f>
        <v>0</v>
      </c>
      <c r="W248" s="5">
        <f>IF(AND(U248&gt;='Amort. Sched.-BEST'!$AA$8, U248&lt;= ($AA$7+$AA$8)), (IPMT($W$8/12, (U248-$AA$8), $AA$7, $W$7)), 0)</f>
        <v>0</v>
      </c>
      <c r="X248" s="23">
        <f>IF(AND(U248&gt;='Amort. Sched.-BEST'!$AA$8, U248&lt;= ($AA$7+$AA$8)), (PPMT($W$8/12, (U248-$AA$8), $AA$7, $W$7)), 0)</f>
        <v>0</v>
      </c>
      <c r="Y248" s="5">
        <f>IF(CreditAmort2BEST[[#This Row],[Month]]=AA$8,W$7,0)</f>
        <v>0</v>
      </c>
      <c r="Z248" s="13">
        <f>IF(AND(U248&gt;='Amort. Sched.-BEST'!$AA$8, U248&lt;= ($AA$7+$AA$8)), Z247+X248, 0)</f>
        <v>0</v>
      </c>
      <c r="AA248" s="24" t="str">
        <f>IF(AND(U248&gt;='Amort. Sched.-BEST'!$AA$8, U248&lt;= ($AA$7+$AA$8)), W248/V248, " ")</f>
        <v xml:space="preserve"> </v>
      </c>
      <c r="AB248" s="25" t="str">
        <f>IF(AND(U248&gt;='Amort. Sched.-BEST'!$AA$8, U248&lt;= ($AA$7+$AA$8)), X248/V248, " ")</f>
        <v xml:space="preserve"> </v>
      </c>
      <c r="AD248" s="22">
        <f t="shared" si="54"/>
        <v>237</v>
      </c>
      <c r="AE248" s="5">
        <f t="shared" si="55"/>
        <v>0</v>
      </c>
      <c r="AF248" s="5">
        <f t="shared" si="56"/>
        <v>0</v>
      </c>
      <c r="AG248" s="5">
        <f t="shared" si="57"/>
        <v>0</v>
      </c>
      <c r="AH248" s="5">
        <f>IF(CreditAmort3BEST[[#This Row],[Month]]=AJ$8,AF$7,0)</f>
        <v>0</v>
      </c>
      <c r="AI248" s="13">
        <f t="shared" si="58"/>
        <v>0</v>
      </c>
      <c r="AJ248" s="6" t="str">
        <f t="shared" si="59"/>
        <v xml:space="preserve"> </v>
      </c>
      <c r="AK248" s="21" t="str">
        <f t="shared" si="60"/>
        <v xml:space="preserve"> </v>
      </c>
      <c r="AM248" s="20">
        <f t="shared" si="61"/>
        <v>237</v>
      </c>
      <c r="AN248" s="5">
        <f t="shared" si="62"/>
        <v>0</v>
      </c>
      <c r="AO248" s="5">
        <f t="shared" si="63"/>
        <v>0</v>
      </c>
      <c r="AP248" s="5">
        <f t="shared" si="64"/>
        <v>0</v>
      </c>
      <c r="AQ248" s="5">
        <f>IF(CreditAmort4BEST[[#This Row],[Month]]=AS$8,AO$7,0)</f>
        <v>0</v>
      </c>
      <c r="AR248" s="13">
        <f t="shared" si="65"/>
        <v>0</v>
      </c>
      <c r="AS248" s="6" t="str">
        <f t="shared" si="66"/>
        <v xml:space="preserve"> </v>
      </c>
      <c r="AT248" s="21" t="str">
        <f t="shared" si="67"/>
        <v xml:space="preserve"> </v>
      </c>
    </row>
    <row r="249" spans="3:46">
      <c r="C249" s="22">
        <f t="shared" si="52"/>
        <v>238</v>
      </c>
      <c r="D249" s="23">
        <f>IF(AND(C249&gt;='Amort. Sched.-BEST'!$I$8, C249&lt;= ($I$7+$I$8)), PMT('Amort. Sched.-BEST'!$E$8/12, 'Amort. Sched.-BEST'!$I$7, 'Amort. Sched.-BEST'!$E$7), 0)</f>
        <v>-1350.6783839027553</v>
      </c>
      <c r="E249" s="5">
        <f>IF(AND(C249&gt;='Amort. Sched.-BEST'!$I$8, C249&lt;= ($I$7+$I$8)), (IPMT($E$8/12, (C249-$I$8), $I$7, $E$7)), 0)</f>
        <v>-461.98163672329611</v>
      </c>
      <c r="F249" s="23">
        <f>IF(AND(C249&gt;='Amort. Sched.-BEST'!$I$8, C249&lt;= ($I$7+$I$8)), (PPMT($E$8/12, (C249-$I$8), $I$7, $E$7)), 0)</f>
        <v>-888.69674717945929</v>
      </c>
      <c r="G249" s="5">
        <f>IF(MortgageAmortBEST[[#This Row],[Month]]=I$8,E$7,0)</f>
        <v>0</v>
      </c>
      <c r="H249" s="13">
        <f>IF(AND(C249&gt;='Amort. Sched.-BEST'!$I$8, C249&lt;= ($I$7+$I$8)), H248+F249, 0)</f>
        <v>68408.548761314945</v>
      </c>
      <c r="I249" s="24">
        <f>IF(AND(C249&gt;='Amort. Sched.-BEST'!$I$8, C249&lt;= ($I$7+$I$8)), E249/D249, " ")</f>
        <v>0.3420367440755292</v>
      </c>
      <c r="J249" s="25">
        <f>IF(AND(C249&gt;='Amort. Sched.-BEST'!$I$8, C249&lt;= ($I$7+$I$8)), F249/D249, " ")</f>
        <v>0.65796325592447091</v>
      </c>
      <c r="L249" s="20">
        <f t="shared" si="51"/>
        <v>238</v>
      </c>
      <c r="M249" s="5">
        <f>IF(AND(L249&gt;='Amort. Sched.-BEST'!$R$8, L249&lt;= ($R$7+$R$8)), PMT('Amort. Sched.-BEST'!$N$8/12, 'Amort. Sched.-BEST'!$R$7, 'Amort. Sched.-BEST'!$N$7), 0)</f>
        <v>0</v>
      </c>
      <c r="N249" s="5">
        <f>IF(AND(L249&gt;='Amort. Sched.-BEST'!$R$8, L249&lt;= ($R$7+$R$8)), (IPMT($N$8/12, (L249-$R$8), $R$7, $N$7)), 0)</f>
        <v>0</v>
      </c>
      <c r="O249" s="5">
        <f>IF(AND(L249&gt;='Amort. Sched.-BEST'!$R$8, L249&lt;= ($R$7+$R$8)), (PPMT($N$8/12, (L249-$R$8), $R$7, $N$7)), 0)</f>
        <v>0</v>
      </c>
      <c r="P249" s="5">
        <f>IF(CreditAmort1BEST[[#This Row],[Month]]=R$8,N$7,0)</f>
        <v>0</v>
      </c>
      <c r="Q249" s="13">
        <f>IF(AND(L249&gt;='Amort. Sched.-BEST'!$R$8, L249&lt;= ($R$7+$R$8)), Q248+O249, 0)</f>
        <v>0</v>
      </c>
      <c r="R249" s="6" t="str">
        <f>IF(AND(L249&gt;='Amort. Sched.-BEST'!$R$8, L249&lt;= ($R$7+$R$8)), N249/M249, " ")</f>
        <v xml:space="preserve"> </v>
      </c>
      <c r="S249" s="21" t="str">
        <f>IF(AND(L249&gt;='Amort. Sched.-BEST'!$R$8, L249&lt;= ($R$7+$R$8)), O249/M249, " ")</f>
        <v xml:space="preserve"> </v>
      </c>
      <c r="U249" s="22">
        <f t="shared" si="53"/>
        <v>238</v>
      </c>
      <c r="V249" s="23">
        <f>IF(AND(U249&gt;='Amort. Sched.-BEST'!$AA$8, U249&lt;= ($AA$7+$AA$8)), PMT('Amort. Sched.-BEST'!$W$8/12, 'Amort. Sched.-BEST'!$AA$7, 'Amort. Sched.-BEST'!$W$7), 0)</f>
        <v>0</v>
      </c>
      <c r="W249" s="5">
        <f>IF(AND(U249&gt;='Amort. Sched.-BEST'!$AA$8, U249&lt;= ($AA$7+$AA$8)), (IPMT($W$8/12, (U249-$AA$8), $AA$7, $W$7)), 0)</f>
        <v>0</v>
      </c>
      <c r="X249" s="23">
        <f>IF(AND(U249&gt;='Amort. Sched.-BEST'!$AA$8, U249&lt;= ($AA$7+$AA$8)), (PPMT($W$8/12, (U249-$AA$8), $AA$7, $W$7)), 0)</f>
        <v>0</v>
      </c>
      <c r="Y249" s="5">
        <f>IF(CreditAmort2BEST[[#This Row],[Month]]=AA$8,W$7,0)</f>
        <v>0</v>
      </c>
      <c r="Z249" s="13">
        <f>IF(AND(U249&gt;='Amort. Sched.-BEST'!$AA$8, U249&lt;= ($AA$7+$AA$8)), Z248+X249, 0)</f>
        <v>0</v>
      </c>
      <c r="AA249" s="24" t="str">
        <f>IF(AND(U249&gt;='Amort. Sched.-BEST'!$AA$8, U249&lt;= ($AA$7+$AA$8)), W249/V249, " ")</f>
        <v xml:space="preserve"> </v>
      </c>
      <c r="AB249" s="25" t="str">
        <f>IF(AND(U249&gt;='Amort. Sched.-BEST'!$AA$8, U249&lt;= ($AA$7+$AA$8)), X249/V249, " ")</f>
        <v xml:space="preserve"> </v>
      </c>
      <c r="AD249" s="22">
        <f t="shared" si="54"/>
        <v>238</v>
      </c>
      <c r="AE249" s="5">
        <f t="shared" si="55"/>
        <v>0</v>
      </c>
      <c r="AF249" s="5">
        <f t="shared" si="56"/>
        <v>0</v>
      </c>
      <c r="AG249" s="5">
        <f t="shared" si="57"/>
        <v>0</v>
      </c>
      <c r="AH249" s="5">
        <f>IF(CreditAmort3BEST[[#This Row],[Month]]=AJ$8,AF$7,0)</f>
        <v>0</v>
      </c>
      <c r="AI249" s="13">
        <f t="shared" si="58"/>
        <v>0</v>
      </c>
      <c r="AJ249" s="6" t="str">
        <f t="shared" si="59"/>
        <v xml:space="preserve"> </v>
      </c>
      <c r="AK249" s="21" t="str">
        <f t="shared" si="60"/>
        <v xml:space="preserve"> </v>
      </c>
      <c r="AM249" s="20">
        <f t="shared" si="61"/>
        <v>238</v>
      </c>
      <c r="AN249" s="5">
        <f t="shared" si="62"/>
        <v>0</v>
      </c>
      <c r="AO249" s="5">
        <f t="shared" si="63"/>
        <v>0</v>
      </c>
      <c r="AP249" s="5">
        <f t="shared" si="64"/>
        <v>0</v>
      </c>
      <c r="AQ249" s="5">
        <f>IF(CreditAmort4BEST[[#This Row],[Month]]=AS$8,AO$7,0)</f>
        <v>0</v>
      </c>
      <c r="AR249" s="13">
        <f t="shared" si="65"/>
        <v>0</v>
      </c>
      <c r="AS249" s="6" t="str">
        <f t="shared" si="66"/>
        <v xml:space="preserve"> </v>
      </c>
      <c r="AT249" s="21" t="str">
        <f t="shared" si="67"/>
        <v xml:space="preserve"> </v>
      </c>
    </row>
    <row r="250" spans="3:46">
      <c r="C250" s="22">
        <f t="shared" si="52"/>
        <v>239</v>
      </c>
      <c r="D250" s="23">
        <f>IF(AND(C250&gt;='Amort. Sched.-BEST'!$I$8, C250&lt;= ($I$7+$I$8)), PMT('Amort. Sched.-BEST'!$E$8/12, 'Amort. Sched.-BEST'!$I$7, 'Amort. Sched.-BEST'!$E$7), 0)</f>
        <v>-1350.6783839027553</v>
      </c>
      <c r="E250" s="5">
        <f>IF(AND(C250&gt;='Amort. Sched.-BEST'!$I$8, C250&lt;= ($I$7+$I$8)), (IPMT($E$8/12, (C250-$I$8), $I$7, $E$7)), 0)</f>
        <v>-456.05699174209974</v>
      </c>
      <c r="F250" s="23">
        <f>IF(AND(C250&gt;='Amort. Sched.-BEST'!$I$8, C250&lt;= ($I$7+$I$8)), (PPMT($E$8/12, (C250-$I$8), $I$7, $E$7)), 0)</f>
        <v>-894.62139216065566</v>
      </c>
      <c r="G250" s="5">
        <f>IF(MortgageAmortBEST[[#This Row],[Month]]=I$8,E$7,0)</f>
        <v>0</v>
      </c>
      <c r="H250" s="13">
        <f>IF(AND(C250&gt;='Amort. Sched.-BEST'!$I$8, C250&lt;= ($I$7+$I$8)), H249+F250, 0)</f>
        <v>67513.927369154291</v>
      </c>
      <c r="I250" s="24">
        <f>IF(AND(C250&gt;='Amort. Sched.-BEST'!$I$8, C250&lt;= ($I$7+$I$8)), E250/D250, " ")</f>
        <v>0.3376503223693661</v>
      </c>
      <c r="J250" s="25">
        <f>IF(AND(C250&gt;='Amort. Sched.-BEST'!$I$8, C250&lt;= ($I$7+$I$8)), F250/D250, " ")</f>
        <v>0.66234967763063402</v>
      </c>
      <c r="L250" s="20">
        <f t="shared" si="51"/>
        <v>239</v>
      </c>
      <c r="M250" s="5">
        <f>IF(AND(L250&gt;='Amort. Sched.-BEST'!$R$8, L250&lt;= ($R$7+$R$8)), PMT('Amort. Sched.-BEST'!$N$8/12, 'Amort. Sched.-BEST'!$R$7, 'Amort. Sched.-BEST'!$N$7), 0)</f>
        <v>0</v>
      </c>
      <c r="N250" s="5">
        <f>IF(AND(L250&gt;='Amort. Sched.-BEST'!$R$8, L250&lt;= ($R$7+$R$8)), (IPMT($N$8/12, (L250-$R$8), $R$7, $N$7)), 0)</f>
        <v>0</v>
      </c>
      <c r="O250" s="5">
        <f>IF(AND(L250&gt;='Amort. Sched.-BEST'!$R$8, L250&lt;= ($R$7+$R$8)), (PPMT($N$8/12, (L250-$R$8), $R$7, $N$7)), 0)</f>
        <v>0</v>
      </c>
      <c r="P250" s="5">
        <f>IF(CreditAmort1BEST[[#This Row],[Month]]=R$8,N$7,0)</f>
        <v>0</v>
      </c>
      <c r="Q250" s="13">
        <f>IF(AND(L250&gt;='Amort. Sched.-BEST'!$R$8, L250&lt;= ($R$7+$R$8)), Q249+O250, 0)</f>
        <v>0</v>
      </c>
      <c r="R250" s="6" t="str">
        <f>IF(AND(L250&gt;='Amort. Sched.-BEST'!$R$8, L250&lt;= ($R$7+$R$8)), N250/M250, " ")</f>
        <v xml:space="preserve"> </v>
      </c>
      <c r="S250" s="21" t="str">
        <f>IF(AND(L250&gt;='Amort. Sched.-BEST'!$R$8, L250&lt;= ($R$7+$R$8)), O250/M250, " ")</f>
        <v xml:space="preserve"> </v>
      </c>
      <c r="U250" s="22">
        <f t="shared" si="53"/>
        <v>239</v>
      </c>
      <c r="V250" s="23">
        <f>IF(AND(U250&gt;='Amort. Sched.-BEST'!$AA$8, U250&lt;= ($AA$7+$AA$8)), PMT('Amort. Sched.-BEST'!$W$8/12, 'Amort. Sched.-BEST'!$AA$7, 'Amort. Sched.-BEST'!$W$7), 0)</f>
        <v>0</v>
      </c>
      <c r="W250" s="5">
        <f>IF(AND(U250&gt;='Amort. Sched.-BEST'!$AA$8, U250&lt;= ($AA$7+$AA$8)), (IPMT($W$8/12, (U250-$AA$8), $AA$7, $W$7)), 0)</f>
        <v>0</v>
      </c>
      <c r="X250" s="23">
        <f>IF(AND(U250&gt;='Amort. Sched.-BEST'!$AA$8, U250&lt;= ($AA$7+$AA$8)), (PPMT($W$8/12, (U250-$AA$8), $AA$7, $W$7)), 0)</f>
        <v>0</v>
      </c>
      <c r="Y250" s="5">
        <f>IF(CreditAmort2BEST[[#This Row],[Month]]=AA$8,W$7,0)</f>
        <v>0</v>
      </c>
      <c r="Z250" s="13">
        <f>IF(AND(U250&gt;='Amort. Sched.-BEST'!$AA$8, U250&lt;= ($AA$7+$AA$8)), Z249+X250, 0)</f>
        <v>0</v>
      </c>
      <c r="AA250" s="24" t="str">
        <f>IF(AND(U250&gt;='Amort. Sched.-BEST'!$AA$8, U250&lt;= ($AA$7+$AA$8)), W250/V250, " ")</f>
        <v xml:space="preserve"> </v>
      </c>
      <c r="AB250" s="25" t="str">
        <f>IF(AND(U250&gt;='Amort. Sched.-BEST'!$AA$8, U250&lt;= ($AA$7+$AA$8)), X250/V250, " ")</f>
        <v xml:space="preserve"> </v>
      </c>
      <c r="AD250" s="22">
        <f t="shared" si="54"/>
        <v>239</v>
      </c>
      <c r="AE250" s="5">
        <f t="shared" si="55"/>
        <v>0</v>
      </c>
      <c r="AF250" s="5">
        <f t="shared" si="56"/>
        <v>0</v>
      </c>
      <c r="AG250" s="5">
        <f t="shared" si="57"/>
        <v>0</v>
      </c>
      <c r="AH250" s="5">
        <f>IF(CreditAmort3BEST[[#This Row],[Month]]=AJ$8,AF$7,0)</f>
        <v>0</v>
      </c>
      <c r="AI250" s="13">
        <f t="shared" si="58"/>
        <v>0</v>
      </c>
      <c r="AJ250" s="6" t="str">
        <f t="shared" si="59"/>
        <v xml:space="preserve"> </v>
      </c>
      <c r="AK250" s="21" t="str">
        <f t="shared" si="60"/>
        <v xml:space="preserve"> </v>
      </c>
      <c r="AM250" s="20">
        <f t="shared" si="61"/>
        <v>239</v>
      </c>
      <c r="AN250" s="5">
        <f t="shared" si="62"/>
        <v>0</v>
      </c>
      <c r="AO250" s="5">
        <f t="shared" si="63"/>
        <v>0</v>
      </c>
      <c r="AP250" s="5">
        <f t="shared" si="64"/>
        <v>0</v>
      </c>
      <c r="AQ250" s="5">
        <f>IF(CreditAmort4BEST[[#This Row],[Month]]=AS$8,AO$7,0)</f>
        <v>0</v>
      </c>
      <c r="AR250" s="13">
        <f t="shared" si="65"/>
        <v>0</v>
      </c>
      <c r="AS250" s="6" t="str">
        <f t="shared" si="66"/>
        <v xml:space="preserve"> </v>
      </c>
      <c r="AT250" s="21" t="str">
        <f t="shared" si="67"/>
        <v xml:space="preserve"> </v>
      </c>
    </row>
    <row r="251" spans="3:46">
      <c r="C251" s="22">
        <f t="shared" si="52"/>
        <v>240</v>
      </c>
      <c r="D251" s="23">
        <f>IF(AND(C251&gt;='Amort. Sched.-BEST'!$I$8, C251&lt;= ($I$7+$I$8)), PMT('Amort. Sched.-BEST'!$E$8/12, 'Amort. Sched.-BEST'!$I$7, 'Amort. Sched.-BEST'!$E$7), 0)</f>
        <v>-1350.6783839027553</v>
      </c>
      <c r="E251" s="5">
        <f>IF(AND(C251&gt;='Amort. Sched.-BEST'!$I$8, C251&lt;= ($I$7+$I$8)), (IPMT($E$8/12, (C251-$I$8), $I$7, $E$7)), 0)</f>
        <v>-450.09284912769539</v>
      </c>
      <c r="F251" s="23">
        <f>IF(AND(C251&gt;='Amort. Sched.-BEST'!$I$8, C251&lt;= ($I$7+$I$8)), (PPMT($E$8/12, (C251-$I$8), $I$7, $E$7)), 0)</f>
        <v>-900.58553477506007</v>
      </c>
      <c r="G251" s="5">
        <f>IF(MortgageAmortBEST[[#This Row],[Month]]=I$8,E$7,0)</f>
        <v>0</v>
      </c>
      <c r="H251" s="13">
        <f>IF(AND(C251&gt;='Amort. Sched.-BEST'!$I$8, C251&lt;= ($I$7+$I$8)), H250+F251, 0)</f>
        <v>66613.341834379229</v>
      </c>
      <c r="I251" s="24">
        <f>IF(AND(C251&gt;='Amort. Sched.-BEST'!$I$8, C251&lt;= ($I$7+$I$8)), E251/D251, " ")</f>
        <v>0.33323465785182854</v>
      </c>
      <c r="J251" s="25">
        <f>IF(AND(C251&gt;='Amort. Sched.-BEST'!$I$8, C251&lt;= ($I$7+$I$8)), F251/D251, " ")</f>
        <v>0.66676534214817162</v>
      </c>
      <c r="L251" s="20">
        <f t="shared" si="51"/>
        <v>240</v>
      </c>
      <c r="M251" s="5">
        <f>IF(AND(L251&gt;='Amort. Sched.-BEST'!$R$8, L251&lt;= ($R$7+$R$8)), PMT('Amort. Sched.-BEST'!$N$8/12, 'Amort. Sched.-BEST'!$R$7, 'Amort. Sched.-BEST'!$N$7), 0)</f>
        <v>0</v>
      </c>
      <c r="N251" s="5">
        <f>IF(AND(L251&gt;='Amort. Sched.-BEST'!$R$8, L251&lt;= ($R$7+$R$8)), (IPMT($N$8/12, (L251-$R$8), $R$7, $N$7)), 0)</f>
        <v>0</v>
      </c>
      <c r="O251" s="5">
        <f>IF(AND(L251&gt;='Amort. Sched.-BEST'!$R$8, L251&lt;= ($R$7+$R$8)), (PPMT($N$8/12, (L251-$R$8), $R$7, $N$7)), 0)</f>
        <v>0</v>
      </c>
      <c r="P251" s="5">
        <f>IF(CreditAmort1BEST[[#This Row],[Month]]=R$8,N$7,0)</f>
        <v>0</v>
      </c>
      <c r="Q251" s="13">
        <f>IF(AND(L251&gt;='Amort. Sched.-BEST'!$R$8, L251&lt;= ($R$7+$R$8)), Q250+O251, 0)</f>
        <v>0</v>
      </c>
      <c r="R251" s="6" t="str">
        <f>IF(AND(L251&gt;='Amort. Sched.-BEST'!$R$8, L251&lt;= ($R$7+$R$8)), N251/M251, " ")</f>
        <v xml:space="preserve"> </v>
      </c>
      <c r="S251" s="21" t="str">
        <f>IF(AND(L251&gt;='Amort. Sched.-BEST'!$R$8, L251&lt;= ($R$7+$R$8)), O251/M251, " ")</f>
        <v xml:space="preserve"> </v>
      </c>
      <c r="U251" s="22">
        <f t="shared" si="53"/>
        <v>240</v>
      </c>
      <c r="V251" s="23">
        <f>IF(AND(U251&gt;='Amort. Sched.-BEST'!$AA$8, U251&lt;= ($AA$7+$AA$8)), PMT('Amort. Sched.-BEST'!$W$8/12, 'Amort. Sched.-BEST'!$AA$7, 'Amort. Sched.-BEST'!$W$7), 0)</f>
        <v>0</v>
      </c>
      <c r="W251" s="5">
        <f>IF(AND(U251&gt;='Amort. Sched.-BEST'!$AA$8, U251&lt;= ($AA$7+$AA$8)), (IPMT($W$8/12, (U251-$AA$8), $AA$7, $W$7)), 0)</f>
        <v>0</v>
      </c>
      <c r="X251" s="23">
        <f>IF(AND(U251&gt;='Amort. Sched.-BEST'!$AA$8, U251&lt;= ($AA$7+$AA$8)), (PPMT($W$8/12, (U251-$AA$8), $AA$7, $W$7)), 0)</f>
        <v>0</v>
      </c>
      <c r="Y251" s="5">
        <f>IF(CreditAmort2BEST[[#This Row],[Month]]=AA$8,W$7,0)</f>
        <v>0</v>
      </c>
      <c r="Z251" s="13">
        <f>IF(AND(U251&gt;='Amort. Sched.-BEST'!$AA$8, U251&lt;= ($AA$7+$AA$8)), Z250+X251, 0)</f>
        <v>0</v>
      </c>
      <c r="AA251" s="24" t="str">
        <f>IF(AND(U251&gt;='Amort. Sched.-BEST'!$AA$8, U251&lt;= ($AA$7+$AA$8)), W251/V251, " ")</f>
        <v xml:space="preserve"> </v>
      </c>
      <c r="AB251" s="25" t="str">
        <f>IF(AND(U251&gt;='Amort. Sched.-BEST'!$AA$8, U251&lt;= ($AA$7+$AA$8)), X251/V251, " ")</f>
        <v xml:space="preserve"> </v>
      </c>
      <c r="AD251" s="22">
        <f t="shared" si="54"/>
        <v>240</v>
      </c>
      <c r="AE251" s="5">
        <f t="shared" si="55"/>
        <v>0</v>
      </c>
      <c r="AF251" s="5">
        <f t="shared" si="56"/>
        <v>0</v>
      </c>
      <c r="AG251" s="5">
        <f t="shared" si="57"/>
        <v>0</v>
      </c>
      <c r="AH251" s="5">
        <f>IF(CreditAmort3BEST[[#This Row],[Month]]=AJ$8,AF$7,0)</f>
        <v>0</v>
      </c>
      <c r="AI251" s="13">
        <f t="shared" si="58"/>
        <v>0</v>
      </c>
      <c r="AJ251" s="6" t="str">
        <f t="shared" si="59"/>
        <v xml:space="preserve"> </v>
      </c>
      <c r="AK251" s="21" t="str">
        <f t="shared" si="60"/>
        <v xml:space="preserve"> </v>
      </c>
      <c r="AM251" s="20">
        <f t="shared" si="61"/>
        <v>240</v>
      </c>
      <c r="AN251" s="5">
        <f t="shared" si="62"/>
        <v>0</v>
      </c>
      <c r="AO251" s="5">
        <f t="shared" si="63"/>
        <v>0</v>
      </c>
      <c r="AP251" s="5">
        <f t="shared" si="64"/>
        <v>0</v>
      </c>
      <c r="AQ251" s="5">
        <f>IF(CreditAmort4BEST[[#This Row],[Month]]=AS$8,AO$7,0)</f>
        <v>0</v>
      </c>
      <c r="AR251" s="13">
        <f t="shared" si="65"/>
        <v>0</v>
      </c>
      <c r="AS251" s="6" t="str">
        <f t="shared" si="66"/>
        <v xml:space="preserve"> </v>
      </c>
      <c r="AT251" s="21" t="str">
        <f t="shared" si="67"/>
        <v xml:space="preserve"> </v>
      </c>
    </row>
    <row r="252" spans="3:46">
      <c r="C252" s="22">
        <f t="shared" si="52"/>
        <v>241</v>
      </c>
      <c r="D252" s="23">
        <f>IF(AND(C252&gt;='Amort. Sched.-BEST'!$I$8, C252&lt;= ($I$7+$I$8)), PMT('Amort. Sched.-BEST'!$E$8/12, 'Amort. Sched.-BEST'!$I$7, 'Amort. Sched.-BEST'!$E$7), 0)</f>
        <v>-1350.6783839027553</v>
      </c>
      <c r="E252" s="5">
        <f>IF(AND(C252&gt;='Amort. Sched.-BEST'!$I$8, C252&lt;= ($I$7+$I$8)), (IPMT($E$8/12, (C252-$I$8), $I$7, $E$7)), 0)</f>
        <v>-444.08894556252829</v>
      </c>
      <c r="F252" s="23">
        <f>IF(AND(C252&gt;='Amort. Sched.-BEST'!$I$8, C252&lt;= ($I$7+$I$8)), (PPMT($E$8/12, (C252-$I$8), $I$7, $E$7)), 0)</f>
        <v>-906.58943834022705</v>
      </c>
      <c r="G252" s="5">
        <f>IF(MortgageAmortBEST[[#This Row],[Month]]=I$8,E$7,0)</f>
        <v>0</v>
      </c>
      <c r="H252" s="13">
        <f>IF(AND(C252&gt;='Amort. Sched.-BEST'!$I$8, C252&lt;= ($I$7+$I$8)), H251+F252, 0)</f>
        <v>65706.752396038995</v>
      </c>
      <c r="I252" s="24">
        <f>IF(AND(C252&gt;='Amort. Sched.-BEST'!$I$8, C252&lt;= ($I$7+$I$8)), E252/D252, " ")</f>
        <v>0.32878955557084072</v>
      </c>
      <c r="J252" s="25">
        <f>IF(AND(C252&gt;='Amort. Sched.-BEST'!$I$8, C252&lt;= ($I$7+$I$8)), F252/D252, " ")</f>
        <v>0.67121044442915934</v>
      </c>
      <c r="L252" s="20">
        <f t="shared" si="51"/>
        <v>241</v>
      </c>
      <c r="M252" s="5">
        <f>IF(AND(L252&gt;='Amort. Sched.-BEST'!$R$8, L252&lt;= ($R$7+$R$8)), PMT('Amort. Sched.-BEST'!$N$8/12, 'Amort. Sched.-BEST'!$R$7, 'Amort. Sched.-BEST'!$N$7), 0)</f>
        <v>0</v>
      </c>
      <c r="N252" s="5">
        <f>IF(AND(L252&gt;='Amort. Sched.-BEST'!$R$8, L252&lt;= ($R$7+$R$8)), (IPMT($N$8/12, (L252-$R$8), $R$7, $N$7)), 0)</f>
        <v>0</v>
      </c>
      <c r="O252" s="5">
        <f>IF(AND(L252&gt;='Amort. Sched.-BEST'!$R$8, L252&lt;= ($R$7+$R$8)), (PPMT($N$8/12, (L252-$R$8), $R$7, $N$7)), 0)</f>
        <v>0</v>
      </c>
      <c r="P252" s="5">
        <f>IF(CreditAmort1BEST[[#This Row],[Month]]=R$8,N$7,0)</f>
        <v>0</v>
      </c>
      <c r="Q252" s="13">
        <f>IF(AND(L252&gt;='Amort. Sched.-BEST'!$R$8, L252&lt;= ($R$7+$R$8)), Q251+O252, 0)</f>
        <v>0</v>
      </c>
      <c r="R252" s="6" t="str">
        <f>IF(AND(L252&gt;='Amort. Sched.-BEST'!$R$8, L252&lt;= ($R$7+$R$8)), N252/M252, " ")</f>
        <v xml:space="preserve"> </v>
      </c>
      <c r="S252" s="21" t="str">
        <f>IF(AND(L252&gt;='Amort. Sched.-BEST'!$R$8, L252&lt;= ($R$7+$R$8)), O252/M252, " ")</f>
        <v xml:space="preserve"> </v>
      </c>
      <c r="U252" s="22">
        <f t="shared" si="53"/>
        <v>241</v>
      </c>
      <c r="V252" s="23">
        <f>IF(AND(U252&gt;='Amort. Sched.-BEST'!$AA$8, U252&lt;= ($AA$7+$AA$8)), PMT('Amort. Sched.-BEST'!$W$8/12, 'Amort. Sched.-BEST'!$AA$7, 'Amort. Sched.-BEST'!$W$7), 0)</f>
        <v>0</v>
      </c>
      <c r="W252" s="5">
        <f>IF(AND(U252&gt;='Amort. Sched.-BEST'!$AA$8, U252&lt;= ($AA$7+$AA$8)), (IPMT($W$8/12, (U252-$AA$8), $AA$7, $W$7)), 0)</f>
        <v>0</v>
      </c>
      <c r="X252" s="23">
        <f>IF(AND(U252&gt;='Amort. Sched.-BEST'!$AA$8, U252&lt;= ($AA$7+$AA$8)), (PPMT($W$8/12, (U252-$AA$8), $AA$7, $W$7)), 0)</f>
        <v>0</v>
      </c>
      <c r="Y252" s="5">
        <f>IF(CreditAmort2BEST[[#This Row],[Month]]=AA$8,W$7,0)</f>
        <v>0</v>
      </c>
      <c r="Z252" s="13">
        <f>IF(AND(U252&gt;='Amort. Sched.-BEST'!$AA$8, U252&lt;= ($AA$7+$AA$8)), Z251+X252, 0)</f>
        <v>0</v>
      </c>
      <c r="AA252" s="24" t="str">
        <f>IF(AND(U252&gt;='Amort. Sched.-BEST'!$AA$8, U252&lt;= ($AA$7+$AA$8)), W252/V252, " ")</f>
        <v xml:space="preserve"> </v>
      </c>
      <c r="AB252" s="25" t="str">
        <f>IF(AND(U252&gt;='Amort. Sched.-BEST'!$AA$8, U252&lt;= ($AA$7+$AA$8)), X252/V252, " ")</f>
        <v xml:space="preserve"> </v>
      </c>
      <c r="AD252" s="22">
        <f t="shared" si="54"/>
        <v>241</v>
      </c>
      <c r="AE252" s="5">
        <f t="shared" si="55"/>
        <v>0</v>
      </c>
      <c r="AF252" s="5">
        <f t="shared" si="56"/>
        <v>0</v>
      </c>
      <c r="AG252" s="5">
        <f t="shared" si="57"/>
        <v>0</v>
      </c>
      <c r="AH252" s="5">
        <f>IF(CreditAmort3BEST[[#This Row],[Month]]=AJ$8,AF$7,0)</f>
        <v>0</v>
      </c>
      <c r="AI252" s="13">
        <f t="shared" si="58"/>
        <v>0</v>
      </c>
      <c r="AJ252" s="6" t="str">
        <f t="shared" si="59"/>
        <v xml:space="preserve"> </v>
      </c>
      <c r="AK252" s="21" t="str">
        <f t="shared" si="60"/>
        <v xml:space="preserve"> </v>
      </c>
      <c r="AM252" s="20">
        <f t="shared" si="61"/>
        <v>241</v>
      </c>
      <c r="AN252" s="5">
        <f t="shared" si="62"/>
        <v>0</v>
      </c>
      <c r="AO252" s="5">
        <f t="shared" si="63"/>
        <v>0</v>
      </c>
      <c r="AP252" s="5">
        <f t="shared" si="64"/>
        <v>0</v>
      </c>
      <c r="AQ252" s="5">
        <f>IF(CreditAmort4BEST[[#This Row],[Month]]=AS$8,AO$7,0)</f>
        <v>0</v>
      </c>
      <c r="AR252" s="13">
        <f t="shared" si="65"/>
        <v>0</v>
      </c>
      <c r="AS252" s="6" t="str">
        <f t="shared" si="66"/>
        <v xml:space="preserve"> </v>
      </c>
      <c r="AT252" s="21" t="str">
        <f t="shared" si="67"/>
        <v xml:space="preserve"> </v>
      </c>
    </row>
    <row r="253" spans="3:46">
      <c r="C253" s="22">
        <f t="shared" si="52"/>
        <v>242</v>
      </c>
      <c r="D253" s="23">
        <f>IF(AND(C253&gt;='Amort. Sched.-BEST'!$I$8, C253&lt;= ($I$7+$I$8)), PMT('Amort. Sched.-BEST'!$E$8/12, 'Amort. Sched.-BEST'!$I$7, 'Amort. Sched.-BEST'!$E$7), 0)</f>
        <v>-1350.6783839027553</v>
      </c>
      <c r="E253" s="5">
        <f>IF(AND(C253&gt;='Amort. Sched.-BEST'!$I$8, C253&lt;= ($I$7+$I$8)), (IPMT($E$8/12, (C253-$I$8), $I$7, $E$7)), 0)</f>
        <v>-438.04501597359342</v>
      </c>
      <c r="F253" s="23">
        <f>IF(AND(C253&gt;='Amort. Sched.-BEST'!$I$8, C253&lt;= ($I$7+$I$8)), (PPMT($E$8/12, (C253-$I$8), $I$7, $E$7)), 0)</f>
        <v>-912.63336792916186</v>
      </c>
      <c r="G253" s="5">
        <f>IF(MortgageAmortBEST[[#This Row],[Month]]=I$8,E$7,0)</f>
        <v>0</v>
      </c>
      <c r="H253" s="13">
        <f>IF(AND(C253&gt;='Amort. Sched.-BEST'!$I$8, C253&lt;= ($I$7+$I$8)), H252+F253, 0)</f>
        <v>64794.119028109832</v>
      </c>
      <c r="I253" s="24">
        <f>IF(AND(C253&gt;='Amort. Sched.-BEST'!$I$8, C253&lt;= ($I$7+$I$8)), E253/D253, " ")</f>
        <v>0.32431481927464628</v>
      </c>
      <c r="J253" s="25">
        <f>IF(AND(C253&gt;='Amort. Sched.-BEST'!$I$8, C253&lt;= ($I$7+$I$8)), F253/D253, " ")</f>
        <v>0.67568518072535366</v>
      </c>
      <c r="L253" s="20">
        <f t="shared" si="51"/>
        <v>242</v>
      </c>
      <c r="M253" s="5">
        <f>IF(AND(L253&gt;='Amort. Sched.-BEST'!$R$8, L253&lt;= ($R$7+$R$8)), PMT('Amort. Sched.-BEST'!$N$8/12, 'Amort. Sched.-BEST'!$R$7, 'Amort. Sched.-BEST'!$N$7), 0)</f>
        <v>0</v>
      </c>
      <c r="N253" s="5">
        <f>IF(AND(L253&gt;='Amort. Sched.-BEST'!$R$8, L253&lt;= ($R$7+$R$8)), (IPMT($N$8/12, (L253-$R$8), $R$7, $N$7)), 0)</f>
        <v>0</v>
      </c>
      <c r="O253" s="5">
        <f>IF(AND(L253&gt;='Amort. Sched.-BEST'!$R$8, L253&lt;= ($R$7+$R$8)), (PPMT($N$8/12, (L253-$R$8), $R$7, $N$7)), 0)</f>
        <v>0</v>
      </c>
      <c r="P253" s="5">
        <f>IF(CreditAmort1BEST[[#This Row],[Month]]=R$8,N$7,0)</f>
        <v>0</v>
      </c>
      <c r="Q253" s="13">
        <f>IF(AND(L253&gt;='Amort. Sched.-BEST'!$R$8, L253&lt;= ($R$7+$R$8)), Q252+O253, 0)</f>
        <v>0</v>
      </c>
      <c r="R253" s="6" t="str">
        <f>IF(AND(L253&gt;='Amort. Sched.-BEST'!$R$8, L253&lt;= ($R$7+$R$8)), N253/M253, " ")</f>
        <v xml:space="preserve"> </v>
      </c>
      <c r="S253" s="21" t="str">
        <f>IF(AND(L253&gt;='Amort. Sched.-BEST'!$R$8, L253&lt;= ($R$7+$R$8)), O253/M253, " ")</f>
        <v xml:space="preserve"> </v>
      </c>
      <c r="U253" s="22">
        <f t="shared" si="53"/>
        <v>242</v>
      </c>
      <c r="V253" s="23">
        <f>IF(AND(U253&gt;='Amort. Sched.-BEST'!$AA$8, U253&lt;= ($AA$7+$AA$8)), PMT('Amort. Sched.-BEST'!$W$8/12, 'Amort. Sched.-BEST'!$AA$7, 'Amort. Sched.-BEST'!$W$7), 0)</f>
        <v>0</v>
      </c>
      <c r="W253" s="5">
        <f>IF(AND(U253&gt;='Amort. Sched.-BEST'!$AA$8, U253&lt;= ($AA$7+$AA$8)), (IPMT($W$8/12, (U253-$AA$8), $AA$7, $W$7)), 0)</f>
        <v>0</v>
      </c>
      <c r="X253" s="23">
        <f>IF(AND(U253&gt;='Amort. Sched.-BEST'!$AA$8, U253&lt;= ($AA$7+$AA$8)), (PPMT($W$8/12, (U253-$AA$8), $AA$7, $W$7)), 0)</f>
        <v>0</v>
      </c>
      <c r="Y253" s="5">
        <f>IF(CreditAmort2BEST[[#This Row],[Month]]=AA$8,W$7,0)</f>
        <v>0</v>
      </c>
      <c r="Z253" s="13">
        <f>IF(AND(U253&gt;='Amort. Sched.-BEST'!$AA$8, U253&lt;= ($AA$7+$AA$8)), Z252+X253, 0)</f>
        <v>0</v>
      </c>
      <c r="AA253" s="24" t="str">
        <f>IF(AND(U253&gt;='Amort. Sched.-BEST'!$AA$8, U253&lt;= ($AA$7+$AA$8)), W253/V253, " ")</f>
        <v xml:space="preserve"> </v>
      </c>
      <c r="AB253" s="25" t="str">
        <f>IF(AND(U253&gt;='Amort. Sched.-BEST'!$AA$8, U253&lt;= ($AA$7+$AA$8)), X253/V253, " ")</f>
        <v xml:space="preserve"> </v>
      </c>
      <c r="AD253" s="22">
        <f t="shared" si="54"/>
        <v>242</v>
      </c>
      <c r="AE253" s="5">
        <f t="shared" si="55"/>
        <v>0</v>
      </c>
      <c r="AF253" s="5">
        <f t="shared" si="56"/>
        <v>0</v>
      </c>
      <c r="AG253" s="5">
        <f t="shared" si="57"/>
        <v>0</v>
      </c>
      <c r="AH253" s="5">
        <f>IF(CreditAmort3BEST[[#This Row],[Month]]=AJ$8,AF$7,0)</f>
        <v>0</v>
      </c>
      <c r="AI253" s="13">
        <f t="shared" si="58"/>
        <v>0</v>
      </c>
      <c r="AJ253" s="6" t="str">
        <f t="shared" si="59"/>
        <v xml:space="preserve"> </v>
      </c>
      <c r="AK253" s="21" t="str">
        <f t="shared" si="60"/>
        <v xml:space="preserve"> </v>
      </c>
      <c r="AM253" s="20">
        <f t="shared" si="61"/>
        <v>242</v>
      </c>
      <c r="AN253" s="5">
        <f t="shared" si="62"/>
        <v>0</v>
      </c>
      <c r="AO253" s="5">
        <f t="shared" si="63"/>
        <v>0</v>
      </c>
      <c r="AP253" s="5">
        <f t="shared" si="64"/>
        <v>0</v>
      </c>
      <c r="AQ253" s="5">
        <f>IF(CreditAmort4BEST[[#This Row],[Month]]=AS$8,AO$7,0)</f>
        <v>0</v>
      </c>
      <c r="AR253" s="13">
        <f t="shared" si="65"/>
        <v>0</v>
      </c>
      <c r="AS253" s="6" t="str">
        <f t="shared" si="66"/>
        <v xml:space="preserve"> </v>
      </c>
      <c r="AT253" s="21" t="str">
        <f t="shared" si="67"/>
        <v xml:space="preserve"> </v>
      </c>
    </row>
    <row r="254" spans="3:46">
      <c r="C254" s="22">
        <f t="shared" si="52"/>
        <v>243</v>
      </c>
      <c r="D254" s="23">
        <f>IF(AND(C254&gt;='Amort. Sched.-BEST'!$I$8, C254&lt;= ($I$7+$I$8)), PMT('Amort. Sched.-BEST'!$E$8/12, 'Amort. Sched.-BEST'!$I$7, 'Amort. Sched.-BEST'!$E$7), 0)</f>
        <v>-1350.6783839027553</v>
      </c>
      <c r="E254" s="5">
        <f>IF(AND(C254&gt;='Amort. Sched.-BEST'!$I$8, C254&lt;= ($I$7+$I$8)), (IPMT($E$8/12, (C254-$I$8), $I$7, $E$7)), 0)</f>
        <v>-431.96079352073241</v>
      </c>
      <c r="F254" s="23">
        <f>IF(AND(C254&gt;='Amort. Sched.-BEST'!$I$8, C254&lt;= ($I$7+$I$8)), (PPMT($E$8/12, (C254-$I$8), $I$7, $E$7)), 0)</f>
        <v>-918.71759038202299</v>
      </c>
      <c r="G254" s="5">
        <f>IF(MortgageAmortBEST[[#This Row],[Month]]=I$8,E$7,0)</f>
        <v>0</v>
      </c>
      <c r="H254" s="13">
        <f>IF(AND(C254&gt;='Amort. Sched.-BEST'!$I$8, C254&lt;= ($I$7+$I$8)), H253+F254, 0)</f>
        <v>63875.401437727807</v>
      </c>
      <c r="I254" s="24">
        <f>IF(AND(C254&gt;='Amort. Sched.-BEST'!$I$8, C254&lt;= ($I$7+$I$8)), E254/D254, " ")</f>
        <v>0.31981025140314401</v>
      </c>
      <c r="J254" s="25">
        <f>IF(AND(C254&gt;='Amort. Sched.-BEST'!$I$8, C254&lt;= ($I$7+$I$8)), F254/D254, " ")</f>
        <v>0.6801897485968561</v>
      </c>
      <c r="L254" s="20">
        <f t="shared" si="51"/>
        <v>243</v>
      </c>
      <c r="M254" s="5">
        <f>IF(AND(L254&gt;='Amort. Sched.-BEST'!$R$8, L254&lt;= ($R$7+$R$8)), PMT('Amort. Sched.-BEST'!$N$8/12, 'Amort. Sched.-BEST'!$R$7, 'Amort. Sched.-BEST'!$N$7), 0)</f>
        <v>0</v>
      </c>
      <c r="N254" s="5">
        <f>IF(AND(L254&gt;='Amort. Sched.-BEST'!$R$8, L254&lt;= ($R$7+$R$8)), (IPMT($N$8/12, (L254-$R$8), $R$7, $N$7)), 0)</f>
        <v>0</v>
      </c>
      <c r="O254" s="5">
        <f>IF(AND(L254&gt;='Amort. Sched.-BEST'!$R$8, L254&lt;= ($R$7+$R$8)), (PPMT($N$8/12, (L254-$R$8), $R$7, $N$7)), 0)</f>
        <v>0</v>
      </c>
      <c r="P254" s="5">
        <f>IF(CreditAmort1BEST[[#This Row],[Month]]=R$8,N$7,0)</f>
        <v>0</v>
      </c>
      <c r="Q254" s="13">
        <f>IF(AND(L254&gt;='Amort. Sched.-BEST'!$R$8, L254&lt;= ($R$7+$R$8)), Q253+O254, 0)</f>
        <v>0</v>
      </c>
      <c r="R254" s="6" t="str">
        <f>IF(AND(L254&gt;='Amort. Sched.-BEST'!$R$8, L254&lt;= ($R$7+$R$8)), N254/M254, " ")</f>
        <v xml:space="preserve"> </v>
      </c>
      <c r="S254" s="21" t="str">
        <f>IF(AND(L254&gt;='Amort. Sched.-BEST'!$R$8, L254&lt;= ($R$7+$R$8)), O254/M254, " ")</f>
        <v xml:space="preserve"> </v>
      </c>
      <c r="U254" s="22">
        <f t="shared" si="53"/>
        <v>243</v>
      </c>
      <c r="V254" s="23">
        <f>IF(AND(U254&gt;='Amort. Sched.-BEST'!$AA$8, U254&lt;= ($AA$7+$AA$8)), PMT('Amort. Sched.-BEST'!$W$8/12, 'Amort. Sched.-BEST'!$AA$7, 'Amort. Sched.-BEST'!$W$7), 0)</f>
        <v>0</v>
      </c>
      <c r="W254" s="5">
        <f>IF(AND(U254&gt;='Amort. Sched.-BEST'!$AA$8, U254&lt;= ($AA$7+$AA$8)), (IPMT($W$8/12, (U254-$AA$8), $AA$7, $W$7)), 0)</f>
        <v>0</v>
      </c>
      <c r="X254" s="23">
        <f>IF(AND(U254&gt;='Amort. Sched.-BEST'!$AA$8, U254&lt;= ($AA$7+$AA$8)), (PPMT($W$8/12, (U254-$AA$8), $AA$7, $W$7)), 0)</f>
        <v>0</v>
      </c>
      <c r="Y254" s="5">
        <f>IF(CreditAmort2BEST[[#This Row],[Month]]=AA$8,W$7,0)</f>
        <v>0</v>
      </c>
      <c r="Z254" s="13">
        <f>IF(AND(U254&gt;='Amort. Sched.-BEST'!$AA$8, U254&lt;= ($AA$7+$AA$8)), Z253+X254, 0)</f>
        <v>0</v>
      </c>
      <c r="AA254" s="24" t="str">
        <f>IF(AND(U254&gt;='Amort. Sched.-BEST'!$AA$8, U254&lt;= ($AA$7+$AA$8)), W254/V254, " ")</f>
        <v xml:space="preserve"> </v>
      </c>
      <c r="AB254" s="25" t="str">
        <f>IF(AND(U254&gt;='Amort. Sched.-BEST'!$AA$8, U254&lt;= ($AA$7+$AA$8)), X254/V254, " ")</f>
        <v xml:space="preserve"> </v>
      </c>
      <c r="AD254" s="22">
        <f t="shared" si="54"/>
        <v>243</v>
      </c>
      <c r="AE254" s="5">
        <f t="shared" si="55"/>
        <v>0</v>
      </c>
      <c r="AF254" s="5">
        <f t="shared" si="56"/>
        <v>0</v>
      </c>
      <c r="AG254" s="5">
        <f t="shared" si="57"/>
        <v>0</v>
      </c>
      <c r="AH254" s="5">
        <f>IF(CreditAmort3BEST[[#This Row],[Month]]=AJ$8,AF$7,0)</f>
        <v>0</v>
      </c>
      <c r="AI254" s="13">
        <f t="shared" si="58"/>
        <v>0</v>
      </c>
      <c r="AJ254" s="6" t="str">
        <f t="shared" si="59"/>
        <v xml:space="preserve"> </v>
      </c>
      <c r="AK254" s="21" t="str">
        <f t="shared" si="60"/>
        <v xml:space="preserve"> </v>
      </c>
      <c r="AM254" s="20">
        <f t="shared" si="61"/>
        <v>243</v>
      </c>
      <c r="AN254" s="5">
        <f t="shared" si="62"/>
        <v>0</v>
      </c>
      <c r="AO254" s="5">
        <f t="shared" si="63"/>
        <v>0</v>
      </c>
      <c r="AP254" s="5">
        <f t="shared" si="64"/>
        <v>0</v>
      </c>
      <c r="AQ254" s="5">
        <f>IF(CreditAmort4BEST[[#This Row],[Month]]=AS$8,AO$7,0)</f>
        <v>0</v>
      </c>
      <c r="AR254" s="13">
        <f t="shared" si="65"/>
        <v>0</v>
      </c>
      <c r="AS254" s="6" t="str">
        <f t="shared" si="66"/>
        <v xml:space="preserve"> </v>
      </c>
      <c r="AT254" s="21" t="str">
        <f t="shared" si="67"/>
        <v xml:space="preserve"> </v>
      </c>
    </row>
    <row r="255" spans="3:46">
      <c r="C255" s="22">
        <f t="shared" si="52"/>
        <v>244</v>
      </c>
      <c r="D255" s="23">
        <f>IF(AND(C255&gt;='Amort. Sched.-BEST'!$I$8, C255&lt;= ($I$7+$I$8)), PMT('Amort. Sched.-BEST'!$E$8/12, 'Amort. Sched.-BEST'!$I$7, 'Amort. Sched.-BEST'!$E$7), 0)</f>
        <v>-1350.6783839027553</v>
      </c>
      <c r="E255" s="5">
        <f>IF(AND(C255&gt;='Amort. Sched.-BEST'!$I$8, C255&lt;= ($I$7+$I$8)), (IPMT($E$8/12, (C255-$I$8), $I$7, $E$7)), 0)</f>
        <v>-425.83600958485215</v>
      </c>
      <c r="F255" s="23">
        <f>IF(AND(C255&gt;='Amort. Sched.-BEST'!$I$8, C255&lt;= ($I$7+$I$8)), (PPMT($E$8/12, (C255-$I$8), $I$7, $E$7)), 0)</f>
        <v>-924.84237431790314</v>
      </c>
      <c r="G255" s="5">
        <f>IF(MortgageAmortBEST[[#This Row],[Month]]=I$8,E$7,0)</f>
        <v>0</v>
      </c>
      <c r="H255" s="13">
        <f>IF(AND(C255&gt;='Amort. Sched.-BEST'!$I$8, C255&lt;= ($I$7+$I$8)), H254+F255, 0)</f>
        <v>62950.559063409906</v>
      </c>
      <c r="I255" s="24">
        <f>IF(AND(C255&gt;='Amort. Sched.-BEST'!$I$8, C255&lt;= ($I$7+$I$8)), E255/D255, " ")</f>
        <v>0.31527565307916489</v>
      </c>
      <c r="J255" s="25">
        <f>IF(AND(C255&gt;='Amort. Sched.-BEST'!$I$8, C255&lt;= ($I$7+$I$8)), F255/D255, " ")</f>
        <v>0.68472434692083517</v>
      </c>
      <c r="L255" s="20">
        <f t="shared" si="51"/>
        <v>244</v>
      </c>
      <c r="M255" s="5">
        <f>IF(AND(L255&gt;='Amort. Sched.-BEST'!$R$8, L255&lt;= ($R$7+$R$8)), PMT('Amort. Sched.-BEST'!$N$8/12, 'Amort. Sched.-BEST'!$R$7, 'Amort. Sched.-BEST'!$N$7), 0)</f>
        <v>0</v>
      </c>
      <c r="N255" s="5">
        <f>IF(AND(L255&gt;='Amort. Sched.-BEST'!$R$8, L255&lt;= ($R$7+$R$8)), (IPMT($N$8/12, (L255-$R$8), $R$7, $N$7)), 0)</f>
        <v>0</v>
      </c>
      <c r="O255" s="5">
        <f>IF(AND(L255&gt;='Amort. Sched.-BEST'!$R$8, L255&lt;= ($R$7+$R$8)), (PPMT($N$8/12, (L255-$R$8), $R$7, $N$7)), 0)</f>
        <v>0</v>
      </c>
      <c r="P255" s="5">
        <f>IF(CreditAmort1BEST[[#This Row],[Month]]=R$8,N$7,0)</f>
        <v>0</v>
      </c>
      <c r="Q255" s="13">
        <f>IF(AND(L255&gt;='Amort. Sched.-BEST'!$R$8, L255&lt;= ($R$7+$R$8)), Q254+O255, 0)</f>
        <v>0</v>
      </c>
      <c r="R255" s="6" t="str">
        <f>IF(AND(L255&gt;='Amort. Sched.-BEST'!$R$8, L255&lt;= ($R$7+$R$8)), N255/M255, " ")</f>
        <v xml:space="preserve"> </v>
      </c>
      <c r="S255" s="21" t="str">
        <f>IF(AND(L255&gt;='Amort. Sched.-BEST'!$R$8, L255&lt;= ($R$7+$R$8)), O255/M255, " ")</f>
        <v xml:space="preserve"> </v>
      </c>
      <c r="U255" s="22">
        <f t="shared" si="53"/>
        <v>244</v>
      </c>
      <c r="V255" s="23">
        <f>IF(AND(U255&gt;='Amort. Sched.-BEST'!$AA$8, U255&lt;= ($AA$7+$AA$8)), PMT('Amort. Sched.-BEST'!$W$8/12, 'Amort. Sched.-BEST'!$AA$7, 'Amort. Sched.-BEST'!$W$7), 0)</f>
        <v>0</v>
      </c>
      <c r="W255" s="5">
        <f>IF(AND(U255&gt;='Amort. Sched.-BEST'!$AA$8, U255&lt;= ($AA$7+$AA$8)), (IPMT($W$8/12, (U255-$AA$8), $AA$7, $W$7)), 0)</f>
        <v>0</v>
      </c>
      <c r="X255" s="23">
        <f>IF(AND(U255&gt;='Amort. Sched.-BEST'!$AA$8, U255&lt;= ($AA$7+$AA$8)), (PPMT($W$8/12, (U255-$AA$8), $AA$7, $W$7)), 0)</f>
        <v>0</v>
      </c>
      <c r="Y255" s="5">
        <f>IF(CreditAmort2BEST[[#This Row],[Month]]=AA$8,W$7,0)</f>
        <v>0</v>
      </c>
      <c r="Z255" s="13">
        <f>IF(AND(U255&gt;='Amort. Sched.-BEST'!$AA$8, U255&lt;= ($AA$7+$AA$8)), Z254+X255, 0)</f>
        <v>0</v>
      </c>
      <c r="AA255" s="24" t="str">
        <f>IF(AND(U255&gt;='Amort. Sched.-BEST'!$AA$8, U255&lt;= ($AA$7+$AA$8)), W255/V255, " ")</f>
        <v xml:space="preserve"> </v>
      </c>
      <c r="AB255" s="25" t="str">
        <f>IF(AND(U255&gt;='Amort. Sched.-BEST'!$AA$8, U255&lt;= ($AA$7+$AA$8)), X255/V255, " ")</f>
        <v xml:space="preserve"> </v>
      </c>
      <c r="AD255" s="22">
        <f t="shared" si="54"/>
        <v>244</v>
      </c>
      <c r="AE255" s="5">
        <f t="shared" si="55"/>
        <v>0</v>
      </c>
      <c r="AF255" s="5">
        <f t="shared" si="56"/>
        <v>0</v>
      </c>
      <c r="AG255" s="5">
        <f t="shared" si="57"/>
        <v>0</v>
      </c>
      <c r="AH255" s="5">
        <f>IF(CreditAmort3BEST[[#This Row],[Month]]=AJ$8,AF$7,0)</f>
        <v>0</v>
      </c>
      <c r="AI255" s="13">
        <f t="shared" si="58"/>
        <v>0</v>
      </c>
      <c r="AJ255" s="6" t="str">
        <f t="shared" si="59"/>
        <v xml:space="preserve"> </v>
      </c>
      <c r="AK255" s="21" t="str">
        <f t="shared" si="60"/>
        <v xml:space="preserve"> </v>
      </c>
      <c r="AM255" s="20">
        <f t="shared" si="61"/>
        <v>244</v>
      </c>
      <c r="AN255" s="5">
        <f t="shared" si="62"/>
        <v>0</v>
      </c>
      <c r="AO255" s="5">
        <f t="shared" si="63"/>
        <v>0</v>
      </c>
      <c r="AP255" s="5">
        <f t="shared" si="64"/>
        <v>0</v>
      </c>
      <c r="AQ255" s="5">
        <f>IF(CreditAmort4BEST[[#This Row],[Month]]=AS$8,AO$7,0)</f>
        <v>0</v>
      </c>
      <c r="AR255" s="13">
        <f t="shared" si="65"/>
        <v>0</v>
      </c>
      <c r="AS255" s="6" t="str">
        <f t="shared" si="66"/>
        <v xml:space="preserve"> </v>
      </c>
      <c r="AT255" s="21" t="str">
        <f t="shared" si="67"/>
        <v xml:space="preserve"> </v>
      </c>
    </row>
    <row r="256" spans="3:46">
      <c r="C256" s="22">
        <f t="shared" si="52"/>
        <v>245</v>
      </c>
      <c r="D256" s="23">
        <f>IF(AND(C256&gt;='Amort. Sched.-BEST'!$I$8, C256&lt;= ($I$7+$I$8)), PMT('Amort. Sched.-BEST'!$E$8/12, 'Amort. Sched.-BEST'!$I$7, 'Amort. Sched.-BEST'!$E$7), 0)</f>
        <v>-1350.6783839027553</v>
      </c>
      <c r="E256" s="5">
        <f>IF(AND(C256&gt;='Amort. Sched.-BEST'!$I$8, C256&lt;= ($I$7+$I$8)), (IPMT($E$8/12, (C256-$I$8), $I$7, $E$7)), 0)</f>
        <v>-419.67039375606618</v>
      </c>
      <c r="F256" s="23">
        <f>IF(AND(C256&gt;='Amort. Sched.-BEST'!$I$8, C256&lt;= ($I$7+$I$8)), (PPMT($E$8/12, (C256-$I$8), $I$7, $E$7)), 0)</f>
        <v>-931.00799014668917</v>
      </c>
      <c r="G256" s="5">
        <f>IF(MortgageAmortBEST[[#This Row],[Month]]=I$8,E$7,0)</f>
        <v>0</v>
      </c>
      <c r="H256" s="13">
        <f>IF(AND(C256&gt;='Amort. Sched.-BEST'!$I$8, C256&lt;= ($I$7+$I$8)), H255+F256, 0)</f>
        <v>62019.551073263217</v>
      </c>
      <c r="I256" s="24">
        <f>IF(AND(C256&gt;='Amort. Sched.-BEST'!$I$8, C256&lt;= ($I$7+$I$8)), E256/D256, " ")</f>
        <v>0.3107108240996927</v>
      </c>
      <c r="J256" s="25">
        <f>IF(AND(C256&gt;='Amort. Sched.-BEST'!$I$8, C256&lt;= ($I$7+$I$8)), F256/D256, " ")</f>
        <v>0.68928917590030736</v>
      </c>
      <c r="L256" s="20">
        <f t="shared" si="51"/>
        <v>245</v>
      </c>
      <c r="M256" s="5">
        <f>IF(AND(L256&gt;='Amort. Sched.-BEST'!$R$8, L256&lt;= ($R$7+$R$8)), PMT('Amort. Sched.-BEST'!$N$8/12, 'Amort. Sched.-BEST'!$R$7, 'Amort. Sched.-BEST'!$N$7), 0)</f>
        <v>0</v>
      </c>
      <c r="N256" s="5">
        <f>IF(AND(L256&gt;='Amort. Sched.-BEST'!$R$8, L256&lt;= ($R$7+$R$8)), (IPMT($N$8/12, (L256-$R$8), $R$7, $N$7)), 0)</f>
        <v>0</v>
      </c>
      <c r="O256" s="5">
        <f>IF(AND(L256&gt;='Amort. Sched.-BEST'!$R$8, L256&lt;= ($R$7+$R$8)), (PPMT($N$8/12, (L256-$R$8), $R$7, $N$7)), 0)</f>
        <v>0</v>
      </c>
      <c r="P256" s="5">
        <f>IF(CreditAmort1BEST[[#This Row],[Month]]=R$8,N$7,0)</f>
        <v>0</v>
      </c>
      <c r="Q256" s="13">
        <f>IF(AND(L256&gt;='Amort. Sched.-BEST'!$R$8, L256&lt;= ($R$7+$R$8)), Q255+O256, 0)</f>
        <v>0</v>
      </c>
      <c r="R256" s="6" t="str">
        <f>IF(AND(L256&gt;='Amort. Sched.-BEST'!$R$8, L256&lt;= ($R$7+$R$8)), N256/M256, " ")</f>
        <v xml:space="preserve"> </v>
      </c>
      <c r="S256" s="21" t="str">
        <f>IF(AND(L256&gt;='Amort. Sched.-BEST'!$R$8, L256&lt;= ($R$7+$R$8)), O256/M256, " ")</f>
        <v xml:space="preserve"> </v>
      </c>
      <c r="U256" s="22">
        <f t="shared" si="53"/>
        <v>245</v>
      </c>
      <c r="V256" s="23">
        <f>IF(AND(U256&gt;='Amort. Sched.-BEST'!$AA$8, U256&lt;= ($AA$7+$AA$8)), PMT('Amort. Sched.-BEST'!$W$8/12, 'Amort. Sched.-BEST'!$AA$7, 'Amort. Sched.-BEST'!$W$7), 0)</f>
        <v>0</v>
      </c>
      <c r="W256" s="5">
        <f>IF(AND(U256&gt;='Amort. Sched.-BEST'!$AA$8, U256&lt;= ($AA$7+$AA$8)), (IPMT($W$8/12, (U256-$AA$8), $AA$7, $W$7)), 0)</f>
        <v>0</v>
      </c>
      <c r="X256" s="23">
        <f>IF(AND(U256&gt;='Amort. Sched.-BEST'!$AA$8, U256&lt;= ($AA$7+$AA$8)), (PPMT($W$8/12, (U256-$AA$8), $AA$7, $W$7)), 0)</f>
        <v>0</v>
      </c>
      <c r="Y256" s="5">
        <f>IF(CreditAmort2BEST[[#This Row],[Month]]=AA$8,W$7,0)</f>
        <v>0</v>
      </c>
      <c r="Z256" s="13">
        <f>IF(AND(U256&gt;='Amort. Sched.-BEST'!$AA$8, U256&lt;= ($AA$7+$AA$8)), Z255+X256, 0)</f>
        <v>0</v>
      </c>
      <c r="AA256" s="24" t="str">
        <f>IF(AND(U256&gt;='Amort. Sched.-BEST'!$AA$8, U256&lt;= ($AA$7+$AA$8)), W256/V256, " ")</f>
        <v xml:space="preserve"> </v>
      </c>
      <c r="AB256" s="25" t="str">
        <f>IF(AND(U256&gt;='Amort. Sched.-BEST'!$AA$8, U256&lt;= ($AA$7+$AA$8)), X256/V256, " ")</f>
        <v xml:space="preserve"> </v>
      </c>
      <c r="AD256" s="22">
        <f t="shared" si="54"/>
        <v>245</v>
      </c>
      <c r="AE256" s="5">
        <f t="shared" si="55"/>
        <v>0</v>
      </c>
      <c r="AF256" s="5">
        <f t="shared" si="56"/>
        <v>0</v>
      </c>
      <c r="AG256" s="5">
        <f t="shared" si="57"/>
        <v>0</v>
      </c>
      <c r="AH256" s="5">
        <f>IF(CreditAmort3BEST[[#This Row],[Month]]=AJ$8,AF$7,0)</f>
        <v>0</v>
      </c>
      <c r="AI256" s="13">
        <f t="shared" si="58"/>
        <v>0</v>
      </c>
      <c r="AJ256" s="6" t="str">
        <f t="shared" si="59"/>
        <v xml:space="preserve"> </v>
      </c>
      <c r="AK256" s="21" t="str">
        <f t="shared" si="60"/>
        <v xml:space="preserve"> </v>
      </c>
      <c r="AM256" s="20">
        <f t="shared" si="61"/>
        <v>245</v>
      </c>
      <c r="AN256" s="5">
        <f t="shared" si="62"/>
        <v>0</v>
      </c>
      <c r="AO256" s="5">
        <f t="shared" si="63"/>
        <v>0</v>
      </c>
      <c r="AP256" s="5">
        <f t="shared" si="64"/>
        <v>0</v>
      </c>
      <c r="AQ256" s="5">
        <f>IF(CreditAmort4BEST[[#This Row],[Month]]=AS$8,AO$7,0)</f>
        <v>0</v>
      </c>
      <c r="AR256" s="13">
        <f t="shared" si="65"/>
        <v>0</v>
      </c>
      <c r="AS256" s="6" t="str">
        <f t="shared" si="66"/>
        <v xml:space="preserve"> </v>
      </c>
      <c r="AT256" s="21" t="str">
        <f t="shared" si="67"/>
        <v xml:space="preserve"> </v>
      </c>
    </row>
    <row r="257" spans="3:46">
      <c r="C257" s="22">
        <f t="shared" si="52"/>
        <v>246</v>
      </c>
      <c r="D257" s="23">
        <f>IF(AND(C257&gt;='Amort. Sched.-BEST'!$I$8, C257&lt;= ($I$7+$I$8)), PMT('Amort. Sched.-BEST'!$E$8/12, 'Amort. Sched.-BEST'!$I$7, 'Amort. Sched.-BEST'!$E$7), 0)</f>
        <v>-1350.6783839027553</v>
      </c>
      <c r="E257" s="5">
        <f>IF(AND(C257&gt;='Amort. Sched.-BEST'!$I$8, C257&lt;= ($I$7+$I$8)), (IPMT($E$8/12, (C257-$I$8), $I$7, $E$7)), 0)</f>
        <v>-413.46367382175487</v>
      </c>
      <c r="F257" s="23">
        <f>IF(AND(C257&gt;='Amort. Sched.-BEST'!$I$8, C257&lt;= ($I$7+$I$8)), (PPMT($E$8/12, (C257-$I$8), $I$7, $E$7)), 0)</f>
        <v>-937.21471008100048</v>
      </c>
      <c r="G257" s="5">
        <f>IF(MortgageAmortBEST[[#This Row],[Month]]=I$8,E$7,0)</f>
        <v>0</v>
      </c>
      <c r="H257" s="13">
        <f>IF(AND(C257&gt;='Amort. Sched.-BEST'!$I$8, C257&lt;= ($I$7+$I$8)), H256+F257, 0)</f>
        <v>61082.336363182214</v>
      </c>
      <c r="I257" s="24">
        <f>IF(AND(C257&gt;='Amort. Sched.-BEST'!$I$8, C257&lt;= ($I$7+$I$8)), E257/D257, " ")</f>
        <v>0.30611556292702391</v>
      </c>
      <c r="J257" s="25">
        <f>IF(AND(C257&gt;='Amort. Sched.-BEST'!$I$8, C257&lt;= ($I$7+$I$8)), F257/D257, " ")</f>
        <v>0.69388443707297609</v>
      </c>
      <c r="L257" s="20">
        <f t="shared" si="51"/>
        <v>246</v>
      </c>
      <c r="M257" s="5">
        <f>IF(AND(L257&gt;='Amort. Sched.-BEST'!$R$8, L257&lt;= ($R$7+$R$8)), PMT('Amort. Sched.-BEST'!$N$8/12, 'Amort. Sched.-BEST'!$R$7, 'Amort. Sched.-BEST'!$N$7), 0)</f>
        <v>0</v>
      </c>
      <c r="N257" s="5">
        <f>IF(AND(L257&gt;='Amort. Sched.-BEST'!$R$8, L257&lt;= ($R$7+$R$8)), (IPMT($N$8/12, (L257-$R$8), $R$7, $N$7)), 0)</f>
        <v>0</v>
      </c>
      <c r="O257" s="5">
        <f>IF(AND(L257&gt;='Amort. Sched.-BEST'!$R$8, L257&lt;= ($R$7+$R$8)), (PPMT($N$8/12, (L257-$R$8), $R$7, $N$7)), 0)</f>
        <v>0</v>
      </c>
      <c r="P257" s="5">
        <f>IF(CreditAmort1BEST[[#This Row],[Month]]=R$8,N$7,0)</f>
        <v>0</v>
      </c>
      <c r="Q257" s="13">
        <f>IF(AND(L257&gt;='Amort. Sched.-BEST'!$R$8, L257&lt;= ($R$7+$R$8)), Q256+O257, 0)</f>
        <v>0</v>
      </c>
      <c r="R257" s="6" t="str">
        <f>IF(AND(L257&gt;='Amort. Sched.-BEST'!$R$8, L257&lt;= ($R$7+$R$8)), N257/M257, " ")</f>
        <v xml:space="preserve"> </v>
      </c>
      <c r="S257" s="21" t="str">
        <f>IF(AND(L257&gt;='Amort. Sched.-BEST'!$R$8, L257&lt;= ($R$7+$R$8)), O257/M257, " ")</f>
        <v xml:space="preserve"> </v>
      </c>
      <c r="U257" s="22">
        <f t="shared" si="53"/>
        <v>246</v>
      </c>
      <c r="V257" s="23">
        <f>IF(AND(U257&gt;='Amort. Sched.-BEST'!$AA$8, U257&lt;= ($AA$7+$AA$8)), PMT('Amort. Sched.-BEST'!$W$8/12, 'Amort. Sched.-BEST'!$AA$7, 'Amort. Sched.-BEST'!$W$7), 0)</f>
        <v>0</v>
      </c>
      <c r="W257" s="5">
        <f>IF(AND(U257&gt;='Amort. Sched.-BEST'!$AA$8, U257&lt;= ($AA$7+$AA$8)), (IPMT($W$8/12, (U257-$AA$8), $AA$7, $W$7)), 0)</f>
        <v>0</v>
      </c>
      <c r="X257" s="23">
        <f>IF(AND(U257&gt;='Amort. Sched.-BEST'!$AA$8, U257&lt;= ($AA$7+$AA$8)), (PPMT($W$8/12, (U257-$AA$8), $AA$7, $W$7)), 0)</f>
        <v>0</v>
      </c>
      <c r="Y257" s="5">
        <f>IF(CreditAmort2BEST[[#This Row],[Month]]=AA$8,W$7,0)</f>
        <v>0</v>
      </c>
      <c r="Z257" s="13">
        <f>IF(AND(U257&gt;='Amort. Sched.-BEST'!$AA$8, U257&lt;= ($AA$7+$AA$8)), Z256+X257, 0)</f>
        <v>0</v>
      </c>
      <c r="AA257" s="24" t="str">
        <f>IF(AND(U257&gt;='Amort. Sched.-BEST'!$AA$8, U257&lt;= ($AA$7+$AA$8)), W257/V257, " ")</f>
        <v xml:space="preserve"> </v>
      </c>
      <c r="AB257" s="25" t="str">
        <f>IF(AND(U257&gt;='Amort. Sched.-BEST'!$AA$8, U257&lt;= ($AA$7+$AA$8)), X257/V257, " ")</f>
        <v xml:space="preserve"> </v>
      </c>
      <c r="AD257" s="22">
        <f t="shared" si="54"/>
        <v>246</v>
      </c>
      <c r="AE257" s="5">
        <f t="shared" si="55"/>
        <v>0</v>
      </c>
      <c r="AF257" s="5">
        <f t="shared" si="56"/>
        <v>0</v>
      </c>
      <c r="AG257" s="5">
        <f t="shared" si="57"/>
        <v>0</v>
      </c>
      <c r="AH257" s="5">
        <f>IF(CreditAmort3BEST[[#This Row],[Month]]=AJ$8,AF$7,0)</f>
        <v>0</v>
      </c>
      <c r="AI257" s="13">
        <f t="shared" si="58"/>
        <v>0</v>
      </c>
      <c r="AJ257" s="6" t="str">
        <f t="shared" si="59"/>
        <v xml:space="preserve"> </v>
      </c>
      <c r="AK257" s="21" t="str">
        <f t="shared" si="60"/>
        <v xml:space="preserve"> </v>
      </c>
      <c r="AM257" s="20">
        <f t="shared" si="61"/>
        <v>246</v>
      </c>
      <c r="AN257" s="5">
        <f t="shared" si="62"/>
        <v>0</v>
      </c>
      <c r="AO257" s="5">
        <f t="shared" si="63"/>
        <v>0</v>
      </c>
      <c r="AP257" s="5">
        <f t="shared" si="64"/>
        <v>0</v>
      </c>
      <c r="AQ257" s="5">
        <f>IF(CreditAmort4BEST[[#This Row],[Month]]=AS$8,AO$7,0)</f>
        <v>0</v>
      </c>
      <c r="AR257" s="13">
        <f t="shared" si="65"/>
        <v>0</v>
      </c>
      <c r="AS257" s="6" t="str">
        <f t="shared" si="66"/>
        <v xml:space="preserve"> </v>
      </c>
      <c r="AT257" s="21" t="str">
        <f t="shared" si="67"/>
        <v xml:space="preserve"> </v>
      </c>
    </row>
    <row r="258" spans="3:46">
      <c r="C258" s="22">
        <f t="shared" si="52"/>
        <v>247</v>
      </c>
      <c r="D258" s="23">
        <f>IF(AND(C258&gt;='Amort. Sched.-BEST'!$I$8, C258&lt;= ($I$7+$I$8)), PMT('Amort. Sched.-BEST'!$E$8/12, 'Amort. Sched.-BEST'!$I$7, 'Amort. Sched.-BEST'!$E$7), 0)</f>
        <v>-1350.6783839027553</v>
      </c>
      <c r="E258" s="5">
        <f>IF(AND(C258&gt;='Amort. Sched.-BEST'!$I$8, C258&lt;= ($I$7+$I$8)), (IPMT($E$8/12, (C258-$I$8), $I$7, $E$7)), 0)</f>
        <v>-407.21557575454824</v>
      </c>
      <c r="F258" s="23">
        <f>IF(AND(C258&gt;='Amort. Sched.-BEST'!$I$8, C258&lt;= ($I$7+$I$8)), (PPMT($E$8/12, (C258-$I$8), $I$7, $E$7)), 0)</f>
        <v>-943.46280814820716</v>
      </c>
      <c r="G258" s="5">
        <f>IF(MortgageAmortBEST[[#This Row],[Month]]=I$8,E$7,0)</f>
        <v>0</v>
      </c>
      <c r="H258" s="13">
        <f>IF(AND(C258&gt;='Amort. Sched.-BEST'!$I$8, C258&lt;= ($I$7+$I$8)), H257+F258, 0)</f>
        <v>60138.873555034006</v>
      </c>
      <c r="I258" s="24">
        <f>IF(AND(C258&gt;='Amort. Sched.-BEST'!$I$8, C258&lt;= ($I$7+$I$8)), E258/D258, " ")</f>
        <v>0.30148966667987076</v>
      </c>
      <c r="J258" s="25">
        <f>IF(AND(C258&gt;='Amort. Sched.-BEST'!$I$8, C258&lt;= ($I$7+$I$8)), F258/D258, " ")</f>
        <v>0.69851033332012935</v>
      </c>
      <c r="L258" s="20">
        <f t="shared" si="51"/>
        <v>247</v>
      </c>
      <c r="M258" s="5">
        <f>IF(AND(L258&gt;='Amort. Sched.-BEST'!$R$8, L258&lt;= ($R$7+$R$8)), PMT('Amort. Sched.-BEST'!$N$8/12, 'Amort. Sched.-BEST'!$R$7, 'Amort. Sched.-BEST'!$N$7), 0)</f>
        <v>0</v>
      </c>
      <c r="N258" s="5">
        <f>IF(AND(L258&gt;='Amort. Sched.-BEST'!$R$8, L258&lt;= ($R$7+$R$8)), (IPMT($N$8/12, (L258-$R$8), $R$7, $N$7)), 0)</f>
        <v>0</v>
      </c>
      <c r="O258" s="5">
        <f>IF(AND(L258&gt;='Amort. Sched.-BEST'!$R$8, L258&lt;= ($R$7+$R$8)), (PPMT($N$8/12, (L258-$R$8), $R$7, $N$7)), 0)</f>
        <v>0</v>
      </c>
      <c r="P258" s="5">
        <f>IF(CreditAmort1BEST[[#This Row],[Month]]=R$8,N$7,0)</f>
        <v>0</v>
      </c>
      <c r="Q258" s="13">
        <f>IF(AND(L258&gt;='Amort. Sched.-BEST'!$R$8, L258&lt;= ($R$7+$R$8)), Q257+O258, 0)</f>
        <v>0</v>
      </c>
      <c r="R258" s="6" t="str">
        <f>IF(AND(L258&gt;='Amort. Sched.-BEST'!$R$8, L258&lt;= ($R$7+$R$8)), N258/M258, " ")</f>
        <v xml:space="preserve"> </v>
      </c>
      <c r="S258" s="21" t="str">
        <f>IF(AND(L258&gt;='Amort. Sched.-BEST'!$R$8, L258&lt;= ($R$7+$R$8)), O258/M258, " ")</f>
        <v xml:space="preserve"> </v>
      </c>
      <c r="U258" s="22">
        <f t="shared" si="53"/>
        <v>247</v>
      </c>
      <c r="V258" s="23">
        <f>IF(AND(U258&gt;='Amort. Sched.-BEST'!$AA$8, U258&lt;= ($AA$7+$AA$8)), PMT('Amort. Sched.-BEST'!$W$8/12, 'Amort. Sched.-BEST'!$AA$7, 'Amort. Sched.-BEST'!$W$7), 0)</f>
        <v>0</v>
      </c>
      <c r="W258" s="5">
        <f>IF(AND(U258&gt;='Amort. Sched.-BEST'!$AA$8, U258&lt;= ($AA$7+$AA$8)), (IPMT($W$8/12, (U258-$AA$8), $AA$7, $W$7)), 0)</f>
        <v>0</v>
      </c>
      <c r="X258" s="23">
        <f>IF(AND(U258&gt;='Amort. Sched.-BEST'!$AA$8, U258&lt;= ($AA$7+$AA$8)), (PPMT($W$8/12, (U258-$AA$8), $AA$7, $W$7)), 0)</f>
        <v>0</v>
      </c>
      <c r="Y258" s="5">
        <f>IF(CreditAmort2BEST[[#This Row],[Month]]=AA$8,W$7,0)</f>
        <v>0</v>
      </c>
      <c r="Z258" s="13">
        <f>IF(AND(U258&gt;='Amort. Sched.-BEST'!$AA$8, U258&lt;= ($AA$7+$AA$8)), Z257+X258, 0)</f>
        <v>0</v>
      </c>
      <c r="AA258" s="24" t="str">
        <f>IF(AND(U258&gt;='Amort. Sched.-BEST'!$AA$8, U258&lt;= ($AA$7+$AA$8)), W258/V258, " ")</f>
        <v xml:space="preserve"> </v>
      </c>
      <c r="AB258" s="25" t="str">
        <f>IF(AND(U258&gt;='Amort. Sched.-BEST'!$AA$8, U258&lt;= ($AA$7+$AA$8)), X258/V258, " ")</f>
        <v xml:space="preserve"> </v>
      </c>
      <c r="AD258" s="22">
        <f t="shared" si="54"/>
        <v>247</v>
      </c>
      <c r="AE258" s="5">
        <f t="shared" si="55"/>
        <v>0</v>
      </c>
      <c r="AF258" s="5">
        <f t="shared" si="56"/>
        <v>0</v>
      </c>
      <c r="AG258" s="5">
        <f t="shared" si="57"/>
        <v>0</v>
      </c>
      <c r="AH258" s="5">
        <f>IF(CreditAmort3BEST[[#This Row],[Month]]=AJ$8,AF$7,0)</f>
        <v>0</v>
      </c>
      <c r="AI258" s="13">
        <f t="shared" si="58"/>
        <v>0</v>
      </c>
      <c r="AJ258" s="6" t="str">
        <f t="shared" si="59"/>
        <v xml:space="preserve"> </v>
      </c>
      <c r="AK258" s="21" t="str">
        <f t="shared" si="60"/>
        <v xml:space="preserve"> </v>
      </c>
      <c r="AM258" s="20">
        <f t="shared" si="61"/>
        <v>247</v>
      </c>
      <c r="AN258" s="5">
        <f t="shared" si="62"/>
        <v>0</v>
      </c>
      <c r="AO258" s="5">
        <f t="shared" si="63"/>
        <v>0</v>
      </c>
      <c r="AP258" s="5">
        <f t="shared" si="64"/>
        <v>0</v>
      </c>
      <c r="AQ258" s="5">
        <f>IF(CreditAmort4BEST[[#This Row],[Month]]=AS$8,AO$7,0)</f>
        <v>0</v>
      </c>
      <c r="AR258" s="13">
        <f t="shared" si="65"/>
        <v>0</v>
      </c>
      <c r="AS258" s="6" t="str">
        <f t="shared" si="66"/>
        <v xml:space="preserve"> </v>
      </c>
      <c r="AT258" s="21" t="str">
        <f t="shared" si="67"/>
        <v xml:space="preserve"> </v>
      </c>
    </row>
    <row r="259" spans="3:46">
      <c r="C259" s="22">
        <f t="shared" si="52"/>
        <v>248</v>
      </c>
      <c r="D259" s="23">
        <f>IF(AND(C259&gt;='Amort. Sched.-BEST'!$I$8, C259&lt;= ($I$7+$I$8)), PMT('Amort. Sched.-BEST'!$E$8/12, 'Amort. Sched.-BEST'!$I$7, 'Amort. Sched.-BEST'!$E$7), 0)</f>
        <v>-1350.6783839027553</v>
      </c>
      <c r="E259" s="5">
        <f>IF(AND(C259&gt;='Amort. Sched.-BEST'!$I$8, C259&lt;= ($I$7+$I$8)), (IPMT($E$8/12, (C259-$I$8), $I$7, $E$7)), 0)</f>
        <v>-400.92582370022683</v>
      </c>
      <c r="F259" s="23">
        <f>IF(AND(C259&gt;='Amort. Sched.-BEST'!$I$8, C259&lt;= ($I$7+$I$8)), (PPMT($E$8/12, (C259-$I$8), $I$7, $E$7)), 0)</f>
        <v>-949.75256020252846</v>
      </c>
      <c r="G259" s="5">
        <f>IF(MortgageAmortBEST[[#This Row],[Month]]=I$8,E$7,0)</f>
        <v>0</v>
      </c>
      <c r="H259" s="13">
        <f>IF(AND(C259&gt;='Amort. Sched.-BEST'!$I$8, C259&lt;= ($I$7+$I$8)), H258+F259, 0)</f>
        <v>59189.120994831479</v>
      </c>
      <c r="I259" s="24">
        <f>IF(AND(C259&gt;='Amort. Sched.-BEST'!$I$8, C259&lt;= ($I$7+$I$8)), E259/D259, " ")</f>
        <v>0.29683293112440323</v>
      </c>
      <c r="J259" s="25">
        <f>IF(AND(C259&gt;='Amort. Sched.-BEST'!$I$8, C259&lt;= ($I$7+$I$8)), F259/D259, " ")</f>
        <v>0.70316706887559677</v>
      </c>
      <c r="L259" s="20">
        <f t="shared" si="51"/>
        <v>248</v>
      </c>
      <c r="M259" s="5">
        <f>IF(AND(L259&gt;='Amort. Sched.-BEST'!$R$8, L259&lt;= ($R$7+$R$8)), PMT('Amort. Sched.-BEST'!$N$8/12, 'Amort. Sched.-BEST'!$R$7, 'Amort. Sched.-BEST'!$N$7), 0)</f>
        <v>0</v>
      </c>
      <c r="N259" s="5">
        <f>IF(AND(L259&gt;='Amort. Sched.-BEST'!$R$8, L259&lt;= ($R$7+$R$8)), (IPMT($N$8/12, (L259-$R$8), $R$7, $N$7)), 0)</f>
        <v>0</v>
      </c>
      <c r="O259" s="5">
        <f>IF(AND(L259&gt;='Amort. Sched.-BEST'!$R$8, L259&lt;= ($R$7+$R$8)), (PPMT($N$8/12, (L259-$R$8), $R$7, $N$7)), 0)</f>
        <v>0</v>
      </c>
      <c r="P259" s="5">
        <f>IF(CreditAmort1BEST[[#This Row],[Month]]=R$8,N$7,0)</f>
        <v>0</v>
      </c>
      <c r="Q259" s="13">
        <f>IF(AND(L259&gt;='Amort. Sched.-BEST'!$R$8, L259&lt;= ($R$7+$R$8)), Q258+O259, 0)</f>
        <v>0</v>
      </c>
      <c r="R259" s="6" t="str">
        <f>IF(AND(L259&gt;='Amort. Sched.-BEST'!$R$8, L259&lt;= ($R$7+$R$8)), N259/M259, " ")</f>
        <v xml:space="preserve"> </v>
      </c>
      <c r="S259" s="21" t="str">
        <f>IF(AND(L259&gt;='Amort. Sched.-BEST'!$R$8, L259&lt;= ($R$7+$R$8)), O259/M259, " ")</f>
        <v xml:space="preserve"> </v>
      </c>
      <c r="U259" s="22">
        <f t="shared" si="53"/>
        <v>248</v>
      </c>
      <c r="V259" s="23">
        <f>IF(AND(U259&gt;='Amort. Sched.-BEST'!$AA$8, U259&lt;= ($AA$7+$AA$8)), PMT('Amort. Sched.-BEST'!$W$8/12, 'Amort. Sched.-BEST'!$AA$7, 'Amort. Sched.-BEST'!$W$7), 0)</f>
        <v>0</v>
      </c>
      <c r="W259" s="5">
        <f>IF(AND(U259&gt;='Amort. Sched.-BEST'!$AA$8, U259&lt;= ($AA$7+$AA$8)), (IPMT($W$8/12, (U259-$AA$8), $AA$7, $W$7)), 0)</f>
        <v>0</v>
      </c>
      <c r="X259" s="23">
        <f>IF(AND(U259&gt;='Amort. Sched.-BEST'!$AA$8, U259&lt;= ($AA$7+$AA$8)), (PPMT($W$8/12, (U259-$AA$8), $AA$7, $W$7)), 0)</f>
        <v>0</v>
      </c>
      <c r="Y259" s="5">
        <f>IF(CreditAmort2BEST[[#This Row],[Month]]=AA$8,W$7,0)</f>
        <v>0</v>
      </c>
      <c r="Z259" s="13">
        <f>IF(AND(U259&gt;='Amort. Sched.-BEST'!$AA$8, U259&lt;= ($AA$7+$AA$8)), Z258+X259, 0)</f>
        <v>0</v>
      </c>
      <c r="AA259" s="24" t="str">
        <f>IF(AND(U259&gt;='Amort. Sched.-BEST'!$AA$8, U259&lt;= ($AA$7+$AA$8)), W259/V259, " ")</f>
        <v xml:space="preserve"> </v>
      </c>
      <c r="AB259" s="25" t="str">
        <f>IF(AND(U259&gt;='Amort. Sched.-BEST'!$AA$8, U259&lt;= ($AA$7+$AA$8)), X259/V259, " ")</f>
        <v xml:space="preserve"> </v>
      </c>
      <c r="AD259" s="22">
        <f t="shared" si="54"/>
        <v>248</v>
      </c>
      <c r="AE259" s="5">
        <f t="shared" si="55"/>
        <v>0</v>
      </c>
      <c r="AF259" s="5">
        <f t="shared" si="56"/>
        <v>0</v>
      </c>
      <c r="AG259" s="5">
        <f t="shared" si="57"/>
        <v>0</v>
      </c>
      <c r="AH259" s="5">
        <f>IF(CreditAmort3BEST[[#This Row],[Month]]=AJ$8,AF$7,0)</f>
        <v>0</v>
      </c>
      <c r="AI259" s="13">
        <f t="shared" si="58"/>
        <v>0</v>
      </c>
      <c r="AJ259" s="6" t="str">
        <f t="shared" si="59"/>
        <v xml:space="preserve"> </v>
      </c>
      <c r="AK259" s="21" t="str">
        <f t="shared" si="60"/>
        <v xml:space="preserve"> </v>
      </c>
      <c r="AM259" s="20">
        <f t="shared" si="61"/>
        <v>248</v>
      </c>
      <c r="AN259" s="5">
        <f t="shared" si="62"/>
        <v>0</v>
      </c>
      <c r="AO259" s="5">
        <f t="shared" si="63"/>
        <v>0</v>
      </c>
      <c r="AP259" s="5">
        <f t="shared" si="64"/>
        <v>0</v>
      </c>
      <c r="AQ259" s="5">
        <f>IF(CreditAmort4BEST[[#This Row],[Month]]=AS$8,AO$7,0)</f>
        <v>0</v>
      </c>
      <c r="AR259" s="13">
        <f t="shared" si="65"/>
        <v>0</v>
      </c>
      <c r="AS259" s="6" t="str">
        <f t="shared" si="66"/>
        <v xml:space="preserve"> </v>
      </c>
      <c r="AT259" s="21" t="str">
        <f t="shared" si="67"/>
        <v xml:space="preserve"> </v>
      </c>
    </row>
    <row r="260" spans="3:46">
      <c r="C260" s="22">
        <f t="shared" si="52"/>
        <v>249</v>
      </c>
      <c r="D260" s="23">
        <f>IF(AND(C260&gt;='Amort. Sched.-BEST'!$I$8, C260&lt;= ($I$7+$I$8)), PMT('Amort. Sched.-BEST'!$E$8/12, 'Amort. Sched.-BEST'!$I$7, 'Amort. Sched.-BEST'!$E$7), 0)</f>
        <v>-1350.6783839027553</v>
      </c>
      <c r="E260" s="5">
        <f>IF(AND(C260&gt;='Amort. Sched.-BEST'!$I$8, C260&lt;= ($I$7+$I$8)), (IPMT($E$8/12, (C260-$I$8), $I$7, $E$7)), 0)</f>
        <v>-394.59413996554326</v>
      </c>
      <c r="F260" s="23">
        <f>IF(AND(C260&gt;='Amort. Sched.-BEST'!$I$8, C260&lt;= ($I$7+$I$8)), (PPMT($E$8/12, (C260-$I$8), $I$7, $E$7)), 0)</f>
        <v>-956.08424393721202</v>
      </c>
      <c r="G260" s="5">
        <f>IF(MortgageAmortBEST[[#This Row],[Month]]=I$8,E$7,0)</f>
        <v>0</v>
      </c>
      <c r="H260" s="13">
        <f>IF(AND(C260&gt;='Amort. Sched.-BEST'!$I$8, C260&lt;= ($I$7+$I$8)), H259+F260, 0)</f>
        <v>58233.036750894265</v>
      </c>
      <c r="I260" s="24">
        <f>IF(AND(C260&gt;='Amort. Sched.-BEST'!$I$8, C260&lt;= ($I$7+$I$8)), E260/D260, " ")</f>
        <v>0.29214515066523256</v>
      </c>
      <c r="J260" s="25">
        <f>IF(AND(C260&gt;='Amort. Sched.-BEST'!$I$8, C260&lt;= ($I$7+$I$8)), F260/D260, " ")</f>
        <v>0.70785484933476739</v>
      </c>
      <c r="L260" s="20">
        <f t="shared" si="51"/>
        <v>249</v>
      </c>
      <c r="M260" s="5">
        <f>IF(AND(L260&gt;='Amort. Sched.-BEST'!$R$8, L260&lt;= ($R$7+$R$8)), PMT('Amort. Sched.-BEST'!$N$8/12, 'Amort. Sched.-BEST'!$R$7, 'Amort. Sched.-BEST'!$N$7), 0)</f>
        <v>0</v>
      </c>
      <c r="N260" s="5">
        <f>IF(AND(L260&gt;='Amort. Sched.-BEST'!$R$8, L260&lt;= ($R$7+$R$8)), (IPMT($N$8/12, (L260-$R$8), $R$7, $N$7)), 0)</f>
        <v>0</v>
      </c>
      <c r="O260" s="5">
        <f>IF(AND(L260&gt;='Amort. Sched.-BEST'!$R$8, L260&lt;= ($R$7+$R$8)), (PPMT($N$8/12, (L260-$R$8), $R$7, $N$7)), 0)</f>
        <v>0</v>
      </c>
      <c r="P260" s="5">
        <f>IF(CreditAmort1BEST[[#This Row],[Month]]=R$8,N$7,0)</f>
        <v>0</v>
      </c>
      <c r="Q260" s="13">
        <f>IF(AND(L260&gt;='Amort. Sched.-BEST'!$R$8, L260&lt;= ($R$7+$R$8)), Q259+O260, 0)</f>
        <v>0</v>
      </c>
      <c r="R260" s="6" t="str">
        <f>IF(AND(L260&gt;='Amort. Sched.-BEST'!$R$8, L260&lt;= ($R$7+$R$8)), N260/M260, " ")</f>
        <v xml:space="preserve"> </v>
      </c>
      <c r="S260" s="21" t="str">
        <f>IF(AND(L260&gt;='Amort. Sched.-BEST'!$R$8, L260&lt;= ($R$7+$R$8)), O260/M260, " ")</f>
        <v xml:space="preserve"> </v>
      </c>
      <c r="U260" s="22">
        <f t="shared" si="53"/>
        <v>249</v>
      </c>
      <c r="V260" s="23">
        <f>IF(AND(U260&gt;='Amort. Sched.-BEST'!$AA$8, U260&lt;= ($AA$7+$AA$8)), PMT('Amort. Sched.-BEST'!$W$8/12, 'Amort. Sched.-BEST'!$AA$7, 'Amort. Sched.-BEST'!$W$7), 0)</f>
        <v>0</v>
      </c>
      <c r="W260" s="5">
        <f>IF(AND(U260&gt;='Amort. Sched.-BEST'!$AA$8, U260&lt;= ($AA$7+$AA$8)), (IPMT($W$8/12, (U260-$AA$8), $AA$7, $W$7)), 0)</f>
        <v>0</v>
      </c>
      <c r="X260" s="23">
        <f>IF(AND(U260&gt;='Amort. Sched.-BEST'!$AA$8, U260&lt;= ($AA$7+$AA$8)), (PPMT($W$8/12, (U260-$AA$8), $AA$7, $W$7)), 0)</f>
        <v>0</v>
      </c>
      <c r="Y260" s="5">
        <f>IF(CreditAmort2BEST[[#This Row],[Month]]=AA$8,W$7,0)</f>
        <v>0</v>
      </c>
      <c r="Z260" s="13">
        <f>IF(AND(U260&gt;='Amort. Sched.-BEST'!$AA$8, U260&lt;= ($AA$7+$AA$8)), Z259+X260, 0)</f>
        <v>0</v>
      </c>
      <c r="AA260" s="24" t="str">
        <f>IF(AND(U260&gt;='Amort. Sched.-BEST'!$AA$8, U260&lt;= ($AA$7+$AA$8)), W260/V260, " ")</f>
        <v xml:space="preserve"> </v>
      </c>
      <c r="AB260" s="25" t="str">
        <f>IF(AND(U260&gt;='Amort. Sched.-BEST'!$AA$8, U260&lt;= ($AA$7+$AA$8)), X260/V260, " ")</f>
        <v xml:space="preserve"> </v>
      </c>
      <c r="AD260" s="22">
        <f t="shared" si="54"/>
        <v>249</v>
      </c>
      <c r="AE260" s="5">
        <f t="shared" si="55"/>
        <v>0</v>
      </c>
      <c r="AF260" s="5">
        <f t="shared" si="56"/>
        <v>0</v>
      </c>
      <c r="AG260" s="5">
        <f t="shared" si="57"/>
        <v>0</v>
      </c>
      <c r="AH260" s="5">
        <f>IF(CreditAmort3BEST[[#This Row],[Month]]=AJ$8,AF$7,0)</f>
        <v>0</v>
      </c>
      <c r="AI260" s="13">
        <f t="shared" si="58"/>
        <v>0</v>
      </c>
      <c r="AJ260" s="6" t="str">
        <f t="shared" si="59"/>
        <v xml:space="preserve"> </v>
      </c>
      <c r="AK260" s="21" t="str">
        <f t="shared" si="60"/>
        <v xml:space="preserve"> </v>
      </c>
      <c r="AM260" s="20">
        <f t="shared" si="61"/>
        <v>249</v>
      </c>
      <c r="AN260" s="5">
        <f t="shared" si="62"/>
        <v>0</v>
      </c>
      <c r="AO260" s="5">
        <f t="shared" si="63"/>
        <v>0</v>
      </c>
      <c r="AP260" s="5">
        <f t="shared" si="64"/>
        <v>0</v>
      </c>
      <c r="AQ260" s="5">
        <f>IF(CreditAmort4BEST[[#This Row],[Month]]=AS$8,AO$7,0)</f>
        <v>0</v>
      </c>
      <c r="AR260" s="13">
        <f t="shared" si="65"/>
        <v>0</v>
      </c>
      <c r="AS260" s="6" t="str">
        <f t="shared" si="66"/>
        <v xml:space="preserve"> </v>
      </c>
      <c r="AT260" s="21" t="str">
        <f t="shared" si="67"/>
        <v xml:space="preserve"> </v>
      </c>
    </row>
    <row r="261" spans="3:46">
      <c r="C261" s="22">
        <f t="shared" si="52"/>
        <v>250</v>
      </c>
      <c r="D261" s="23">
        <f>IF(AND(C261&gt;='Amort. Sched.-BEST'!$I$8, C261&lt;= ($I$7+$I$8)), PMT('Amort. Sched.-BEST'!$E$8/12, 'Amort. Sched.-BEST'!$I$7, 'Amort. Sched.-BEST'!$E$7), 0)</f>
        <v>-1350.6783839027553</v>
      </c>
      <c r="E261" s="5">
        <f>IF(AND(C261&gt;='Amort. Sched.-BEST'!$I$8, C261&lt;= ($I$7+$I$8)), (IPMT($E$8/12, (C261-$I$8), $I$7, $E$7)), 0)</f>
        <v>-388.22024500596189</v>
      </c>
      <c r="F261" s="23">
        <f>IF(AND(C261&gt;='Amort. Sched.-BEST'!$I$8, C261&lt;= ($I$7+$I$8)), (PPMT($E$8/12, (C261-$I$8), $I$7, $E$7)), 0)</f>
        <v>-962.45813889679346</v>
      </c>
      <c r="G261" s="5">
        <f>IF(MortgageAmortBEST[[#This Row],[Month]]=I$8,E$7,0)</f>
        <v>0</v>
      </c>
      <c r="H261" s="13">
        <f>IF(AND(C261&gt;='Amort. Sched.-BEST'!$I$8, C261&lt;= ($I$7+$I$8)), H260+F261, 0)</f>
        <v>57270.578611997473</v>
      </c>
      <c r="I261" s="24">
        <f>IF(AND(C261&gt;='Amort. Sched.-BEST'!$I$8, C261&lt;= ($I$7+$I$8)), E261/D261, " ")</f>
        <v>0.28742611833633414</v>
      </c>
      <c r="J261" s="25">
        <f>IF(AND(C261&gt;='Amort. Sched.-BEST'!$I$8, C261&lt;= ($I$7+$I$8)), F261/D261, " ")</f>
        <v>0.71257388166366586</v>
      </c>
      <c r="L261" s="20">
        <f t="shared" si="51"/>
        <v>250</v>
      </c>
      <c r="M261" s="5">
        <f>IF(AND(L261&gt;='Amort. Sched.-BEST'!$R$8, L261&lt;= ($R$7+$R$8)), PMT('Amort. Sched.-BEST'!$N$8/12, 'Amort. Sched.-BEST'!$R$7, 'Amort. Sched.-BEST'!$N$7), 0)</f>
        <v>0</v>
      </c>
      <c r="N261" s="5">
        <f>IF(AND(L261&gt;='Amort. Sched.-BEST'!$R$8, L261&lt;= ($R$7+$R$8)), (IPMT($N$8/12, (L261-$R$8), $R$7, $N$7)), 0)</f>
        <v>0</v>
      </c>
      <c r="O261" s="5">
        <f>IF(AND(L261&gt;='Amort. Sched.-BEST'!$R$8, L261&lt;= ($R$7+$R$8)), (PPMT($N$8/12, (L261-$R$8), $R$7, $N$7)), 0)</f>
        <v>0</v>
      </c>
      <c r="P261" s="5">
        <f>IF(CreditAmort1BEST[[#This Row],[Month]]=R$8,N$7,0)</f>
        <v>0</v>
      </c>
      <c r="Q261" s="13">
        <f>IF(AND(L261&gt;='Amort. Sched.-BEST'!$R$8, L261&lt;= ($R$7+$R$8)), Q260+O261, 0)</f>
        <v>0</v>
      </c>
      <c r="R261" s="6" t="str">
        <f>IF(AND(L261&gt;='Amort. Sched.-BEST'!$R$8, L261&lt;= ($R$7+$R$8)), N261/M261, " ")</f>
        <v xml:space="preserve"> </v>
      </c>
      <c r="S261" s="21" t="str">
        <f>IF(AND(L261&gt;='Amort. Sched.-BEST'!$R$8, L261&lt;= ($R$7+$R$8)), O261/M261, " ")</f>
        <v xml:space="preserve"> </v>
      </c>
      <c r="U261" s="22">
        <f t="shared" si="53"/>
        <v>250</v>
      </c>
      <c r="V261" s="23">
        <f>IF(AND(U261&gt;='Amort. Sched.-BEST'!$AA$8, U261&lt;= ($AA$7+$AA$8)), PMT('Amort. Sched.-BEST'!$W$8/12, 'Amort. Sched.-BEST'!$AA$7, 'Amort. Sched.-BEST'!$W$7), 0)</f>
        <v>0</v>
      </c>
      <c r="W261" s="5">
        <f>IF(AND(U261&gt;='Amort. Sched.-BEST'!$AA$8, U261&lt;= ($AA$7+$AA$8)), (IPMT($W$8/12, (U261-$AA$8), $AA$7, $W$7)), 0)</f>
        <v>0</v>
      </c>
      <c r="X261" s="23">
        <f>IF(AND(U261&gt;='Amort. Sched.-BEST'!$AA$8, U261&lt;= ($AA$7+$AA$8)), (PPMT($W$8/12, (U261-$AA$8), $AA$7, $W$7)), 0)</f>
        <v>0</v>
      </c>
      <c r="Y261" s="5">
        <f>IF(CreditAmort2BEST[[#This Row],[Month]]=AA$8,W$7,0)</f>
        <v>0</v>
      </c>
      <c r="Z261" s="13">
        <f>IF(AND(U261&gt;='Amort. Sched.-BEST'!$AA$8, U261&lt;= ($AA$7+$AA$8)), Z260+X261, 0)</f>
        <v>0</v>
      </c>
      <c r="AA261" s="24" t="str">
        <f>IF(AND(U261&gt;='Amort. Sched.-BEST'!$AA$8, U261&lt;= ($AA$7+$AA$8)), W261/V261, " ")</f>
        <v xml:space="preserve"> </v>
      </c>
      <c r="AB261" s="25" t="str">
        <f>IF(AND(U261&gt;='Amort. Sched.-BEST'!$AA$8, U261&lt;= ($AA$7+$AA$8)), X261/V261, " ")</f>
        <v xml:space="preserve"> </v>
      </c>
      <c r="AD261" s="22">
        <f t="shared" si="54"/>
        <v>250</v>
      </c>
      <c r="AE261" s="5">
        <f t="shared" si="55"/>
        <v>0</v>
      </c>
      <c r="AF261" s="5">
        <f t="shared" si="56"/>
        <v>0</v>
      </c>
      <c r="AG261" s="5">
        <f t="shared" si="57"/>
        <v>0</v>
      </c>
      <c r="AH261" s="5">
        <f>IF(CreditAmort3BEST[[#This Row],[Month]]=AJ$8,AF$7,0)</f>
        <v>0</v>
      </c>
      <c r="AI261" s="13">
        <f t="shared" si="58"/>
        <v>0</v>
      </c>
      <c r="AJ261" s="6" t="str">
        <f t="shared" si="59"/>
        <v xml:space="preserve"> </v>
      </c>
      <c r="AK261" s="21" t="str">
        <f t="shared" si="60"/>
        <v xml:space="preserve"> </v>
      </c>
      <c r="AM261" s="20">
        <f t="shared" si="61"/>
        <v>250</v>
      </c>
      <c r="AN261" s="5">
        <f t="shared" si="62"/>
        <v>0</v>
      </c>
      <c r="AO261" s="5">
        <f t="shared" si="63"/>
        <v>0</v>
      </c>
      <c r="AP261" s="5">
        <f t="shared" si="64"/>
        <v>0</v>
      </c>
      <c r="AQ261" s="5">
        <f>IF(CreditAmort4BEST[[#This Row],[Month]]=AS$8,AO$7,0)</f>
        <v>0</v>
      </c>
      <c r="AR261" s="13">
        <f t="shared" si="65"/>
        <v>0</v>
      </c>
      <c r="AS261" s="6" t="str">
        <f t="shared" si="66"/>
        <v xml:space="preserve"> </v>
      </c>
      <c r="AT261" s="21" t="str">
        <f t="shared" si="67"/>
        <v xml:space="preserve"> </v>
      </c>
    </row>
    <row r="262" spans="3:46">
      <c r="C262" s="22">
        <f t="shared" si="52"/>
        <v>251</v>
      </c>
      <c r="D262" s="23">
        <f>IF(AND(C262&gt;='Amort. Sched.-BEST'!$I$8, C262&lt;= ($I$7+$I$8)), PMT('Amort. Sched.-BEST'!$E$8/12, 'Amort. Sched.-BEST'!$I$7, 'Amort. Sched.-BEST'!$E$7), 0)</f>
        <v>-1350.6783839027553</v>
      </c>
      <c r="E262" s="5">
        <f>IF(AND(C262&gt;='Amort. Sched.-BEST'!$I$8, C262&lt;= ($I$7+$I$8)), (IPMT($E$8/12, (C262-$I$8), $I$7, $E$7)), 0)</f>
        <v>-381.80385741331662</v>
      </c>
      <c r="F262" s="23">
        <f>IF(AND(C262&gt;='Amort. Sched.-BEST'!$I$8, C262&lt;= ($I$7+$I$8)), (PPMT($E$8/12, (C262-$I$8), $I$7, $E$7)), 0)</f>
        <v>-968.87452648943861</v>
      </c>
      <c r="G262" s="5">
        <f>IF(MortgageAmortBEST[[#This Row],[Month]]=I$8,E$7,0)</f>
        <v>0</v>
      </c>
      <c r="H262" s="13">
        <f>IF(AND(C262&gt;='Amort. Sched.-BEST'!$I$8, C262&lt;= ($I$7+$I$8)), H261+F262, 0)</f>
        <v>56301.704085508034</v>
      </c>
      <c r="I262" s="24">
        <f>IF(AND(C262&gt;='Amort. Sched.-BEST'!$I$8, C262&lt;= ($I$7+$I$8)), E262/D262, " ")</f>
        <v>0.28267562579190969</v>
      </c>
      <c r="J262" s="25">
        <f>IF(AND(C262&gt;='Amort. Sched.-BEST'!$I$8, C262&lt;= ($I$7+$I$8)), F262/D262, " ")</f>
        <v>0.71732437420809025</v>
      </c>
      <c r="L262" s="20">
        <f t="shared" si="51"/>
        <v>251</v>
      </c>
      <c r="M262" s="5">
        <f>IF(AND(L262&gt;='Amort. Sched.-BEST'!$R$8, L262&lt;= ($R$7+$R$8)), PMT('Amort. Sched.-BEST'!$N$8/12, 'Amort. Sched.-BEST'!$R$7, 'Amort. Sched.-BEST'!$N$7), 0)</f>
        <v>0</v>
      </c>
      <c r="N262" s="5">
        <f>IF(AND(L262&gt;='Amort. Sched.-BEST'!$R$8, L262&lt;= ($R$7+$R$8)), (IPMT($N$8/12, (L262-$R$8), $R$7, $N$7)), 0)</f>
        <v>0</v>
      </c>
      <c r="O262" s="5">
        <f>IF(AND(L262&gt;='Amort. Sched.-BEST'!$R$8, L262&lt;= ($R$7+$R$8)), (PPMT($N$8/12, (L262-$R$8), $R$7, $N$7)), 0)</f>
        <v>0</v>
      </c>
      <c r="P262" s="5">
        <f>IF(CreditAmort1BEST[[#This Row],[Month]]=R$8,N$7,0)</f>
        <v>0</v>
      </c>
      <c r="Q262" s="13">
        <f>IF(AND(L262&gt;='Amort. Sched.-BEST'!$R$8, L262&lt;= ($R$7+$R$8)), Q261+O262, 0)</f>
        <v>0</v>
      </c>
      <c r="R262" s="6" t="str">
        <f>IF(AND(L262&gt;='Amort. Sched.-BEST'!$R$8, L262&lt;= ($R$7+$R$8)), N262/M262, " ")</f>
        <v xml:space="preserve"> </v>
      </c>
      <c r="S262" s="21" t="str">
        <f>IF(AND(L262&gt;='Amort. Sched.-BEST'!$R$8, L262&lt;= ($R$7+$R$8)), O262/M262, " ")</f>
        <v xml:space="preserve"> </v>
      </c>
      <c r="U262" s="22">
        <f t="shared" si="53"/>
        <v>251</v>
      </c>
      <c r="V262" s="23">
        <f>IF(AND(U262&gt;='Amort. Sched.-BEST'!$AA$8, U262&lt;= ($AA$7+$AA$8)), PMT('Amort. Sched.-BEST'!$W$8/12, 'Amort. Sched.-BEST'!$AA$7, 'Amort. Sched.-BEST'!$W$7), 0)</f>
        <v>0</v>
      </c>
      <c r="W262" s="5">
        <f>IF(AND(U262&gt;='Amort. Sched.-BEST'!$AA$8, U262&lt;= ($AA$7+$AA$8)), (IPMT($W$8/12, (U262-$AA$8), $AA$7, $W$7)), 0)</f>
        <v>0</v>
      </c>
      <c r="X262" s="23">
        <f>IF(AND(U262&gt;='Amort. Sched.-BEST'!$AA$8, U262&lt;= ($AA$7+$AA$8)), (PPMT($W$8/12, (U262-$AA$8), $AA$7, $W$7)), 0)</f>
        <v>0</v>
      </c>
      <c r="Y262" s="5">
        <f>IF(CreditAmort2BEST[[#This Row],[Month]]=AA$8,W$7,0)</f>
        <v>0</v>
      </c>
      <c r="Z262" s="13">
        <f>IF(AND(U262&gt;='Amort. Sched.-BEST'!$AA$8, U262&lt;= ($AA$7+$AA$8)), Z261+X262, 0)</f>
        <v>0</v>
      </c>
      <c r="AA262" s="24" t="str">
        <f>IF(AND(U262&gt;='Amort. Sched.-BEST'!$AA$8, U262&lt;= ($AA$7+$AA$8)), W262/V262, " ")</f>
        <v xml:space="preserve"> </v>
      </c>
      <c r="AB262" s="25" t="str">
        <f>IF(AND(U262&gt;='Amort. Sched.-BEST'!$AA$8, U262&lt;= ($AA$7+$AA$8)), X262/V262, " ")</f>
        <v xml:space="preserve"> </v>
      </c>
      <c r="AD262" s="22">
        <f t="shared" si="54"/>
        <v>251</v>
      </c>
      <c r="AE262" s="5">
        <f t="shared" si="55"/>
        <v>0</v>
      </c>
      <c r="AF262" s="5">
        <f t="shared" si="56"/>
        <v>0</v>
      </c>
      <c r="AG262" s="5">
        <f t="shared" si="57"/>
        <v>0</v>
      </c>
      <c r="AH262" s="5">
        <f>IF(CreditAmort3BEST[[#This Row],[Month]]=AJ$8,AF$7,0)</f>
        <v>0</v>
      </c>
      <c r="AI262" s="13">
        <f t="shared" si="58"/>
        <v>0</v>
      </c>
      <c r="AJ262" s="6" t="str">
        <f t="shared" si="59"/>
        <v xml:space="preserve"> </v>
      </c>
      <c r="AK262" s="21" t="str">
        <f t="shared" si="60"/>
        <v xml:space="preserve"> </v>
      </c>
      <c r="AM262" s="20">
        <f t="shared" si="61"/>
        <v>251</v>
      </c>
      <c r="AN262" s="5">
        <f t="shared" si="62"/>
        <v>0</v>
      </c>
      <c r="AO262" s="5">
        <f t="shared" si="63"/>
        <v>0</v>
      </c>
      <c r="AP262" s="5">
        <f t="shared" si="64"/>
        <v>0</v>
      </c>
      <c r="AQ262" s="5">
        <f>IF(CreditAmort4BEST[[#This Row],[Month]]=AS$8,AO$7,0)</f>
        <v>0</v>
      </c>
      <c r="AR262" s="13">
        <f t="shared" si="65"/>
        <v>0</v>
      </c>
      <c r="AS262" s="6" t="str">
        <f t="shared" si="66"/>
        <v xml:space="preserve"> </v>
      </c>
      <c r="AT262" s="21" t="str">
        <f t="shared" si="67"/>
        <v xml:space="preserve"> </v>
      </c>
    </row>
    <row r="263" spans="3:46">
      <c r="C263" s="22">
        <f t="shared" si="52"/>
        <v>252</v>
      </c>
      <c r="D263" s="23">
        <f>IF(AND(C263&gt;='Amort. Sched.-BEST'!$I$8, C263&lt;= ($I$7+$I$8)), PMT('Amort. Sched.-BEST'!$E$8/12, 'Amort. Sched.-BEST'!$I$7, 'Amort. Sched.-BEST'!$E$7), 0)</f>
        <v>-1350.6783839027553</v>
      </c>
      <c r="E263" s="5">
        <f>IF(AND(C263&gt;='Amort. Sched.-BEST'!$I$8, C263&lt;= ($I$7+$I$8)), (IPMT($E$8/12, (C263-$I$8), $I$7, $E$7)), 0)</f>
        <v>-375.34469390338705</v>
      </c>
      <c r="F263" s="23">
        <f>IF(AND(C263&gt;='Amort. Sched.-BEST'!$I$8, C263&lt;= ($I$7+$I$8)), (PPMT($E$8/12, (C263-$I$8), $I$7, $E$7)), 0)</f>
        <v>-975.3336899993684</v>
      </c>
      <c r="G263" s="5">
        <f>IF(MortgageAmortBEST[[#This Row],[Month]]=I$8,E$7,0)</f>
        <v>0</v>
      </c>
      <c r="H263" s="13">
        <f>IF(AND(C263&gt;='Amort. Sched.-BEST'!$I$8, C263&lt;= ($I$7+$I$8)), H262+F263, 0)</f>
        <v>55326.370395508668</v>
      </c>
      <c r="I263" s="24">
        <f>IF(AND(C263&gt;='Amort. Sched.-BEST'!$I$8, C263&lt;= ($I$7+$I$8)), E263/D263, " ")</f>
        <v>0.27789346329718911</v>
      </c>
      <c r="J263" s="25">
        <f>IF(AND(C263&gt;='Amort. Sched.-BEST'!$I$8, C263&lt;= ($I$7+$I$8)), F263/D263, " ")</f>
        <v>0.722106536702811</v>
      </c>
      <c r="L263" s="20">
        <f t="shared" si="51"/>
        <v>252</v>
      </c>
      <c r="M263" s="5">
        <f>IF(AND(L263&gt;='Amort. Sched.-BEST'!$R$8, L263&lt;= ($R$7+$R$8)), PMT('Amort. Sched.-BEST'!$N$8/12, 'Amort. Sched.-BEST'!$R$7, 'Amort. Sched.-BEST'!$N$7), 0)</f>
        <v>0</v>
      </c>
      <c r="N263" s="5">
        <f>IF(AND(L263&gt;='Amort. Sched.-BEST'!$R$8, L263&lt;= ($R$7+$R$8)), (IPMT($N$8/12, (L263-$R$8), $R$7, $N$7)), 0)</f>
        <v>0</v>
      </c>
      <c r="O263" s="5">
        <f>IF(AND(L263&gt;='Amort. Sched.-BEST'!$R$8, L263&lt;= ($R$7+$R$8)), (PPMT($N$8/12, (L263-$R$8), $R$7, $N$7)), 0)</f>
        <v>0</v>
      </c>
      <c r="P263" s="5">
        <f>IF(CreditAmort1BEST[[#This Row],[Month]]=R$8,N$7,0)</f>
        <v>0</v>
      </c>
      <c r="Q263" s="13">
        <f>IF(AND(L263&gt;='Amort. Sched.-BEST'!$R$8, L263&lt;= ($R$7+$R$8)), Q262+O263, 0)</f>
        <v>0</v>
      </c>
      <c r="R263" s="6" t="str">
        <f>IF(AND(L263&gt;='Amort. Sched.-BEST'!$R$8, L263&lt;= ($R$7+$R$8)), N263/M263, " ")</f>
        <v xml:space="preserve"> </v>
      </c>
      <c r="S263" s="21" t="str">
        <f>IF(AND(L263&gt;='Amort. Sched.-BEST'!$R$8, L263&lt;= ($R$7+$R$8)), O263/M263, " ")</f>
        <v xml:space="preserve"> </v>
      </c>
      <c r="U263" s="22">
        <f t="shared" si="53"/>
        <v>252</v>
      </c>
      <c r="V263" s="23">
        <f>IF(AND(U263&gt;='Amort. Sched.-BEST'!$AA$8, U263&lt;= ($AA$7+$AA$8)), PMT('Amort. Sched.-BEST'!$W$8/12, 'Amort. Sched.-BEST'!$AA$7, 'Amort. Sched.-BEST'!$W$7), 0)</f>
        <v>0</v>
      </c>
      <c r="W263" s="5">
        <f>IF(AND(U263&gt;='Amort. Sched.-BEST'!$AA$8, U263&lt;= ($AA$7+$AA$8)), (IPMT($W$8/12, (U263-$AA$8), $AA$7, $W$7)), 0)</f>
        <v>0</v>
      </c>
      <c r="X263" s="23">
        <f>IF(AND(U263&gt;='Amort. Sched.-BEST'!$AA$8, U263&lt;= ($AA$7+$AA$8)), (PPMT($W$8/12, (U263-$AA$8), $AA$7, $W$7)), 0)</f>
        <v>0</v>
      </c>
      <c r="Y263" s="5">
        <f>IF(CreditAmort2BEST[[#This Row],[Month]]=AA$8,W$7,0)</f>
        <v>0</v>
      </c>
      <c r="Z263" s="13">
        <f>IF(AND(U263&gt;='Amort. Sched.-BEST'!$AA$8, U263&lt;= ($AA$7+$AA$8)), Z262+X263, 0)</f>
        <v>0</v>
      </c>
      <c r="AA263" s="24" t="str">
        <f>IF(AND(U263&gt;='Amort. Sched.-BEST'!$AA$8, U263&lt;= ($AA$7+$AA$8)), W263/V263, " ")</f>
        <v xml:space="preserve"> </v>
      </c>
      <c r="AB263" s="25" t="str">
        <f>IF(AND(U263&gt;='Amort. Sched.-BEST'!$AA$8, U263&lt;= ($AA$7+$AA$8)), X263/V263, " ")</f>
        <v xml:space="preserve"> </v>
      </c>
      <c r="AD263" s="22">
        <f t="shared" si="54"/>
        <v>252</v>
      </c>
      <c r="AE263" s="5">
        <f t="shared" si="55"/>
        <v>0</v>
      </c>
      <c r="AF263" s="5">
        <f t="shared" si="56"/>
        <v>0</v>
      </c>
      <c r="AG263" s="5">
        <f t="shared" si="57"/>
        <v>0</v>
      </c>
      <c r="AH263" s="5">
        <f>IF(CreditAmort3BEST[[#This Row],[Month]]=AJ$8,AF$7,0)</f>
        <v>0</v>
      </c>
      <c r="AI263" s="13">
        <f t="shared" si="58"/>
        <v>0</v>
      </c>
      <c r="AJ263" s="6" t="str">
        <f t="shared" si="59"/>
        <v xml:space="preserve"> </v>
      </c>
      <c r="AK263" s="21" t="str">
        <f t="shared" si="60"/>
        <v xml:space="preserve"> </v>
      </c>
      <c r="AM263" s="20">
        <f t="shared" si="61"/>
        <v>252</v>
      </c>
      <c r="AN263" s="5">
        <f t="shared" si="62"/>
        <v>0</v>
      </c>
      <c r="AO263" s="5">
        <f t="shared" si="63"/>
        <v>0</v>
      </c>
      <c r="AP263" s="5">
        <f t="shared" si="64"/>
        <v>0</v>
      </c>
      <c r="AQ263" s="5">
        <f>IF(CreditAmort4BEST[[#This Row],[Month]]=AS$8,AO$7,0)</f>
        <v>0</v>
      </c>
      <c r="AR263" s="13">
        <f t="shared" si="65"/>
        <v>0</v>
      </c>
      <c r="AS263" s="6" t="str">
        <f t="shared" si="66"/>
        <v xml:space="preserve"> </v>
      </c>
      <c r="AT263" s="21" t="str">
        <f t="shared" si="67"/>
        <v xml:space="preserve"> </v>
      </c>
    </row>
    <row r="264" spans="3:46">
      <c r="C264" s="22">
        <f t="shared" si="52"/>
        <v>253</v>
      </c>
      <c r="D264" s="23">
        <f>IF(AND(C264&gt;='Amort. Sched.-BEST'!$I$8, C264&lt;= ($I$7+$I$8)), PMT('Amort. Sched.-BEST'!$E$8/12, 'Amort. Sched.-BEST'!$I$7, 'Amort. Sched.-BEST'!$E$7), 0)</f>
        <v>-1350.6783839027553</v>
      </c>
      <c r="E264" s="5">
        <f>IF(AND(C264&gt;='Amort. Sched.-BEST'!$I$8, C264&lt;= ($I$7+$I$8)), (IPMT($E$8/12, (C264-$I$8), $I$7, $E$7)), 0)</f>
        <v>-368.84246930339117</v>
      </c>
      <c r="F264" s="23">
        <f>IF(AND(C264&gt;='Amort. Sched.-BEST'!$I$8, C264&lt;= ($I$7+$I$8)), (PPMT($E$8/12, (C264-$I$8), $I$7, $E$7)), 0)</f>
        <v>-981.83591459936406</v>
      </c>
      <c r="G264" s="5">
        <f>IF(MortgageAmortBEST[[#This Row],[Month]]=I$8,E$7,0)</f>
        <v>0</v>
      </c>
      <c r="H264" s="13">
        <f>IF(AND(C264&gt;='Amort. Sched.-BEST'!$I$8, C264&lt;= ($I$7+$I$8)), H263+F264, 0)</f>
        <v>54344.5344809093</v>
      </c>
      <c r="I264" s="24">
        <f>IF(AND(C264&gt;='Amort. Sched.-BEST'!$I$8, C264&lt;= ($I$7+$I$8)), E264/D264, " ")</f>
        <v>0.27307941971917032</v>
      </c>
      <c r="J264" s="25">
        <f>IF(AND(C264&gt;='Amort. Sched.-BEST'!$I$8, C264&lt;= ($I$7+$I$8)), F264/D264, " ")</f>
        <v>0.72692058028082962</v>
      </c>
      <c r="L264" s="20">
        <f t="shared" si="51"/>
        <v>253</v>
      </c>
      <c r="M264" s="5">
        <f>IF(AND(L264&gt;='Amort. Sched.-BEST'!$R$8, L264&lt;= ($R$7+$R$8)), PMT('Amort. Sched.-BEST'!$N$8/12, 'Amort. Sched.-BEST'!$R$7, 'Amort. Sched.-BEST'!$N$7), 0)</f>
        <v>0</v>
      </c>
      <c r="N264" s="5">
        <f>IF(AND(L264&gt;='Amort. Sched.-BEST'!$R$8, L264&lt;= ($R$7+$R$8)), (IPMT($N$8/12, (L264-$R$8), $R$7, $N$7)), 0)</f>
        <v>0</v>
      </c>
      <c r="O264" s="5">
        <f>IF(AND(L264&gt;='Amort. Sched.-BEST'!$R$8, L264&lt;= ($R$7+$R$8)), (PPMT($N$8/12, (L264-$R$8), $R$7, $N$7)), 0)</f>
        <v>0</v>
      </c>
      <c r="P264" s="5">
        <f>IF(CreditAmort1BEST[[#This Row],[Month]]=R$8,N$7,0)</f>
        <v>0</v>
      </c>
      <c r="Q264" s="13">
        <f>IF(AND(L264&gt;='Amort. Sched.-BEST'!$R$8, L264&lt;= ($R$7+$R$8)), Q263+O264, 0)</f>
        <v>0</v>
      </c>
      <c r="R264" s="6" t="str">
        <f>IF(AND(L264&gt;='Amort. Sched.-BEST'!$R$8, L264&lt;= ($R$7+$R$8)), N264/M264, " ")</f>
        <v xml:space="preserve"> </v>
      </c>
      <c r="S264" s="21" t="str">
        <f>IF(AND(L264&gt;='Amort. Sched.-BEST'!$R$8, L264&lt;= ($R$7+$R$8)), O264/M264, " ")</f>
        <v xml:space="preserve"> </v>
      </c>
      <c r="U264" s="22">
        <f t="shared" si="53"/>
        <v>253</v>
      </c>
      <c r="V264" s="23">
        <f>IF(AND(U264&gt;='Amort. Sched.-BEST'!$AA$8, U264&lt;= ($AA$7+$AA$8)), PMT('Amort. Sched.-BEST'!$W$8/12, 'Amort. Sched.-BEST'!$AA$7, 'Amort. Sched.-BEST'!$W$7), 0)</f>
        <v>0</v>
      </c>
      <c r="W264" s="5">
        <f>IF(AND(U264&gt;='Amort. Sched.-BEST'!$AA$8, U264&lt;= ($AA$7+$AA$8)), (IPMT($W$8/12, (U264-$AA$8), $AA$7, $W$7)), 0)</f>
        <v>0</v>
      </c>
      <c r="X264" s="23">
        <f>IF(AND(U264&gt;='Amort. Sched.-BEST'!$AA$8, U264&lt;= ($AA$7+$AA$8)), (PPMT($W$8/12, (U264-$AA$8), $AA$7, $W$7)), 0)</f>
        <v>0</v>
      </c>
      <c r="Y264" s="5">
        <f>IF(CreditAmort2BEST[[#This Row],[Month]]=AA$8,W$7,0)</f>
        <v>0</v>
      </c>
      <c r="Z264" s="13">
        <f>IF(AND(U264&gt;='Amort. Sched.-BEST'!$AA$8, U264&lt;= ($AA$7+$AA$8)), Z263+X264, 0)</f>
        <v>0</v>
      </c>
      <c r="AA264" s="24" t="str">
        <f>IF(AND(U264&gt;='Amort. Sched.-BEST'!$AA$8, U264&lt;= ($AA$7+$AA$8)), W264/V264, " ")</f>
        <v xml:space="preserve"> </v>
      </c>
      <c r="AB264" s="25" t="str">
        <f>IF(AND(U264&gt;='Amort. Sched.-BEST'!$AA$8, U264&lt;= ($AA$7+$AA$8)), X264/V264, " ")</f>
        <v xml:space="preserve"> </v>
      </c>
      <c r="AD264" s="22">
        <f t="shared" si="54"/>
        <v>253</v>
      </c>
      <c r="AE264" s="5">
        <f t="shared" si="55"/>
        <v>0</v>
      </c>
      <c r="AF264" s="5">
        <f t="shared" si="56"/>
        <v>0</v>
      </c>
      <c r="AG264" s="5">
        <f t="shared" si="57"/>
        <v>0</v>
      </c>
      <c r="AH264" s="5">
        <f>IF(CreditAmort3BEST[[#This Row],[Month]]=AJ$8,AF$7,0)</f>
        <v>0</v>
      </c>
      <c r="AI264" s="13">
        <f t="shared" si="58"/>
        <v>0</v>
      </c>
      <c r="AJ264" s="6" t="str">
        <f t="shared" si="59"/>
        <v xml:space="preserve"> </v>
      </c>
      <c r="AK264" s="21" t="str">
        <f t="shared" si="60"/>
        <v xml:space="preserve"> </v>
      </c>
      <c r="AM264" s="20">
        <f t="shared" si="61"/>
        <v>253</v>
      </c>
      <c r="AN264" s="5">
        <f t="shared" si="62"/>
        <v>0</v>
      </c>
      <c r="AO264" s="5">
        <f t="shared" si="63"/>
        <v>0</v>
      </c>
      <c r="AP264" s="5">
        <f t="shared" si="64"/>
        <v>0</v>
      </c>
      <c r="AQ264" s="5">
        <f>IF(CreditAmort4BEST[[#This Row],[Month]]=AS$8,AO$7,0)</f>
        <v>0</v>
      </c>
      <c r="AR264" s="13">
        <f t="shared" si="65"/>
        <v>0</v>
      </c>
      <c r="AS264" s="6" t="str">
        <f t="shared" si="66"/>
        <v xml:space="preserve"> </v>
      </c>
      <c r="AT264" s="21" t="str">
        <f t="shared" si="67"/>
        <v xml:space="preserve"> </v>
      </c>
    </row>
    <row r="265" spans="3:46">
      <c r="C265" s="22">
        <f t="shared" si="52"/>
        <v>254</v>
      </c>
      <c r="D265" s="23">
        <f>IF(AND(C265&gt;='Amort. Sched.-BEST'!$I$8, C265&lt;= ($I$7+$I$8)), PMT('Amort. Sched.-BEST'!$E$8/12, 'Amort. Sched.-BEST'!$I$7, 'Amort. Sched.-BEST'!$E$7), 0)</f>
        <v>-1350.6783839027553</v>
      </c>
      <c r="E265" s="5">
        <f>IF(AND(C265&gt;='Amort. Sched.-BEST'!$I$8, C265&lt;= ($I$7+$I$8)), (IPMT($E$8/12, (C265-$I$8), $I$7, $E$7)), 0)</f>
        <v>-362.2968965393955</v>
      </c>
      <c r="F265" s="23">
        <f>IF(AND(C265&gt;='Amort. Sched.-BEST'!$I$8, C265&lt;= ($I$7+$I$8)), (PPMT($E$8/12, (C265-$I$8), $I$7, $E$7)), 0)</f>
        <v>-988.38148736335984</v>
      </c>
      <c r="G265" s="5">
        <f>IF(MortgageAmortBEST[[#This Row],[Month]]=I$8,E$7,0)</f>
        <v>0</v>
      </c>
      <c r="H265" s="13">
        <f>IF(AND(C265&gt;='Amort. Sched.-BEST'!$I$8, C265&lt;= ($I$7+$I$8)), H264+F265, 0)</f>
        <v>53356.15299354594</v>
      </c>
      <c r="I265" s="24">
        <f>IF(AND(C265&gt;='Amort. Sched.-BEST'!$I$8, C265&lt;= ($I$7+$I$8)), E265/D265, " ")</f>
        <v>0.26823328251729817</v>
      </c>
      <c r="J265" s="25">
        <f>IF(AND(C265&gt;='Amort. Sched.-BEST'!$I$8, C265&lt;= ($I$7+$I$8)), F265/D265, " ")</f>
        <v>0.73176671748270183</v>
      </c>
      <c r="L265" s="20">
        <f t="shared" si="51"/>
        <v>254</v>
      </c>
      <c r="M265" s="5">
        <f>IF(AND(L265&gt;='Amort. Sched.-BEST'!$R$8, L265&lt;= ($R$7+$R$8)), PMT('Amort. Sched.-BEST'!$N$8/12, 'Amort. Sched.-BEST'!$R$7, 'Amort. Sched.-BEST'!$N$7), 0)</f>
        <v>0</v>
      </c>
      <c r="N265" s="5">
        <f>IF(AND(L265&gt;='Amort. Sched.-BEST'!$R$8, L265&lt;= ($R$7+$R$8)), (IPMT($N$8/12, (L265-$R$8), $R$7, $N$7)), 0)</f>
        <v>0</v>
      </c>
      <c r="O265" s="5">
        <f>IF(AND(L265&gt;='Amort. Sched.-BEST'!$R$8, L265&lt;= ($R$7+$R$8)), (PPMT($N$8/12, (L265-$R$8), $R$7, $N$7)), 0)</f>
        <v>0</v>
      </c>
      <c r="P265" s="5">
        <f>IF(CreditAmort1BEST[[#This Row],[Month]]=R$8,N$7,0)</f>
        <v>0</v>
      </c>
      <c r="Q265" s="13">
        <f>IF(AND(L265&gt;='Amort. Sched.-BEST'!$R$8, L265&lt;= ($R$7+$R$8)), Q264+O265, 0)</f>
        <v>0</v>
      </c>
      <c r="R265" s="6" t="str">
        <f>IF(AND(L265&gt;='Amort. Sched.-BEST'!$R$8, L265&lt;= ($R$7+$R$8)), N265/M265, " ")</f>
        <v xml:space="preserve"> </v>
      </c>
      <c r="S265" s="21" t="str">
        <f>IF(AND(L265&gt;='Amort. Sched.-BEST'!$R$8, L265&lt;= ($R$7+$R$8)), O265/M265, " ")</f>
        <v xml:space="preserve"> </v>
      </c>
      <c r="U265" s="22">
        <f t="shared" si="53"/>
        <v>254</v>
      </c>
      <c r="V265" s="23">
        <f>IF(AND(U265&gt;='Amort. Sched.-BEST'!$AA$8, U265&lt;= ($AA$7+$AA$8)), PMT('Amort. Sched.-BEST'!$W$8/12, 'Amort. Sched.-BEST'!$AA$7, 'Amort. Sched.-BEST'!$W$7), 0)</f>
        <v>0</v>
      </c>
      <c r="W265" s="5">
        <f>IF(AND(U265&gt;='Amort. Sched.-BEST'!$AA$8, U265&lt;= ($AA$7+$AA$8)), (IPMT($W$8/12, (U265-$AA$8), $AA$7, $W$7)), 0)</f>
        <v>0</v>
      </c>
      <c r="X265" s="23">
        <f>IF(AND(U265&gt;='Amort. Sched.-BEST'!$AA$8, U265&lt;= ($AA$7+$AA$8)), (PPMT($W$8/12, (U265-$AA$8), $AA$7, $W$7)), 0)</f>
        <v>0</v>
      </c>
      <c r="Y265" s="5">
        <f>IF(CreditAmort2BEST[[#This Row],[Month]]=AA$8,W$7,0)</f>
        <v>0</v>
      </c>
      <c r="Z265" s="13">
        <f>IF(AND(U265&gt;='Amort. Sched.-BEST'!$AA$8, U265&lt;= ($AA$7+$AA$8)), Z264+X265, 0)</f>
        <v>0</v>
      </c>
      <c r="AA265" s="24" t="str">
        <f>IF(AND(U265&gt;='Amort. Sched.-BEST'!$AA$8, U265&lt;= ($AA$7+$AA$8)), W265/V265, " ")</f>
        <v xml:space="preserve"> </v>
      </c>
      <c r="AB265" s="25" t="str">
        <f>IF(AND(U265&gt;='Amort. Sched.-BEST'!$AA$8, U265&lt;= ($AA$7+$AA$8)), X265/V265, " ")</f>
        <v xml:space="preserve"> </v>
      </c>
      <c r="AD265" s="22">
        <f t="shared" si="54"/>
        <v>254</v>
      </c>
      <c r="AE265" s="5">
        <f t="shared" si="55"/>
        <v>0</v>
      </c>
      <c r="AF265" s="5">
        <f t="shared" si="56"/>
        <v>0</v>
      </c>
      <c r="AG265" s="5">
        <f t="shared" si="57"/>
        <v>0</v>
      </c>
      <c r="AH265" s="5">
        <f>IF(CreditAmort3BEST[[#This Row],[Month]]=AJ$8,AF$7,0)</f>
        <v>0</v>
      </c>
      <c r="AI265" s="13">
        <f t="shared" si="58"/>
        <v>0</v>
      </c>
      <c r="AJ265" s="6" t="str">
        <f t="shared" si="59"/>
        <v xml:space="preserve"> </v>
      </c>
      <c r="AK265" s="21" t="str">
        <f t="shared" si="60"/>
        <v xml:space="preserve"> </v>
      </c>
      <c r="AM265" s="20">
        <f t="shared" si="61"/>
        <v>254</v>
      </c>
      <c r="AN265" s="5">
        <f t="shared" si="62"/>
        <v>0</v>
      </c>
      <c r="AO265" s="5">
        <f t="shared" si="63"/>
        <v>0</v>
      </c>
      <c r="AP265" s="5">
        <f t="shared" si="64"/>
        <v>0</v>
      </c>
      <c r="AQ265" s="5">
        <f>IF(CreditAmort4BEST[[#This Row],[Month]]=AS$8,AO$7,0)</f>
        <v>0</v>
      </c>
      <c r="AR265" s="13">
        <f t="shared" si="65"/>
        <v>0</v>
      </c>
      <c r="AS265" s="6" t="str">
        <f t="shared" si="66"/>
        <v xml:space="preserve"> </v>
      </c>
      <c r="AT265" s="21" t="str">
        <f t="shared" si="67"/>
        <v xml:space="preserve"> </v>
      </c>
    </row>
    <row r="266" spans="3:46">
      <c r="C266" s="22">
        <f t="shared" si="52"/>
        <v>255</v>
      </c>
      <c r="D266" s="23">
        <f>IF(AND(C266&gt;='Amort. Sched.-BEST'!$I$8, C266&lt;= ($I$7+$I$8)), PMT('Amort. Sched.-BEST'!$E$8/12, 'Amort. Sched.-BEST'!$I$7, 'Amort. Sched.-BEST'!$E$7), 0)</f>
        <v>-1350.6783839027553</v>
      </c>
      <c r="E266" s="5">
        <f>IF(AND(C266&gt;='Amort. Sched.-BEST'!$I$8, C266&lt;= ($I$7+$I$8)), (IPMT($E$8/12, (C266-$I$8), $I$7, $E$7)), 0)</f>
        <v>-355.7076866236398</v>
      </c>
      <c r="F266" s="23">
        <f>IF(AND(C266&gt;='Amort. Sched.-BEST'!$I$8, C266&lt;= ($I$7+$I$8)), (PPMT($E$8/12, (C266-$I$8), $I$7, $E$7)), 0)</f>
        <v>-994.9706972791156</v>
      </c>
      <c r="G266" s="5">
        <f>IF(MortgageAmortBEST[[#This Row],[Month]]=I$8,E$7,0)</f>
        <v>0</v>
      </c>
      <c r="H266" s="13">
        <f>IF(AND(C266&gt;='Amort. Sched.-BEST'!$I$8, C266&lt;= ($I$7+$I$8)), H265+F266, 0)</f>
        <v>52361.182296266823</v>
      </c>
      <c r="I266" s="24">
        <f>IF(AND(C266&gt;='Amort. Sched.-BEST'!$I$8, C266&lt;= ($I$7+$I$8)), E266/D266, " ")</f>
        <v>0.26335483773408019</v>
      </c>
      <c r="J266" s="25">
        <f>IF(AND(C266&gt;='Amort. Sched.-BEST'!$I$8, C266&lt;= ($I$7+$I$8)), F266/D266, " ")</f>
        <v>0.73664516226591992</v>
      </c>
      <c r="L266" s="20">
        <f t="shared" si="51"/>
        <v>255</v>
      </c>
      <c r="M266" s="5">
        <f>IF(AND(L266&gt;='Amort. Sched.-BEST'!$R$8, L266&lt;= ($R$7+$R$8)), PMT('Amort. Sched.-BEST'!$N$8/12, 'Amort. Sched.-BEST'!$R$7, 'Amort. Sched.-BEST'!$N$7), 0)</f>
        <v>0</v>
      </c>
      <c r="N266" s="5">
        <f>IF(AND(L266&gt;='Amort. Sched.-BEST'!$R$8, L266&lt;= ($R$7+$R$8)), (IPMT($N$8/12, (L266-$R$8), $R$7, $N$7)), 0)</f>
        <v>0</v>
      </c>
      <c r="O266" s="5">
        <f>IF(AND(L266&gt;='Amort. Sched.-BEST'!$R$8, L266&lt;= ($R$7+$R$8)), (PPMT($N$8/12, (L266-$R$8), $R$7, $N$7)), 0)</f>
        <v>0</v>
      </c>
      <c r="P266" s="5">
        <f>IF(CreditAmort1BEST[[#This Row],[Month]]=R$8,N$7,0)</f>
        <v>0</v>
      </c>
      <c r="Q266" s="13">
        <f>IF(AND(L266&gt;='Amort. Sched.-BEST'!$R$8, L266&lt;= ($R$7+$R$8)), Q265+O266, 0)</f>
        <v>0</v>
      </c>
      <c r="R266" s="6" t="str">
        <f>IF(AND(L266&gt;='Amort. Sched.-BEST'!$R$8, L266&lt;= ($R$7+$R$8)), N266/M266, " ")</f>
        <v xml:space="preserve"> </v>
      </c>
      <c r="S266" s="21" t="str">
        <f>IF(AND(L266&gt;='Amort. Sched.-BEST'!$R$8, L266&lt;= ($R$7+$R$8)), O266/M266, " ")</f>
        <v xml:space="preserve"> </v>
      </c>
      <c r="U266" s="22">
        <f t="shared" si="53"/>
        <v>255</v>
      </c>
      <c r="V266" s="23">
        <f>IF(AND(U266&gt;='Amort. Sched.-BEST'!$AA$8, U266&lt;= ($AA$7+$AA$8)), PMT('Amort. Sched.-BEST'!$W$8/12, 'Amort. Sched.-BEST'!$AA$7, 'Amort. Sched.-BEST'!$W$7), 0)</f>
        <v>0</v>
      </c>
      <c r="W266" s="5">
        <f>IF(AND(U266&gt;='Amort. Sched.-BEST'!$AA$8, U266&lt;= ($AA$7+$AA$8)), (IPMT($W$8/12, (U266-$AA$8), $AA$7, $W$7)), 0)</f>
        <v>0</v>
      </c>
      <c r="X266" s="23">
        <f>IF(AND(U266&gt;='Amort. Sched.-BEST'!$AA$8, U266&lt;= ($AA$7+$AA$8)), (PPMT($W$8/12, (U266-$AA$8), $AA$7, $W$7)), 0)</f>
        <v>0</v>
      </c>
      <c r="Y266" s="5">
        <f>IF(CreditAmort2BEST[[#This Row],[Month]]=AA$8,W$7,0)</f>
        <v>0</v>
      </c>
      <c r="Z266" s="13">
        <f>IF(AND(U266&gt;='Amort. Sched.-BEST'!$AA$8, U266&lt;= ($AA$7+$AA$8)), Z265+X266, 0)</f>
        <v>0</v>
      </c>
      <c r="AA266" s="24" t="str">
        <f>IF(AND(U266&gt;='Amort. Sched.-BEST'!$AA$8, U266&lt;= ($AA$7+$AA$8)), W266/V266, " ")</f>
        <v xml:space="preserve"> </v>
      </c>
      <c r="AB266" s="25" t="str">
        <f>IF(AND(U266&gt;='Amort. Sched.-BEST'!$AA$8, U266&lt;= ($AA$7+$AA$8)), X266/V266, " ")</f>
        <v xml:space="preserve"> </v>
      </c>
      <c r="AD266" s="22">
        <f t="shared" si="54"/>
        <v>255</v>
      </c>
      <c r="AE266" s="5">
        <f t="shared" si="55"/>
        <v>0</v>
      </c>
      <c r="AF266" s="5">
        <f t="shared" si="56"/>
        <v>0</v>
      </c>
      <c r="AG266" s="5">
        <f t="shared" si="57"/>
        <v>0</v>
      </c>
      <c r="AH266" s="5">
        <f>IF(CreditAmort3BEST[[#This Row],[Month]]=AJ$8,AF$7,0)</f>
        <v>0</v>
      </c>
      <c r="AI266" s="13">
        <f t="shared" si="58"/>
        <v>0</v>
      </c>
      <c r="AJ266" s="6" t="str">
        <f t="shared" si="59"/>
        <v xml:space="preserve"> </v>
      </c>
      <c r="AK266" s="21" t="str">
        <f t="shared" si="60"/>
        <v xml:space="preserve"> </v>
      </c>
      <c r="AM266" s="20">
        <f t="shared" si="61"/>
        <v>255</v>
      </c>
      <c r="AN266" s="5">
        <f t="shared" si="62"/>
        <v>0</v>
      </c>
      <c r="AO266" s="5">
        <f t="shared" si="63"/>
        <v>0</v>
      </c>
      <c r="AP266" s="5">
        <f t="shared" si="64"/>
        <v>0</v>
      </c>
      <c r="AQ266" s="5">
        <f>IF(CreditAmort4BEST[[#This Row],[Month]]=AS$8,AO$7,0)</f>
        <v>0</v>
      </c>
      <c r="AR266" s="13">
        <f t="shared" si="65"/>
        <v>0</v>
      </c>
      <c r="AS266" s="6" t="str">
        <f t="shared" si="66"/>
        <v xml:space="preserve"> </v>
      </c>
      <c r="AT266" s="21" t="str">
        <f t="shared" si="67"/>
        <v xml:space="preserve"> </v>
      </c>
    </row>
    <row r="267" spans="3:46">
      <c r="C267" s="22">
        <f t="shared" si="52"/>
        <v>256</v>
      </c>
      <c r="D267" s="23">
        <f>IF(AND(C267&gt;='Amort. Sched.-BEST'!$I$8, C267&lt;= ($I$7+$I$8)), PMT('Amort. Sched.-BEST'!$E$8/12, 'Amort. Sched.-BEST'!$I$7, 'Amort. Sched.-BEST'!$E$7), 0)</f>
        <v>-1350.6783839027553</v>
      </c>
      <c r="E267" s="5">
        <f>IF(AND(C267&gt;='Amort. Sched.-BEST'!$I$8, C267&lt;= ($I$7+$I$8)), (IPMT($E$8/12, (C267-$I$8), $I$7, $E$7)), 0)</f>
        <v>-349.07454864177896</v>
      </c>
      <c r="F267" s="23">
        <f>IF(AND(C267&gt;='Amort. Sched.-BEST'!$I$8, C267&lt;= ($I$7+$I$8)), (PPMT($E$8/12, (C267-$I$8), $I$7, $E$7)), 0)</f>
        <v>-1001.6038352609762</v>
      </c>
      <c r="G267" s="5">
        <f>IF(MortgageAmortBEST[[#This Row],[Month]]=I$8,E$7,0)</f>
        <v>0</v>
      </c>
      <c r="H267" s="13">
        <f>IF(AND(C267&gt;='Amort. Sched.-BEST'!$I$8, C267&lt;= ($I$7+$I$8)), H266+F267, 0)</f>
        <v>51359.578461005847</v>
      </c>
      <c r="I267" s="24">
        <f>IF(AND(C267&gt;='Amort. Sched.-BEST'!$I$8, C267&lt;= ($I$7+$I$8)), E267/D267, " ")</f>
        <v>0.25844386998564067</v>
      </c>
      <c r="J267" s="25">
        <f>IF(AND(C267&gt;='Amort. Sched.-BEST'!$I$8, C267&lt;= ($I$7+$I$8)), F267/D267, " ")</f>
        <v>0.74155613001435927</v>
      </c>
      <c r="L267" s="20">
        <f t="shared" si="51"/>
        <v>256</v>
      </c>
      <c r="M267" s="5">
        <f>IF(AND(L267&gt;='Amort. Sched.-BEST'!$R$8, L267&lt;= ($R$7+$R$8)), PMT('Amort. Sched.-BEST'!$N$8/12, 'Amort. Sched.-BEST'!$R$7, 'Amort. Sched.-BEST'!$N$7), 0)</f>
        <v>0</v>
      </c>
      <c r="N267" s="5">
        <f>IF(AND(L267&gt;='Amort. Sched.-BEST'!$R$8, L267&lt;= ($R$7+$R$8)), (IPMT($N$8/12, (L267-$R$8), $R$7, $N$7)), 0)</f>
        <v>0</v>
      </c>
      <c r="O267" s="5">
        <f>IF(AND(L267&gt;='Amort. Sched.-BEST'!$R$8, L267&lt;= ($R$7+$R$8)), (PPMT($N$8/12, (L267-$R$8), $R$7, $N$7)), 0)</f>
        <v>0</v>
      </c>
      <c r="P267" s="5">
        <f>IF(CreditAmort1BEST[[#This Row],[Month]]=R$8,N$7,0)</f>
        <v>0</v>
      </c>
      <c r="Q267" s="13">
        <f>IF(AND(L267&gt;='Amort. Sched.-BEST'!$R$8, L267&lt;= ($R$7+$R$8)), Q266+O267, 0)</f>
        <v>0</v>
      </c>
      <c r="R267" s="6" t="str">
        <f>IF(AND(L267&gt;='Amort. Sched.-BEST'!$R$8, L267&lt;= ($R$7+$R$8)), N267/M267, " ")</f>
        <v xml:space="preserve"> </v>
      </c>
      <c r="S267" s="21" t="str">
        <f>IF(AND(L267&gt;='Amort. Sched.-BEST'!$R$8, L267&lt;= ($R$7+$R$8)), O267/M267, " ")</f>
        <v xml:space="preserve"> </v>
      </c>
      <c r="U267" s="22">
        <f t="shared" si="53"/>
        <v>256</v>
      </c>
      <c r="V267" s="23">
        <f>IF(AND(U267&gt;='Amort. Sched.-BEST'!$AA$8, U267&lt;= ($AA$7+$AA$8)), PMT('Amort. Sched.-BEST'!$W$8/12, 'Amort. Sched.-BEST'!$AA$7, 'Amort. Sched.-BEST'!$W$7), 0)</f>
        <v>0</v>
      </c>
      <c r="W267" s="5">
        <f>IF(AND(U267&gt;='Amort. Sched.-BEST'!$AA$8, U267&lt;= ($AA$7+$AA$8)), (IPMT($W$8/12, (U267-$AA$8), $AA$7, $W$7)), 0)</f>
        <v>0</v>
      </c>
      <c r="X267" s="23">
        <f>IF(AND(U267&gt;='Amort. Sched.-BEST'!$AA$8, U267&lt;= ($AA$7+$AA$8)), (PPMT($W$8/12, (U267-$AA$8), $AA$7, $W$7)), 0)</f>
        <v>0</v>
      </c>
      <c r="Y267" s="5">
        <f>IF(CreditAmort2BEST[[#This Row],[Month]]=AA$8,W$7,0)</f>
        <v>0</v>
      </c>
      <c r="Z267" s="13">
        <f>IF(AND(U267&gt;='Amort. Sched.-BEST'!$AA$8, U267&lt;= ($AA$7+$AA$8)), Z266+X267, 0)</f>
        <v>0</v>
      </c>
      <c r="AA267" s="24" t="str">
        <f>IF(AND(U267&gt;='Amort. Sched.-BEST'!$AA$8, U267&lt;= ($AA$7+$AA$8)), W267/V267, " ")</f>
        <v xml:space="preserve"> </v>
      </c>
      <c r="AB267" s="25" t="str">
        <f>IF(AND(U267&gt;='Amort. Sched.-BEST'!$AA$8, U267&lt;= ($AA$7+$AA$8)), X267/V267, " ")</f>
        <v xml:space="preserve"> </v>
      </c>
      <c r="AD267" s="22">
        <f t="shared" si="54"/>
        <v>256</v>
      </c>
      <c r="AE267" s="5">
        <f t="shared" si="55"/>
        <v>0</v>
      </c>
      <c r="AF267" s="5">
        <f t="shared" si="56"/>
        <v>0</v>
      </c>
      <c r="AG267" s="5">
        <f t="shared" si="57"/>
        <v>0</v>
      </c>
      <c r="AH267" s="5">
        <f>IF(CreditAmort3BEST[[#This Row],[Month]]=AJ$8,AF$7,0)</f>
        <v>0</v>
      </c>
      <c r="AI267" s="13">
        <f t="shared" si="58"/>
        <v>0</v>
      </c>
      <c r="AJ267" s="6" t="str">
        <f t="shared" si="59"/>
        <v xml:space="preserve"> </v>
      </c>
      <c r="AK267" s="21" t="str">
        <f t="shared" si="60"/>
        <v xml:space="preserve"> </v>
      </c>
      <c r="AM267" s="20">
        <f t="shared" si="61"/>
        <v>256</v>
      </c>
      <c r="AN267" s="5">
        <f t="shared" si="62"/>
        <v>0</v>
      </c>
      <c r="AO267" s="5">
        <f t="shared" si="63"/>
        <v>0</v>
      </c>
      <c r="AP267" s="5">
        <f t="shared" si="64"/>
        <v>0</v>
      </c>
      <c r="AQ267" s="5">
        <f>IF(CreditAmort4BEST[[#This Row],[Month]]=AS$8,AO$7,0)</f>
        <v>0</v>
      </c>
      <c r="AR267" s="13">
        <f t="shared" si="65"/>
        <v>0</v>
      </c>
      <c r="AS267" s="6" t="str">
        <f t="shared" si="66"/>
        <v xml:space="preserve"> </v>
      </c>
      <c r="AT267" s="21" t="str">
        <f t="shared" si="67"/>
        <v xml:space="preserve"> </v>
      </c>
    </row>
    <row r="268" spans="3:46">
      <c r="C268" s="22">
        <f t="shared" si="52"/>
        <v>257</v>
      </c>
      <c r="D268" s="23">
        <f>IF(AND(C268&gt;='Amort. Sched.-BEST'!$I$8, C268&lt;= ($I$7+$I$8)), PMT('Amort. Sched.-BEST'!$E$8/12, 'Amort. Sched.-BEST'!$I$7, 'Amort. Sched.-BEST'!$E$7), 0)</f>
        <v>-1350.6783839027553</v>
      </c>
      <c r="E268" s="5">
        <f>IF(AND(C268&gt;='Amort. Sched.-BEST'!$I$8, C268&lt;= ($I$7+$I$8)), (IPMT($E$8/12, (C268-$I$8), $I$7, $E$7)), 0)</f>
        <v>-342.39718974003915</v>
      </c>
      <c r="F268" s="23">
        <f>IF(AND(C268&gt;='Amort. Sched.-BEST'!$I$8, C268&lt;= ($I$7+$I$8)), (PPMT($E$8/12, (C268-$I$8), $I$7, $E$7)), 0)</f>
        <v>-1008.2811941627161</v>
      </c>
      <c r="G268" s="5">
        <f>IF(MortgageAmortBEST[[#This Row],[Month]]=I$8,E$7,0)</f>
        <v>0</v>
      </c>
      <c r="H268" s="13">
        <f>IF(AND(C268&gt;='Amort. Sched.-BEST'!$I$8, C268&lt;= ($I$7+$I$8)), H267+F268, 0)</f>
        <v>50351.297266843132</v>
      </c>
      <c r="I268" s="24">
        <f>IF(AND(C268&gt;='Amort. Sched.-BEST'!$I$8, C268&lt;= ($I$7+$I$8)), E268/D268, " ")</f>
        <v>0.25350016245221163</v>
      </c>
      <c r="J268" s="25">
        <f>IF(AND(C268&gt;='Amort. Sched.-BEST'!$I$8, C268&lt;= ($I$7+$I$8)), F268/D268, " ")</f>
        <v>0.74649983754778837</v>
      </c>
      <c r="L268" s="20">
        <f t="shared" ref="L268:L331" si="68">L267+1</f>
        <v>257</v>
      </c>
      <c r="M268" s="5">
        <f>IF(AND(L268&gt;='Amort. Sched.-BEST'!$R$8, L268&lt;= ($R$7+$R$8)), PMT('Amort. Sched.-BEST'!$N$8/12, 'Amort. Sched.-BEST'!$R$7, 'Amort. Sched.-BEST'!$N$7), 0)</f>
        <v>0</v>
      </c>
      <c r="N268" s="5">
        <f>IF(AND(L268&gt;='Amort. Sched.-BEST'!$R$8, L268&lt;= ($R$7+$R$8)), (IPMT($N$8/12, (L268-$R$8), $R$7, $N$7)), 0)</f>
        <v>0</v>
      </c>
      <c r="O268" s="5">
        <f>IF(AND(L268&gt;='Amort. Sched.-BEST'!$R$8, L268&lt;= ($R$7+$R$8)), (PPMT($N$8/12, (L268-$R$8), $R$7, $N$7)), 0)</f>
        <v>0</v>
      </c>
      <c r="P268" s="5">
        <f>IF(CreditAmort1BEST[[#This Row],[Month]]=R$8,N$7,0)</f>
        <v>0</v>
      </c>
      <c r="Q268" s="13">
        <f>IF(AND(L268&gt;='Amort. Sched.-BEST'!$R$8, L268&lt;= ($R$7+$R$8)), Q267+O268, 0)</f>
        <v>0</v>
      </c>
      <c r="R268" s="6" t="str">
        <f>IF(AND(L268&gt;='Amort. Sched.-BEST'!$R$8, L268&lt;= ($R$7+$R$8)), N268/M268, " ")</f>
        <v xml:space="preserve"> </v>
      </c>
      <c r="S268" s="21" t="str">
        <f>IF(AND(L268&gt;='Amort. Sched.-BEST'!$R$8, L268&lt;= ($R$7+$R$8)), O268/M268, " ")</f>
        <v xml:space="preserve"> </v>
      </c>
      <c r="U268" s="22">
        <f t="shared" si="53"/>
        <v>257</v>
      </c>
      <c r="V268" s="23">
        <f>IF(AND(U268&gt;='Amort. Sched.-BEST'!$AA$8, U268&lt;= ($AA$7+$AA$8)), PMT('Amort. Sched.-BEST'!$W$8/12, 'Amort. Sched.-BEST'!$AA$7, 'Amort. Sched.-BEST'!$W$7), 0)</f>
        <v>0</v>
      </c>
      <c r="W268" s="5">
        <f>IF(AND(U268&gt;='Amort. Sched.-BEST'!$AA$8, U268&lt;= ($AA$7+$AA$8)), (IPMT($W$8/12, (U268-$AA$8), $AA$7, $W$7)), 0)</f>
        <v>0</v>
      </c>
      <c r="X268" s="23">
        <f>IF(AND(U268&gt;='Amort. Sched.-BEST'!$AA$8, U268&lt;= ($AA$7+$AA$8)), (PPMT($W$8/12, (U268-$AA$8), $AA$7, $W$7)), 0)</f>
        <v>0</v>
      </c>
      <c r="Y268" s="5">
        <f>IF(CreditAmort2BEST[[#This Row],[Month]]=AA$8,W$7,0)</f>
        <v>0</v>
      </c>
      <c r="Z268" s="13">
        <f>IF(AND(U268&gt;='Amort. Sched.-BEST'!$AA$8, U268&lt;= ($AA$7+$AA$8)), Z267+X268, 0)</f>
        <v>0</v>
      </c>
      <c r="AA268" s="24" t="str">
        <f>IF(AND(U268&gt;='Amort. Sched.-BEST'!$AA$8, U268&lt;= ($AA$7+$AA$8)), W268/V268, " ")</f>
        <v xml:space="preserve"> </v>
      </c>
      <c r="AB268" s="25" t="str">
        <f>IF(AND(U268&gt;='Amort. Sched.-BEST'!$AA$8, U268&lt;= ($AA$7+$AA$8)), X268/V268, " ")</f>
        <v xml:space="preserve"> </v>
      </c>
      <c r="AD268" s="22">
        <f t="shared" si="54"/>
        <v>257</v>
      </c>
      <c r="AE268" s="5">
        <f t="shared" si="55"/>
        <v>0</v>
      </c>
      <c r="AF268" s="5">
        <f t="shared" si="56"/>
        <v>0</v>
      </c>
      <c r="AG268" s="5">
        <f t="shared" si="57"/>
        <v>0</v>
      </c>
      <c r="AH268" s="5">
        <f>IF(CreditAmort3BEST[[#This Row],[Month]]=AJ$8,AF$7,0)</f>
        <v>0</v>
      </c>
      <c r="AI268" s="13">
        <f t="shared" si="58"/>
        <v>0</v>
      </c>
      <c r="AJ268" s="6" t="str">
        <f t="shared" si="59"/>
        <v xml:space="preserve"> </v>
      </c>
      <c r="AK268" s="21" t="str">
        <f t="shared" si="60"/>
        <v xml:space="preserve"> </v>
      </c>
      <c r="AM268" s="20">
        <f t="shared" si="61"/>
        <v>257</v>
      </c>
      <c r="AN268" s="5">
        <f t="shared" si="62"/>
        <v>0</v>
      </c>
      <c r="AO268" s="5">
        <f t="shared" si="63"/>
        <v>0</v>
      </c>
      <c r="AP268" s="5">
        <f t="shared" si="64"/>
        <v>0</v>
      </c>
      <c r="AQ268" s="5">
        <f>IF(CreditAmort4BEST[[#This Row],[Month]]=AS$8,AO$7,0)</f>
        <v>0</v>
      </c>
      <c r="AR268" s="13">
        <f t="shared" si="65"/>
        <v>0</v>
      </c>
      <c r="AS268" s="6" t="str">
        <f t="shared" si="66"/>
        <v xml:space="preserve"> </v>
      </c>
      <c r="AT268" s="21" t="str">
        <f t="shared" si="67"/>
        <v xml:space="preserve"> </v>
      </c>
    </row>
    <row r="269" spans="3:46">
      <c r="C269" s="22">
        <f t="shared" ref="C269:C332" si="69">C268+1</f>
        <v>258</v>
      </c>
      <c r="D269" s="23">
        <f>IF(AND(C269&gt;='Amort. Sched.-BEST'!$I$8, C269&lt;= ($I$7+$I$8)), PMT('Amort. Sched.-BEST'!$E$8/12, 'Amort. Sched.-BEST'!$I$7, 'Amort. Sched.-BEST'!$E$7), 0)</f>
        <v>-1350.6783839027553</v>
      </c>
      <c r="E269" s="5">
        <f>IF(AND(C269&gt;='Amort. Sched.-BEST'!$I$8, C269&lt;= ($I$7+$I$8)), (IPMT($E$8/12, (C269-$I$8), $I$7, $E$7)), 0)</f>
        <v>-335.67531511228776</v>
      </c>
      <c r="F269" s="23">
        <f>IF(AND(C269&gt;='Amort. Sched.-BEST'!$I$8, C269&lt;= ($I$7+$I$8)), (PPMT($E$8/12, (C269-$I$8), $I$7, $E$7)), 0)</f>
        <v>-1015.0030687904676</v>
      </c>
      <c r="G269" s="5">
        <f>IF(MortgageAmortBEST[[#This Row],[Month]]=I$8,E$7,0)</f>
        <v>0</v>
      </c>
      <c r="H269" s="13">
        <f>IF(AND(C269&gt;='Amort. Sched.-BEST'!$I$8, C269&lt;= ($I$7+$I$8)), H268+F269, 0)</f>
        <v>49336.294198052667</v>
      </c>
      <c r="I269" s="24">
        <f>IF(AND(C269&gt;='Amort. Sched.-BEST'!$I$8, C269&lt;= ($I$7+$I$8)), E269/D269, " ")</f>
        <v>0.24852349686855976</v>
      </c>
      <c r="J269" s="25">
        <f>IF(AND(C269&gt;='Amort. Sched.-BEST'!$I$8, C269&lt;= ($I$7+$I$8)), F269/D269, " ")</f>
        <v>0.75147650313144032</v>
      </c>
      <c r="L269" s="20">
        <f t="shared" si="68"/>
        <v>258</v>
      </c>
      <c r="M269" s="5">
        <f>IF(AND(L269&gt;='Amort. Sched.-BEST'!$R$8, L269&lt;= ($R$7+$R$8)), PMT('Amort. Sched.-BEST'!$N$8/12, 'Amort. Sched.-BEST'!$R$7, 'Amort. Sched.-BEST'!$N$7), 0)</f>
        <v>0</v>
      </c>
      <c r="N269" s="5">
        <f>IF(AND(L269&gt;='Amort. Sched.-BEST'!$R$8, L269&lt;= ($R$7+$R$8)), (IPMT($N$8/12, (L269-$R$8), $R$7, $N$7)), 0)</f>
        <v>0</v>
      </c>
      <c r="O269" s="5">
        <f>IF(AND(L269&gt;='Amort. Sched.-BEST'!$R$8, L269&lt;= ($R$7+$R$8)), (PPMT($N$8/12, (L269-$R$8), $R$7, $N$7)), 0)</f>
        <v>0</v>
      </c>
      <c r="P269" s="5">
        <f>IF(CreditAmort1BEST[[#This Row],[Month]]=R$8,N$7,0)</f>
        <v>0</v>
      </c>
      <c r="Q269" s="13">
        <f>IF(AND(L269&gt;='Amort. Sched.-BEST'!$R$8, L269&lt;= ($R$7+$R$8)), Q268+O269, 0)</f>
        <v>0</v>
      </c>
      <c r="R269" s="6" t="str">
        <f>IF(AND(L269&gt;='Amort. Sched.-BEST'!$R$8, L269&lt;= ($R$7+$R$8)), N269/M269, " ")</f>
        <v xml:space="preserve"> </v>
      </c>
      <c r="S269" s="21" t="str">
        <f>IF(AND(L269&gt;='Amort. Sched.-BEST'!$R$8, L269&lt;= ($R$7+$R$8)), O269/M269, " ")</f>
        <v xml:space="preserve"> </v>
      </c>
      <c r="U269" s="22">
        <f t="shared" ref="U269:U332" si="70">U268+1</f>
        <v>258</v>
      </c>
      <c r="V269" s="23">
        <f>IF(AND(U269&gt;='Amort. Sched.-BEST'!$AA$8, U269&lt;= ($AA$7+$AA$8)), PMT('Amort. Sched.-BEST'!$W$8/12, 'Amort. Sched.-BEST'!$AA$7, 'Amort. Sched.-BEST'!$W$7), 0)</f>
        <v>0</v>
      </c>
      <c r="W269" s="5">
        <f>IF(AND(U269&gt;='Amort. Sched.-BEST'!$AA$8, U269&lt;= ($AA$7+$AA$8)), (IPMT($W$8/12, (U269-$AA$8), $AA$7, $W$7)), 0)</f>
        <v>0</v>
      </c>
      <c r="X269" s="23">
        <f>IF(AND(U269&gt;='Amort. Sched.-BEST'!$AA$8, U269&lt;= ($AA$7+$AA$8)), (PPMT($W$8/12, (U269-$AA$8), $AA$7, $W$7)), 0)</f>
        <v>0</v>
      </c>
      <c r="Y269" s="5">
        <f>IF(CreditAmort2BEST[[#This Row],[Month]]=AA$8,W$7,0)</f>
        <v>0</v>
      </c>
      <c r="Z269" s="13">
        <f>IF(AND(U269&gt;='Amort. Sched.-BEST'!$AA$8, U269&lt;= ($AA$7+$AA$8)), Z268+X269, 0)</f>
        <v>0</v>
      </c>
      <c r="AA269" s="24" t="str">
        <f>IF(AND(U269&gt;='Amort. Sched.-BEST'!$AA$8, U269&lt;= ($AA$7+$AA$8)), W269/V269, " ")</f>
        <v xml:space="preserve"> </v>
      </c>
      <c r="AB269" s="25" t="str">
        <f>IF(AND(U269&gt;='Amort. Sched.-BEST'!$AA$8, U269&lt;= ($AA$7+$AA$8)), X269/V269, " ")</f>
        <v xml:space="preserve"> </v>
      </c>
      <c r="AD269" s="22">
        <f t="shared" ref="AD269:AD332" si="71">AD268+1</f>
        <v>258</v>
      </c>
      <c r="AE269" s="5">
        <f t="shared" ref="AE269:AE332" si="72">IF(AND(AD269&gt;=$AJ$8, AD269&lt;= ($AJ$7+$AJ$8)), PMT($AF$8/12, $AJ$7, $AF$7), 0)</f>
        <v>0</v>
      </c>
      <c r="AF269" s="5">
        <f t="shared" ref="AF269:AF332" si="73">IF(AND(AD269&gt;=$AJ$8, AD269&lt;= ($AJ$7+$AJ$8)), (IPMT($AF$8/12, (AD269-$AJ$8), $AJ$7, $AF$7)), 0)</f>
        <v>0</v>
      </c>
      <c r="AG269" s="5">
        <f t="shared" ref="AG269:AG332" si="74">IF(AND(AD269&gt;=$AJ$8, AD269&lt;= ($AJ$7+$AJ$8)), (PPMT($AF$8/12, (AD269-$AJ$8), $AJ$7, $AF$7)), 0)</f>
        <v>0</v>
      </c>
      <c r="AH269" s="5">
        <f>IF(CreditAmort3BEST[[#This Row],[Month]]=AJ$8,AF$7,0)</f>
        <v>0</v>
      </c>
      <c r="AI269" s="13">
        <f t="shared" ref="AI269:AI332" si="75">IF(AND(AD269&gt;=$AJ$8, AD269&lt;= ($AJ$7+$AJ$8)), AI268+AG269, 0)</f>
        <v>0</v>
      </c>
      <c r="AJ269" s="6" t="str">
        <f t="shared" ref="AJ269:AJ332" si="76">IF(AND(AD269&gt;=$AJ$8, AD269&lt;= ($AJ$7+$AJ$8)), AF269/AE269, " ")</f>
        <v xml:space="preserve"> </v>
      </c>
      <c r="AK269" s="21" t="str">
        <f t="shared" ref="AK269:AK332" si="77">IF(AND(AD269&gt;=$AJ$8, AD269&lt;= ($AJ$7+$AJ$8)), AG269/AE269, " ")</f>
        <v xml:space="preserve"> </v>
      </c>
      <c r="AM269" s="20">
        <f t="shared" ref="AM269:AM332" si="78">AM268+1</f>
        <v>258</v>
      </c>
      <c r="AN269" s="5">
        <f t="shared" ref="AN269:AN332" si="79">IF(AND(AM269&gt;=$AS$8, AM269&lt;= ($AS$7+$AS$8)), PMT($AO$8/12, $AS$7, $AO$7), 0)</f>
        <v>0</v>
      </c>
      <c r="AO269" s="5">
        <f t="shared" ref="AO269:AO332" si="80">IF(AND(AM269&gt;=$AS$8, AM269&lt;= ($AS$7+$AS$8)), (IPMT($AO$8/12, (AM269-$AS$8), $AS$7, $AO$7)), 0)</f>
        <v>0</v>
      </c>
      <c r="AP269" s="5">
        <f t="shared" ref="AP269:AP332" si="81">IF(AND(AM269&gt;=$AS$8, AM269&lt;= ($AS$7+$AS$8)), (PPMT($AO$8/12, (AM269-$AS$8), $AS$7, $AO$7)), 0)</f>
        <v>0</v>
      </c>
      <c r="AQ269" s="5">
        <f>IF(CreditAmort4BEST[[#This Row],[Month]]=AS$8,AO$7,0)</f>
        <v>0</v>
      </c>
      <c r="AR269" s="13">
        <f t="shared" ref="AR269:AR332" si="82">IF(AND(AM269&gt;=$AS$8, AM269&lt;= ($AS$7+$AS$8)), AR268+AP269, 0)</f>
        <v>0</v>
      </c>
      <c r="AS269" s="6" t="str">
        <f t="shared" ref="AS269:AS332" si="83">IF(AND(AM269&gt;=$AS$8, AM269&lt;= ($AS$7+$AS$8)), AO269/AN269, " ")</f>
        <v xml:space="preserve"> </v>
      </c>
      <c r="AT269" s="21" t="str">
        <f t="shared" ref="AT269:AT332" si="84">IF(AND(AM269&gt;=$AS$8, AM269&lt;= ($AS$7+$AS$8)), AP269/AN269, " ")</f>
        <v xml:space="preserve"> </v>
      </c>
    </row>
    <row r="270" spans="3:46">
      <c r="C270" s="22">
        <f t="shared" si="69"/>
        <v>259</v>
      </c>
      <c r="D270" s="23">
        <f>IF(AND(C270&gt;='Amort. Sched.-BEST'!$I$8, C270&lt;= ($I$7+$I$8)), PMT('Amort. Sched.-BEST'!$E$8/12, 'Amort. Sched.-BEST'!$I$7, 'Amort. Sched.-BEST'!$E$7), 0)</f>
        <v>-1350.6783839027553</v>
      </c>
      <c r="E270" s="5">
        <f>IF(AND(C270&gt;='Amort. Sched.-BEST'!$I$8, C270&lt;= ($I$7+$I$8)), (IPMT($E$8/12, (C270-$I$8), $I$7, $E$7)), 0)</f>
        <v>-328.90862798701795</v>
      </c>
      <c r="F270" s="23">
        <f>IF(AND(C270&gt;='Amort. Sched.-BEST'!$I$8, C270&lt;= ($I$7+$I$8)), (PPMT($E$8/12, (C270-$I$8), $I$7, $E$7)), 0)</f>
        <v>-1021.7697559157375</v>
      </c>
      <c r="G270" s="5">
        <f>IF(MortgageAmortBEST[[#This Row],[Month]]=I$8,E$7,0)</f>
        <v>0</v>
      </c>
      <c r="H270" s="13">
        <f>IF(AND(C270&gt;='Amort. Sched.-BEST'!$I$8, C270&lt;= ($I$7+$I$8)), H269+F270, 0)</f>
        <v>48314.524442136928</v>
      </c>
      <c r="I270" s="24">
        <f>IF(AND(C270&gt;='Amort. Sched.-BEST'!$I$8, C270&lt;= ($I$7+$I$8)), E270/D270, " ")</f>
        <v>0.24351365351435014</v>
      </c>
      <c r="J270" s="25">
        <f>IF(AND(C270&gt;='Amort. Sched.-BEST'!$I$8, C270&lt;= ($I$7+$I$8)), F270/D270, " ")</f>
        <v>0.75648634648564994</v>
      </c>
      <c r="L270" s="20">
        <f t="shared" si="68"/>
        <v>259</v>
      </c>
      <c r="M270" s="5">
        <f>IF(AND(L270&gt;='Amort. Sched.-BEST'!$R$8, L270&lt;= ($R$7+$R$8)), PMT('Amort. Sched.-BEST'!$N$8/12, 'Amort. Sched.-BEST'!$R$7, 'Amort. Sched.-BEST'!$N$7), 0)</f>
        <v>0</v>
      </c>
      <c r="N270" s="5">
        <f>IF(AND(L270&gt;='Amort. Sched.-BEST'!$R$8, L270&lt;= ($R$7+$R$8)), (IPMT($N$8/12, (L270-$R$8), $R$7, $N$7)), 0)</f>
        <v>0</v>
      </c>
      <c r="O270" s="5">
        <f>IF(AND(L270&gt;='Amort. Sched.-BEST'!$R$8, L270&lt;= ($R$7+$R$8)), (PPMT($N$8/12, (L270-$R$8), $R$7, $N$7)), 0)</f>
        <v>0</v>
      </c>
      <c r="P270" s="5">
        <f>IF(CreditAmort1BEST[[#This Row],[Month]]=R$8,N$7,0)</f>
        <v>0</v>
      </c>
      <c r="Q270" s="13">
        <f>IF(AND(L270&gt;='Amort. Sched.-BEST'!$R$8, L270&lt;= ($R$7+$R$8)), Q269+O270, 0)</f>
        <v>0</v>
      </c>
      <c r="R270" s="6" t="str">
        <f>IF(AND(L270&gt;='Amort. Sched.-BEST'!$R$8, L270&lt;= ($R$7+$R$8)), N270/M270, " ")</f>
        <v xml:space="preserve"> </v>
      </c>
      <c r="S270" s="21" t="str">
        <f>IF(AND(L270&gt;='Amort. Sched.-BEST'!$R$8, L270&lt;= ($R$7+$R$8)), O270/M270, " ")</f>
        <v xml:space="preserve"> </v>
      </c>
      <c r="U270" s="22">
        <f t="shared" si="70"/>
        <v>259</v>
      </c>
      <c r="V270" s="23">
        <f>IF(AND(U270&gt;='Amort. Sched.-BEST'!$AA$8, U270&lt;= ($AA$7+$AA$8)), PMT('Amort. Sched.-BEST'!$W$8/12, 'Amort. Sched.-BEST'!$AA$7, 'Amort. Sched.-BEST'!$W$7), 0)</f>
        <v>0</v>
      </c>
      <c r="W270" s="5">
        <f>IF(AND(U270&gt;='Amort. Sched.-BEST'!$AA$8, U270&lt;= ($AA$7+$AA$8)), (IPMT($W$8/12, (U270-$AA$8), $AA$7, $W$7)), 0)</f>
        <v>0</v>
      </c>
      <c r="X270" s="23">
        <f>IF(AND(U270&gt;='Amort. Sched.-BEST'!$AA$8, U270&lt;= ($AA$7+$AA$8)), (PPMT($W$8/12, (U270-$AA$8), $AA$7, $W$7)), 0)</f>
        <v>0</v>
      </c>
      <c r="Y270" s="5">
        <f>IF(CreditAmort2BEST[[#This Row],[Month]]=AA$8,W$7,0)</f>
        <v>0</v>
      </c>
      <c r="Z270" s="13">
        <f>IF(AND(U270&gt;='Amort. Sched.-BEST'!$AA$8, U270&lt;= ($AA$7+$AA$8)), Z269+X270, 0)</f>
        <v>0</v>
      </c>
      <c r="AA270" s="24" t="str">
        <f>IF(AND(U270&gt;='Amort. Sched.-BEST'!$AA$8, U270&lt;= ($AA$7+$AA$8)), W270/V270, " ")</f>
        <v xml:space="preserve"> </v>
      </c>
      <c r="AB270" s="25" t="str">
        <f>IF(AND(U270&gt;='Amort. Sched.-BEST'!$AA$8, U270&lt;= ($AA$7+$AA$8)), X270/V270, " ")</f>
        <v xml:space="preserve"> </v>
      </c>
      <c r="AD270" s="22">
        <f t="shared" si="71"/>
        <v>259</v>
      </c>
      <c r="AE270" s="5">
        <f t="shared" si="72"/>
        <v>0</v>
      </c>
      <c r="AF270" s="5">
        <f t="shared" si="73"/>
        <v>0</v>
      </c>
      <c r="AG270" s="5">
        <f t="shared" si="74"/>
        <v>0</v>
      </c>
      <c r="AH270" s="5">
        <f>IF(CreditAmort3BEST[[#This Row],[Month]]=AJ$8,AF$7,0)</f>
        <v>0</v>
      </c>
      <c r="AI270" s="13">
        <f t="shared" si="75"/>
        <v>0</v>
      </c>
      <c r="AJ270" s="6" t="str">
        <f t="shared" si="76"/>
        <v xml:space="preserve"> </v>
      </c>
      <c r="AK270" s="21" t="str">
        <f t="shared" si="77"/>
        <v xml:space="preserve"> </v>
      </c>
      <c r="AM270" s="20">
        <f t="shared" si="78"/>
        <v>259</v>
      </c>
      <c r="AN270" s="5">
        <f t="shared" si="79"/>
        <v>0</v>
      </c>
      <c r="AO270" s="5">
        <f t="shared" si="80"/>
        <v>0</v>
      </c>
      <c r="AP270" s="5">
        <f t="shared" si="81"/>
        <v>0</v>
      </c>
      <c r="AQ270" s="5">
        <f>IF(CreditAmort4BEST[[#This Row],[Month]]=AS$8,AO$7,0)</f>
        <v>0</v>
      </c>
      <c r="AR270" s="13">
        <f t="shared" si="82"/>
        <v>0</v>
      </c>
      <c r="AS270" s="6" t="str">
        <f t="shared" si="83"/>
        <v xml:space="preserve"> </v>
      </c>
      <c r="AT270" s="21" t="str">
        <f t="shared" si="84"/>
        <v xml:space="preserve"> </v>
      </c>
    </row>
    <row r="271" spans="3:46">
      <c r="C271" s="22">
        <f t="shared" si="69"/>
        <v>260</v>
      </c>
      <c r="D271" s="23">
        <f>IF(AND(C271&gt;='Amort. Sched.-BEST'!$I$8, C271&lt;= ($I$7+$I$8)), PMT('Amort. Sched.-BEST'!$E$8/12, 'Amort. Sched.-BEST'!$I$7, 'Amort. Sched.-BEST'!$E$7), 0)</f>
        <v>-1350.6783839027553</v>
      </c>
      <c r="E271" s="5">
        <f>IF(AND(C271&gt;='Amort. Sched.-BEST'!$I$8, C271&lt;= ($I$7+$I$8)), (IPMT($E$8/12, (C271-$I$8), $I$7, $E$7)), 0)</f>
        <v>-322.09682961424642</v>
      </c>
      <c r="F271" s="23">
        <f>IF(AND(C271&gt;='Amort. Sched.-BEST'!$I$8, C271&lt;= ($I$7+$I$8)), (PPMT($E$8/12, (C271-$I$8), $I$7, $E$7)), 0)</f>
        <v>-1028.5815542885089</v>
      </c>
      <c r="G271" s="5">
        <f>IF(MortgageAmortBEST[[#This Row],[Month]]=I$8,E$7,0)</f>
        <v>0</v>
      </c>
      <c r="H271" s="13">
        <f>IF(AND(C271&gt;='Amort. Sched.-BEST'!$I$8, C271&lt;= ($I$7+$I$8)), H270+F271, 0)</f>
        <v>47285.942887848418</v>
      </c>
      <c r="I271" s="24">
        <f>IF(AND(C271&gt;='Amort. Sched.-BEST'!$I$8, C271&lt;= ($I$7+$I$8)), E271/D271, " ")</f>
        <v>0.23847041120444584</v>
      </c>
      <c r="J271" s="25">
        <f>IF(AND(C271&gt;='Amort. Sched.-BEST'!$I$8, C271&lt;= ($I$7+$I$8)), F271/D271, " ")</f>
        <v>0.76152958879555421</v>
      </c>
      <c r="L271" s="20">
        <f t="shared" si="68"/>
        <v>260</v>
      </c>
      <c r="M271" s="5">
        <f>IF(AND(L271&gt;='Amort. Sched.-BEST'!$R$8, L271&lt;= ($R$7+$R$8)), PMT('Amort. Sched.-BEST'!$N$8/12, 'Amort. Sched.-BEST'!$R$7, 'Amort. Sched.-BEST'!$N$7), 0)</f>
        <v>0</v>
      </c>
      <c r="N271" s="5">
        <f>IF(AND(L271&gt;='Amort. Sched.-BEST'!$R$8, L271&lt;= ($R$7+$R$8)), (IPMT($N$8/12, (L271-$R$8), $R$7, $N$7)), 0)</f>
        <v>0</v>
      </c>
      <c r="O271" s="5">
        <f>IF(AND(L271&gt;='Amort. Sched.-BEST'!$R$8, L271&lt;= ($R$7+$R$8)), (PPMT($N$8/12, (L271-$R$8), $R$7, $N$7)), 0)</f>
        <v>0</v>
      </c>
      <c r="P271" s="5">
        <f>IF(CreditAmort1BEST[[#This Row],[Month]]=R$8,N$7,0)</f>
        <v>0</v>
      </c>
      <c r="Q271" s="13">
        <f>IF(AND(L271&gt;='Amort. Sched.-BEST'!$R$8, L271&lt;= ($R$7+$R$8)), Q270+O271, 0)</f>
        <v>0</v>
      </c>
      <c r="R271" s="6" t="str">
        <f>IF(AND(L271&gt;='Amort. Sched.-BEST'!$R$8, L271&lt;= ($R$7+$R$8)), N271/M271, " ")</f>
        <v xml:space="preserve"> </v>
      </c>
      <c r="S271" s="21" t="str">
        <f>IF(AND(L271&gt;='Amort. Sched.-BEST'!$R$8, L271&lt;= ($R$7+$R$8)), O271/M271, " ")</f>
        <v xml:space="preserve"> </v>
      </c>
      <c r="U271" s="22">
        <f t="shared" si="70"/>
        <v>260</v>
      </c>
      <c r="V271" s="23">
        <f>IF(AND(U271&gt;='Amort. Sched.-BEST'!$AA$8, U271&lt;= ($AA$7+$AA$8)), PMT('Amort. Sched.-BEST'!$W$8/12, 'Amort. Sched.-BEST'!$AA$7, 'Amort. Sched.-BEST'!$W$7), 0)</f>
        <v>0</v>
      </c>
      <c r="W271" s="5">
        <f>IF(AND(U271&gt;='Amort. Sched.-BEST'!$AA$8, U271&lt;= ($AA$7+$AA$8)), (IPMT($W$8/12, (U271-$AA$8), $AA$7, $W$7)), 0)</f>
        <v>0</v>
      </c>
      <c r="X271" s="23">
        <f>IF(AND(U271&gt;='Amort. Sched.-BEST'!$AA$8, U271&lt;= ($AA$7+$AA$8)), (PPMT($W$8/12, (U271-$AA$8), $AA$7, $W$7)), 0)</f>
        <v>0</v>
      </c>
      <c r="Y271" s="5">
        <f>IF(CreditAmort2BEST[[#This Row],[Month]]=AA$8,W$7,0)</f>
        <v>0</v>
      </c>
      <c r="Z271" s="13">
        <f>IF(AND(U271&gt;='Amort. Sched.-BEST'!$AA$8, U271&lt;= ($AA$7+$AA$8)), Z270+X271, 0)</f>
        <v>0</v>
      </c>
      <c r="AA271" s="24" t="str">
        <f>IF(AND(U271&gt;='Amort. Sched.-BEST'!$AA$8, U271&lt;= ($AA$7+$AA$8)), W271/V271, " ")</f>
        <v xml:space="preserve"> </v>
      </c>
      <c r="AB271" s="25" t="str">
        <f>IF(AND(U271&gt;='Amort. Sched.-BEST'!$AA$8, U271&lt;= ($AA$7+$AA$8)), X271/V271, " ")</f>
        <v xml:space="preserve"> </v>
      </c>
      <c r="AD271" s="22">
        <f t="shared" si="71"/>
        <v>260</v>
      </c>
      <c r="AE271" s="5">
        <f t="shared" si="72"/>
        <v>0</v>
      </c>
      <c r="AF271" s="5">
        <f t="shared" si="73"/>
        <v>0</v>
      </c>
      <c r="AG271" s="5">
        <f t="shared" si="74"/>
        <v>0</v>
      </c>
      <c r="AH271" s="5">
        <f>IF(CreditAmort3BEST[[#This Row],[Month]]=AJ$8,AF$7,0)</f>
        <v>0</v>
      </c>
      <c r="AI271" s="13">
        <f t="shared" si="75"/>
        <v>0</v>
      </c>
      <c r="AJ271" s="6" t="str">
        <f t="shared" si="76"/>
        <v xml:space="preserve"> </v>
      </c>
      <c r="AK271" s="21" t="str">
        <f t="shared" si="77"/>
        <v xml:space="preserve"> </v>
      </c>
      <c r="AM271" s="20">
        <f t="shared" si="78"/>
        <v>260</v>
      </c>
      <c r="AN271" s="5">
        <f t="shared" si="79"/>
        <v>0</v>
      </c>
      <c r="AO271" s="5">
        <f t="shared" si="80"/>
        <v>0</v>
      </c>
      <c r="AP271" s="5">
        <f t="shared" si="81"/>
        <v>0</v>
      </c>
      <c r="AQ271" s="5">
        <f>IF(CreditAmort4BEST[[#This Row],[Month]]=AS$8,AO$7,0)</f>
        <v>0</v>
      </c>
      <c r="AR271" s="13">
        <f t="shared" si="82"/>
        <v>0</v>
      </c>
      <c r="AS271" s="6" t="str">
        <f t="shared" si="83"/>
        <v xml:space="preserve"> </v>
      </c>
      <c r="AT271" s="21" t="str">
        <f t="shared" si="84"/>
        <v xml:space="preserve"> </v>
      </c>
    </row>
    <row r="272" spans="3:46">
      <c r="C272" s="22">
        <f t="shared" si="69"/>
        <v>261</v>
      </c>
      <c r="D272" s="23">
        <f>IF(AND(C272&gt;='Amort. Sched.-BEST'!$I$8, C272&lt;= ($I$7+$I$8)), PMT('Amort. Sched.-BEST'!$E$8/12, 'Amort. Sched.-BEST'!$I$7, 'Amort. Sched.-BEST'!$E$7), 0)</f>
        <v>-1350.6783839027553</v>
      </c>
      <c r="E272" s="5">
        <f>IF(AND(C272&gt;='Amort. Sched.-BEST'!$I$8, C272&lt;= ($I$7+$I$8)), (IPMT($E$8/12, (C272-$I$8), $I$7, $E$7)), 0)</f>
        <v>-315.23961925232294</v>
      </c>
      <c r="F272" s="23">
        <f>IF(AND(C272&gt;='Amort. Sched.-BEST'!$I$8, C272&lt;= ($I$7+$I$8)), (PPMT($E$8/12, (C272-$I$8), $I$7, $E$7)), 0)</f>
        <v>-1035.4387646504324</v>
      </c>
      <c r="G272" s="5">
        <f>IF(MortgageAmortBEST[[#This Row],[Month]]=I$8,E$7,0)</f>
        <v>0</v>
      </c>
      <c r="H272" s="13">
        <f>IF(AND(C272&gt;='Amort. Sched.-BEST'!$I$8, C272&lt;= ($I$7+$I$8)), H271+F272, 0)</f>
        <v>46250.504123197985</v>
      </c>
      <c r="I272" s="24">
        <f>IF(AND(C272&gt;='Amort. Sched.-BEST'!$I$8, C272&lt;= ($I$7+$I$8)), E272/D272, " ")</f>
        <v>0.23339354727914208</v>
      </c>
      <c r="J272" s="25">
        <f>IF(AND(C272&gt;='Amort. Sched.-BEST'!$I$8, C272&lt;= ($I$7+$I$8)), F272/D272, " ")</f>
        <v>0.76660645272085792</v>
      </c>
      <c r="L272" s="20">
        <f t="shared" si="68"/>
        <v>261</v>
      </c>
      <c r="M272" s="5">
        <f>IF(AND(L272&gt;='Amort. Sched.-BEST'!$R$8, L272&lt;= ($R$7+$R$8)), PMT('Amort. Sched.-BEST'!$N$8/12, 'Amort. Sched.-BEST'!$R$7, 'Amort. Sched.-BEST'!$N$7), 0)</f>
        <v>0</v>
      </c>
      <c r="N272" s="5">
        <f>IF(AND(L272&gt;='Amort. Sched.-BEST'!$R$8, L272&lt;= ($R$7+$R$8)), (IPMT($N$8/12, (L272-$R$8), $R$7, $N$7)), 0)</f>
        <v>0</v>
      </c>
      <c r="O272" s="5">
        <f>IF(AND(L272&gt;='Amort. Sched.-BEST'!$R$8, L272&lt;= ($R$7+$R$8)), (PPMT($N$8/12, (L272-$R$8), $R$7, $N$7)), 0)</f>
        <v>0</v>
      </c>
      <c r="P272" s="5">
        <f>IF(CreditAmort1BEST[[#This Row],[Month]]=R$8,N$7,0)</f>
        <v>0</v>
      </c>
      <c r="Q272" s="13">
        <f>IF(AND(L272&gt;='Amort. Sched.-BEST'!$R$8, L272&lt;= ($R$7+$R$8)), Q271+O272, 0)</f>
        <v>0</v>
      </c>
      <c r="R272" s="6" t="str">
        <f>IF(AND(L272&gt;='Amort. Sched.-BEST'!$R$8, L272&lt;= ($R$7+$R$8)), N272/M272, " ")</f>
        <v xml:space="preserve"> </v>
      </c>
      <c r="S272" s="21" t="str">
        <f>IF(AND(L272&gt;='Amort. Sched.-BEST'!$R$8, L272&lt;= ($R$7+$R$8)), O272/M272, " ")</f>
        <v xml:space="preserve"> </v>
      </c>
      <c r="U272" s="22">
        <f t="shared" si="70"/>
        <v>261</v>
      </c>
      <c r="V272" s="23">
        <f>IF(AND(U272&gt;='Amort. Sched.-BEST'!$AA$8, U272&lt;= ($AA$7+$AA$8)), PMT('Amort. Sched.-BEST'!$W$8/12, 'Amort. Sched.-BEST'!$AA$7, 'Amort. Sched.-BEST'!$W$7), 0)</f>
        <v>0</v>
      </c>
      <c r="W272" s="5">
        <f>IF(AND(U272&gt;='Amort. Sched.-BEST'!$AA$8, U272&lt;= ($AA$7+$AA$8)), (IPMT($W$8/12, (U272-$AA$8), $AA$7, $W$7)), 0)</f>
        <v>0</v>
      </c>
      <c r="X272" s="23">
        <f>IF(AND(U272&gt;='Amort. Sched.-BEST'!$AA$8, U272&lt;= ($AA$7+$AA$8)), (PPMT($W$8/12, (U272-$AA$8), $AA$7, $W$7)), 0)</f>
        <v>0</v>
      </c>
      <c r="Y272" s="5">
        <f>IF(CreditAmort2BEST[[#This Row],[Month]]=AA$8,W$7,0)</f>
        <v>0</v>
      </c>
      <c r="Z272" s="13">
        <f>IF(AND(U272&gt;='Amort. Sched.-BEST'!$AA$8, U272&lt;= ($AA$7+$AA$8)), Z271+X272, 0)</f>
        <v>0</v>
      </c>
      <c r="AA272" s="24" t="str">
        <f>IF(AND(U272&gt;='Amort. Sched.-BEST'!$AA$8, U272&lt;= ($AA$7+$AA$8)), W272/V272, " ")</f>
        <v xml:space="preserve"> </v>
      </c>
      <c r="AB272" s="25" t="str">
        <f>IF(AND(U272&gt;='Amort. Sched.-BEST'!$AA$8, U272&lt;= ($AA$7+$AA$8)), X272/V272, " ")</f>
        <v xml:space="preserve"> </v>
      </c>
      <c r="AD272" s="22">
        <f t="shared" si="71"/>
        <v>261</v>
      </c>
      <c r="AE272" s="5">
        <f t="shared" si="72"/>
        <v>0</v>
      </c>
      <c r="AF272" s="5">
        <f t="shared" si="73"/>
        <v>0</v>
      </c>
      <c r="AG272" s="5">
        <f t="shared" si="74"/>
        <v>0</v>
      </c>
      <c r="AH272" s="5">
        <f>IF(CreditAmort3BEST[[#This Row],[Month]]=AJ$8,AF$7,0)</f>
        <v>0</v>
      </c>
      <c r="AI272" s="13">
        <f t="shared" si="75"/>
        <v>0</v>
      </c>
      <c r="AJ272" s="6" t="str">
        <f t="shared" si="76"/>
        <v xml:space="preserve"> </v>
      </c>
      <c r="AK272" s="21" t="str">
        <f t="shared" si="77"/>
        <v xml:space="preserve"> </v>
      </c>
      <c r="AM272" s="20">
        <f t="shared" si="78"/>
        <v>261</v>
      </c>
      <c r="AN272" s="5">
        <f t="shared" si="79"/>
        <v>0</v>
      </c>
      <c r="AO272" s="5">
        <f t="shared" si="80"/>
        <v>0</v>
      </c>
      <c r="AP272" s="5">
        <f t="shared" si="81"/>
        <v>0</v>
      </c>
      <c r="AQ272" s="5">
        <f>IF(CreditAmort4BEST[[#This Row],[Month]]=AS$8,AO$7,0)</f>
        <v>0</v>
      </c>
      <c r="AR272" s="13">
        <f t="shared" si="82"/>
        <v>0</v>
      </c>
      <c r="AS272" s="6" t="str">
        <f t="shared" si="83"/>
        <v xml:space="preserve"> </v>
      </c>
      <c r="AT272" s="21" t="str">
        <f t="shared" si="84"/>
        <v xml:space="preserve"> </v>
      </c>
    </row>
    <row r="273" spans="3:46">
      <c r="C273" s="22">
        <f t="shared" si="69"/>
        <v>262</v>
      </c>
      <c r="D273" s="23">
        <f>IF(AND(C273&gt;='Amort. Sched.-BEST'!$I$8, C273&lt;= ($I$7+$I$8)), PMT('Amort. Sched.-BEST'!$E$8/12, 'Amort. Sched.-BEST'!$I$7, 'Amort. Sched.-BEST'!$E$7), 0)</f>
        <v>-1350.6783839027553</v>
      </c>
      <c r="E273" s="5">
        <f>IF(AND(C273&gt;='Amort. Sched.-BEST'!$I$8, C273&lt;= ($I$7+$I$8)), (IPMT($E$8/12, (C273-$I$8), $I$7, $E$7)), 0)</f>
        <v>-308.33669415465334</v>
      </c>
      <c r="F273" s="23">
        <f>IF(AND(C273&gt;='Amort. Sched.-BEST'!$I$8, C273&lt;= ($I$7+$I$8)), (PPMT($E$8/12, (C273-$I$8), $I$7, $E$7)), 0)</f>
        <v>-1042.341689748102</v>
      </c>
      <c r="G273" s="5">
        <f>IF(MortgageAmortBEST[[#This Row],[Month]]=I$8,E$7,0)</f>
        <v>0</v>
      </c>
      <c r="H273" s="13">
        <f>IF(AND(C273&gt;='Amort. Sched.-BEST'!$I$8, C273&lt;= ($I$7+$I$8)), H272+F273, 0)</f>
        <v>45208.162433449885</v>
      </c>
      <c r="I273" s="24">
        <f>IF(AND(C273&gt;='Amort. Sched.-BEST'!$I$8, C273&lt;= ($I$7+$I$8)), E273/D273, " ")</f>
        <v>0.22828283759433632</v>
      </c>
      <c r="J273" s="25">
        <f>IF(AND(C273&gt;='Amort. Sched.-BEST'!$I$8, C273&lt;= ($I$7+$I$8)), F273/D273, " ")</f>
        <v>0.77171716240566368</v>
      </c>
      <c r="L273" s="20">
        <f t="shared" si="68"/>
        <v>262</v>
      </c>
      <c r="M273" s="5">
        <f>IF(AND(L273&gt;='Amort. Sched.-BEST'!$R$8, L273&lt;= ($R$7+$R$8)), PMT('Amort. Sched.-BEST'!$N$8/12, 'Amort. Sched.-BEST'!$R$7, 'Amort. Sched.-BEST'!$N$7), 0)</f>
        <v>0</v>
      </c>
      <c r="N273" s="5">
        <f>IF(AND(L273&gt;='Amort. Sched.-BEST'!$R$8, L273&lt;= ($R$7+$R$8)), (IPMT($N$8/12, (L273-$R$8), $R$7, $N$7)), 0)</f>
        <v>0</v>
      </c>
      <c r="O273" s="5">
        <f>IF(AND(L273&gt;='Amort. Sched.-BEST'!$R$8, L273&lt;= ($R$7+$R$8)), (PPMT($N$8/12, (L273-$R$8), $R$7, $N$7)), 0)</f>
        <v>0</v>
      </c>
      <c r="P273" s="5">
        <f>IF(CreditAmort1BEST[[#This Row],[Month]]=R$8,N$7,0)</f>
        <v>0</v>
      </c>
      <c r="Q273" s="13">
        <f>IF(AND(L273&gt;='Amort. Sched.-BEST'!$R$8, L273&lt;= ($R$7+$R$8)), Q272+O273, 0)</f>
        <v>0</v>
      </c>
      <c r="R273" s="6" t="str">
        <f>IF(AND(L273&gt;='Amort. Sched.-BEST'!$R$8, L273&lt;= ($R$7+$R$8)), N273/M273, " ")</f>
        <v xml:space="preserve"> </v>
      </c>
      <c r="S273" s="21" t="str">
        <f>IF(AND(L273&gt;='Amort. Sched.-BEST'!$R$8, L273&lt;= ($R$7+$R$8)), O273/M273, " ")</f>
        <v xml:space="preserve"> </v>
      </c>
      <c r="U273" s="22">
        <f t="shared" si="70"/>
        <v>262</v>
      </c>
      <c r="V273" s="23">
        <f>IF(AND(U273&gt;='Amort. Sched.-BEST'!$AA$8, U273&lt;= ($AA$7+$AA$8)), PMT('Amort. Sched.-BEST'!$W$8/12, 'Amort. Sched.-BEST'!$AA$7, 'Amort. Sched.-BEST'!$W$7), 0)</f>
        <v>0</v>
      </c>
      <c r="W273" s="5">
        <f>IF(AND(U273&gt;='Amort. Sched.-BEST'!$AA$8, U273&lt;= ($AA$7+$AA$8)), (IPMT($W$8/12, (U273-$AA$8), $AA$7, $W$7)), 0)</f>
        <v>0</v>
      </c>
      <c r="X273" s="23">
        <f>IF(AND(U273&gt;='Amort. Sched.-BEST'!$AA$8, U273&lt;= ($AA$7+$AA$8)), (PPMT($W$8/12, (U273-$AA$8), $AA$7, $W$7)), 0)</f>
        <v>0</v>
      </c>
      <c r="Y273" s="5">
        <f>IF(CreditAmort2BEST[[#This Row],[Month]]=AA$8,W$7,0)</f>
        <v>0</v>
      </c>
      <c r="Z273" s="13">
        <f>IF(AND(U273&gt;='Amort. Sched.-BEST'!$AA$8, U273&lt;= ($AA$7+$AA$8)), Z272+X273, 0)</f>
        <v>0</v>
      </c>
      <c r="AA273" s="24" t="str">
        <f>IF(AND(U273&gt;='Amort. Sched.-BEST'!$AA$8, U273&lt;= ($AA$7+$AA$8)), W273/V273, " ")</f>
        <v xml:space="preserve"> </v>
      </c>
      <c r="AB273" s="25" t="str">
        <f>IF(AND(U273&gt;='Amort. Sched.-BEST'!$AA$8, U273&lt;= ($AA$7+$AA$8)), X273/V273, " ")</f>
        <v xml:space="preserve"> </v>
      </c>
      <c r="AD273" s="22">
        <f t="shared" si="71"/>
        <v>262</v>
      </c>
      <c r="AE273" s="5">
        <f t="shared" si="72"/>
        <v>0</v>
      </c>
      <c r="AF273" s="5">
        <f t="shared" si="73"/>
        <v>0</v>
      </c>
      <c r="AG273" s="5">
        <f t="shared" si="74"/>
        <v>0</v>
      </c>
      <c r="AH273" s="5">
        <f>IF(CreditAmort3BEST[[#This Row],[Month]]=AJ$8,AF$7,0)</f>
        <v>0</v>
      </c>
      <c r="AI273" s="13">
        <f t="shared" si="75"/>
        <v>0</v>
      </c>
      <c r="AJ273" s="6" t="str">
        <f t="shared" si="76"/>
        <v xml:space="preserve"> </v>
      </c>
      <c r="AK273" s="21" t="str">
        <f t="shared" si="77"/>
        <v xml:space="preserve"> </v>
      </c>
      <c r="AM273" s="20">
        <f t="shared" si="78"/>
        <v>262</v>
      </c>
      <c r="AN273" s="5">
        <f t="shared" si="79"/>
        <v>0</v>
      </c>
      <c r="AO273" s="5">
        <f t="shared" si="80"/>
        <v>0</v>
      </c>
      <c r="AP273" s="5">
        <f t="shared" si="81"/>
        <v>0</v>
      </c>
      <c r="AQ273" s="5">
        <f>IF(CreditAmort4BEST[[#This Row],[Month]]=AS$8,AO$7,0)</f>
        <v>0</v>
      </c>
      <c r="AR273" s="13">
        <f t="shared" si="82"/>
        <v>0</v>
      </c>
      <c r="AS273" s="6" t="str">
        <f t="shared" si="83"/>
        <v xml:space="preserve"> </v>
      </c>
      <c r="AT273" s="21" t="str">
        <f t="shared" si="84"/>
        <v xml:space="preserve"> </v>
      </c>
    </row>
    <row r="274" spans="3:46">
      <c r="C274" s="22">
        <f t="shared" si="69"/>
        <v>263</v>
      </c>
      <c r="D274" s="23">
        <f>IF(AND(C274&gt;='Amort. Sched.-BEST'!$I$8, C274&lt;= ($I$7+$I$8)), PMT('Amort. Sched.-BEST'!$E$8/12, 'Amort. Sched.-BEST'!$I$7, 'Amort. Sched.-BEST'!$E$7), 0)</f>
        <v>-1350.6783839027553</v>
      </c>
      <c r="E274" s="5">
        <f>IF(AND(C274&gt;='Amort. Sched.-BEST'!$I$8, C274&lt;= ($I$7+$I$8)), (IPMT($E$8/12, (C274-$I$8), $I$7, $E$7)), 0)</f>
        <v>-301.38774955633272</v>
      </c>
      <c r="F274" s="23">
        <f>IF(AND(C274&gt;='Amort. Sched.-BEST'!$I$8, C274&lt;= ($I$7+$I$8)), (PPMT($E$8/12, (C274-$I$8), $I$7, $E$7)), 0)</f>
        <v>-1049.2906343464226</v>
      </c>
      <c r="G274" s="5">
        <f>IF(MortgageAmortBEST[[#This Row],[Month]]=I$8,E$7,0)</f>
        <v>0</v>
      </c>
      <c r="H274" s="13">
        <f>IF(AND(C274&gt;='Amort. Sched.-BEST'!$I$8, C274&lt;= ($I$7+$I$8)), H273+F274, 0)</f>
        <v>44158.871799103465</v>
      </c>
      <c r="I274" s="24">
        <f>IF(AND(C274&gt;='Amort. Sched.-BEST'!$I$8, C274&lt;= ($I$7+$I$8)), E274/D274, " ")</f>
        <v>0.22313805651163196</v>
      </c>
      <c r="J274" s="25">
        <f>IF(AND(C274&gt;='Amort. Sched.-BEST'!$I$8, C274&lt;= ($I$7+$I$8)), F274/D274, " ")</f>
        <v>0.77686194348836812</v>
      </c>
      <c r="L274" s="20">
        <f t="shared" si="68"/>
        <v>263</v>
      </c>
      <c r="M274" s="5">
        <f>IF(AND(L274&gt;='Amort. Sched.-BEST'!$R$8, L274&lt;= ($R$7+$R$8)), PMT('Amort. Sched.-BEST'!$N$8/12, 'Amort. Sched.-BEST'!$R$7, 'Amort. Sched.-BEST'!$N$7), 0)</f>
        <v>0</v>
      </c>
      <c r="N274" s="5">
        <f>IF(AND(L274&gt;='Amort. Sched.-BEST'!$R$8, L274&lt;= ($R$7+$R$8)), (IPMT($N$8/12, (L274-$R$8), $R$7, $N$7)), 0)</f>
        <v>0</v>
      </c>
      <c r="O274" s="5">
        <f>IF(AND(L274&gt;='Amort. Sched.-BEST'!$R$8, L274&lt;= ($R$7+$R$8)), (PPMT($N$8/12, (L274-$R$8), $R$7, $N$7)), 0)</f>
        <v>0</v>
      </c>
      <c r="P274" s="5">
        <f>IF(CreditAmort1BEST[[#This Row],[Month]]=R$8,N$7,0)</f>
        <v>0</v>
      </c>
      <c r="Q274" s="13">
        <f>IF(AND(L274&gt;='Amort. Sched.-BEST'!$R$8, L274&lt;= ($R$7+$R$8)), Q273+O274, 0)</f>
        <v>0</v>
      </c>
      <c r="R274" s="6" t="str">
        <f>IF(AND(L274&gt;='Amort. Sched.-BEST'!$R$8, L274&lt;= ($R$7+$R$8)), N274/M274, " ")</f>
        <v xml:space="preserve"> </v>
      </c>
      <c r="S274" s="21" t="str">
        <f>IF(AND(L274&gt;='Amort. Sched.-BEST'!$R$8, L274&lt;= ($R$7+$R$8)), O274/M274, " ")</f>
        <v xml:space="preserve"> </v>
      </c>
      <c r="U274" s="22">
        <f t="shared" si="70"/>
        <v>263</v>
      </c>
      <c r="V274" s="23">
        <f>IF(AND(U274&gt;='Amort. Sched.-BEST'!$AA$8, U274&lt;= ($AA$7+$AA$8)), PMT('Amort. Sched.-BEST'!$W$8/12, 'Amort. Sched.-BEST'!$AA$7, 'Amort. Sched.-BEST'!$W$7), 0)</f>
        <v>0</v>
      </c>
      <c r="W274" s="5">
        <f>IF(AND(U274&gt;='Amort. Sched.-BEST'!$AA$8, U274&lt;= ($AA$7+$AA$8)), (IPMT($W$8/12, (U274-$AA$8), $AA$7, $W$7)), 0)</f>
        <v>0</v>
      </c>
      <c r="X274" s="23">
        <f>IF(AND(U274&gt;='Amort. Sched.-BEST'!$AA$8, U274&lt;= ($AA$7+$AA$8)), (PPMT($W$8/12, (U274-$AA$8), $AA$7, $W$7)), 0)</f>
        <v>0</v>
      </c>
      <c r="Y274" s="5">
        <f>IF(CreditAmort2BEST[[#This Row],[Month]]=AA$8,W$7,0)</f>
        <v>0</v>
      </c>
      <c r="Z274" s="13">
        <f>IF(AND(U274&gt;='Amort. Sched.-BEST'!$AA$8, U274&lt;= ($AA$7+$AA$8)), Z273+X274, 0)</f>
        <v>0</v>
      </c>
      <c r="AA274" s="24" t="str">
        <f>IF(AND(U274&gt;='Amort. Sched.-BEST'!$AA$8, U274&lt;= ($AA$7+$AA$8)), W274/V274, " ")</f>
        <v xml:space="preserve"> </v>
      </c>
      <c r="AB274" s="25" t="str">
        <f>IF(AND(U274&gt;='Amort. Sched.-BEST'!$AA$8, U274&lt;= ($AA$7+$AA$8)), X274/V274, " ")</f>
        <v xml:space="preserve"> </v>
      </c>
      <c r="AD274" s="22">
        <f t="shared" si="71"/>
        <v>263</v>
      </c>
      <c r="AE274" s="5">
        <f t="shared" si="72"/>
        <v>0</v>
      </c>
      <c r="AF274" s="5">
        <f t="shared" si="73"/>
        <v>0</v>
      </c>
      <c r="AG274" s="5">
        <f t="shared" si="74"/>
        <v>0</v>
      </c>
      <c r="AH274" s="5">
        <f>IF(CreditAmort3BEST[[#This Row],[Month]]=AJ$8,AF$7,0)</f>
        <v>0</v>
      </c>
      <c r="AI274" s="13">
        <f t="shared" si="75"/>
        <v>0</v>
      </c>
      <c r="AJ274" s="6" t="str">
        <f t="shared" si="76"/>
        <v xml:space="preserve"> </v>
      </c>
      <c r="AK274" s="21" t="str">
        <f t="shared" si="77"/>
        <v xml:space="preserve"> </v>
      </c>
      <c r="AM274" s="20">
        <f t="shared" si="78"/>
        <v>263</v>
      </c>
      <c r="AN274" s="5">
        <f t="shared" si="79"/>
        <v>0</v>
      </c>
      <c r="AO274" s="5">
        <f t="shared" si="80"/>
        <v>0</v>
      </c>
      <c r="AP274" s="5">
        <f t="shared" si="81"/>
        <v>0</v>
      </c>
      <c r="AQ274" s="5">
        <f>IF(CreditAmort4BEST[[#This Row],[Month]]=AS$8,AO$7,0)</f>
        <v>0</v>
      </c>
      <c r="AR274" s="13">
        <f t="shared" si="82"/>
        <v>0</v>
      </c>
      <c r="AS274" s="6" t="str">
        <f t="shared" si="83"/>
        <v xml:space="preserve"> </v>
      </c>
      <c r="AT274" s="21" t="str">
        <f t="shared" si="84"/>
        <v xml:space="preserve"> </v>
      </c>
    </row>
    <row r="275" spans="3:46">
      <c r="C275" s="22">
        <f t="shared" si="69"/>
        <v>264</v>
      </c>
      <c r="D275" s="23">
        <f>IF(AND(C275&gt;='Amort. Sched.-BEST'!$I$8, C275&lt;= ($I$7+$I$8)), PMT('Amort. Sched.-BEST'!$E$8/12, 'Amort. Sched.-BEST'!$I$7, 'Amort. Sched.-BEST'!$E$7), 0)</f>
        <v>-1350.6783839027553</v>
      </c>
      <c r="E275" s="5">
        <f>IF(AND(C275&gt;='Amort. Sched.-BEST'!$I$8, C275&lt;= ($I$7+$I$8)), (IPMT($E$8/12, (C275-$I$8), $I$7, $E$7)), 0)</f>
        <v>-294.3924786606899</v>
      </c>
      <c r="F275" s="23">
        <f>IF(AND(C275&gt;='Amort. Sched.-BEST'!$I$8, C275&lt;= ($I$7+$I$8)), (PPMT($E$8/12, (C275-$I$8), $I$7, $E$7)), 0)</f>
        <v>-1056.2859052420654</v>
      </c>
      <c r="G275" s="5">
        <f>IF(MortgageAmortBEST[[#This Row],[Month]]=I$8,E$7,0)</f>
        <v>0</v>
      </c>
      <c r="H275" s="13">
        <f>IF(AND(C275&gt;='Amort. Sched.-BEST'!$I$8, C275&lt;= ($I$7+$I$8)), H274+F275, 0)</f>
        <v>43102.585893861396</v>
      </c>
      <c r="I275" s="24">
        <f>IF(AND(C275&gt;='Amort. Sched.-BEST'!$I$8, C275&lt;= ($I$7+$I$8)), E275/D275, " ")</f>
        <v>0.21795897688837615</v>
      </c>
      <c r="J275" s="25">
        <f>IF(AND(C275&gt;='Amort. Sched.-BEST'!$I$8, C275&lt;= ($I$7+$I$8)), F275/D275, " ")</f>
        <v>0.78204102311162382</v>
      </c>
      <c r="L275" s="20">
        <f t="shared" si="68"/>
        <v>264</v>
      </c>
      <c r="M275" s="5">
        <f>IF(AND(L275&gt;='Amort. Sched.-BEST'!$R$8, L275&lt;= ($R$7+$R$8)), PMT('Amort. Sched.-BEST'!$N$8/12, 'Amort. Sched.-BEST'!$R$7, 'Amort. Sched.-BEST'!$N$7), 0)</f>
        <v>0</v>
      </c>
      <c r="N275" s="5">
        <f>IF(AND(L275&gt;='Amort. Sched.-BEST'!$R$8, L275&lt;= ($R$7+$R$8)), (IPMT($N$8/12, (L275-$R$8), $R$7, $N$7)), 0)</f>
        <v>0</v>
      </c>
      <c r="O275" s="5">
        <f>IF(AND(L275&gt;='Amort. Sched.-BEST'!$R$8, L275&lt;= ($R$7+$R$8)), (PPMT($N$8/12, (L275-$R$8), $R$7, $N$7)), 0)</f>
        <v>0</v>
      </c>
      <c r="P275" s="5">
        <f>IF(CreditAmort1BEST[[#This Row],[Month]]=R$8,N$7,0)</f>
        <v>0</v>
      </c>
      <c r="Q275" s="13">
        <f>IF(AND(L275&gt;='Amort. Sched.-BEST'!$R$8, L275&lt;= ($R$7+$R$8)), Q274+O275, 0)</f>
        <v>0</v>
      </c>
      <c r="R275" s="6" t="str">
        <f>IF(AND(L275&gt;='Amort. Sched.-BEST'!$R$8, L275&lt;= ($R$7+$R$8)), N275/M275, " ")</f>
        <v xml:space="preserve"> </v>
      </c>
      <c r="S275" s="21" t="str">
        <f>IF(AND(L275&gt;='Amort. Sched.-BEST'!$R$8, L275&lt;= ($R$7+$R$8)), O275/M275, " ")</f>
        <v xml:space="preserve"> </v>
      </c>
      <c r="U275" s="22">
        <f t="shared" si="70"/>
        <v>264</v>
      </c>
      <c r="V275" s="23">
        <f>IF(AND(U275&gt;='Amort. Sched.-BEST'!$AA$8, U275&lt;= ($AA$7+$AA$8)), PMT('Amort. Sched.-BEST'!$W$8/12, 'Amort. Sched.-BEST'!$AA$7, 'Amort. Sched.-BEST'!$W$7), 0)</f>
        <v>0</v>
      </c>
      <c r="W275" s="5">
        <f>IF(AND(U275&gt;='Amort. Sched.-BEST'!$AA$8, U275&lt;= ($AA$7+$AA$8)), (IPMT($W$8/12, (U275-$AA$8), $AA$7, $W$7)), 0)</f>
        <v>0</v>
      </c>
      <c r="X275" s="23">
        <f>IF(AND(U275&gt;='Amort. Sched.-BEST'!$AA$8, U275&lt;= ($AA$7+$AA$8)), (PPMT($W$8/12, (U275-$AA$8), $AA$7, $W$7)), 0)</f>
        <v>0</v>
      </c>
      <c r="Y275" s="5">
        <f>IF(CreditAmort2BEST[[#This Row],[Month]]=AA$8,W$7,0)</f>
        <v>0</v>
      </c>
      <c r="Z275" s="13">
        <f>IF(AND(U275&gt;='Amort. Sched.-BEST'!$AA$8, U275&lt;= ($AA$7+$AA$8)), Z274+X275, 0)</f>
        <v>0</v>
      </c>
      <c r="AA275" s="24" t="str">
        <f>IF(AND(U275&gt;='Amort. Sched.-BEST'!$AA$8, U275&lt;= ($AA$7+$AA$8)), W275/V275, " ")</f>
        <v xml:space="preserve"> </v>
      </c>
      <c r="AB275" s="25" t="str">
        <f>IF(AND(U275&gt;='Amort. Sched.-BEST'!$AA$8, U275&lt;= ($AA$7+$AA$8)), X275/V275, " ")</f>
        <v xml:space="preserve"> </v>
      </c>
      <c r="AD275" s="22">
        <f t="shared" si="71"/>
        <v>264</v>
      </c>
      <c r="AE275" s="5">
        <f t="shared" si="72"/>
        <v>0</v>
      </c>
      <c r="AF275" s="5">
        <f t="shared" si="73"/>
        <v>0</v>
      </c>
      <c r="AG275" s="5">
        <f t="shared" si="74"/>
        <v>0</v>
      </c>
      <c r="AH275" s="5">
        <f>IF(CreditAmort3BEST[[#This Row],[Month]]=AJ$8,AF$7,0)</f>
        <v>0</v>
      </c>
      <c r="AI275" s="13">
        <f t="shared" si="75"/>
        <v>0</v>
      </c>
      <c r="AJ275" s="6" t="str">
        <f t="shared" si="76"/>
        <v xml:space="preserve"> </v>
      </c>
      <c r="AK275" s="21" t="str">
        <f t="shared" si="77"/>
        <v xml:space="preserve"> </v>
      </c>
      <c r="AM275" s="20">
        <f t="shared" si="78"/>
        <v>264</v>
      </c>
      <c r="AN275" s="5">
        <f t="shared" si="79"/>
        <v>0</v>
      </c>
      <c r="AO275" s="5">
        <f t="shared" si="80"/>
        <v>0</v>
      </c>
      <c r="AP275" s="5">
        <f t="shared" si="81"/>
        <v>0</v>
      </c>
      <c r="AQ275" s="5">
        <f>IF(CreditAmort4BEST[[#This Row],[Month]]=AS$8,AO$7,0)</f>
        <v>0</v>
      </c>
      <c r="AR275" s="13">
        <f t="shared" si="82"/>
        <v>0</v>
      </c>
      <c r="AS275" s="6" t="str">
        <f t="shared" si="83"/>
        <v xml:space="preserve"> </v>
      </c>
      <c r="AT275" s="21" t="str">
        <f t="shared" si="84"/>
        <v xml:space="preserve"> </v>
      </c>
    </row>
    <row r="276" spans="3:46">
      <c r="C276" s="22">
        <f t="shared" si="69"/>
        <v>265</v>
      </c>
      <c r="D276" s="23">
        <f>IF(AND(C276&gt;='Amort. Sched.-BEST'!$I$8, C276&lt;= ($I$7+$I$8)), PMT('Amort. Sched.-BEST'!$E$8/12, 'Amort. Sched.-BEST'!$I$7, 'Amort. Sched.-BEST'!$E$7), 0)</f>
        <v>-1350.6783839027553</v>
      </c>
      <c r="E276" s="5">
        <f>IF(AND(C276&gt;='Amort. Sched.-BEST'!$I$8, C276&lt;= ($I$7+$I$8)), (IPMT($E$8/12, (C276-$I$8), $I$7, $E$7)), 0)</f>
        <v>-287.35057262574276</v>
      </c>
      <c r="F276" s="23">
        <f>IF(AND(C276&gt;='Amort. Sched.-BEST'!$I$8, C276&lt;= ($I$7+$I$8)), (PPMT($E$8/12, (C276-$I$8), $I$7, $E$7)), 0)</f>
        <v>-1063.3278112770126</v>
      </c>
      <c r="G276" s="5">
        <f>IF(MortgageAmortBEST[[#This Row],[Month]]=I$8,E$7,0)</f>
        <v>0</v>
      </c>
      <c r="H276" s="13">
        <f>IF(AND(C276&gt;='Amort. Sched.-BEST'!$I$8, C276&lt;= ($I$7+$I$8)), H275+F276, 0)</f>
        <v>42039.258082584383</v>
      </c>
      <c r="I276" s="24">
        <f>IF(AND(C276&gt;='Amort. Sched.-BEST'!$I$8, C276&lt;= ($I$7+$I$8)), E276/D276, " ")</f>
        <v>0.21274537006763197</v>
      </c>
      <c r="J276" s="25">
        <f>IF(AND(C276&gt;='Amort. Sched.-BEST'!$I$8, C276&lt;= ($I$7+$I$8)), F276/D276, " ")</f>
        <v>0.78725462993236817</v>
      </c>
      <c r="L276" s="20">
        <f t="shared" si="68"/>
        <v>265</v>
      </c>
      <c r="M276" s="5">
        <f>IF(AND(L276&gt;='Amort. Sched.-BEST'!$R$8, L276&lt;= ($R$7+$R$8)), PMT('Amort. Sched.-BEST'!$N$8/12, 'Amort. Sched.-BEST'!$R$7, 'Amort. Sched.-BEST'!$N$7), 0)</f>
        <v>0</v>
      </c>
      <c r="N276" s="5">
        <f>IF(AND(L276&gt;='Amort. Sched.-BEST'!$R$8, L276&lt;= ($R$7+$R$8)), (IPMT($N$8/12, (L276-$R$8), $R$7, $N$7)), 0)</f>
        <v>0</v>
      </c>
      <c r="O276" s="5">
        <f>IF(AND(L276&gt;='Amort. Sched.-BEST'!$R$8, L276&lt;= ($R$7+$R$8)), (PPMT($N$8/12, (L276-$R$8), $R$7, $N$7)), 0)</f>
        <v>0</v>
      </c>
      <c r="P276" s="5">
        <f>IF(CreditAmort1BEST[[#This Row],[Month]]=R$8,N$7,0)</f>
        <v>0</v>
      </c>
      <c r="Q276" s="13">
        <f>IF(AND(L276&gt;='Amort. Sched.-BEST'!$R$8, L276&lt;= ($R$7+$R$8)), Q275+O276, 0)</f>
        <v>0</v>
      </c>
      <c r="R276" s="6" t="str">
        <f>IF(AND(L276&gt;='Amort. Sched.-BEST'!$R$8, L276&lt;= ($R$7+$R$8)), N276/M276, " ")</f>
        <v xml:space="preserve"> </v>
      </c>
      <c r="S276" s="21" t="str">
        <f>IF(AND(L276&gt;='Amort. Sched.-BEST'!$R$8, L276&lt;= ($R$7+$R$8)), O276/M276, " ")</f>
        <v xml:space="preserve"> </v>
      </c>
      <c r="U276" s="22">
        <f t="shared" si="70"/>
        <v>265</v>
      </c>
      <c r="V276" s="23">
        <f>IF(AND(U276&gt;='Amort. Sched.-BEST'!$AA$8, U276&lt;= ($AA$7+$AA$8)), PMT('Amort. Sched.-BEST'!$W$8/12, 'Amort. Sched.-BEST'!$AA$7, 'Amort. Sched.-BEST'!$W$7), 0)</f>
        <v>0</v>
      </c>
      <c r="W276" s="5">
        <f>IF(AND(U276&gt;='Amort. Sched.-BEST'!$AA$8, U276&lt;= ($AA$7+$AA$8)), (IPMT($W$8/12, (U276-$AA$8), $AA$7, $W$7)), 0)</f>
        <v>0</v>
      </c>
      <c r="X276" s="23">
        <f>IF(AND(U276&gt;='Amort. Sched.-BEST'!$AA$8, U276&lt;= ($AA$7+$AA$8)), (PPMT($W$8/12, (U276-$AA$8), $AA$7, $W$7)), 0)</f>
        <v>0</v>
      </c>
      <c r="Y276" s="5">
        <f>IF(CreditAmort2BEST[[#This Row],[Month]]=AA$8,W$7,0)</f>
        <v>0</v>
      </c>
      <c r="Z276" s="13">
        <f>IF(AND(U276&gt;='Amort. Sched.-BEST'!$AA$8, U276&lt;= ($AA$7+$AA$8)), Z275+X276, 0)</f>
        <v>0</v>
      </c>
      <c r="AA276" s="24" t="str">
        <f>IF(AND(U276&gt;='Amort. Sched.-BEST'!$AA$8, U276&lt;= ($AA$7+$AA$8)), W276/V276, " ")</f>
        <v xml:space="preserve"> </v>
      </c>
      <c r="AB276" s="25" t="str">
        <f>IF(AND(U276&gt;='Amort. Sched.-BEST'!$AA$8, U276&lt;= ($AA$7+$AA$8)), X276/V276, " ")</f>
        <v xml:space="preserve"> </v>
      </c>
      <c r="AD276" s="22">
        <f t="shared" si="71"/>
        <v>265</v>
      </c>
      <c r="AE276" s="5">
        <f t="shared" si="72"/>
        <v>0</v>
      </c>
      <c r="AF276" s="5">
        <f t="shared" si="73"/>
        <v>0</v>
      </c>
      <c r="AG276" s="5">
        <f t="shared" si="74"/>
        <v>0</v>
      </c>
      <c r="AH276" s="5">
        <f>IF(CreditAmort3BEST[[#This Row],[Month]]=AJ$8,AF$7,0)</f>
        <v>0</v>
      </c>
      <c r="AI276" s="13">
        <f t="shared" si="75"/>
        <v>0</v>
      </c>
      <c r="AJ276" s="6" t="str">
        <f t="shared" si="76"/>
        <v xml:space="preserve"> </v>
      </c>
      <c r="AK276" s="21" t="str">
        <f t="shared" si="77"/>
        <v xml:space="preserve"> </v>
      </c>
      <c r="AM276" s="20">
        <f t="shared" si="78"/>
        <v>265</v>
      </c>
      <c r="AN276" s="5">
        <f t="shared" si="79"/>
        <v>0</v>
      </c>
      <c r="AO276" s="5">
        <f t="shared" si="80"/>
        <v>0</v>
      </c>
      <c r="AP276" s="5">
        <f t="shared" si="81"/>
        <v>0</v>
      </c>
      <c r="AQ276" s="5">
        <f>IF(CreditAmort4BEST[[#This Row],[Month]]=AS$8,AO$7,0)</f>
        <v>0</v>
      </c>
      <c r="AR276" s="13">
        <f t="shared" si="82"/>
        <v>0</v>
      </c>
      <c r="AS276" s="6" t="str">
        <f t="shared" si="83"/>
        <v xml:space="preserve"> </v>
      </c>
      <c r="AT276" s="21" t="str">
        <f t="shared" si="84"/>
        <v xml:space="preserve"> </v>
      </c>
    </row>
    <row r="277" spans="3:46">
      <c r="C277" s="22">
        <f t="shared" si="69"/>
        <v>266</v>
      </c>
      <c r="D277" s="23">
        <f>IF(AND(C277&gt;='Amort. Sched.-BEST'!$I$8, C277&lt;= ($I$7+$I$8)), PMT('Amort. Sched.-BEST'!$E$8/12, 'Amort. Sched.-BEST'!$I$7, 'Amort. Sched.-BEST'!$E$7), 0)</f>
        <v>-1350.6783839027553</v>
      </c>
      <c r="E277" s="5">
        <f>IF(AND(C277&gt;='Amort. Sched.-BEST'!$I$8, C277&lt;= ($I$7+$I$8)), (IPMT($E$8/12, (C277-$I$8), $I$7, $E$7)), 0)</f>
        <v>-280.2617205505627</v>
      </c>
      <c r="F277" s="23">
        <f>IF(AND(C277&gt;='Amort. Sched.-BEST'!$I$8, C277&lt;= ($I$7+$I$8)), (PPMT($E$8/12, (C277-$I$8), $I$7, $E$7)), 0)</f>
        <v>-1070.4166633521927</v>
      </c>
      <c r="G277" s="5">
        <f>IF(MortgageAmortBEST[[#This Row],[Month]]=I$8,E$7,0)</f>
        <v>0</v>
      </c>
      <c r="H277" s="13">
        <f>IF(AND(C277&gt;='Amort. Sched.-BEST'!$I$8, C277&lt;= ($I$7+$I$8)), H276+F277, 0)</f>
        <v>40968.841419232194</v>
      </c>
      <c r="I277" s="24">
        <f>IF(AND(C277&gt;='Amort. Sched.-BEST'!$I$8, C277&lt;= ($I$7+$I$8)), E277/D277, " ")</f>
        <v>0.20749700586808287</v>
      </c>
      <c r="J277" s="25">
        <f>IF(AND(C277&gt;='Amort. Sched.-BEST'!$I$8, C277&lt;= ($I$7+$I$8)), F277/D277, " ")</f>
        <v>0.79250299413191716</v>
      </c>
      <c r="L277" s="20">
        <f t="shared" si="68"/>
        <v>266</v>
      </c>
      <c r="M277" s="5">
        <f>IF(AND(L277&gt;='Amort. Sched.-BEST'!$R$8, L277&lt;= ($R$7+$R$8)), PMT('Amort. Sched.-BEST'!$N$8/12, 'Amort. Sched.-BEST'!$R$7, 'Amort. Sched.-BEST'!$N$7), 0)</f>
        <v>0</v>
      </c>
      <c r="N277" s="5">
        <f>IF(AND(L277&gt;='Amort. Sched.-BEST'!$R$8, L277&lt;= ($R$7+$R$8)), (IPMT($N$8/12, (L277-$R$8), $R$7, $N$7)), 0)</f>
        <v>0</v>
      </c>
      <c r="O277" s="5">
        <f>IF(AND(L277&gt;='Amort. Sched.-BEST'!$R$8, L277&lt;= ($R$7+$R$8)), (PPMT($N$8/12, (L277-$R$8), $R$7, $N$7)), 0)</f>
        <v>0</v>
      </c>
      <c r="P277" s="5">
        <f>IF(CreditAmort1BEST[[#This Row],[Month]]=R$8,N$7,0)</f>
        <v>0</v>
      </c>
      <c r="Q277" s="13">
        <f>IF(AND(L277&gt;='Amort. Sched.-BEST'!$R$8, L277&lt;= ($R$7+$R$8)), Q276+O277, 0)</f>
        <v>0</v>
      </c>
      <c r="R277" s="6" t="str">
        <f>IF(AND(L277&gt;='Amort. Sched.-BEST'!$R$8, L277&lt;= ($R$7+$R$8)), N277/M277, " ")</f>
        <v xml:space="preserve"> </v>
      </c>
      <c r="S277" s="21" t="str">
        <f>IF(AND(L277&gt;='Amort. Sched.-BEST'!$R$8, L277&lt;= ($R$7+$R$8)), O277/M277, " ")</f>
        <v xml:space="preserve"> </v>
      </c>
      <c r="U277" s="22">
        <f t="shared" si="70"/>
        <v>266</v>
      </c>
      <c r="V277" s="23">
        <f>IF(AND(U277&gt;='Amort. Sched.-BEST'!$AA$8, U277&lt;= ($AA$7+$AA$8)), PMT('Amort. Sched.-BEST'!$W$8/12, 'Amort. Sched.-BEST'!$AA$7, 'Amort. Sched.-BEST'!$W$7), 0)</f>
        <v>0</v>
      </c>
      <c r="W277" s="5">
        <f>IF(AND(U277&gt;='Amort. Sched.-BEST'!$AA$8, U277&lt;= ($AA$7+$AA$8)), (IPMT($W$8/12, (U277-$AA$8), $AA$7, $W$7)), 0)</f>
        <v>0</v>
      </c>
      <c r="X277" s="23">
        <f>IF(AND(U277&gt;='Amort. Sched.-BEST'!$AA$8, U277&lt;= ($AA$7+$AA$8)), (PPMT($W$8/12, (U277-$AA$8), $AA$7, $W$7)), 0)</f>
        <v>0</v>
      </c>
      <c r="Y277" s="5">
        <f>IF(CreditAmort2BEST[[#This Row],[Month]]=AA$8,W$7,0)</f>
        <v>0</v>
      </c>
      <c r="Z277" s="13">
        <f>IF(AND(U277&gt;='Amort. Sched.-BEST'!$AA$8, U277&lt;= ($AA$7+$AA$8)), Z276+X277, 0)</f>
        <v>0</v>
      </c>
      <c r="AA277" s="24" t="str">
        <f>IF(AND(U277&gt;='Amort. Sched.-BEST'!$AA$8, U277&lt;= ($AA$7+$AA$8)), W277/V277, " ")</f>
        <v xml:space="preserve"> </v>
      </c>
      <c r="AB277" s="25" t="str">
        <f>IF(AND(U277&gt;='Amort. Sched.-BEST'!$AA$8, U277&lt;= ($AA$7+$AA$8)), X277/V277, " ")</f>
        <v xml:space="preserve"> </v>
      </c>
      <c r="AD277" s="22">
        <f t="shared" si="71"/>
        <v>266</v>
      </c>
      <c r="AE277" s="5">
        <f t="shared" si="72"/>
        <v>0</v>
      </c>
      <c r="AF277" s="5">
        <f t="shared" si="73"/>
        <v>0</v>
      </c>
      <c r="AG277" s="5">
        <f t="shared" si="74"/>
        <v>0</v>
      </c>
      <c r="AH277" s="5">
        <f>IF(CreditAmort3BEST[[#This Row],[Month]]=AJ$8,AF$7,0)</f>
        <v>0</v>
      </c>
      <c r="AI277" s="13">
        <f t="shared" si="75"/>
        <v>0</v>
      </c>
      <c r="AJ277" s="6" t="str">
        <f t="shared" si="76"/>
        <v xml:space="preserve"> </v>
      </c>
      <c r="AK277" s="21" t="str">
        <f t="shared" si="77"/>
        <v xml:space="preserve"> </v>
      </c>
      <c r="AM277" s="20">
        <f t="shared" si="78"/>
        <v>266</v>
      </c>
      <c r="AN277" s="5">
        <f t="shared" si="79"/>
        <v>0</v>
      </c>
      <c r="AO277" s="5">
        <f t="shared" si="80"/>
        <v>0</v>
      </c>
      <c r="AP277" s="5">
        <f t="shared" si="81"/>
        <v>0</v>
      </c>
      <c r="AQ277" s="5">
        <f>IF(CreditAmort4BEST[[#This Row],[Month]]=AS$8,AO$7,0)</f>
        <v>0</v>
      </c>
      <c r="AR277" s="13">
        <f t="shared" si="82"/>
        <v>0</v>
      </c>
      <c r="AS277" s="6" t="str">
        <f t="shared" si="83"/>
        <v xml:space="preserve"> </v>
      </c>
      <c r="AT277" s="21" t="str">
        <f t="shared" si="84"/>
        <v xml:space="preserve"> </v>
      </c>
    </row>
    <row r="278" spans="3:46">
      <c r="C278" s="22">
        <f t="shared" si="69"/>
        <v>267</v>
      </c>
      <c r="D278" s="23">
        <f>IF(AND(C278&gt;='Amort. Sched.-BEST'!$I$8, C278&lt;= ($I$7+$I$8)), PMT('Amort. Sched.-BEST'!$E$8/12, 'Amort. Sched.-BEST'!$I$7, 'Amort. Sched.-BEST'!$E$7), 0)</f>
        <v>-1350.6783839027553</v>
      </c>
      <c r="E278" s="5">
        <f>IF(AND(C278&gt;='Amort. Sched.-BEST'!$I$8, C278&lt;= ($I$7+$I$8)), (IPMT($E$8/12, (C278-$I$8), $I$7, $E$7)), 0)</f>
        <v>-273.12560946154804</v>
      </c>
      <c r="F278" s="23">
        <f>IF(AND(C278&gt;='Amort. Sched.-BEST'!$I$8, C278&lt;= ($I$7+$I$8)), (PPMT($E$8/12, (C278-$I$8), $I$7, $E$7)), 0)</f>
        <v>-1077.5527744412075</v>
      </c>
      <c r="G278" s="5">
        <f>IF(MortgageAmortBEST[[#This Row],[Month]]=I$8,E$7,0)</f>
        <v>0</v>
      </c>
      <c r="H278" s="13">
        <f>IF(AND(C278&gt;='Amort. Sched.-BEST'!$I$8, C278&lt;= ($I$7+$I$8)), H277+F278, 0)</f>
        <v>39891.288644790984</v>
      </c>
      <c r="I278" s="24">
        <f>IF(AND(C278&gt;='Amort. Sched.-BEST'!$I$8, C278&lt;= ($I$7+$I$8)), E278/D278, " ")</f>
        <v>0.20221365257387006</v>
      </c>
      <c r="J278" s="25">
        <f>IF(AND(C278&gt;='Amort. Sched.-BEST'!$I$8, C278&lt;= ($I$7+$I$8)), F278/D278, " ")</f>
        <v>0.79778634742613008</v>
      </c>
      <c r="L278" s="20">
        <f t="shared" si="68"/>
        <v>267</v>
      </c>
      <c r="M278" s="5">
        <f>IF(AND(L278&gt;='Amort. Sched.-BEST'!$R$8, L278&lt;= ($R$7+$R$8)), PMT('Amort. Sched.-BEST'!$N$8/12, 'Amort. Sched.-BEST'!$R$7, 'Amort. Sched.-BEST'!$N$7), 0)</f>
        <v>0</v>
      </c>
      <c r="N278" s="5">
        <f>IF(AND(L278&gt;='Amort. Sched.-BEST'!$R$8, L278&lt;= ($R$7+$R$8)), (IPMT($N$8/12, (L278-$R$8), $R$7, $N$7)), 0)</f>
        <v>0</v>
      </c>
      <c r="O278" s="5">
        <f>IF(AND(L278&gt;='Amort. Sched.-BEST'!$R$8, L278&lt;= ($R$7+$R$8)), (PPMT($N$8/12, (L278-$R$8), $R$7, $N$7)), 0)</f>
        <v>0</v>
      </c>
      <c r="P278" s="5">
        <f>IF(CreditAmort1BEST[[#This Row],[Month]]=R$8,N$7,0)</f>
        <v>0</v>
      </c>
      <c r="Q278" s="13">
        <f>IF(AND(L278&gt;='Amort. Sched.-BEST'!$R$8, L278&lt;= ($R$7+$R$8)), Q277+O278, 0)</f>
        <v>0</v>
      </c>
      <c r="R278" s="6" t="str">
        <f>IF(AND(L278&gt;='Amort. Sched.-BEST'!$R$8, L278&lt;= ($R$7+$R$8)), N278/M278, " ")</f>
        <v xml:space="preserve"> </v>
      </c>
      <c r="S278" s="21" t="str">
        <f>IF(AND(L278&gt;='Amort. Sched.-BEST'!$R$8, L278&lt;= ($R$7+$R$8)), O278/M278, " ")</f>
        <v xml:space="preserve"> </v>
      </c>
      <c r="U278" s="22">
        <f t="shared" si="70"/>
        <v>267</v>
      </c>
      <c r="V278" s="23">
        <f>IF(AND(U278&gt;='Amort. Sched.-BEST'!$AA$8, U278&lt;= ($AA$7+$AA$8)), PMT('Amort. Sched.-BEST'!$W$8/12, 'Amort. Sched.-BEST'!$AA$7, 'Amort. Sched.-BEST'!$W$7), 0)</f>
        <v>0</v>
      </c>
      <c r="W278" s="5">
        <f>IF(AND(U278&gt;='Amort. Sched.-BEST'!$AA$8, U278&lt;= ($AA$7+$AA$8)), (IPMT($W$8/12, (U278-$AA$8), $AA$7, $W$7)), 0)</f>
        <v>0</v>
      </c>
      <c r="X278" s="23">
        <f>IF(AND(U278&gt;='Amort. Sched.-BEST'!$AA$8, U278&lt;= ($AA$7+$AA$8)), (PPMT($W$8/12, (U278-$AA$8), $AA$7, $W$7)), 0)</f>
        <v>0</v>
      </c>
      <c r="Y278" s="5">
        <f>IF(CreditAmort2BEST[[#This Row],[Month]]=AA$8,W$7,0)</f>
        <v>0</v>
      </c>
      <c r="Z278" s="13">
        <f>IF(AND(U278&gt;='Amort. Sched.-BEST'!$AA$8, U278&lt;= ($AA$7+$AA$8)), Z277+X278, 0)</f>
        <v>0</v>
      </c>
      <c r="AA278" s="24" t="str">
        <f>IF(AND(U278&gt;='Amort. Sched.-BEST'!$AA$8, U278&lt;= ($AA$7+$AA$8)), W278/V278, " ")</f>
        <v xml:space="preserve"> </v>
      </c>
      <c r="AB278" s="25" t="str">
        <f>IF(AND(U278&gt;='Amort. Sched.-BEST'!$AA$8, U278&lt;= ($AA$7+$AA$8)), X278/V278, " ")</f>
        <v xml:space="preserve"> </v>
      </c>
      <c r="AD278" s="22">
        <f t="shared" si="71"/>
        <v>267</v>
      </c>
      <c r="AE278" s="5">
        <f t="shared" si="72"/>
        <v>0</v>
      </c>
      <c r="AF278" s="5">
        <f t="shared" si="73"/>
        <v>0</v>
      </c>
      <c r="AG278" s="5">
        <f t="shared" si="74"/>
        <v>0</v>
      </c>
      <c r="AH278" s="5">
        <f>IF(CreditAmort3BEST[[#This Row],[Month]]=AJ$8,AF$7,0)</f>
        <v>0</v>
      </c>
      <c r="AI278" s="13">
        <f t="shared" si="75"/>
        <v>0</v>
      </c>
      <c r="AJ278" s="6" t="str">
        <f t="shared" si="76"/>
        <v xml:space="preserve"> </v>
      </c>
      <c r="AK278" s="21" t="str">
        <f t="shared" si="77"/>
        <v xml:space="preserve"> </v>
      </c>
      <c r="AM278" s="20">
        <f t="shared" si="78"/>
        <v>267</v>
      </c>
      <c r="AN278" s="5">
        <f t="shared" si="79"/>
        <v>0</v>
      </c>
      <c r="AO278" s="5">
        <f t="shared" si="80"/>
        <v>0</v>
      </c>
      <c r="AP278" s="5">
        <f t="shared" si="81"/>
        <v>0</v>
      </c>
      <c r="AQ278" s="5">
        <f>IF(CreditAmort4BEST[[#This Row],[Month]]=AS$8,AO$7,0)</f>
        <v>0</v>
      </c>
      <c r="AR278" s="13">
        <f t="shared" si="82"/>
        <v>0</v>
      </c>
      <c r="AS278" s="6" t="str">
        <f t="shared" si="83"/>
        <v xml:space="preserve"> </v>
      </c>
      <c r="AT278" s="21" t="str">
        <f t="shared" si="84"/>
        <v xml:space="preserve"> </v>
      </c>
    </row>
    <row r="279" spans="3:46">
      <c r="C279" s="22">
        <f t="shared" si="69"/>
        <v>268</v>
      </c>
      <c r="D279" s="23">
        <f>IF(AND(C279&gt;='Amort. Sched.-BEST'!$I$8, C279&lt;= ($I$7+$I$8)), PMT('Amort. Sched.-BEST'!$E$8/12, 'Amort. Sched.-BEST'!$I$7, 'Amort. Sched.-BEST'!$E$7), 0)</f>
        <v>-1350.6783839027553</v>
      </c>
      <c r="E279" s="5">
        <f>IF(AND(C279&gt;='Amort. Sched.-BEST'!$I$8, C279&lt;= ($I$7+$I$8)), (IPMT($E$8/12, (C279-$I$8), $I$7, $E$7)), 0)</f>
        <v>-265.94192429860669</v>
      </c>
      <c r="F279" s="23">
        <f>IF(AND(C279&gt;='Amort. Sched.-BEST'!$I$8, C279&lt;= ($I$7+$I$8)), (PPMT($E$8/12, (C279-$I$8), $I$7, $E$7)), 0)</f>
        <v>-1084.7364596041486</v>
      </c>
      <c r="G279" s="5">
        <f>IF(MortgageAmortBEST[[#This Row],[Month]]=I$8,E$7,0)</f>
        <v>0</v>
      </c>
      <c r="H279" s="13">
        <f>IF(AND(C279&gt;='Amort. Sched.-BEST'!$I$8, C279&lt;= ($I$7+$I$8)), H278+F279, 0)</f>
        <v>38806.552185186833</v>
      </c>
      <c r="I279" s="24">
        <f>IF(AND(C279&gt;='Amort. Sched.-BEST'!$I$8, C279&lt;= ($I$7+$I$8)), E279/D279, " ")</f>
        <v>0.19689507692436256</v>
      </c>
      <c r="J279" s="25">
        <f>IF(AND(C279&gt;='Amort. Sched.-BEST'!$I$8, C279&lt;= ($I$7+$I$8)), F279/D279, " ")</f>
        <v>0.80310492307563752</v>
      </c>
      <c r="L279" s="20">
        <f t="shared" si="68"/>
        <v>268</v>
      </c>
      <c r="M279" s="5">
        <f>IF(AND(L279&gt;='Amort. Sched.-BEST'!$R$8, L279&lt;= ($R$7+$R$8)), PMT('Amort. Sched.-BEST'!$N$8/12, 'Amort. Sched.-BEST'!$R$7, 'Amort. Sched.-BEST'!$N$7), 0)</f>
        <v>0</v>
      </c>
      <c r="N279" s="5">
        <f>IF(AND(L279&gt;='Amort. Sched.-BEST'!$R$8, L279&lt;= ($R$7+$R$8)), (IPMT($N$8/12, (L279-$R$8), $R$7, $N$7)), 0)</f>
        <v>0</v>
      </c>
      <c r="O279" s="5">
        <f>IF(AND(L279&gt;='Amort. Sched.-BEST'!$R$8, L279&lt;= ($R$7+$R$8)), (PPMT($N$8/12, (L279-$R$8), $R$7, $N$7)), 0)</f>
        <v>0</v>
      </c>
      <c r="P279" s="5">
        <f>IF(CreditAmort1BEST[[#This Row],[Month]]=R$8,N$7,0)</f>
        <v>0</v>
      </c>
      <c r="Q279" s="13">
        <f>IF(AND(L279&gt;='Amort. Sched.-BEST'!$R$8, L279&lt;= ($R$7+$R$8)), Q278+O279, 0)</f>
        <v>0</v>
      </c>
      <c r="R279" s="6" t="str">
        <f>IF(AND(L279&gt;='Amort. Sched.-BEST'!$R$8, L279&lt;= ($R$7+$R$8)), N279/M279, " ")</f>
        <v xml:space="preserve"> </v>
      </c>
      <c r="S279" s="21" t="str">
        <f>IF(AND(L279&gt;='Amort. Sched.-BEST'!$R$8, L279&lt;= ($R$7+$R$8)), O279/M279, " ")</f>
        <v xml:space="preserve"> </v>
      </c>
      <c r="U279" s="22">
        <f t="shared" si="70"/>
        <v>268</v>
      </c>
      <c r="V279" s="23">
        <f>IF(AND(U279&gt;='Amort. Sched.-BEST'!$AA$8, U279&lt;= ($AA$7+$AA$8)), PMT('Amort. Sched.-BEST'!$W$8/12, 'Amort. Sched.-BEST'!$AA$7, 'Amort. Sched.-BEST'!$W$7), 0)</f>
        <v>0</v>
      </c>
      <c r="W279" s="5">
        <f>IF(AND(U279&gt;='Amort. Sched.-BEST'!$AA$8, U279&lt;= ($AA$7+$AA$8)), (IPMT($W$8/12, (U279-$AA$8), $AA$7, $W$7)), 0)</f>
        <v>0</v>
      </c>
      <c r="X279" s="23">
        <f>IF(AND(U279&gt;='Amort. Sched.-BEST'!$AA$8, U279&lt;= ($AA$7+$AA$8)), (PPMT($W$8/12, (U279-$AA$8), $AA$7, $W$7)), 0)</f>
        <v>0</v>
      </c>
      <c r="Y279" s="5">
        <f>IF(CreditAmort2BEST[[#This Row],[Month]]=AA$8,W$7,0)</f>
        <v>0</v>
      </c>
      <c r="Z279" s="13">
        <f>IF(AND(U279&gt;='Amort. Sched.-BEST'!$AA$8, U279&lt;= ($AA$7+$AA$8)), Z278+X279, 0)</f>
        <v>0</v>
      </c>
      <c r="AA279" s="24" t="str">
        <f>IF(AND(U279&gt;='Amort. Sched.-BEST'!$AA$8, U279&lt;= ($AA$7+$AA$8)), W279/V279, " ")</f>
        <v xml:space="preserve"> </v>
      </c>
      <c r="AB279" s="25" t="str">
        <f>IF(AND(U279&gt;='Amort. Sched.-BEST'!$AA$8, U279&lt;= ($AA$7+$AA$8)), X279/V279, " ")</f>
        <v xml:space="preserve"> </v>
      </c>
      <c r="AD279" s="22">
        <f t="shared" si="71"/>
        <v>268</v>
      </c>
      <c r="AE279" s="5">
        <f t="shared" si="72"/>
        <v>0</v>
      </c>
      <c r="AF279" s="5">
        <f t="shared" si="73"/>
        <v>0</v>
      </c>
      <c r="AG279" s="5">
        <f t="shared" si="74"/>
        <v>0</v>
      </c>
      <c r="AH279" s="5">
        <f>IF(CreditAmort3BEST[[#This Row],[Month]]=AJ$8,AF$7,0)</f>
        <v>0</v>
      </c>
      <c r="AI279" s="13">
        <f t="shared" si="75"/>
        <v>0</v>
      </c>
      <c r="AJ279" s="6" t="str">
        <f t="shared" si="76"/>
        <v xml:space="preserve"> </v>
      </c>
      <c r="AK279" s="21" t="str">
        <f t="shared" si="77"/>
        <v xml:space="preserve"> </v>
      </c>
      <c r="AM279" s="20">
        <f t="shared" si="78"/>
        <v>268</v>
      </c>
      <c r="AN279" s="5">
        <f t="shared" si="79"/>
        <v>0</v>
      </c>
      <c r="AO279" s="5">
        <f t="shared" si="80"/>
        <v>0</v>
      </c>
      <c r="AP279" s="5">
        <f t="shared" si="81"/>
        <v>0</v>
      </c>
      <c r="AQ279" s="5">
        <f>IF(CreditAmort4BEST[[#This Row],[Month]]=AS$8,AO$7,0)</f>
        <v>0</v>
      </c>
      <c r="AR279" s="13">
        <f t="shared" si="82"/>
        <v>0</v>
      </c>
      <c r="AS279" s="6" t="str">
        <f t="shared" si="83"/>
        <v xml:space="preserve"> </v>
      </c>
      <c r="AT279" s="21" t="str">
        <f t="shared" si="84"/>
        <v xml:space="preserve"> </v>
      </c>
    </row>
    <row r="280" spans="3:46">
      <c r="C280" s="22">
        <f t="shared" si="69"/>
        <v>269</v>
      </c>
      <c r="D280" s="23">
        <f>IF(AND(C280&gt;='Amort. Sched.-BEST'!$I$8, C280&lt;= ($I$7+$I$8)), PMT('Amort. Sched.-BEST'!$E$8/12, 'Amort. Sched.-BEST'!$I$7, 'Amort. Sched.-BEST'!$E$7), 0)</f>
        <v>-1350.6783839027553</v>
      </c>
      <c r="E280" s="5">
        <f>IF(AND(C280&gt;='Amort. Sched.-BEST'!$I$8, C280&lt;= ($I$7+$I$8)), (IPMT($E$8/12, (C280-$I$8), $I$7, $E$7)), 0)</f>
        <v>-258.71034790124565</v>
      </c>
      <c r="F280" s="23">
        <f>IF(AND(C280&gt;='Amort. Sched.-BEST'!$I$8, C280&lt;= ($I$7+$I$8)), (PPMT($E$8/12, (C280-$I$8), $I$7, $E$7)), 0)</f>
        <v>-1091.9680360015095</v>
      </c>
      <c r="G280" s="5">
        <f>IF(MortgageAmortBEST[[#This Row],[Month]]=I$8,E$7,0)</f>
        <v>0</v>
      </c>
      <c r="H280" s="13">
        <f>IF(AND(C280&gt;='Amort. Sched.-BEST'!$I$8, C280&lt;= ($I$7+$I$8)), H279+F280, 0)</f>
        <v>37714.584149185321</v>
      </c>
      <c r="I280" s="24">
        <f>IF(AND(C280&gt;='Amort. Sched.-BEST'!$I$8, C280&lt;= ($I$7+$I$8)), E280/D280, " ")</f>
        <v>0.19154104410385828</v>
      </c>
      <c r="J280" s="25">
        <f>IF(AND(C280&gt;='Amort. Sched.-BEST'!$I$8, C280&lt;= ($I$7+$I$8)), F280/D280, " ")</f>
        <v>0.8084589558961417</v>
      </c>
      <c r="L280" s="20">
        <f t="shared" si="68"/>
        <v>269</v>
      </c>
      <c r="M280" s="5">
        <f>IF(AND(L280&gt;='Amort. Sched.-BEST'!$R$8, L280&lt;= ($R$7+$R$8)), PMT('Amort. Sched.-BEST'!$N$8/12, 'Amort. Sched.-BEST'!$R$7, 'Amort. Sched.-BEST'!$N$7), 0)</f>
        <v>0</v>
      </c>
      <c r="N280" s="5">
        <f>IF(AND(L280&gt;='Amort. Sched.-BEST'!$R$8, L280&lt;= ($R$7+$R$8)), (IPMT($N$8/12, (L280-$R$8), $R$7, $N$7)), 0)</f>
        <v>0</v>
      </c>
      <c r="O280" s="5">
        <f>IF(AND(L280&gt;='Amort. Sched.-BEST'!$R$8, L280&lt;= ($R$7+$R$8)), (PPMT($N$8/12, (L280-$R$8), $R$7, $N$7)), 0)</f>
        <v>0</v>
      </c>
      <c r="P280" s="5">
        <f>IF(CreditAmort1BEST[[#This Row],[Month]]=R$8,N$7,0)</f>
        <v>0</v>
      </c>
      <c r="Q280" s="13">
        <f>IF(AND(L280&gt;='Amort. Sched.-BEST'!$R$8, L280&lt;= ($R$7+$R$8)), Q279+O280, 0)</f>
        <v>0</v>
      </c>
      <c r="R280" s="6" t="str">
        <f>IF(AND(L280&gt;='Amort. Sched.-BEST'!$R$8, L280&lt;= ($R$7+$R$8)), N280/M280, " ")</f>
        <v xml:space="preserve"> </v>
      </c>
      <c r="S280" s="21" t="str">
        <f>IF(AND(L280&gt;='Amort. Sched.-BEST'!$R$8, L280&lt;= ($R$7+$R$8)), O280/M280, " ")</f>
        <v xml:space="preserve"> </v>
      </c>
      <c r="U280" s="22">
        <f t="shared" si="70"/>
        <v>269</v>
      </c>
      <c r="V280" s="23">
        <f>IF(AND(U280&gt;='Amort. Sched.-BEST'!$AA$8, U280&lt;= ($AA$7+$AA$8)), PMT('Amort. Sched.-BEST'!$W$8/12, 'Amort. Sched.-BEST'!$AA$7, 'Amort. Sched.-BEST'!$W$7), 0)</f>
        <v>0</v>
      </c>
      <c r="W280" s="5">
        <f>IF(AND(U280&gt;='Amort. Sched.-BEST'!$AA$8, U280&lt;= ($AA$7+$AA$8)), (IPMT($W$8/12, (U280-$AA$8), $AA$7, $W$7)), 0)</f>
        <v>0</v>
      </c>
      <c r="X280" s="23">
        <f>IF(AND(U280&gt;='Amort. Sched.-BEST'!$AA$8, U280&lt;= ($AA$7+$AA$8)), (PPMT($W$8/12, (U280-$AA$8), $AA$7, $W$7)), 0)</f>
        <v>0</v>
      </c>
      <c r="Y280" s="5">
        <f>IF(CreditAmort2BEST[[#This Row],[Month]]=AA$8,W$7,0)</f>
        <v>0</v>
      </c>
      <c r="Z280" s="13">
        <f>IF(AND(U280&gt;='Amort. Sched.-BEST'!$AA$8, U280&lt;= ($AA$7+$AA$8)), Z279+X280, 0)</f>
        <v>0</v>
      </c>
      <c r="AA280" s="24" t="str">
        <f>IF(AND(U280&gt;='Amort. Sched.-BEST'!$AA$8, U280&lt;= ($AA$7+$AA$8)), W280/V280, " ")</f>
        <v xml:space="preserve"> </v>
      </c>
      <c r="AB280" s="25" t="str">
        <f>IF(AND(U280&gt;='Amort. Sched.-BEST'!$AA$8, U280&lt;= ($AA$7+$AA$8)), X280/V280, " ")</f>
        <v xml:space="preserve"> </v>
      </c>
      <c r="AD280" s="22">
        <f t="shared" si="71"/>
        <v>269</v>
      </c>
      <c r="AE280" s="5">
        <f t="shared" si="72"/>
        <v>0</v>
      </c>
      <c r="AF280" s="5">
        <f t="shared" si="73"/>
        <v>0</v>
      </c>
      <c r="AG280" s="5">
        <f t="shared" si="74"/>
        <v>0</v>
      </c>
      <c r="AH280" s="5">
        <f>IF(CreditAmort3BEST[[#This Row],[Month]]=AJ$8,AF$7,0)</f>
        <v>0</v>
      </c>
      <c r="AI280" s="13">
        <f t="shared" si="75"/>
        <v>0</v>
      </c>
      <c r="AJ280" s="6" t="str">
        <f t="shared" si="76"/>
        <v xml:space="preserve"> </v>
      </c>
      <c r="AK280" s="21" t="str">
        <f t="shared" si="77"/>
        <v xml:space="preserve"> </v>
      </c>
      <c r="AM280" s="20">
        <f t="shared" si="78"/>
        <v>269</v>
      </c>
      <c r="AN280" s="5">
        <f t="shared" si="79"/>
        <v>0</v>
      </c>
      <c r="AO280" s="5">
        <f t="shared" si="80"/>
        <v>0</v>
      </c>
      <c r="AP280" s="5">
        <f t="shared" si="81"/>
        <v>0</v>
      </c>
      <c r="AQ280" s="5">
        <f>IF(CreditAmort4BEST[[#This Row],[Month]]=AS$8,AO$7,0)</f>
        <v>0</v>
      </c>
      <c r="AR280" s="13">
        <f t="shared" si="82"/>
        <v>0</v>
      </c>
      <c r="AS280" s="6" t="str">
        <f t="shared" si="83"/>
        <v xml:space="preserve"> </v>
      </c>
      <c r="AT280" s="21" t="str">
        <f t="shared" si="84"/>
        <v xml:space="preserve"> </v>
      </c>
    </row>
    <row r="281" spans="3:46">
      <c r="C281" s="22">
        <f t="shared" si="69"/>
        <v>270</v>
      </c>
      <c r="D281" s="23">
        <f>IF(AND(C281&gt;='Amort. Sched.-BEST'!$I$8, C281&lt;= ($I$7+$I$8)), PMT('Amort. Sched.-BEST'!$E$8/12, 'Amort. Sched.-BEST'!$I$7, 'Amort. Sched.-BEST'!$E$7), 0)</f>
        <v>-1350.6783839027553</v>
      </c>
      <c r="E281" s="5">
        <f>IF(AND(C281&gt;='Amort. Sched.-BEST'!$I$8, C281&lt;= ($I$7+$I$8)), (IPMT($E$8/12, (C281-$I$8), $I$7, $E$7)), 0)</f>
        <v>-251.43056099456896</v>
      </c>
      <c r="F281" s="23">
        <f>IF(AND(C281&gt;='Amort. Sched.-BEST'!$I$8, C281&lt;= ($I$7+$I$8)), (PPMT($E$8/12, (C281-$I$8), $I$7, $E$7)), 0)</f>
        <v>-1099.2478229081862</v>
      </c>
      <c r="G281" s="5">
        <f>IF(MortgageAmortBEST[[#This Row],[Month]]=I$8,E$7,0)</f>
        <v>0</v>
      </c>
      <c r="H281" s="13">
        <f>IF(AND(C281&gt;='Amort. Sched.-BEST'!$I$8, C281&lt;= ($I$7+$I$8)), H280+F281, 0)</f>
        <v>36615.336326277131</v>
      </c>
      <c r="I281" s="24">
        <f>IF(AND(C281&gt;='Amort. Sched.-BEST'!$I$8, C281&lt;= ($I$7+$I$8)), E281/D281, " ")</f>
        <v>0.18615131773121735</v>
      </c>
      <c r="J281" s="25">
        <f>IF(AND(C281&gt;='Amort. Sched.-BEST'!$I$8, C281&lt;= ($I$7+$I$8)), F281/D281, " ")</f>
        <v>0.8138486822687826</v>
      </c>
      <c r="L281" s="20">
        <f t="shared" si="68"/>
        <v>270</v>
      </c>
      <c r="M281" s="5">
        <f>IF(AND(L281&gt;='Amort. Sched.-BEST'!$R$8, L281&lt;= ($R$7+$R$8)), PMT('Amort. Sched.-BEST'!$N$8/12, 'Amort. Sched.-BEST'!$R$7, 'Amort. Sched.-BEST'!$N$7), 0)</f>
        <v>0</v>
      </c>
      <c r="N281" s="5">
        <f>IF(AND(L281&gt;='Amort. Sched.-BEST'!$R$8, L281&lt;= ($R$7+$R$8)), (IPMT($N$8/12, (L281-$R$8), $R$7, $N$7)), 0)</f>
        <v>0</v>
      </c>
      <c r="O281" s="5">
        <f>IF(AND(L281&gt;='Amort. Sched.-BEST'!$R$8, L281&lt;= ($R$7+$R$8)), (PPMT($N$8/12, (L281-$R$8), $R$7, $N$7)), 0)</f>
        <v>0</v>
      </c>
      <c r="P281" s="5">
        <f>IF(CreditAmort1BEST[[#This Row],[Month]]=R$8,N$7,0)</f>
        <v>0</v>
      </c>
      <c r="Q281" s="13">
        <f>IF(AND(L281&gt;='Amort. Sched.-BEST'!$R$8, L281&lt;= ($R$7+$R$8)), Q280+O281, 0)</f>
        <v>0</v>
      </c>
      <c r="R281" s="6" t="str">
        <f>IF(AND(L281&gt;='Amort. Sched.-BEST'!$R$8, L281&lt;= ($R$7+$R$8)), N281/M281, " ")</f>
        <v xml:space="preserve"> </v>
      </c>
      <c r="S281" s="21" t="str">
        <f>IF(AND(L281&gt;='Amort. Sched.-BEST'!$R$8, L281&lt;= ($R$7+$R$8)), O281/M281, " ")</f>
        <v xml:space="preserve"> </v>
      </c>
      <c r="U281" s="22">
        <f t="shared" si="70"/>
        <v>270</v>
      </c>
      <c r="V281" s="23">
        <f>IF(AND(U281&gt;='Amort. Sched.-BEST'!$AA$8, U281&lt;= ($AA$7+$AA$8)), PMT('Amort. Sched.-BEST'!$W$8/12, 'Amort. Sched.-BEST'!$AA$7, 'Amort. Sched.-BEST'!$W$7), 0)</f>
        <v>0</v>
      </c>
      <c r="W281" s="5">
        <f>IF(AND(U281&gt;='Amort. Sched.-BEST'!$AA$8, U281&lt;= ($AA$7+$AA$8)), (IPMT($W$8/12, (U281-$AA$8), $AA$7, $W$7)), 0)</f>
        <v>0</v>
      </c>
      <c r="X281" s="23">
        <f>IF(AND(U281&gt;='Amort. Sched.-BEST'!$AA$8, U281&lt;= ($AA$7+$AA$8)), (PPMT($W$8/12, (U281-$AA$8), $AA$7, $W$7)), 0)</f>
        <v>0</v>
      </c>
      <c r="Y281" s="5">
        <f>IF(CreditAmort2BEST[[#This Row],[Month]]=AA$8,W$7,0)</f>
        <v>0</v>
      </c>
      <c r="Z281" s="13">
        <f>IF(AND(U281&gt;='Amort. Sched.-BEST'!$AA$8, U281&lt;= ($AA$7+$AA$8)), Z280+X281, 0)</f>
        <v>0</v>
      </c>
      <c r="AA281" s="24" t="str">
        <f>IF(AND(U281&gt;='Amort. Sched.-BEST'!$AA$8, U281&lt;= ($AA$7+$AA$8)), W281/V281, " ")</f>
        <v xml:space="preserve"> </v>
      </c>
      <c r="AB281" s="25" t="str">
        <f>IF(AND(U281&gt;='Amort. Sched.-BEST'!$AA$8, U281&lt;= ($AA$7+$AA$8)), X281/V281, " ")</f>
        <v xml:space="preserve"> </v>
      </c>
      <c r="AD281" s="22">
        <f t="shared" si="71"/>
        <v>270</v>
      </c>
      <c r="AE281" s="5">
        <f t="shared" si="72"/>
        <v>0</v>
      </c>
      <c r="AF281" s="5">
        <f t="shared" si="73"/>
        <v>0</v>
      </c>
      <c r="AG281" s="5">
        <f t="shared" si="74"/>
        <v>0</v>
      </c>
      <c r="AH281" s="5">
        <f>IF(CreditAmort3BEST[[#This Row],[Month]]=AJ$8,AF$7,0)</f>
        <v>0</v>
      </c>
      <c r="AI281" s="13">
        <f t="shared" si="75"/>
        <v>0</v>
      </c>
      <c r="AJ281" s="6" t="str">
        <f t="shared" si="76"/>
        <v xml:space="preserve"> </v>
      </c>
      <c r="AK281" s="21" t="str">
        <f t="shared" si="77"/>
        <v xml:space="preserve"> </v>
      </c>
      <c r="AM281" s="20">
        <f t="shared" si="78"/>
        <v>270</v>
      </c>
      <c r="AN281" s="5">
        <f t="shared" si="79"/>
        <v>0</v>
      </c>
      <c r="AO281" s="5">
        <f t="shared" si="80"/>
        <v>0</v>
      </c>
      <c r="AP281" s="5">
        <f t="shared" si="81"/>
        <v>0</v>
      </c>
      <c r="AQ281" s="5">
        <f>IF(CreditAmort4BEST[[#This Row],[Month]]=AS$8,AO$7,0)</f>
        <v>0</v>
      </c>
      <c r="AR281" s="13">
        <f t="shared" si="82"/>
        <v>0</v>
      </c>
      <c r="AS281" s="6" t="str">
        <f t="shared" si="83"/>
        <v xml:space="preserve"> </v>
      </c>
      <c r="AT281" s="21" t="str">
        <f t="shared" si="84"/>
        <v xml:space="preserve"> </v>
      </c>
    </row>
    <row r="282" spans="3:46">
      <c r="C282" s="22">
        <f t="shared" si="69"/>
        <v>271</v>
      </c>
      <c r="D282" s="23">
        <f>IF(AND(C282&gt;='Amort. Sched.-BEST'!$I$8, C282&lt;= ($I$7+$I$8)), PMT('Amort. Sched.-BEST'!$E$8/12, 'Amort. Sched.-BEST'!$I$7, 'Amort. Sched.-BEST'!$E$7), 0)</f>
        <v>-1350.6783839027553</v>
      </c>
      <c r="E282" s="5">
        <f>IF(AND(C282&gt;='Amort. Sched.-BEST'!$I$8, C282&lt;= ($I$7+$I$8)), (IPMT($E$8/12, (C282-$I$8), $I$7, $E$7)), 0)</f>
        <v>-244.10224217518103</v>
      </c>
      <c r="F282" s="23">
        <f>IF(AND(C282&gt;='Amort. Sched.-BEST'!$I$8, C282&lt;= ($I$7+$I$8)), (PPMT($E$8/12, (C282-$I$8), $I$7, $E$7)), 0)</f>
        <v>-1106.5761417275744</v>
      </c>
      <c r="G282" s="5">
        <f>IF(MortgageAmortBEST[[#This Row],[Month]]=I$8,E$7,0)</f>
        <v>0</v>
      </c>
      <c r="H282" s="13">
        <f>IF(AND(C282&gt;='Amort. Sched.-BEST'!$I$8, C282&lt;= ($I$7+$I$8)), H281+F282, 0)</f>
        <v>35508.760184549559</v>
      </c>
      <c r="I282" s="24">
        <f>IF(AND(C282&gt;='Amort. Sched.-BEST'!$I$8, C282&lt;= ($I$7+$I$8)), E282/D282, " ")</f>
        <v>0.18072565984942546</v>
      </c>
      <c r="J282" s="25">
        <f>IF(AND(C282&gt;='Amort. Sched.-BEST'!$I$8, C282&lt;= ($I$7+$I$8)), F282/D282, " ")</f>
        <v>0.81927434015057465</v>
      </c>
      <c r="L282" s="20">
        <f t="shared" si="68"/>
        <v>271</v>
      </c>
      <c r="M282" s="5">
        <f>IF(AND(L282&gt;='Amort. Sched.-BEST'!$R$8, L282&lt;= ($R$7+$R$8)), PMT('Amort. Sched.-BEST'!$N$8/12, 'Amort. Sched.-BEST'!$R$7, 'Amort. Sched.-BEST'!$N$7), 0)</f>
        <v>0</v>
      </c>
      <c r="N282" s="5">
        <f>IF(AND(L282&gt;='Amort. Sched.-BEST'!$R$8, L282&lt;= ($R$7+$R$8)), (IPMT($N$8/12, (L282-$R$8), $R$7, $N$7)), 0)</f>
        <v>0</v>
      </c>
      <c r="O282" s="5">
        <f>IF(AND(L282&gt;='Amort. Sched.-BEST'!$R$8, L282&lt;= ($R$7+$R$8)), (PPMT($N$8/12, (L282-$R$8), $R$7, $N$7)), 0)</f>
        <v>0</v>
      </c>
      <c r="P282" s="5">
        <f>IF(CreditAmort1BEST[[#This Row],[Month]]=R$8,N$7,0)</f>
        <v>0</v>
      </c>
      <c r="Q282" s="13">
        <f>IF(AND(L282&gt;='Amort. Sched.-BEST'!$R$8, L282&lt;= ($R$7+$R$8)), Q281+O282, 0)</f>
        <v>0</v>
      </c>
      <c r="R282" s="6" t="str">
        <f>IF(AND(L282&gt;='Amort. Sched.-BEST'!$R$8, L282&lt;= ($R$7+$R$8)), N282/M282, " ")</f>
        <v xml:space="preserve"> </v>
      </c>
      <c r="S282" s="21" t="str">
        <f>IF(AND(L282&gt;='Amort. Sched.-BEST'!$R$8, L282&lt;= ($R$7+$R$8)), O282/M282, " ")</f>
        <v xml:space="preserve"> </v>
      </c>
      <c r="U282" s="22">
        <f t="shared" si="70"/>
        <v>271</v>
      </c>
      <c r="V282" s="23">
        <f>IF(AND(U282&gt;='Amort. Sched.-BEST'!$AA$8, U282&lt;= ($AA$7+$AA$8)), PMT('Amort. Sched.-BEST'!$W$8/12, 'Amort. Sched.-BEST'!$AA$7, 'Amort. Sched.-BEST'!$W$7), 0)</f>
        <v>0</v>
      </c>
      <c r="W282" s="5">
        <f>IF(AND(U282&gt;='Amort. Sched.-BEST'!$AA$8, U282&lt;= ($AA$7+$AA$8)), (IPMT($W$8/12, (U282-$AA$8), $AA$7, $W$7)), 0)</f>
        <v>0</v>
      </c>
      <c r="X282" s="23">
        <f>IF(AND(U282&gt;='Amort. Sched.-BEST'!$AA$8, U282&lt;= ($AA$7+$AA$8)), (PPMT($W$8/12, (U282-$AA$8), $AA$7, $W$7)), 0)</f>
        <v>0</v>
      </c>
      <c r="Y282" s="5">
        <f>IF(CreditAmort2BEST[[#This Row],[Month]]=AA$8,W$7,0)</f>
        <v>0</v>
      </c>
      <c r="Z282" s="13">
        <f>IF(AND(U282&gt;='Amort. Sched.-BEST'!$AA$8, U282&lt;= ($AA$7+$AA$8)), Z281+X282, 0)</f>
        <v>0</v>
      </c>
      <c r="AA282" s="24" t="str">
        <f>IF(AND(U282&gt;='Amort. Sched.-BEST'!$AA$8, U282&lt;= ($AA$7+$AA$8)), W282/V282, " ")</f>
        <v xml:space="preserve"> </v>
      </c>
      <c r="AB282" s="25" t="str">
        <f>IF(AND(U282&gt;='Amort. Sched.-BEST'!$AA$8, U282&lt;= ($AA$7+$AA$8)), X282/V282, " ")</f>
        <v xml:space="preserve"> </v>
      </c>
      <c r="AD282" s="22">
        <f t="shared" si="71"/>
        <v>271</v>
      </c>
      <c r="AE282" s="5">
        <f t="shared" si="72"/>
        <v>0</v>
      </c>
      <c r="AF282" s="5">
        <f t="shared" si="73"/>
        <v>0</v>
      </c>
      <c r="AG282" s="5">
        <f t="shared" si="74"/>
        <v>0</v>
      </c>
      <c r="AH282" s="5">
        <f>IF(CreditAmort3BEST[[#This Row],[Month]]=AJ$8,AF$7,0)</f>
        <v>0</v>
      </c>
      <c r="AI282" s="13">
        <f t="shared" si="75"/>
        <v>0</v>
      </c>
      <c r="AJ282" s="6" t="str">
        <f t="shared" si="76"/>
        <v xml:space="preserve"> </v>
      </c>
      <c r="AK282" s="21" t="str">
        <f t="shared" si="77"/>
        <v xml:space="preserve"> </v>
      </c>
      <c r="AM282" s="20">
        <f t="shared" si="78"/>
        <v>271</v>
      </c>
      <c r="AN282" s="5">
        <f t="shared" si="79"/>
        <v>0</v>
      </c>
      <c r="AO282" s="5">
        <f t="shared" si="80"/>
        <v>0</v>
      </c>
      <c r="AP282" s="5">
        <f t="shared" si="81"/>
        <v>0</v>
      </c>
      <c r="AQ282" s="5">
        <f>IF(CreditAmort4BEST[[#This Row],[Month]]=AS$8,AO$7,0)</f>
        <v>0</v>
      </c>
      <c r="AR282" s="13">
        <f t="shared" si="82"/>
        <v>0</v>
      </c>
      <c r="AS282" s="6" t="str">
        <f t="shared" si="83"/>
        <v xml:space="preserve"> </v>
      </c>
      <c r="AT282" s="21" t="str">
        <f t="shared" si="84"/>
        <v xml:space="preserve"> </v>
      </c>
    </row>
    <row r="283" spans="3:46">
      <c r="C283" s="22">
        <f t="shared" si="69"/>
        <v>272</v>
      </c>
      <c r="D283" s="23">
        <f>IF(AND(C283&gt;='Amort. Sched.-BEST'!$I$8, C283&lt;= ($I$7+$I$8)), PMT('Amort. Sched.-BEST'!$E$8/12, 'Amort. Sched.-BEST'!$I$7, 'Amort. Sched.-BEST'!$E$7), 0)</f>
        <v>-1350.6783839027553</v>
      </c>
      <c r="E283" s="5">
        <f>IF(AND(C283&gt;='Amort. Sched.-BEST'!$I$8, C283&lt;= ($I$7+$I$8)), (IPMT($E$8/12, (C283-$I$8), $I$7, $E$7)), 0)</f>
        <v>-236.72506789699722</v>
      </c>
      <c r="F283" s="23">
        <f>IF(AND(C283&gt;='Amort. Sched.-BEST'!$I$8, C283&lt;= ($I$7+$I$8)), (PPMT($E$8/12, (C283-$I$8), $I$7, $E$7)), 0)</f>
        <v>-1113.9533160057581</v>
      </c>
      <c r="G283" s="5">
        <f>IF(MortgageAmortBEST[[#This Row],[Month]]=I$8,E$7,0)</f>
        <v>0</v>
      </c>
      <c r="H283" s="13">
        <f>IF(AND(C283&gt;='Amort. Sched.-BEST'!$I$8, C283&lt;= ($I$7+$I$8)), H282+F283, 0)</f>
        <v>34394.806868543805</v>
      </c>
      <c r="I283" s="24">
        <f>IF(AND(C283&gt;='Amort. Sched.-BEST'!$I$8, C283&lt;= ($I$7+$I$8)), E283/D283, " ")</f>
        <v>0.17526383091508829</v>
      </c>
      <c r="J283" s="25">
        <f>IF(AND(C283&gt;='Amort. Sched.-BEST'!$I$8, C283&lt;= ($I$7+$I$8)), F283/D283, " ")</f>
        <v>0.82473616908491176</v>
      </c>
      <c r="L283" s="20">
        <f t="shared" si="68"/>
        <v>272</v>
      </c>
      <c r="M283" s="5">
        <f>IF(AND(L283&gt;='Amort. Sched.-BEST'!$R$8, L283&lt;= ($R$7+$R$8)), PMT('Amort. Sched.-BEST'!$N$8/12, 'Amort. Sched.-BEST'!$R$7, 'Amort. Sched.-BEST'!$N$7), 0)</f>
        <v>0</v>
      </c>
      <c r="N283" s="5">
        <f>IF(AND(L283&gt;='Amort. Sched.-BEST'!$R$8, L283&lt;= ($R$7+$R$8)), (IPMT($N$8/12, (L283-$R$8), $R$7, $N$7)), 0)</f>
        <v>0</v>
      </c>
      <c r="O283" s="5">
        <f>IF(AND(L283&gt;='Amort. Sched.-BEST'!$R$8, L283&lt;= ($R$7+$R$8)), (PPMT($N$8/12, (L283-$R$8), $R$7, $N$7)), 0)</f>
        <v>0</v>
      </c>
      <c r="P283" s="5">
        <f>IF(CreditAmort1BEST[[#This Row],[Month]]=R$8,N$7,0)</f>
        <v>0</v>
      </c>
      <c r="Q283" s="13">
        <f>IF(AND(L283&gt;='Amort. Sched.-BEST'!$R$8, L283&lt;= ($R$7+$R$8)), Q282+O283, 0)</f>
        <v>0</v>
      </c>
      <c r="R283" s="6" t="str">
        <f>IF(AND(L283&gt;='Amort. Sched.-BEST'!$R$8, L283&lt;= ($R$7+$R$8)), N283/M283, " ")</f>
        <v xml:space="preserve"> </v>
      </c>
      <c r="S283" s="21" t="str">
        <f>IF(AND(L283&gt;='Amort. Sched.-BEST'!$R$8, L283&lt;= ($R$7+$R$8)), O283/M283, " ")</f>
        <v xml:space="preserve"> </v>
      </c>
      <c r="U283" s="22">
        <f t="shared" si="70"/>
        <v>272</v>
      </c>
      <c r="V283" s="23">
        <f>IF(AND(U283&gt;='Amort. Sched.-BEST'!$AA$8, U283&lt;= ($AA$7+$AA$8)), PMT('Amort. Sched.-BEST'!$W$8/12, 'Amort. Sched.-BEST'!$AA$7, 'Amort. Sched.-BEST'!$W$7), 0)</f>
        <v>0</v>
      </c>
      <c r="W283" s="5">
        <f>IF(AND(U283&gt;='Amort. Sched.-BEST'!$AA$8, U283&lt;= ($AA$7+$AA$8)), (IPMT($W$8/12, (U283-$AA$8), $AA$7, $W$7)), 0)</f>
        <v>0</v>
      </c>
      <c r="X283" s="23">
        <f>IF(AND(U283&gt;='Amort. Sched.-BEST'!$AA$8, U283&lt;= ($AA$7+$AA$8)), (PPMT($W$8/12, (U283-$AA$8), $AA$7, $W$7)), 0)</f>
        <v>0</v>
      </c>
      <c r="Y283" s="5">
        <f>IF(CreditAmort2BEST[[#This Row],[Month]]=AA$8,W$7,0)</f>
        <v>0</v>
      </c>
      <c r="Z283" s="13">
        <f>IF(AND(U283&gt;='Amort. Sched.-BEST'!$AA$8, U283&lt;= ($AA$7+$AA$8)), Z282+X283, 0)</f>
        <v>0</v>
      </c>
      <c r="AA283" s="24" t="str">
        <f>IF(AND(U283&gt;='Amort. Sched.-BEST'!$AA$8, U283&lt;= ($AA$7+$AA$8)), W283/V283, " ")</f>
        <v xml:space="preserve"> </v>
      </c>
      <c r="AB283" s="25" t="str">
        <f>IF(AND(U283&gt;='Amort. Sched.-BEST'!$AA$8, U283&lt;= ($AA$7+$AA$8)), X283/V283, " ")</f>
        <v xml:space="preserve"> </v>
      </c>
      <c r="AD283" s="22">
        <f t="shared" si="71"/>
        <v>272</v>
      </c>
      <c r="AE283" s="5">
        <f t="shared" si="72"/>
        <v>0</v>
      </c>
      <c r="AF283" s="5">
        <f t="shared" si="73"/>
        <v>0</v>
      </c>
      <c r="AG283" s="5">
        <f t="shared" si="74"/>
        <v>0</v>
      </c>
      <c r="AH283" s="5">
        <f>IF(CreditAmort3BEST[[#This Row],[Month]]=AJ$8,AF$7,0)</f>
        <v>0</v>
      </c>
      <c r="AI283" s="13">
        <f t="shared" si="75"/>
        <v>0</v>
      </c>
      <c r="AJ283" s="6" t="str">
        <f t="shared" si="76"/>
        <v xml:space="preserve"> </v>
      </c>
      <c r="AK283" s="21" t="str">
        <f t="shared" si="77"/>
        <v xml:space="preserve"> </v>
      </c>
      <c r="AM283" s="20">
        <f t="shared" si="78"/>
        <v>272</v>
      </c>
      <c r="AN283" s="5">
        <f t="shared" si="79"/>
        <v>0</v>
      </c>
      <c r="AO283" s="5">
        <f t="shared" si="80"/>
        <v>0</v>
      </c>
      <c r="AP283" s="5">
        <f t="shared" si="81"/>
        <v>0</v>
      </c>
      <c r="AQ283" s="5">
        <f>IF(CreditAmort4BEST[[#This Row],[Month]]=AS$8,AO$7,0)</f>
        <v>0</v>
      </c>
      <c r="AR283" s="13">
        <f t="shared" si="82"/>
        <v>0</v>
      </c>
      <c r="AS283" s="6" t="str">
        <f t="shared" si="83"/>
        <v xml:space="preserve"> </v>
      </c>
      <c r="AT283" s="21" t="str">
        <f t="shared" si="84"/>
        <v xml:space="preserve"> </v>
      </c>
    </row>
    <row r="284" spans="3:46">
      <c r="C284" s="22">
        <f t="shared" si="69"/>
        <v>273</v>
      </c>
      <c r="D284" s="23">
        <f>IF(AND(C284&gt;='Amort. Sched.-BEST'!$I$8, C284&lt;= ($I$7+$I$8)), PMT('Amort. Sched.-BEST'!$E$8/12, 'Amort. Sched.-BEST'!$I$7, 'Amort. Sched.-BEST'!$E$7), 0)</f>
        <v>-1350.6783839027553</v>
      </c>
      <c r="E284" s="5">
        <f>IF(AND(C284&gt;='Amort. Sched.-BEST'!$I$8, C284&lt;= ($I$7+$I$8)), (IPMT($E$8/12, (C284-$I$8), $I$7, $E$7)), 0)</f>
        <v>-229.29871245695887</v>
      </c>
      <c r="F284" s="23">
        <f>IF(AND(C284&gt;='Amort. Sched.-BEST'!$I$8, C284&lt;= ($I$7+$I$8)), (PPMT($E$8/12, (C284-$I$8), $I$7, $E$7)), 0)</f>
        <v>-1121.3796714457965</v>
      </c>
      <c r="G284" s="5">
        <f>IF(MortgageAmortBEST[[#This Row],[Month]]=I$8,E$7,0)</f>
        <v>0</v>
      </c>
      <c r="H284" s="13">
        <f>IF(AND(C284&gt;='Amort. Sched.-BEST'!$I$8, C284&lt;= ($I$7+$I$8)), H283+F284, 0)</f>
        <v>33273.427197098012</v>
      </c>
      <c r="I284" s="24">
        <f>IF(AND(C284&gt;='Amort. Sched.-BEST'!$I$8, C284&lt;= ($I$7+$I$8)), E284/D284, " ")</f>
        <v>0.16976558978785558</v>
      </c>
      <c r="J284" s="25">
        <f>IF(AND(C284&gt;='Amort. Sched.-BEST'!$I$8, C284&lt;= ($I$7+$I$8)), F284/D284, " ")</f>
        <v>0.8302344102121445</v>
      </c>
      <c r="L284" s="20">
        <f t="shared" si="68"/>
        <v>273</v>
      </c>
      <c r="M284" s="5">
        <f>IF(AND(L284&gt;='Amort. Sched.-BEST'!$R$8, L284&lt;= ($R$7+$R$8)), PMT('Amort. Sched.-BEST'!$N$8/12, 'Amort. Sched.-BEST'!$R$7, 'Amort. Sched.-BEST'!$N$7), 0)</f>
        <v>0</v>
      </c>
      <c r="N284" s="5">
        <f>IF(AND(L284&gt;='Amort. Sched.-BEST'!$R$8, L284&lt;= ($R$7+$R$8)), (IPMT($N$8/12, (L284-$R$8), $R$7, $N$7)), 0)</f>
        <v>0</v>
      </c>
      <c r="O284" s="5">
        <f>IF(AND(L284&gt;='Amort. Sched.-BEST'!$R$8, L284&lt;= ($R$7+$R$8)), (PPMT($N$8/12, (L284-$R$8), $R$7, $N$7)), 0)</f>
        <v>0</v>
      </c>
      <c r="P284" s="5">
        <f>IF(CreditAmort1BEST[[#This Row],[Month]]=R$8,N$7,0)</f>
        <v>0</v>
      </c>
      <c r="Q284" s="13">
        <f>IF(AND(L284&gt;='Amort. Sched.-BEST'!$R$8, L284&lt;= ($R$7+$R$8)), Q283+O284, 0)</f>
        <v>0</v>
      </c>
      <c r="R284" s="6" t="str">
        <f>IF(AND(L284&gt;='Amort. Sched.-BEST'!$R$8, L284&lt;= ($R$7+$R$8)), N284/M284, " ")</f>
        <v xml:space="preserve"> </v>
      </c>
      <c r="S284" s="21" t="str">
        <f>IF(AND(L284&gt;='Amort. Sched.-BEST'!$R$8, L284&lt;= ($R$7+$R$8)), O284/M284, " ")</f>
        <v xml:space="preserve"> </v>
      </c>
      <c r="U284" s="22">
        <f t="shared" si="70"/>
        <v>273</v>
      </c>
      <c r="V284" s="23">
        <f>IF(AND(U284&gt;='Amort. Sched.-BEST'!$AA$8, U284&lt;= ($AA$7+$AA$8)), PMT('Amort. Sched.-BEST'!$W$8/12, 'Amort. Sched.-BEST'!$AA$7, 'Amort. Sched.-BEST'!$W$7), 0)</f>
        <v>0</v>
      </c>
      <c r="W284" s="5">
        <f>IF(AND(U284&gt;='Amort. Sched.-BEST'!$AA$8, U284&lt;= ($AA$7+$AA$8)), (IPMT($W$8/12, (U284-$AA$8), $AA$7, $W$7)), 0)</f>
        <v>0</v>
      </c>
      <c r="X284" s="23">
        <f>IF(AND(U284&gt;='Amort. Sched.-BEST'!$AA$8, U284&lt;= ($AA$7+$AA$8)), (PPMT($W$8/12, (U284-$AA$8), $AA$7, $W$7)), 0)</f>
        <v>0</v>
      </c>
      <c r="Y284" s="5">
        <f>IF(CreditAmort2BEST[[#This Row],[Month]]=AA$8,W$7,0)</f>
        <v>0</v>
      </c>
      <c r="Z284" s="13">
        <f>IF(AND(U284&gt;='Amort. Sched.-BEST'!$AA$8, U284&lt;= ($AA$7+$AA$8)), Z283+X284, 0)</f>
        <v>0</v>
      </c>
      <c r="AA284" s="24" t="str">
        <f>IF(AND(U284&gt;='Amort. Sched.-BEST'!$AA$8, U284&lt;= ($AA$7+$AA$8)), W284/V284, " ")</f>
        <v xml:space="preserve"> </v>
      </c>
      <c r="AB284" s="25" t="str">
        <f>IF(AND(U284&gt;='Amort. Sched.-BEST'!$AA$8, U284&lt;= ($AA$7+$AA$8)), X284/V284, " ")</f>
        <v xml:space="preserve"> </v>
      </c>
      <c r="AD284" s="22">
        <f t="shared" si="71"/>
        <v>273</v>
      </c>
      <c r="AE284" s="5">
        <f t="shared" si="72"/>
        <v>0</v>
      </c>
      <c r="AF284" s="5">
        <f t="shared" si="73"/>
        <v>0</v>
      </c>
      <c r="AG284" s="5">
        <f t="shared" si="74"/>
        <v>0</v>
      </c>
      <c r="AH284" s="5">
        <f>IF(CreditAmort3BEST[[#This Row],[Month]]=AJ$8,AF$7,0)</f>
        <v>0</v>
      </c>
      <c r="AI284" s="13">
        <f t="shared" si="75"/>
        <v>0</v>
      </c>
      <c r="AJ284" s="6" t="str">
        <f t="shared" si="76"/>
        <v xml:space="preserve"> </v>
      </c>
      <c r="AK284" s="21" t="str">
        <f t="shared" si="77"/>
        <v xml:space="preserve"> </v>
      </c>
      <c r="AM284" s="20">
        <f t="shared" si="78"/>
        <v>273</v>
      </c>
      <c r="AN284" s="5">
        <f t="shared" si="79"/>
        <v>0</v>
      </c>
      <c r="AO284" s="5">
        <f t="shared" si="80"/>
        <v>0</v>
      </c>
      <c r="AP284" s="5">
        <f t="shared" si="81"/>
        <v>0</v>
      </c>
      <c r="AQ284" s="5">
        <f>IF(CreditAmort4BEST[[#This Row],[Month]]=AS$8,AO$7,0)</f>
        <v>0</v>
      </c>
      <c r="AR284" s="13">
        <f t="shared" si="82"/>
        <v>0</v>
      </c>
      <c r="AS284" s="6" t="str">
        <f t="shared" si="83"/>
        <v xml:space="preserve"> </v>
      </c>
      <c r="AT284" s="21" t="str">
        <f t="shared" si="84"/>
        <v xml:space="preserve"> </v>
      </c>
    </row>
    <row r="285" spans="3:46">
      <c r="C285" s="22">
        <f t="shared" si="69"/>
        <v>274</v>
      </c>
      <c r="D285" s="23">
        <f>IF(AND(C285&gt;='Amort. Sched.-BEST'!$I$8, C285&lt;= ($I$7+$I$8)), PMT('Amort. Sched.-BEST'!$E$8/12, 'Amort. Sched.-BEST'!$I$7, 'Amort. Sched.-BEST'!$E$7), 0)</f>
        <v>-1350.6783839027553</v>
      </c>
      <c r="E285" s="5">
        <f>IF(AND(C285&gt;='Amort. Sched.-BEST'!$I$8, C285&lt;= ($I$7+$I$8)), (IPMT($E$8/12, (C285-$I$8), $I$7, $E$7)), 0)</f>
        <v>-221.82284798065353</v>
      </c>
      <c r="F285" s="23">
        <f>IF(AND(C285&gt;='Amort. Sched.-BEST'!$I$8, C285&lt;= ($I$7+$I$8)), (PPMT($E$8/12, (C285-$I$8), $I$7, $E$7)), 0)</f>
        <v>-1128.8555359221018</v>
      </c>
      <c r="G285" s="5">
        <f>IF(MortgageAmortBEST[[#This Row],[Month]]=I$8,E$7,0)</f>
        <v>0</v>
      </c>
      <c r="H285" s="13">
        <f>IF(AND(C285&gt;='Amort. Sched.-BEST'!$I$8, C285&lt;= ($I$7+$I$8)), H284+F285, 0)</f>
        <v>32144.571661175909</v>
      </c>
      <c r="I285" s="24">
        <f>IF(AND(C285&gt;='Amort. Sched.-BEST'!$I$8, C285&lt;= ($I$7+$I$8)), E285/D285, " ")</f>
        <v>0.16423069371977458</v>
      </c>
      <c r="J285" s="25">
        <f>IF(AND(C285&gt;='Amort. Sched.-BEST'!$I$8, C285&lt;= ($I$7+$I$8)), F285/D285, " ")</f>
        <v>0.8357693062802255</v>
      </c>
      <c r="L285" s="20">
        <f t="shared" si="68"/>
        <v>274</v>
      </c>
      <c r="M285" s="5">
        <f>IF(AND(L285&gt;='Amort. Sched.-BEST'!$R$8, L285&lt;= ($R$7+$R$8)), PMT('Amort. Sched.-BEST'!$N$8/12, 'Amort. Sched.-BEST'!$R$7, 'Amort. Sched.-BEST'!$N$7), 0)</f>
        <v>0</v>
      </c>
      <c r="N285" s="5">
        <f>IF(AND(L285&gt;='Amort. Sched.-BEST'!$R$8, L285&lt;= ($R$7+$R$8)), (IPMT($N$8/12, (L285-$R$8), $R$7, $N$7)), 0)</f>
        <v>0</v>
      </c>
      <c r="O285" s="5">
        <f>IF(AND(L285&gt;='Amort. Sched.-BEST'!$R$8, L285&lt;= ($R$7+$R$8)), (PPMT($N$8/12, (L285-$R$8), $R$7, $N$7)), 0)</f>
        <v>0</v>
      </c>
      <c r="P285" s="5">
        <f>IF(CreditAmort1BEST[[#This Row],[Month]]=R$8,N$7,0)</f>
        <v>0</v>
      </c>
      <c r="Q285" s="13">
        <f>IF(AND(L285&gt;='Amort. Sched.-BEST'!$R$8, L285&lt;= ($R$7+$R$8)), Q284+O285, 0)</f>
        <v>0</v>
      </c>
      <c r="R285" s="6" t="str">
        <f>IF(AND(L285&gt;='Amort. Sched.-BEST'!$R$8, L285&lt;= ($R$7+$R$8)), N285/M285, " ")</f>
        <v xml:space="preserve"> </v>
      </c>
      <c r="S285" s="21" t="str">
        <f>IF(AND(L285&gt;='Amort. Sched.-BEST'!$R$8, L285&lt;= ($R$7+$R$8)), O285/M285, " ")</f>
        <v xml:space="preserve"> </v>
      </c>
      <c r="U285" s="22">
        <f t="shared" si="70"/>
        <v>274</v>
      </c>
      <c r="V285" s="23">
        <f>IF(AND(U285&gt;='Amort. Sched.-BEST'!$AA$8, U285&lt;= ($AA$7+$AA$8)), PMT('Amort. Sched.-BEST'!$W$8/12, 'Amort. Sched.-BEST'!$AA$7, 'Amort. Sched.-BEST'!$W$7), 0)</f>
        <v>0</v>
      </c>
      <c r="W285" s="5">
        <f>IF(AND(U285&gt;='Amort. Sched.-BEST'!$AA$8, U285&lt;= ($AA$7+$AA$8)), (IPMT($W$8/12, (U285-$AA$8), $AA$7, $W$7)), 0)</f>
        <v>0</v>
      </c>
      <c r="X285" s="23">
        <f>IF(AND(U285&gt;='Amort. Sched.-BEST'!$AA$8, U285&lt;= ($AA$7+$AA$8)), (PPMT($W$8/12, (U285-$AA$8), $AA$7, $W$7)), 0)</f>
        <v>0</v>
      </c>
      <c r="Y285" s="5">
        <f>IF(CreditAmort2BEST[[#This Row],[Month]]=AA$8,W$7,0)</f>
        <v>0</v>
      </c>
      <c r="Z285" s="13">
        <f>IF(AND(U285&gt;='Amort. Sched.-BEST'!$AA$8, U285&lt;= ($AA$7+$AA$8)), Z284+X285, 0)</f>
        <v>0</v>
      </c>
      <c r="AA285" s="24" t="str">
        <f>IF(AND(U285&gt;='Amort. Sched.-BEST'!$AA$8, U285&lt;= ($AA$7+$AA$8)), W285/V285, " ")</f>
        <v xml:space="preserve"> </v>
      </c>
      <c r="AB285" s="25" t="str">
        <f>IF(AND(U285&gt;='Amort. Sched.-BEST'!$AA$8, U285&lt;= ($AA$7+$AA$8)), X285/V285, " ")</f>
        <v xml:space="preserve"> </v>
      </c>
      <c r="AD285" s="22">
        <f t="shared" si="71"/>
        <v>274</v>
      </c>
      <c r="AE285" s="5">
        <f t="shared" si="72"/>
        <v>0</v>
      </c>
      <c r="AF285" s="5">
        <f t="shared" si="73"/>
        <v>0</v>
      </c>
      <c r="AG285" s="5">
        <f t="shared" si="74"/>
        <v>0</v>
      </c>
      <c r="AH285" s="5">
        <f>IF(CreditAmort3BEST[[#This Row],[Month]]=AJ$8,AF$7,0)</f>
        <v>0</v>
      </c>
      <c r="AI285" s="13">
        <f t="shared" si="75"/>
        <v>0</v>
      </c>
      <c r="AJ285" s="6" t="str">
        <f t="shared" si="76"/>
        <v xml:space="preserve"> </v>
      </c>
      <c r="AK285" s="21" t="str">
        <f t="shared" si="77"/>
        <v xml:space="preserve"> </v>
      </c>
      <c r="AM285" s="20">
        <f t="shared" si="78"/>
        <v>274</v>
      </c>
      <c r="AN285" s="5">
        <f t="shared" si="79"/>
        <v>0</v>
      </c>
      <c r="AO285" s="5">
        <f t="shared" si="80"/>
        <v>0</v>
      </c>
      <c r="AP285" s="5">
        <f t="shared" si="81"/>
        <v>0</v>
      </c>
      <c r="AQ285" s="5">
        <f>IF(CreditAmort4BEST[[#This Row],[Month]]=AS$8,AO$7,0)</f>
        <v>0</v>
      </c>
      <c r="AR285" s="13">
        <f t="shared" si="82"/>
        <v>0</v>
      </c>
      <c r="AS285" s="6" t="str">
        <f t="shared" si="83"/>
        <v xml:space="preserve"> </v>
      </c>
      <c r="AT285" s="21" t="str">
        <f t="shared" si="84"/>
        <v xml:space="preserve"> </v>
      </c>
    </row>
    <row r="286" spans="3:46">
      <c r="C286" s="22">
        <f t="shared" si="69"/>
        <v>275</v>
      </c>
      <c r="D286" s="23">
        <f>IF(AND(C286&gt;='Amort. Sched.-BEST'!$I$8, C286&lt;= ($I$7+$I$8)), PMT('Amort. Sched.-BEST'!$E$8/12, 'Amort. Sched.-BEST'!$I$7, 'Amort. Sched.-BEST'!$E$7), 0)</f>
        <v>-1350.6783839027553</v>
      </c>
      <c r="E286" s="5">
        <f>IF(AND(C286&gt;='Amort. Sched.-BEST'!$I$8, C286&lt;= ($I$7+$I$8)), (IPMT($E$8/12, (C286-$I$8), $I$7, $E$7)), 0)</f>
        <v>-214.29714440783954</v>
      </c>
      <c r="F286" s="23">
        <f>IF(AND(C286&gt;='Amort. Sched.-BEST'!$I$8, C286&lt;= ($I$7+$I$8)), (PPMT($E$8/12, (C286-$I$8), $I$7, $E$7)), 0)</f>
        <v>-1136.3812394949159</v>
      </c>
      <c r="G286" s="5">
        <f>IF(MortgageAmortBEST[[#This Row],[Month]]=I$8,E$7,0)</f>
        <v>0</v>
      </c>
      <c r="H286" s="13">
        <f>IF(AND(C286&gt;='Amort. Sched.-BEST'!$I$8, C286&lt;= ($I$7+$I$8)), H285+F286, 0)</f>
        <v>31008.190421680993</v>
      </c>
      <c r="I286" s="24">
        <f>IF(AND(C286&gt;='Amort. Sched.-BEST'!$I$8, C286&lt;= ($I$7+$I$8)), E286/D286, " ")</f>
        <v>0.15865889834457311</v>
      </c>
      <c r="J286" s="25">
        <f>IF(AND(C286&gt;='Amort. Sched.-BEST'!$I$8, C286&lt;= ($I$7+$I$8)), F286/D286, " ")</f>
        <v>0.84134110165542697</v>
      </c>
      <c r="L286" s="20">
        <f t="shared" si="68"/>
        <v>275</v>
      </c>
      <c r="M286" s="5">
        <f>IF(AND(L286&gt;='Amort. Sched.-BEST'!$R$8, L286&lt;= ($R$7+$R$8)), PMT('Amort. Sched.-BEST'!$N$8/12, 'Amort. Sched.-BEST'!$R$7, 'Amort. Sched.-BEST'!$N$7), 0)</f>
        <v>0</v>
      </c>
      <c r="N286" s="5">
        <f>IF(AND(L286&gt;='Amort. Sched.-BEST'!$R$8, L286&lt;= ($R$7+$R$8)), (IPMT($N$8/12, (L286-$R$8), $R$7, $N$7)), 0)</f>
        <v>0</v>
      </c>
      <c r="O286" s="5">
        <f>IF(AND(L286&gt;='Amort. Sched.-BEST'!$R$8, L286&lt;= ($R$7+$R$8)), (PPMT($N$8/12, (L286-$R$8), $R$7, $N$7)), 0)</f>
        <v>0</v>
      </c>
      <c r="P286" s="5">
        <f>IF(CreditAmort1BEST[[#This Row],[Month]]=R$8,N$7,0)</f>
        <v>0</v>
      </c>
      <c r="Q286" s="13">
        <f>IF(AND(L286&gt;='Amort. Sched.-BEST'!$R$8, L286&lt;= ($R$7+$R$8)), Q285+O286, 0)</f>
        <v>0</v>
      </c>
      <c r="R286" s="6" t="str">
        <f>IF(AND(L286&gt;='Amort. Sched.-BEST'!$R$8, L286&lt;= ($R$7+$R$8)), N286/M286, " ")</f>
        <v xml:space="preserve"> </v>
      </c>
      <c r="S286" s="21" t="str">
        <f>IF(AND(L286&gt;='Amort. Sched.-BEST'!$R$8, L286&lt;= ($R$7+$R$8)), O286/M286, " ")</f>
        <v xml:space="preserve"> </v>
      </c>
      <c r="U286" s="22">
        <f t="shared" si="70"/>
        <v>275</v>
      </c>
      <c r="V286" s="23">
        <f>IF(AND(U286&gt;='Amort. Sched.-BEST'!$AA$8, U286&lt;= ($AA$7+$AA$8)), PMT('Amort. Sched.-BEST'!$W$8/12, 'Amort. Sched.-BEST'!$AA$7, 'Amort. Sched.-BEST'!$W$7), 0)</f>
        <v>0</v>
      </c>
      <c r="W286" s="5">
        <f>IF(AND(U286&gt;='Amort. Sched.-BEST'!$AA$8, U286&lt;= ($AA$7+$AA$8)), (IPMT($W$8/12, (U286-$AA$8), $AA$7, $W$7)), 0)</f>
        <v>0</v>
      </c>
      <c r="X286" s="23">
        <f>IF(AND(U286&gt;='Amort. Sched.-BEST'!$AA$8, U286&lt;= ($AA$7+$AA$8)), (PPMT($W$8/12, (U286-$AA$8), $AA$7, $W$7)), 0)</f>
        <v>0</v>
      </c>
      <c r="Y286" s="5">
        <f>IF(CreditAmort2BEST[[#This Row],[Month]]=AA$8,W$7,0)</f>
        <v>0</v>
      </c>
      <c r="Z286" s="13">
        <f>IF(AND(U286&gt;='Amort. Sched.-BEST'!$AA$8, U286&lt;= ($AA$7+$AA$8)), Z285+X286, 0)</f>
        <v>0</v>
      </c>
      <c r="AA286" s="24" t="str">
        <f>IF(AND(U286&gt;='Amort. Sched.-BEST'!$AA$8, U286&lt;= ($AA$7+$AA$8)), W286/V286, " ")</f>
        <v xml:space="preserve"> </v>
      </c>
      <c r="AB286" s="25" t="str">
        <f>IF(AND(U286&gt;='Amort. Sched.-BEST'!$AA$8, U286&lt;= ($AA$7+$AA$8)), X286/V286, " ")</f>
        <v xml:space="preserve"> </v>
      </c>
      <c r="AD286" s="22">
        <f t="shared" si="71"/>
        <v>275</v>
      </c>
      <c r="AE286" s="5">
        <f t="shared" si="72"/>
        <v>0</v>
      </c>
      <c r="AF286" s="5">
        <f t="shared" si="73"/>
        <v>0</v>
      </c>
      <c r="AG286" s="5">
        <f t="shared" si="74"/>
        <v>0</v>
      </c>
      <c r="AH286" s="5">
        <f>IF(CreditAmort3BEST[[#This Row],[Month]]=AJ$8,AF$7,0)</f>
        <v>0</v>
      </c>
      <c r="AI286" s="13">
        <f t="shared" si="75"/>
        <v>0</v>
      </c>
      <c r="AJ286" s="6" t="str">
        <f t="shared" si="76"/>
        <v xml:space="preserve"> </v>
      </c>
      <c r="AK286" s="21" t="str">
        <f t="shared" si="77"/>
        <v xml:space="preserve"> </v>
      </c>
      <c r="AM286" s="20">
        <f t="shared" si="78"/>
        <v>275</v>
      </c>
      <c r="AN286" s="5">
        <f t="shared" si="79"/>
        <v>0</v>
      </c>
      <c r="AO286" s="5">
        <f t="shared" si="80"/>
        <v>0</v>
      </c>
      <c r="AP286" s="5">
        <f t="shared" si="81"/>
        <v>0</v>
      </c>
      <c r="AQ286" s="5">
        <f>IF(CreditAmort4BEST[[#This Row],[Month]]=AS$8,AO$7,0)</f>
        <v>0</v>
      </c>
      <c r="AR286" s="13">
        <f t="shared" si="82"/>
        <v>0</v>
      </c>
      <c r="AS286" s="6" t="str">
        <f t="shared" si="83"/>
        <v xml:space="preserve"> </v>
      </c>
      <c r="AT286" s="21" t="str">
        <f t="shared" si="84"/>
        <v xml:space="preserve"> </v>
      </c>
    </row>
    <row r="287" spans="3:46">
      <c r="C287" s="22">
        <f t="shared" si="69"/>
        <v>276</v>
      </c>
      <c r="D287" s="23">
        <f>IF(AND(C287&gt;='Amort. Sched.-BEST'!$I$8, C287&lt;= ($I$7+$I$8)), PMT('Amort. Sched.-BEST'!$E$8/12, 'Amort. Sched.-BEST'!$I$7, 'Amort. Sched.-BEST'!$E$7), 0)</f>
        <v>-1350.6783839027553</v>
      </c>
      <c r="E287" s="5">
        <f>IF(AND(C287&gt;='Amort. Sched.-BEST'!$I$8, C287&lt;= ($I$7+$I$8)), (IPMT($E$8/12, (C287-$I$8), $I$7, $E$7)), 0)</f>
        <v>-206.72126947787342</v>
      </c>
      <c r="F287" s="23">
        <f>IF(AND(C287&gt;='Amort. Sched.-BEST'!$I$8, C287&lt;= ($I$7+$I$8)), (PPMT($E$8/12, (C287-$I$8), $I$7, $E$7)), 0)</f>
        <v>-1143.9571144248819</v>
      </c>
      <c r="G287" s="5">
        <f>IF(MortgageAmortBEST[[#This Row],[Month]]=I$8,E$7,0)</f>
        <v>0</v>
      </c>
      <c r="H287" s="13">
        <f>IF(AND(C287&gt;='Amort. Sched.-BEST'!$I$8, C287&lt;= ($I$7+$I$8)), H286+F287, 0)</f>
        <v>29864.233307256112</v>
      </c>
      <c r="I287" s="24">
        <f>IF(AND(C287&gt;='Amort. Sched.-BEST'!$I$8, C287&lt;= ($I$7+$I$8)), E287/D287, " ")</f>
        <v>0.15304995766687024</v>
      </c>
      <c r="J287" s="25">
        <f>IF(AND(C287&gt;='Amort. Sched.-BEST'!$I$8, C287&lt;= ($I$7+$I$8)), F287/D287, " ")</f>
        <v>0.84695004233312976</v>
      </c>
      <c r="L287" s="20">
        <f t="shared" si="68"/>
        <v>276</v>
      </c>
      <c r="M287" s="5">
        <f>IF(AND(L287&gt;='Amort. Sched.-BEST'!$R$8, L287&lt;= ($R$7+$R$8)), PMT('Amort. Sched.-BEST'!$N$8/12, 'Amort. Sched.-BEST'!$R$7, 'Amort. Sched.-BEST'!$N$7), 0)</f>
        <v>0</v>
      </c>
      <c r="N287" s="5">
        <f>IF(AND(L287&gt;='Amort. Sched.-BEST'!$R$8, L287&lt;= ($R$7+$R$8)), (IPMT($N$8/12, (L287-$R$8), $R$7, $N$7)), 0)</f>
        <v>0</v>
      </c>
      <c r="O287" s="5">
        <f>IF(AND(L287&gt;='Amort. Sched.-BEST'!$R$8, L287&lt;= ($R$7+$R$8)), (PPMT($N$8/12, (L287-$R$8), $R$7, $N$7)), 0)</f>
        <v>0</v>
      </c>
      <c r="P287" s="5">
        <f>IF(CreditAmort1BEST[[#This Row],[Month]]=R$8,N$7,0)</f>
        <v>0</v>
      </c>
      <c r="Q287" s="13">
        <f>IF(AND(L287&gt;='Amort. Sched.-BEST'!$R$8, L287&lt;= ($R$7+$R$8)), Q286+O287, 0)</f>
        <v>0</v>
      </c>
      <c r="R287" s="6" t="str">
        <f>IF(AND(L287&gt;='Amort. Sched.-BEST'!$R$8, L287&lt;= ($R$7+$R$8)), N287/M287, " ")</f>
        <v xml:space="preserve"> </v>
      </c>
      <c r="S287" s="21" t="str">
        <f>IF(AND(L287&gt;='Amort. Sched.-BEST'!$R$8, L287&lt;= ($R$7+$R$8)), O287/M287, " ")</f>
        <v xml:space="preserve"> </v>
      </c>
      <c r="U287" s="22">
        <f t="shared" si="70"/>
        <v>276</v>
      </c>
      <c r="V287" s="23">
        <f>IF(AND(U287&gt;='Amort. Sched.-BEST'!$AA$8, U287&lt;= ($AA$7+$AA$8)), PMT('Amort. Sched.-BEST'!$W$8/12, 'Amort. Sched.-BEST'!$AA$7, 'Amort. Sched.-BEST'!$W$7), 0)</f>
        <v>0</v>
      </c>
      <c r="W287" s="5">
        <f>IF(AND(U287&gt;='Amort. Sched.-BEST'!$AA$8, U287&lt;= ($AA$7+$AA$8)), (IPMT($W$8/12, (U287-$AA$8), $AA$7, $W$7)), 0)</f>
        <v>0</v>
      </c>
      <c r="X287" s="23">
        <f>IF(AND(U287&gt;='Amort. Sched.-BEST'!$AA$8, U287&lt;= ($AA$7+$AA$8)), (PPMT($W$8/12, (U287-$AA$8), $AA$7, $W$7)), 0)</f>
        <v>0</v>
      </c>
      <c r="Y287" s="5">
        <f>IF(CreditAmort2BEST[[#This Row],[Month]]=AA$8,W$7,0)</f>
        <v>0</v>
      </c>
      <c r="Z287" s="13">
        <f>IF(AND(U287&gt;='Amort. Sched.-BEST'!$AA$8, U287&lt;= ($AA$7+$AA$8)), Z286+X287, 0)</f>
        <v>0</v>
      </c>
      <c r="AA287" s="24" t="str">
        <f>IF(AND(U287&gt;='Amort. Sched.-BEST'!$AA$8, U287&lt;= ($AA$7+$AA$8)), W287/V287, " ")</f>
        <v xml:space="preserve"> </v>
      </c>
      <c r="AB287" s="25" t="str">
        <f>IF(AND(U287&gt;='Amort. Sched.-BEST'!$AA$8, U287&lt;= ($AA$7+$AA$8)), X287/V287, " ")</f>
        <v xml:space="preserve"> </v>
      </c>
      <c r="AD287" s="22">
        <f t="shared" si="71"/>
        <v>276</v>
      </c>
      <c r="AE287" s="5">
        <f t="shared" si="72"/>
        <v>0</v>
      </c>
      <c r="AF287" s="5">
        <f t="shared" si="73"/>
        <v>0</v>
      </c>
      <c r="AG287" s="5">
        <f t="shared" si="74"/>
        <v>0</v>
      </c>
      <c r="AH287" s="5">
        <f>IF(CreditAmort3BEST[[#This Row],[Month]]=AJ$8,AF$7,0)</f>
        <v>0</v>
      </c>
      <c r="AI287" s="13">
        <f t="shared" si="75"/>
        <v>0</v>
      </c>
      <c r="AJ287" s="6" t="str">
        <f t="shared" si="76"/>
        <v xml:space="preserve"> </v>
      </c>
      <c r="AK287" s="21" t="str">
        <f t="shared" si="77"/>
        <v xml:space="preserve"> </v>
      </c>
      <c r="AM287" s="20">
        <f t="shared" si="78"/>
        <v>276</v>
      </c>
      <c r="AN287" s="5">
        <f t="shared" si="79"/>
        <v>0</v>
      </c>
      <c r="AO287" s="5">
        <f t="shared" si="80"/>
        <v>0</v>
      </c>
      <c r="AP287" s="5">
        <f t="shared" si="81"/>
        <v>0</v>
      </c>
      <c r="AQ287" s="5">
        <f>IF(CreditAmort4BEST[[#This Row],[Month]]=AS$8,AO$7,0)</f>
        <v>0</v>
      </c>
      <c r="AR287" s="13">
        <f t="shared" si="82"/>
        <v>0</v>
      </c>
      <c r="AS287" s="6" t="str">
        <f t="shared" si="83"/>
        <v xml:space="preserve"> </v>
      </c>
      <c r="AT287" s="21" t="str">
        <f t="shared" si="84"/>
        <v xml:space="preserve"> </v>
      </c>
    </row>
    <row r="288" spans="3:46">
      <c r="C288" s="22">
        <f t="shared" si="69"/>
        <v>277</v>
      </c>
      <c r="D288" s="23">
        <f>IF(AND(C288&gt;='Amort. Sched.-BEST'!$I$8, C288&lt;= ($I$7+$I$8)), PMT('Amort. Sched.-BEST'!$E$8/12, 'Amort. Sched.-BEST'!$I$7, 'Amort. Sched.-BEST'!$E$7), 0)</f>
        <v>-1350.6783839027553</v>
      </c>
      <c r="E288" s="5">
        <f>IF(AND(C288&gt;='Amort. Sched.-BEST'!$I$8, C288&lt;= ($I$7+$I$8)), (IPMT($E$8/12, (C288-$I$8), $I$7, $E$7)), 0)</f>
        <v>-199.0948887150409</v>
      </c>
      <c r="F288" s="23">
        <f>IF(AND(C288&gt;='Amort. Sched.-BEST'!$I$8, C288&lt;= ($I$7+$I$8)), (PPMT($E$8/12, (C288-$I$8), $I$7, $E$7)), 0)</f>
        <v>-1151.5834951877146</v>
      </c>
      <c r="G288" s="5">
        <f>IF(MortgageAmortBEST[[#This Row],[Month]]=I$8,E$7,0)</f>
        <v>0</v>
      </c>
      <c r="H288" s="13">
        <f>IF(AND(C288&gt;='Amort. Sched.-BEST'!$I$8, C288&lt;= ($I$7+$I$8)), H287+F288, 0)</f>
        <v>28712.649812068397</v>
      </c>
      <c r="I288" s="24">
        <f>IF(AND(C288&gt;='Amort. Sched.-BEST'!$I$8, C288&lt;= ($I$7+$I$8)), E288/D288, " ")</f>
        <v>0.14740362405131607</v>
      </c>
      <c r="J288" s="25">
        <f>IF(AND(C288&gt;='Amort. Sched.-BEST'!$I$8, C288&lt;= ($I$7+$I$8)), F288/D288, " ")</f>
        <v>0.85259637594868409</v>
      </c>
      <c r="L288" s="20">
        <f t="shared" si="68"/>
        <v>277</v>
      </c>
      <c r="M288" s="5">
        <f>IF(AND(L288&gt;='Amort. Sched.-BEST'!$R$8, L288&lt;= ($R$7+$R$8)), PMT('Amort. Sched.-BEST'!$N$8/12, 'Amort. Sched.-BEST'!$R$7, 'Amort. Sched.-BEST'!$N$7), 0)</f>
        <v>0</v>
      </c>
      <c r="N288" s="5">
        <f>IF(AND(L288&gt;='Amort. Sched.-BEST'!$R$8, L288&lt;= ($R$7+$R$8)), (IPMT($N$8/12, (L288-$R$8), $R$7, $N$7)), 0)</f>
        <v>0</v>
      </c>
      <c r="O288" s="5">
        <f>IF(AND(L288&gt;='Amort. Sched.-BEST'!$R$8, L288&lt;= ($R$7+$R$8)), (PPMT($N$8/12, (L288-$R$8), $R$7, $N$7)), 0)</f>
        <v>0</v>
      </c>
      <c r="P288" s="5">
        <f>IF(CreditAmort1BEST[[#This Row],[Month]]=R$8,N$7,0)</f>
        <v>0</v>
      </c>
      <c r="Q288" s="13">
        <f>IF(AND(L288&gt;='Amort. Sched.-BEST'!$R$8, L288&lt;= ($R$7+$R$8)), Q287+O288, 0)</f>
        <v>0</v>
      </c>
      <c r="R288" s="6" t="str">
        <f>IF(AND(L288&gt;='Amort. Sched.-BEST'!$R$8, L288&lt;= ($R$7+$R$8)), N288/M288, " ")</f>
        <v xml:space="preserve"> </v>
      </c>
      <c r="S288" s="21" t="str">
        <f>IF(AND(L288&gt;='Amort. Sched.-BEST'!$R$8, L288&lt;= ($R$7+$R$8)), O288/M288, " ")</f>
        <v xml:space="preserve"> </v>
      </c>
      <c r="U288" s="22">
        <f t="shared" si="70"/>
        <v>277</v>
      </c>
      <c r="V288" s="23">
        <f>IF(AND(U288&gt;='Amort. Sched.-BEST'!$AA$8, U288&lt;= ($AA$7+$AA$8)), PMT('Amort. Sched.-BEST'!$W$8/12, 'Amort. Sched.-BEST'!$AA$7, 'Amort. Sched.-BEST'!$W$7), 0)</f>
        <v>0</v>
      </c>
      <c r="W288" s="5">
        <f>IF(AND(U288&gt;='Amort. Sched.-BEST'!$AA$8, U288&lt;= ($AA$7+$AA$8)), (IPMT($W$8/12, (U288-$AA$8), $AA$7, $W$7)), 0)</f>
        <v>0</v>
      </c>
      <c r="X288" s="23">
        <f>IF(AND(U288&gt;='Amort. Sched.-BEST'!$AA$8, U288&lt;= ($AA$7+$AA$8)), (PPMT($W$8/12, (U288-$AA$8), $AA$7, $W$7)), 0)</f>
        <v>0</v>
      </c>
      <c r="Y288" s="5">
        <f>IF(CreditAmort2BEST[[#This Row],[Month]]=AA$8,W$7,0)</f>
        <v>0</v>
      </c>
      <c r="Z288" s="13">
        <f>IF(AND(U288&gt;='Amort. Sched.-BEST'!$AA$8, U288&lt;= ($AA$7+$AA$8)), Z287+X288, 0)</f>
        <v>0</v>
      </c>
      <c r="AA288" s="24" t="str">
        <f>IF(AND(U288&gt;='Amort. Sched.-BEST'!$AA$8, U288&lt;= ($AA$7+$AA$8)), W288/V288, " ")</f>
        <v xml:space="preserve"> </v>
      </c>
      <c r="AB288" s="25" t="str">
        <f>IF(AND(U288&gt;='Amort. Sched.-BEST'!$AA$8, U288&lt;= ($AA$7+$AA$8)), X288/V288, " ")</f>
        <v xml:space="preserve"> </v>
      </c>
      <c r="AD288" s="22">
        <f t="shared" si="71"/>
        <v>277</v>
      </c>
      <c r="AE288" s="5">
        <f t="shared" si="72"/>
        <v>0</v>
      </c>
      <c r="AF288" s="5">
        <f t="shared" si="73"/>
        <v>0</v>
      </c>
      <c r="AG288" s="5">
        <f t="shared" si="74"/>
        <v>0</v>
      </c>
      <c r="AH288" s="5">
        <f>IF(CreditAmort3BEST[[#This Row],[Month]]=AJ$8,AF$7,0)</f>
        <v>0</v>
      </c>
      <c r="AI288" s="13">
        <f t="shared" si="75"/>
        <v>0</v>
      </c>
      <c r="AJ288" s="6" t="str">
        <f t="shared" si="76"/>
        <v xml:space="preserve"> </v>
      </c>
      <c r="AK288" s="21" t="str">
        <f t="shared" si="77"/>
        <v xml:space="preserve"> </v>
      </c>
      <c r="AM288" s="20">
        <f t="shared" si="78"/>
        <v>277</v>
      </c>
      <c r="AN288" s="5">
        <f t="shared" si="79"/>
        <v>0</v>
      </c>
      <c r="AO288" s="5">
        <f t="shared" si="80"/>
        <v>0</v>
      </c>
      <c r="AP288" s="5">
        <f t="shared" si="81"/>
        <v>0</v>
      </c>
      <c r="AQ288" s="5">
        <f>IF(CreditAmort4BEST[[#This Row],[Month]]=AS$8,AO$7,0)</f>
        <v>0</v>
      </c>
      <c r="AR288" s="13">
        <f t="shared" si="82"/>
        <v>0</v>
      </c>
      <c r="AS288" s="6" t="str">
        <f t="shared" si="83"/>
        <v xml:space="preserve"> </v>
      </c>
      <c r="AT288" s="21" t="str">
        <f t="shared" si="84"/>
        <v xml:space="preserve"> </v>
      </c>
    </row>
    <row r="289" spans="3:46">
      <c r="C289" s="22">
        <f t="shared" si="69"/>
        <v>278</v>
      </c>
      <c r="D289" s="23">
        <f>IF(AND(C289&gt;='Amort. Sched.-BEST'!$I$8, C289&lt;= ($I$7+$I$8)), PMT('Amort. Sched.-BEST'!$E$8/12, 'Amort. Sched.-BEST'!$I$7, 'Amort. Sched.-BEST'!$E$7), 0)</f>
        <v>-1350.6783839027553</v>
      </c>
      <c r="E289" s="5">
        <f>IF(AND(C289&gt;='Amort. Sched.-BEST'!$I$8, C289&lt;= ($I$7+$I$8)), (IPMT($E$8/12, (C289-$I$8), $I$7, $E$7)), 0)</f>
        <v>-191.41766541378942</v>
      </c>
      <c r="F289" s="23">
        <f>IF(AND(C289&gt;='Amort. Sched.-BEST'!$I$8, C289&lt;= ($I$7+$I$8)), (PPMT($E$8/12, (C289-$I$8), $I$7, $E$7)), 0)</f>
        <v>-1159.2607184889659</v>
      </c>
      <c r="G289" s="5">
        <f>IF(MortgageAmortBEST[[#This Row],[Month]]=I$8,E$7,0)</f>
        <v>0</v>
      </c>
      <c r="H289" s="13">
        <f>IF(AND(C289&gt;='Amort. Sched.-BEST'!$I$8, C289&lt;= ($I$7+$I$8)), H288+F289, 0)</f>
        <v>27553.38909357943</v>
      </c>
      <c r="I289" s="24">
        <f>IF(AND(C289&gt;='Amort. Sched.-BEST'!$I$8, C289&lt;= ($I$7+$I$8)), E289/D289, " ")</f>
        <v>0.14171964821165814</v>
      </c>
      <c r="J289" s="25">
        <f>IF(AND(C289&gt;='Amort. Sched.-BEST'!$I$8, C289&lt;= ($I$7+$I$8)), F289/D289, " ")</f>
        <v>0.85828035178834194</v>
      </c>
      <c r="L289" s="20">
        <f t="shared" si="68"/>
        <v>278</v>
      </c>
      <c r="M289" s="5">
        <f>IF(AND(L289&gt;='Amort. Sched.-BEST'!$R$8, L289&lt;= ($R$7+$R$8)), PMT('Amort. Sched.-BEST'!$N$8/12, 'Amort. Sched.-BEST'!$R$7, 'Amort. Sched.-BEST'!$N$7), 0)</f>
        <v>0</v>
      </c>
      <c r="N289" s="5">
        <f>IF(AND(L289&gt;='Amort. Sched.-BEST'!$R$8, L289&lt;= ($R$7+$R$8)), (IPMT($N$8/12, (L289-$R$8), $R$7, $N$7)), 0)</f>
        <v>0</v>
      </c>
      <c r="O289" s="5">
        <f>IF(AND(L289&gt;='Amort. Sched.-BEST'!$R$8, L289&lt;= ($R$7+$R$8)), (PPMT($N$8/12, (L289-$R$8), $R$7, $N$7)), 0)</f>
        <v>0</v>
      </c>
      <c r="P289" s="5">
        <f>IF(CreditAmort1BEST[[#This Row],[Month]]=R$8,N$7,0)</f>
        <v>0</v>
      </c>
      <c r="Q289" s="13">
        <f>IF(AND(L289&gt;='Amort. Sched.-BEST'!$R$8, L289&lt;= ($R$7+$R$8)), Q288+O289, 0)</f>
        <v>0</v>
      </c>
      <c r="R289" s="6" t="str">
        <f>IF(AND(L289&gt;='Amort. Sched.-BEST'!$R$8, L289&lt;= ($R$7+$R$8)), N289/M289, " ")</f>
        <v xml:space="preserve"> </v>
      </c>
      <c r="S289" s="21" t="str">
        <f>IF(AND(L289&gt;='Amort. Sched.-BEST'!$R$8, L289&lt;= ($R$7+$R$8)), O289/M289, " ")</f>
        <v xml:space="preserve"> </v>
      </c>
      <c r="U289" s="22">
        <f t="shared" si="70"/>
        <v>278</v>
      </c>
      <c r="V289" s="23">
        <f>IF(AND(U289&gt;='Amort. Sched.-BEST'!$AA$8, U289&lt;= ($AA$7+$AA$8)), PMT('Amort. Sched.-BEST'!$W$8/12, 'Amort. Sched.-BEST'!$AA$7, 'Amort. Sched.-BEST'!$W$7), 0)</f>
        <v>0</v>
      </c>
      <c r="W289" s="5">
        <f>IF(AND(U289&gt;='Amort. Sched.-BEST'!$AA$8, U289&lt;= ($AA$7+$AA$8)), (IPMT($W$8/12, (U289-$AA$8), $AA$7, $W$7)), 0)</f>
        <v>0</v>
      </c>
      <c r="X289" s="23">
        <f>IF(AND(U289&gt;='Amort. Sched.-BEST'!$AA$8, U289&lt;= ($AA$7+$AA$8)), (PPMT($W$8/12, (U289-$AA$8), $AA$7, $W$7)), 0)</f>
        <v>0</v>
      </c>
      <c r="Y289" s="5">
        <f>IF(CreditAmort2BEST[[#This Row],[Month]]=AA$8,W$7,0)</f>
        <v>0</v>
      </c>
      <c r="Z289" s="13">
        <f>IF(AND(U289&gt;='Amort. Sched.-BEST'!$AA$8, U289&lt;= ($AA$7+$AA$8)), Z288+X289, 0)</f>
        <v>0</v>
      </c>
      <c r="AA289" s="24" t="str">
        <f>IF(AND(U289&gt;='Amort. Sched.-BEST'!$AA$8, U289&lt;= ($AA$7+$AA$8)), W289/V289, " ")</f>
        <v xml:space="preserve"> </v>
      </c>
      <c r="AB289" s="25" t="str">
        <f>IF(AND(U289&gt;='Amort. Sched.-BEST'!$AA$8, U289&lt;= ($AA$7+$AA$8)), X289/V289, " ")</f>
        <v xml:space="preserve"> </v>
      </c>
      <c r="AD289" s="22">
        <f t="shared" si="71"/>
        <v>278</v>
      </c>
      <c r="AE289" s="5">
        <f t="shared" si="72"/>
        <v>0</v>
      </c>
      <c r="AF289" s="5">
        <f t="shared" si="73"/>
        <v>0</v>
      </c>
      <c r="AG289" s="5">
        <f t="shared" si="74"/>
        <v>0</v>
      </c>
      <c r="AH289" s="5">
        <f>IF(CreditAmort3BEST[[#This Row],[Month]]=AJ$8,AF$7,0)</f>
        <v>0</v>
      </c>
      <c r="AI289" s="13">
        <f t="shared" si="75"/>
        <v>0</v>
      </c>
      <c r="AJ289" s="6" t="str">
        <f t="shared" si="76"/>
        <v xml:space="preserve"> </v>
      </c>
      <c r="AK289" s="21" t="str">
        <f t="shared" si="77"/>
        <v xml:space="preserve"> </v>
      </c>
      <c r="AM289" s="20">
        <f t="shared" si="78"/>
        <v>278</v>
      </c>
      <c r="AN289" s="5">
        <f t="shared" si="79"/>
        <v>0</v>
      </c>
      <c r="AO289" s="5">
        <f t="shared" si="80"/>
        <v>0</v>
      </c>
      <c r="AP289" s="5">
        <f t="shared" si="81"/>
        <v>0</v>
      </c>
      <c r="AQ289" s="5">
        <f>IF(CreditAmort4BEST[[#This Row],[Month]]=AS$8,AO$7,0)</f>
        <v>0</v>
      </c>
      <c r="AR289" s="13">
        <f t="shared" si="82"/>
        <v>0</v>
      </c>
      <c r="AS289" s="6" t="str">
        <f t="shared" si="83"/>
        <v xml:space="preserve"> </v>
      </c>
      <c r="AT289" s="21" t="str">
        <f t="shared" si="84"/>
        <v xml:space="preserve"> </v>
      </c>
    </row>
    <row r="290" spans="3:46">
      <c r="C290" s="22">
        <f t="shared" si="69"/>
        <v>279</v>
      </c>
      <c r="D290" s="23">
        <f>IF(AND(C290&gt;='Amort. Sched.-BEST'!$I$8, C290&lt;= ($I$7+$I$8)), PMT('Amort. Sched.-BEST'!$E$8/12, 'Amort. Sched.-BEST'!$I$7, 'Amort. Sched.-BEST'!$E$7), 0)</f>
        <v>-1350.6783839027553</v>
      </c>
      <c r="E290" s="5">
        <f>IF(AND(C290&gt;='Amort. Sched.-BEST'!$I$8, C290&lt;= ($I$7+$I$8)), (IPMT($E$8/12, (C290-$I$8), $I$7, $E$7)), 0)</f>
        <v>-183.68926062386302</v>
      </c>
      <c r="F290" s="23">
        <f>IF(AND(C290&gt;='Amort. Sched.-BEST'!$I$8, C290&lt;= ($I$7+$I$8)), (PPMT($E$8/12, (C290-$I$8), $I$7, $E$7)), 0)</f>
        <v>-1166.9891232788923</v>
      </c>
      <c r="G290" s="5">
        <f>IF(MortgageAmortBEST[[#This Row],[Month]]=I$8,E$7,0)</f>
        <v>0</v>
      </c>
      <c r="H290" s="13">
        <f>IF(AND(C290&gt;='Amort. Sched.-BEST'!$I$8, C290&lt;= ($I$7+$I$8)), H289+F290, 0)</f>
        <v>26386.399970300539</v>
      </c>
      <c r="I290" s="24">
        <f>IF(AND(C290&gt;='Amort. Sched.-BEST'!$I$8, C290&lt;= ($I$7+$I$8)), E290/D290, " ")</f>
        <v>0.13599777919973588</v>
      </c>
      <c r="J290" s="25">
        <f>IF(AND(C290&gt;='Amort. Sched.-BEST'!$I$8, C290&lt;= ($I$7+$I$8)), F290/D290, " ")</f>
        <v>0.86400222080026412</v>
      </c>
      <c r="L290" s="20">
        <f t="shared" si="68"/>
        <v>279</v>
      </c>
      <c r="M290" s="5">
        <f>IF(AND(L290&gt;='Amort. Sched.-BEST'!$R$8, L290&lt;= ($R$7+$R$8)), PMT('Amort. Sched.-BEST'!$N$8/12, 'Amort. Sched.-BEST'!$R$7, 'Amort. Sched.-BEST'!$N$7), 0)</f>
        <v>0</v>
      </c>
      <c r="N290" s="5">
        <f>IF(AND(L290&gt;='Amort. Sched.-BEST'!$R$8, L290&lt;= ($R$7+$R$8)), (IPMT($N$8/12, (L290-$R$8), $R$7, $N$7)), 0)</f>
        <v>0</v>
      </c>
      <c r="O290" s="5">
        <f>IF(AND(L290&gt;='Amort. Sched.-BEST'!$R$8, L290&lt;= ($R$7+$R$8)), (PPMT($N$8/12, (L290-$R$8), $R$7, $N$7)), 0)</f>
        <v>0</v>
      </c>
      <c r="P290" s="5">
        <f>IF(CreditAmort1BEST[[#This Row],[Month]]=R$8,N$7,0)</f>
        <v>0</v>
      </c>
      <c r="Q290" s="13">
        <f>IF(AND(L290&gt;='Amort. Sched.-BEST'!$R$8, L290&lt;= ($R$7+$R$8)), Q289+O290, 0)</f>
        <v>0</v>
      </c>
      <c r="R290" s="6" t="str">
        <f>IF(AND(L290&gt;='Amort. Sched.-BEST'!$R$8, L290&lt;= ($R$7+$R$8)), N290/M290, " ")</f>
        <v xml:space="preserve"> </v>
      </c>
      <c r="S290" s="21" t="str">
        <f>IF(AND(L290&gt;='Amort. Sched.-BEST'!$R$8, L290&lt;= ($R$7+$R$8)), O290/M290, " ")</f>
        <v xml:space="preserve"> </v>
      </c>
      <c r="U290" s="22">
        <f t="shared" si="70"/>
        <v>279</v>
      </c>
      <c r="V290" s="23">
        <f>IF(AND(U290&gt;='Amort. Sched.-BEST'!$AA$8, U290&lt;= ($AA$7+$AA$8)), PMT('Amort. Sched.-BEST'!$W$8/12, 'Amort. Sched.-BEST'!$AA$7, 'Amort. Sched.-BEST'!$W$7), 0)</f>
        <v>0</v>
      </c>
      <c r="W290" s="5">
        <f>IF(AND(U290&gt;='Amort. Sched.-BEST'!$AA$8, U290&lt;= ($AA$7+$AA$8)), (IPMT($W$8/12, (U290-$AA$8), $AA$7, $W$7)), 0)</f>
        <v>0</v>
      </c>
      <c r="X290" s="23">
        <f>IF(AND(U290&gt;='Amort. Sched.-BEST'!$AA$8, U290&lt;= ($AA$7+$AA$8)), (PPMT($W$8/12, (U290-$AA$8), $AA$7, $W$7)), 0)</f>
        <v>0</v>
      </c>
      <c r="Y290" s="5">
        <f>IF(CreditAmort2BEST[[#This Row],[Month]]=AA$8,W$7,0)</f>
        <v>0</v>
      </c>
      <c r="Z290" s="13">
        <f>IF(AND(U290&gt;='Amort. Sched.-BEST'!$AA$8, U290&lt;= ($AA$7+$AA$8)), Z289+X290, 0)</f>
        <v>0</v>
      </c>
      <c r="AA290" s="24" t="str">
        <f>IF(AND(U290&gt;='Amort. Sched.-BEST'!$AA$8, U290&lt;= ($AA$7+$AA$8)), W290/V290, " ")</f>
        <v xml:space="preserve"> </v>
      </c>
      <c r="AB290" s="25" t="str">
        <f>IF(AND(U290&gt;='Amort. Sched.-BEST'!$AA$8, U290&lt;= ($AA$7+$AA$8)), X290/V290, " ")</f>
        <v xml:space="preserve"> </v>
      </c>
      <c r="AD290" s="22">
        <f t="shared" si="71"/>
        <v>279</v>
      </c>
      <c r="AE290" s="5">
        <f t="shared" si="72"/>
        <v>0</v>
      </c>
      <c r="AF290" s="5">
        <f t="shared" si="73"/>
        <v>0</v>
      </c>
      <c r="AG290" s="5">
        <f t="shared" si="74"/>
        <v>0</v>
      </c>
      <c r="AH290" s="5">
        <f>IF(CreditAmort3BEST[[#This Row],[Month]]=AJ$8,AF$7,0)</f>
        <v>0</v>
      </c>
      <c r="AI290" s="13">
        <f t="shared" si="75"/>
        <v>0</v>
      </c>
      <c r="AJ290" s="6" t="str">
        <f t="shared" si="76"/>
        <v xml:space="preserve"> </v>
      </c>
      <c r="AK290" s="21" t="str">
        <f t="shared" si="77"/>
        <v xml:space="preserve"> </v>
      </c>
      <c r="AM290" s="20">
        <f t="shared" si="78"/>
        <v>279</v>
      </c>
      <c r="AN290" s="5">
        <f t="shared" si="79"/>
        <v>0</v>
      </c>
      <c r="AO290" s="5">
        <f t="shared" si="80"/>
        <v>0</v>
      </c>
      <c r="AP290" s="5">
        <f t="shared" si="81"/>
        <v>0</v>
      </c>
      <c r="AQ290" s="5">
        <f>IF(CreditAmort4BEST[[#This Row],[Month]]=AS$8,AO$7,0)</f>
        <v>0</v>
      </c>
      <c r="AR290" s="13">
        <f t="shared" si="82"/>
        <v>0</v>
      </c>
      <c r="AS290" s="6" t="str">
        <f t="shared" si="83"/>
        <v xml:space="preserve"> </v>
      </c>
      <c r="AT290" s="21" t="str">
        <f t="shared" si="84"/>
        <v xml:space="preserve"> </v>
      </c>
    </row>
    <row r="291" spans="3:46">
      <c r="C291" s="22">
        <f t="shared" si="69"/>
        <v>280</v>
      </c>
      <c r="D291" s="23">
        <f>IF(AND(C291&gt;='Amort. Sched.-BEST'!$I$8, C291&lt;= ($I$7+$I$8)), PMT('Amort. Sched.-BEST'!$E$8/12, 'Amort. Sched.-BEST'!$I$7, 'Amort. Sched.-BEST'!$E$7), 0)</f>
        <v>-1350.6783839027553</v>
      </c>
      <c r="E291" s="5">
        <f>IF(AND(C291&gt;='Amort. Sched.-BEST'!$I$8, C291&lt;= ($I$7+$I$8)), (IPMT($E$8/12, (C291-$I$8), $I$7, $E$7)), 0)</f>
        <v>-175.90933313533705</v>
      </c>
      <c r="F291" s="23">
        <f>IF(AND(C291&gt;='Amort. Sched.-BEST'!$I$8, C291&lt;= ($I$7+$I$8)), (PPMT($E$8/12, (C291-$I$8), $I$7, $E$7)), 0)</f>
        <v>-1174.7690507674183</v>
      </c>
      <c r="G291" s="5">
        <f>IF(MortgageAmortBEST[[#This Row],[Month]]=I$8,E$7,0)</f>
        <v>0</v>
      </c>
      <c r="H291" s="13">
        <f>IF(AND(C291&gt;='Amort. Sched.-BEST'!$I$8, C291&lt;= ($I$7+$I$8)), H290+F291, 0)</f>
        <v>25211.63091953312</v>
      </c>
      <c r="I291" s="24">
        <f>IF(AND(C291&gt;='Amort. Sched.-BEST'!$I$8, C291&lt;= ($I$7+$I$8)), E291/D291, " ")</f>
        <v>0.13023776439440077</v>
      </c>
      <c r="J291" s="25">
        <f>IF(AND(C291&gt;='Amort. Sched.-BEST'!$I$8, C291&lt;= ($I$7+$I$8)), F291/D291, " ")</f>
        <v>0.86976223560559929</v>
      </c>
      <c r="L291" s="20">
        <f t="shared" si="68"/>
        <v>280</v>
      </c>
      <c r="M291" s="5">
        <f>IF(AND(L291&gt;='Amort. Sched.-BEST'!$R$8, L291&lt;= ($R$7+$R$8)), PMT('Amort. Sched.-BEST'!$N$8/12, 'Amort. Sched.-BEST'!$R$7, 'Amort. Sched.-BEST'!$N$7), 0)</f>
        <v>0</v>
      </c>
      <c r="N291" s="5">
        <f>IF(AND(L291&gt;='Amort. Sched.-BEST'!$R$8, L291&lt;= ($R$7+$R$8)), (IPMT($N$8/12, (L291-$R$8), $R$7, $N$7)), 0)</f>
        <v>0</v>
      </c>
      <c r="O291" s="5">
        <f>IF(AND(L291&gt;='Amort. Sched.-BEST'!$R$8, L291&lt;= ($R$7+$R$8)), (PPMT($N$8/12, (L291-$R$8), $R$7, $N$7)), 0)</f>
        <v>0</v>
      </c>
      <c r="P291" s="5">
        <f>IF(CreditAmort1BEST[[#This Row],[Month]]=R$8,N$7,0)</f>
        <v>0</v>
      </c>
      <c r="Q291" s="13">
        <f>IF(AND(L291&gt;='Amort. Sched.-BEST'!$R$8, L291&lt;= ($R$7+$R$8)), Q290+O291, 0)</f>
        <v>0</v>
      </c>
      <c r="R291" s="6" t="str">
        <f>IF(AND(L291&gt;='Amort. Sched.-BEST'!$R$8, L291&lt;= ($R$7+$R$8)), N291/M291, " ")</f>
        <v xml:space="preserve"> </v>
      </c>
      <c r="S291" s="21" t="str">
        <f>IF(AND(L291&gt;='Amort. Sched.-BEST'!$R$8, L291&lt;= ($R$7+$R$8)), O291/M291, " ")</f>
        <v xml:space="preserve"> </v>
      </c>
      <c r="U291" s="22">
        <f t="shared" si="70"/>
        <v>280</v>
      </c>
      <c r="V291" s="23">
        <f>IF(AND(U291&gt;='Amort. Sched.-BEST'!$AA$8, U291&lt;= ($AA$7+$AA$8)), PMT('Amort. Sched.-BEST'!$W$8/12, 'Amort. Sched.-BEST'!$AA$7, 'Amort. Sched.-BEST'!$W$7), 0)</f>
        <v>0</v>
      </c>
      <c r="W291" s="5">
        <f>IF(AND(U291&gt;='Amort. Sched.-BEST'!$AA$8, U291&lt;= ($AA$7+$AA$8)), (IPMT($W$8/12, (U291-$AA$8), $AA$7, $W$7)), 0)</f>
        <v>0</v>
      </c>
      <c r="X291" s="23">
        <f>IF(AND(U291&gt;='Amort. Sched.-BEST'!$AA$8, U291&lt;= ($AA$7+$AA$8)), (PPMT($W$8/12, (U291-$AA$8), $AA$7, $W$7)), 0)</f>
        <v>0</v>
      </c>
      <c r="Y291" s="5">
        <f>IF(CreditAmort2BEST[[#This Row],[Month]]=AA$8,W$7,0)</f>
        <v>0</v>
      </c>
      <c r="Z291" s="13">
        <f>IF(AND(U291&gt;='Amort. Sched.-BEST'!$AA$8, U291&lt;= ($AA$7+$AA$8)), Z290+X291, 0)</f>
        <v>0</v>
      </c>
      <c r="AA291" s="24" t="str">
        <f>IF(AND(U291&gt;='Amort. Sched.-BEST'!$AA$8, U291&lt;= ($AA$7+$AA$8)), W291/V291, " ")</f>
        <v xml:space="preserve"> </v>
      </c>
      <c r="AB291" s="25" t="str">
        <f>IF(AND(U291&gt;='Amort. Sched.-BEST'!$AA$8, U291&lt;= ($AA$7+$AA$8)), X291/V291, " ")</f>
        <v xml:space="preserve"> </v>
      </c>
      <c r="AD291" s="22">
        <f t="shared" si="71"/>
        <v>280</v>
      </c>
      <c r="AE291" s="5">
        <f t="shared" si="72"/>
        <v>0</v>
      </c>
      <c r="AF291" s="5">
        <f t="shared" si="73"/>
        <v>0</v>
      </c>
      <c r="AG291" s="5">
        <f t="shared" si="74"/>
        <v>0</v>
      </c>
      <c r="AH291" s="5">
        <f>IF(CreditAmort3BEST[[#This Row],[Month]]=AJ$8,AF$7,0)</f>
        <v>0</v>
      </c>
      <c r="AI291" s="13">
        <f t="shared" si="75"/>
        <v>0</v>
      </c>
      <c r="AJ291" s="6" t="str">
        <f t="shared" si="76"/>
        <v xml:space="preserve"> </v>
      </c>
      <c r="AK291" s="21" t="str">
        <f t="shared" si="77"/>
        <v xml:space="preserve"> </v>
      </c>
      <c r="AM291" s="20">
        <f t="shared" si="78"/>
        <v>280</v>
      </c>
      <c r="AN291" s="5">
        <f t="shared" si="79"/>
        <v>0</v>
      </c>
      <c r="AO291" s="5">
        <f t="shared" si="80"/>
        <v>0</v>
      </c>
      <c r="AP291" s="5">
        <f t="shared" si="81"/>
        <v>0</v>
      </c>
      <c r="AQ291" s="5">
        <f>IF(CreditAmort4BEST[[#This Row],[Month]]=AS$8,AO$7,0)</f>
        <v>0</v>
      </c>
      <c r="AR291" s="13">
        <f t="shared" si="82"/>
        <v>0</v>
      </c>
      <c r="AS291" s="6" t="str">
        <f t="shared" si="83"/>
        <v xml:space="preserve"> </v>
      </c>
      <c r="AT291" s="21" t="str">
        <f t="shared" si="84"/>
        <v xml:space="preserve"> </v>
      </c>
    </row>
    <row r="292" spans="3:46">
      <c r="C292" s="22">
        <f t="shared" si="69"/>
        <v>281</v>
      </c>
      <c r="D292" s="23">
        <f>IF(AND(C292&gt;='Amort. Sched.-BEST'!$I$8, C292&lt;= ($I$7+$I$8)), PMT('Amort. Sched.-BEST'!$E$8/12, 'Amort. Sched.-BEST'!$I$7, 'Amort. Sched.-BEST'!$E$7), 0)</f>
        <v>-1350.6783839027553</v>
      </c>
      <c r="E292" s="5">
        <f>IF(AND(C292&gt;='Amort. Sched.-BEST'!$I$8, C292&lt;= ($I$7+$I$8)), (IPMT($E$8/12, (C292-$I$8), $I$7, $E$7)), 0)</f>
        <v>-168.07753946355427</v>
      </c>
      <c r="F292" s="23">
        <f>IF(AND(C292&gt;='Amort. Sched.-BEST'!$I$8, C292&lt;= ($I$7+$I$8)), (PPMT($E$8/12, (C292-$I$8), $I$7, $E$7)), 0)</f>
        <v>-1182.6008444392012</v>
      </c>
      <c r="G292" s="5">
        <f>IF(MortgageAmortBEST[[#This Row],[Month]]=I$8,E$7,0)</f>
        <v>0</v>
      </c>
      <c r="H292" s="13">
        <f>IF(AND(C292&gt;='Amort. Sched.-BEST'!$I$8, C292&lt;= ($I$7+$I$8)), H291+F292, 0)</f>
        <v>24029.030075093917</v>
      </c>
      <c r="I292" s="24">
        <f>IF(AND(C292&gt;='Amort. Sched.-BEST'!$I$8, C292&lt;= ($I$7+$I$8)), E292/D292, " ")</f>
        <v>0.12443934949036346</v>
      </c>
      <c r="J292" s="25">
        <f>IF(AND(C292&gt;='Amort. Sched.-BEST'!$I$8, C292&lt;= ($I$7+$I$8)), F292/D292, " ")</f>
        <v>0.87556065050963672</v>
      </c>
      <c r="L292" s="20">
        <f t="shared" si="68"/>
        <v>281</v>
      </c>
      <c r="M292" s="5">
        <f>IF(AND(L292&gt;='Amort. Sched.-BEST'!$R$8, L292&lt;= ($R$7+$R$8)), PMT('Amort. Sched.-BEST'!$N$8/12, 'Amort. Sched.-BEST'!$R$7, 'Amort. Sched.-BEST'!$N$7), 0)</f>
        <v>0</v>
      </c>
      <c r="N292" s="5">
        <f>IF(AND(L292&gt;='Amort. Sched.-BEST'!$R$8, L292&lt;= ($R$7+$R$8)), (IPMT($N$8/12, (L292-$R$8), $R$7, $N$7)), 0)</f>
        <v>0</v>
      </c>
      <c r="O292" s="5">
        <f>IF(AND(L292&gt;='Amort. Sched.-BEST'!$R$8, L292&lt;= ($R$7+$R$8)), (PPMT($N$8/12, (L292-$R$8), $R$7, $N$7)), 0)</f>
        <v>0</v>
      </c>
      <c r="P292" s="5">
        <f>IF(CreditAmort1BEST[[#This Row],[Month]]=R$8,N$7,0)</f>
        <v>0</v>
      </c>
      <c r="Q292" s="13">
        <f>IF(AND(L292&gt;='Amort. Sched.-BEST'!$R$8, L292&lt;= ($R$7+$R$8)), Q291+O292, 0)</f>
        <v>0</v>
      </c>
      <c r="R292" s="6" t="str">
        <f>IF(AND(L292&gt;='Amort. Sched.-BEST'!$R$8, L292&lt;= ($R$7+$R$8)), N292/M292, " ")</f>
        <v xml:space="preserve"> </v>
      </c>
      <c r="S292" s="21" t="str">
        <f>IF(AND(L292&gt;='Amort. Sched.-BEST'!$R$8, L292&lt;= ($R$7+$R$8)), O292/M292, " ")</f>
        <v xml:space="preserve"> </v>
      </c>
      <c r="U292" s="22">
        <f t="shared" si="70"/>
        <v>281</v>
      </c>
      <c r="V292" s="23">
        <f>IF(AND(U292&gt;='Amort. Sched.-BEST'!$AA$8, U292&lt;= ($AA$7+$AA$8)), PMT('Amort. Sched.-BEST'!$W$8/12, 'Amort. Sched.-BEST'!$AA$7, 'Amort. Sched.-BEST'!$W$7), 0)</f>
        <v>0</v>
      </c>
      <c r="W292" s="5">
        <f>IF(AND(U292&gt;='Amort. Sched.-BEST'!$AA$8, U292&lt;= ($AA$7+$AA$8)), (IPMT($W$8/12, (U292-$AA$8), $AA$7, $W$7)), 0)</f>
        <v>0</v>
      </c>
      <c r="X292" s="23">
        <f>IF(AND(U292&gt;='Amort. Sched.-BEST'!$AA$8, U292&lt;= ($AA$7+$AA$8)), (PPMT($W$8/12, (U292-$AA$8), $AA$7, $W$7)), 0)</f>
        <v>0</v>
      </c>
      <c r="Y292" s="5">
        <f>IF(CreditAmort2BEST[[#This Row],[Month]]=AA$8,W$7,0)</f>
        <v>0</v>
      </c>
      <c r="Z292" s="13">
        <f>IF(AND(U292&gt;='Amort. Sched.-BEST'!$AA$8, U292&lt;= ($AA$7+$AA$8)), Z291+X292, 0)</f>
        <v>0</v>
      </c>
      <c r="AA292" s="24" t="str">
        <f>IF(AND(U292&gt;='Amort. Sched.-BEST'!$AA$8, U292&lt;= ($AA$7+$AA$8)), W292/V292, " ")</f>
        <v xml:space="preserve"> </v>
      </c>
      <c r="AB292" s="25" t="str">
        <f>IF(AND(U292&gt;='Amort. Sched.-BEST'!$AA$8, U292&lt;= ($AA$7+$AA$8)), X292/V292, " ")</f>
        <v xml:space="preserve"> </v>
      </c>
      <c r="AD292" s="22">
        <f t="shared" si="71"/>
        <v>281</v>
      </c>
      <c r="AE292" s="5">
        <f t="shared" si="72"/>
        <v>0</v>
      </c>
      <c r="AF292" s="5">
        <f t="shared" si="73"/>
        <v>0</v>
      </c>
      <c r="AG292" s="5">
        <f t="shared" si="74"/>
        <v>0</v>
      </c>
      <c r="AH292" s="5">
        <f>IF(CreditAmort3BEST[[#This Row],[Month]]=AJ$8,AF$7,0)</f>
        <v>0</v>
      </c>
      <c r="AI292" s="13">
        <f t="shared" si="75"/>
        <v>0</v>
      </c>
      <c r="AJ292" s="6" t="str">
        <f t="shared" si="76"/>
        <v xml:space="preserve"> </v>
      </c>
      <c r="AK292" s="21" t="str">
        <f t="shared" si="77"/>
        <v xml:space="preserve"> </v>
      </c>
      <c r="AM292" s="20">
        <f t="shared" si="78"/>
        <v>281</v>
      </c>
      <c r="AN292" s="5">
        <f t="shared" si="79"/>
        <v>0</v>
      </c>
      <c r="AO292" s="5">
        <f t="shared" si="80"/>
        <v>0</v>
      </c>
      <c r="AP292" s="5">
        <f t="shared" si="81"/>
        <v>0</v>
      </c>
      <c r="AQ292" s="5">
        <f>IF(CreditAmort4BEST[[#This Row],[Month]]=AS$8,AO$7,0)</f>
        <v>0</v>
      </c>
      <c r="AR292" s="13">
        <f t="shared" si="82"/>
        <v>0</v>
      </c>
      <c r="AS292" s="6" t="str">
        <f t="shared" si="83"/>
        <v xml:space="preserve"> </v>
      </c>
      <c r="AT292" s="21" t="str">
        <f t="shared" si="84"/>
        <v xml:space="preserve"> </v>
      </c>
    </row>
    <row r="293" spans="3:46">
      <c r="C293" s="22">
        <f t="shared" si="69"/>
        <v>282</v>
      </c>
      <c r="D293" s="23">
        <f>IF(AND(C293&gt;='Amort. Sched.-BEST'!$I$8, C293&lt;= ($I$7+$I$8)), PMT('Amort. Sched.-BEST'!$E$8/12, 'Amort. Sched.-BEST'!$I$7, 'Amort. Sched.-BEST'!$E$7), 0)</f>
        <v>-1350.6783839027553</v>
      </c>
      <c r="E293" s="5">
        <f>IF(AND(C293&gt;='Amort. Sched.-BEST'!$I$8, C293&lt;= ($I$7+$I$8)), (IPMT($E$8/12, (C293-$I$8), $I$7, $E$7)), 0)</f>
        <v>-160.19353383395961</v>
      </c>
      <c r="F293" s="23">
        <f>IF(AND(C293&gt;='Amort. Sched.-BEST'!$I$8, C293&lt;= ($I$7+$I$8)), (PPMT($E$8/12, (C293-$I$8), $I$7, $E$7)), 0)</f>
        <v>-1190.4848500687958</v>
      </c>
      <c r="G293" s="5">
        <f>IF(MortgageAmortBEST[[#This Row],[Month]]=I$8,E$7,0)</f>
        <v>0</v>
      </c>
      <c r="H293" s="13">
        <f>IF(AND(C293&gt;='Amort. Sched.-BEST'!$I$8, C293&lt;= ($I$7+$I$8)), H292+F293, 0)</f>
        <v>22838.545225025122</v>
      </c>
      <c r="I293" s="24">
        <f>IF(AND(C293&gt;='Amort. Sched.-BEST'!$I$8, C293&lt;= ($I$7+$I$8)), E293/D293, " ")</f>
        <v>0.11860227848696589</v>
      </c>
      <c r="J293" s="25">
        <f>IF(AND(C293&gt;='Amort. Sched.-BEST'!$I$8, C293&lt;= ($I$7+$I$8)), F293/D293, " ")</f>
        <v>0.88139772151303419</v>
      </c>
      <c r="L293" s="20">
        <f t="shared" si="68"/>
        <v>282</v>
      </c>
      <c r="M293" s="5">
        <f>IF(AND(L293&gt;='Amort. Sched.-BEST'!$R$8, L293&lt;= ($R$7+$R$8)), PMT('Amort. Sched.-BEST'!$N$8/12, 'Amort. Sched.-BEST'!$R$7, 'Amort. Sched.-BEST'!$N$7), 0)</f>
        <v>0</v>
      </c>
      <c r="N293" s="5">
        <f>IF(AND(L293&gt;='Amort. Sched.-BEST'!$R$8, L293&lt;= ($R$7+$R$8)), (IPMT($N$8/12, (L293-$R$8), $R$7, $N$7)), 0)</f>
        <v>0</v>
      </c>
      <c r="O293" s="5">
        <f>IF(AND(L293&gt;='Amort. Sched.-BEST'!$R$8, L293&lt;= ($R$7+$R$8)), (PPMT($N$8/12, (L293-$R$8), $R$7, $N$7)), 0)</f>
        <v>0</v>
      </c>
      <c r="P293" s="5">
        <f>IF(CreditAmort1BEST[[#This Row],[Month]]=R$8,N$7,0)</f>
        <v>0</v>
      </c>
      <c r="Q293" s="13">
        <f>IF(AND(L293&gt;='Amort. Sched.-BEST'!$R$8, L293&lt;= ($R$7+$R$8)), Q292+O293, 0)</f>
        <v>0</v>
      </c>
      <c r="R293" s="6" t="str">
        <f>IF(AND(L293&gt;='Amort. Sched.-BEST'!$R$8, L293&lt;= ($R$7+$R$8)), N293/M293, " ")</f>
        <v xml:space="preserve"> </v>
      </c>
      <c r="S293" s="21" t="str">
        <f>IF(AND(L293&gt;='Amort. Sched.-BEST'!$R$8, L293&lt;= ($R$7+$R$8)), O293/M293, " ")</f>
        <v xml:space="preserve"> </v>
      </c>
      <c r="U293" s="22">
        <f t="shared" si="70"/>
        <v>282</v>
      </c>
      <c r="V293" s="23">
        <f>IF(AND(U293&gt;='Amort. Sched.-BEST'!$AA$8, U293&lt;= ($AA$7+$AA$8)), PMT('Amort. Sched.-BEST'!$W$8/12, 'Amort. Sched.-BEST'!$AA$7, 'Amort. Sched.-BEST'!$W$7), 0)</f>
        <v>0</v>
      </c>
      <c r="W293" s="5">
        <f>IF(AND(U293&gt;='Amort. Sched.-BEST'!$AA$8, U293&lt;= ($AA$7+$AA$8)), (IPMT($W$8/12, (U293-$AA$8), $AA$7, $W$7)), 0)</f>
        <v>0</v>
      </c>
      <c r="X293" s="23">
        <f>IF(AND(U293&gt;='Amort. Sched.-BEST'!$AA$8, U293&lt;= ($AA$7+$AA$8)), (PPMT($W$8/12, (U293-$AA$8), $AA$7, $W$7)), 0)</f>
        <v>0</v>
      </c>
      <c r="Y293" s="5">
        <f>IF(CreditAmort2BEST[[#This Row],[Month]]=AA$8,W$7,0)</f>
        <v>0</v>
      </c>
      <c r="Z293" s="13">
        <f>IF(AND(U293&gt;='Amort. Sched.-BEST'!$AA$8, U293&lt;= ($AA$7+$AA$8)), Z292+X293, 0)</f>
        <v>0</v>
      </c>
      <c r="AA293" s="24" t="str">
        <f>IF(AND(U293&gt;='Amort. Sched.-BEST'!$AA$8, U293&lt;= ($AA$7+$AA$8)), W293/V293, " ")</f>
        <v xml:space="preserve"> </v>
      </c>
      <c r="AB293" s="25" t="str">
        <f>IF(AND(U293&gt;='Amort. Sched.-BEST'!$AA$8, U293&lt;= ($AA$7+$AA$8)), X293/V293, " ")</f>
        <v xml:space="preserve"> </v>
      </c>
      <c r="AD293" s="22">
        <f t="shared" si="71"/>
        <v>282</v>
      </c>
      <c r="AE293" s="5">
        <f t="shared" si="72"/>
        <v>0</v>
      </c>
      <c r="AF293" s="5">
        <f t="shared" si="73"/>
        <v>0</v>
      </c>
      <c r="AG293" s="5">
        <f t="shared" si="74"/>
        <v>0</v>
      </c>
      <c r="AH293" s="5">
        <f>IF(CreditAmort3BEST[[#This Row],[Month]]=AJ$8,AF$7,0)</f>
        <v>0</v>
      </c>
      <c r="AI293" s="13">
        <f t="shared" si="75"/>
        <v>0</v>
      </c>
      <c r="AJ293" s="6" t="str">
        <f t="shared" si="76"/>
        <v xml:space="preserve"> </v>
      </c>
      <c r="AK293" s="21" t="str">
        <f t="shared" si="77"/>
        <v xml:space="preserve"> </v>
      </c>
      <c r="AM293" s="20">
        <f t="shared" si="78"/>
        <v>282</v>
      </c>
      <c r="AN293" s="5">
        <f t="shared" si="79"/>
        <v>0</v>
      </c>
      <c r="AO293" s="5">
        <f t="shared" si="80"/>
        <v>0</v>
      </c>
      <c r="AP293" s="5">
        <f t="shared" si="81"/>
        <v>0</v>
      </c>
      <c r="AQ293" s="5">
        <f>IF(CreditAmort4BEST[[#This Row],[Month]]=AS$8,AO$7,0)</f>
        <v>0</v>
      </c>
      <c r="AR293" s="13">
        <f t="shared" si="82"/>
        <v>0</v>
      </c>
      <c r="AS293" s="6" t="str">
        <f t="shared" si="83"/>
        <v xml:space="preserve"> </v>
      </c>
      <c r="AT293" s="21" t="str">
        <f t="shared" si="84"/>
        <v xml:space="preserve"> </v>
      </c>
    </row>
    <row r="294" spans="3:46">
      <c r="C294" s="22">
        <f t="shared" si="69"/>
        <v>283</v>
      </c>
      <c r="D294" s="23">
        <f>IF(AND(C294&gt;='Amort. Sched.-BEST'!$I$8, C294&lt;= ($I$7+$I$8)), PMT('Amort. Sched.-BEST'!$E$8/12, 'Amort. Sched.-BEST'!$I$7, 'Amort. Sched.-BEST'!$E$7), 0)</f>
        <v>-1350.6783839027553</v>
      </c>
      <c r="E294" s="5">
        <f>IF(AND(C294&gt;='Amort. Sched.-BEST'!$I$8, C294&lt;= ($I$7+$I$8)), (IPMT($E$8/12, (C294-$I$8), $I$7, $E$7)), 0)</f>
        <v>-152.25696816683427</v>
      </c>
      <c r="F294" s="23">
        <f>IF(AND(C294&gt;='Amort. Sched.-BEST'!$I$8, C294&lt;= ($I$7+$I$8)), (PPMT($E$8/12, (C294-$I$8), $I$7, $E$7)), 0)</f>
        <v>-1198.4214157359211</v>
      </c>
      <c r="G294" s="5">
        <f>IF(MortgageAmortBEST[[#This Row],[Month]]=I$8,E$7,0)</f>
        <v>0</v>
      </c>
      <c r="H294" s="13">
        <f>IF(AND(C294&gt;='Amort. Sched.-BEST'!$I$8, C294&lt;= ($I$7+$I$8)), H293+F294, 0)</f>
        <v>21640.123809289202</v>
      </c>
      <c r="I294" s="24">
        <f>IF(AND(C294&gt;='Amort. Sched.-BEST'!$I$8, C294&lt;= ($I$7+$I$8)), E294/D294, " ")</f>
        <v>0.11272629367687897</v>
      </c>
      <c r="J294" s="25">
        <f>IF(AND(C294&gt;='Amort. Sched.-BEST'!$I$8, C294&lt;= ($I$7+$I$8)), F294/D294, " ")</f>
        <v>0.88727370632312108</v>
      </c>
      <c r="L294" s="20">
        <f t="shared" si="68"/>
        <v>283</v>
      </c>
      <c r="M294" s="5">
        <f>IF(AND(L294&gt;='Amort. Sched.-BEST'!$R$8, L294&lt;= ($R$7+$R$8)), PMT('Amort. Sched.-BEST'!$N$8/12, 'Amort. Sched.-BEST'!$R$7, 'Amort. Sched.-BEST'!$N$7), 0)</f>
        <v>0</v>
      </c>
      <c r="N294" s="5">
        <f>IF(AND(L294&gt;='Amort. Sched.-BEST'!$R$8, L294&lt;= ($R$7+$R$8)), (IPMT($N$8/12, (L294-$R$8), $R$7, $N$7)), 0)</f>
        <v>0</v>
      </c>
      <c r="O294" s="5">
        <f>IF(AND(L294&gt;='Amort. Sched.-BEST'!$R$8, L294&lt;= ($R$7+$R$8)), (PPMT($N$8/12, (L294-$R$8), $R$7, $N$7)), 0)</f>
        <v>0</v>
      </c>
      <c r="P294" s="5">
        <f>IF(CreditAmort1BEST[[#This Row],[Month]]=R$8,N$7,0)</f>
        <v>0</v>
      </c>
      <c r="Q294" s="13">
        <f>IF(AND(L294&gt;='Amort. Sched.-BEST'!$R$8, L294&lt;= ($R$7+$R$8)), Q293+O294, 0)</f>
        <v>0</v>
      </c>
      <c r="R294" s="6" t="str">
        <f>IF(AND(L294&gt;='Amort. Sched.-BEST'!$R$8, L294&lt;= ($R$7+$R$8)), N294/M294, " ")</f>
        <v xml:space="preserve"> </v>
      </c>
      <c r="S294" s="21" t="str">
        <f>IF(AND(L294&gt;='Amort. Sched.-BEST'!$R$8, L294&lt;= ($R$7+$R$8)), O294/M294, " ")</f>
        <v xml:space="preserve"> </v>
      </c>
      <c r="U294" s="22">
        <f t="shared" si="70"/>
        <v>283</v>
      </c>
      <c r="V294" s="23">
        <f>IF(AND(U294&gt;='Amort. Sched.-BEST'!$AA$8, U294&lt;= ($AA$7+$AA$8)), PMT('Amort. Sched.-BEST'!$W$8/12, 'Amort. Sched.-BEST'!$AA$7, 'Amort. Sched.-BEST'!$W$7), 0)</f>
        <v>0</v>
      </c>
      <c r="W294" s="5">
        <f>IF(AND(U294&gt;='Amort. Sched.-BEST'!$AA$8, U294&lt;= ($AA$7+$AA$8)), (IPMT($W$8/12, (U294-$AA$8), $AA$7, $W$7)), 0)</f>
        <v>0</v>
      </c>
      <c r="X294" s="23">
        <f>IF(AND(U294&gt;='Amort. Sched.-BEST'!$AA$8, U294&lt;= ($AA$7+$AA$8)), (PPMT($W$8/12, (U294-$AA$8), $AA$7, $W$7)), 0)</f>
        <v>0</v>
      </c>
      <c r="Y294" s="5">
        <f>IF(CreditAmort2BEST[[#This Row],[Month]]=AA$8,W$7,0)</f>
        <v>0</v>
      </c>
      <c r="Z294" s="13">
        <f>IF(AND(U294&gt;='Amort. Sched.-BEST'!$AA$8, U294&lt;= ($AA$7+$AA$8)), Z293+X294, 0)</f>
        <v>0</v>
      </c>
      <c r="AA294" s="24" t="str">
        <f>IF(AND(U294&gt;='Amort. Sched.-BEST'!$AA$8, U294&lt;= ($AA$7+$AA$8)), W294/V294, " ")</f>
        <v xml:space="preserve"> </v>
      </c>
      <c r="AB294" s="25" t="str">
        <f>IF(AND(U294&gt;='Amort. Sched.-BEST'!$AA$8, U294&lt;= ($AA$7+$AA$8)), X294/V294, " ")</f>
        <v xml:space="preserve"> </v>
      </c>
      <c r="AD294" s="22">
        <f t="shared" si="71"/>
        <v>283</v>
      </c>
      <c r="AE294" s="5">
        <f t="shared" si="72"/>
        <v>0</v>
      </c>
      <c r="AF294" s="5">
        <f t="shared" si="73"/>
        <v>0</v>
      </c>
      <c r="AG294" s="5">
        <f t="shared" si="74"/>
        <v>0</v>
      </c>
      <c r="AH294" s="5">
        <f>IF(CreditAmort3BEST[[#This Row],[Month]]=AJ$8,AF$7,0)</f>
        <v>0</v>
      </c>
      <c r="AI294" s="13">
        <f t="shared" si="75"/>
        <v>0</v>
      </c>
      <c r="AJ294" s="6" t="str">
        <f t="shared" si="76"/>
        <v xml:space="preserve"> </v>
      </c>
      <c r="AK294" s="21" t="str">
        <f t="shared" si="77"/>
        <v xml:space="preserve"> </v>
      </c>
      <c r="AM294" s="20">
        <f t="shared" si="78"/>
        <v>283</v>
      </c>
      <c r="AN294" s="5">
        <f t="shared" si="79"/>
        <v>0</v>
      </c>
      <c r="AO294" s="5">
        <f t="shared" si="80"/>
        <v>0</v>
      </c>
      <c r="AP294" s="5">
        <f t="shared" si="81"/>
        <v>0</v>
      </c>
      <c r="AQ294" s="5">
        <f>IF(CreditAmort4BEST[[#This Row],[Month]]=AS$8,AO$7,0)</f>
        <v>0</v>
      </c>
      <c r="AR294" s="13">
        <f t="shared" si="82"/>
        <v>0</v>
      </c>
      <c r="AS294" s="6" t="str">
        <f t="shared" si="83"/>
        <v xml:space="preserve"> </v>
      </c>
      <c r="AT294" s="21" t="str">
        <f t="shared" si="84"/>
        <v xml:space="preserve"> </v>
      </c>
    </row>
    <row r="295" spans="3:46">
      <c r="C295" s="22">
        <f t="shared" si="69"/>
        <v>284</v>
      </c>
      <c r="D295" s="23">
        <f>IF(AND(C295&gt;='Amort. Sched.-BEST'!$I$8, C295&lt;= ($I$7+$I$8)), PMT('Amort. Sched.-BEST'!$E$8/12, 'Amort. Sched.-BEST'!$I$7, 'Amort. Sched.-BEST'!$E$7), 0)</f>
        <v>-1350.6783839027553</v>
      </c>
      <c r="E295" s="5">
        <f>IF(AND(C295&gt;='Amort. Sched.-BEST'!$I$8, C295&lt;= ($I$7+$I$8)), (IPMT($E$8/12, (C295-$I$8), $I$7, $E$7)), 0)</f>
        <v>-144.26749206192815</v>
      </c>
      <c r="F295" s="23">
        <f>IF(AND(C295&gt;='Amort. Sched.-BEST'!$I$8, C295&lt;= ($I$7+$I$8)), (PPMT($E$8/12, (C295-$I$8), $I$7, $E$7)), 0)</f>
        <v>-1206.4108918408272</v>
      </c>
      <c r="G295" s="5">
        <f>IF(MortgageAmortBEST[[#This Row],[Month]]=I$8,E$7,0)</f>
        <v>0</v>
      </c>
      <c r="H295" s="13">
        <f>IF(AND(C295&gt;='Amort. Sched.-BEST'!$I$8, C295&lt;= ($I$7+$I$8)), H294+F295, 0)</f>
        <v>20433.712917448374</v>
      </c>
      <c r="I295" s="24">
        <f>IF(AND(C295&gt;='Amort. Sched.-BEST'!$I$8, C295&lt;= ($I$7+$I$8)), E295/D295, " ")</f>
        <v>0.10681113563472484</v>
      </c>
      <c r="J295" s="25">
        <f>IF(AND(C295&gt;='Amort. Sched.-BEST'!$I$8, C295&lt;= ($I$7+$I$8)), F295/D295, " ")</f>
        <v>0.89318886436527523</v>
      </c>
      <c r="L295" s="20">
        <f t="shared" si="68"/>
        <v>284</v>
      </c>
      <c r="M295" s="5">
        <f>IF(AND(L295&gt;='Amort. Sched.-BEST'!$R$8, L295&lt;= ($R$7+$R$8)), PMT('Amort. Sched.-BEST'!$N$8/12, 'Amort. Sched.-BEST'!$R$7, 'Amort. Sched.-BEST'!$N$7), 0)</f>
        <v>0</v>
      </c>
      <c r="N295" s="5">
        <f>IF(AND(L295&gt;='Amort. Sched.-BEST'!$R$8, L295&lt;= ($R$7+$R$8)), (IPMT($N$8/12, (L295-$R$8), $R$7, $N$7)), 0)</f>
        <v>0</v>
      </c>
      <c r="O295" s="5">
        <f>IF(AND(L295&gt;='Amort. Sched.-BEST'!$R$8, L295&lt;= ($R$7+$R$8)), (PPMT($N$8/12, (L295-$R$8), $R$7, $N$7)), 0)</f>
        <v>0</v>
      </c>
      <c r="P295" s="5">
        <f>IF(CreditAmort1BEST[[#This Row],[Month]]=R$8,N$7,0)</f>
        <v>0</v>
      </c>
      <c r="Q295" s="13">
        <f>IF(AND(L295&gt;='Amort. Sched.-BEST'!$R$8, L295&lt;= ($R$7+$R$8)), Q294+O295, 0)</f>
        <v>0</v>
      </c>
      <c r="R295" s="6" t="str">
        <f>IF(AND(L295&gt;='Amort. Sched.-BEST'!$R$8, L295&lt;= ($R$7+$R$8)), N295/M295, " ")</f>
        <v xml:space="preserve"> </v>
      </c>
      <c r="S295" s="21" t="str">
        <f>IF(AND(L295&gt;='Amort. Sched.-BEST'!$R$8, L295&lt;= ($R$7+$R$8)), O295/M295, " ")</f>
        <v xml:space="preserve"> </v>
      </c>
      <c r="U295" s="22">
        <f t="shared" si="70"/>
        <v>284</v>
      </c>
      <c r="V295" s="23">
        <f>IF(AND(U295&gt;='Amort. Sched.-BEST'!$AA$8, U295&lt;= ($AA$7+$AA$8)), PMT('Amort. Sched.-BEST'!$W$8/12, 'Amort. Sched.-BEST'!$AA$7, 'Amort. Sched.-BEST'!$W$7), 0)</f>
        <v>0</v>
      </c>
      <c r="W295" s="5">
        <f>IF(AND(U295&gt;='Amort. Sched.-BEST'!$AA$8, U295&lt;= ($AA$7+$AA$8)), (IPMT($W$8/12, (U295-$AA$8), $AA$7, $W$7)), 0)</f>
        <v>0</v>
      </c>
      <c r="X295" s="23">
        <f>IF(AND(U295&gt;='Amort. Sched.-BEST'!$AA$8, U295&lt;= ($AA$7+$AA$8)), (PPMT($W$8/12, (U295-$AA$8), $AA$7, $W$7)), 0)</f>
        <v>0</v>
      </c>
      <c r="Y295" s="5">
        <f>IF(CreditAmort2BEST[[#This Row],[Month]]=AA$8,W$7,0)</f>
        <v>0</v>
      </c>
      <c r="Z295" s="13">
        <f>IF(AND(U295&gt;='Amort. Sched.-BEST'!$AA$8, U295&lt;= ($AA$7+$AA$8)), Z294+X295, 0)</f>
        <v>0</v>
      </c>
      <c r="AA295" s="24" t="str">
        <f>IF(AND(U295&gt;='Amort. Sched.-BEST'!$AA$8, U295&lt;= ($AA$7+$AA$8)), W295/V295, " ")</f>
        <v xml:space="preserve"> </v>
      </c>
      <c r="AB295" s="25" t="str">
        <f>IF(AND(U295&gt;='Amort. Sched.-BEST'!$AA$8, U295&lt;= ($AA$7+$AA$8)), X295/V295, " ")</f>
        <v xml:space="preserve"> </v>
      </c>
      <c r="AD295" s="22">
        <f t="shared" si="71"/>
        <v>284</v>
      </c>
      <c r="AE295" s="5">
        <f t="shared" si="72"/>
        <v>0</v>
      </c>
      <c r="AF295" s="5">
        <f t="shared" si="73"/>
        <v>0</v>
      </c>
      <c r="AG295" s="5">
        <f t="shared" si="74"/>
        <v>0</v>
      </c>
      <c r="AH295" s="5">
        <f>IF(CreditAmort3BEST[[#This Row],[Month]]=AJ$8,AF$7,0)</f>
        <v>0</v>
      </c>
      <c r="AI295" s="13">
        <f t="shared" si="75"/>
        <v>0</v>
      </c>
      <c r="AJ295" s="6" t="str">
        <f t="shared" si="76"/>
        <v xml:space="preserve"> </v>
      </c>
      <c r="AK295" s="21" t="str">
        <f t="shared" si="77"/>
        <v xml:space="preserve"> </v>
      </c>
      <c r="AM295" s="20">
        <f t="shared" si="78"/>
        <v>284</v>
      </c>
      <c r="AN295" s="5">
        <f t="shared" si="79"/>
        <v>0</v>
      </c>
      <c r="AO295" s="5">
        <f t="shared" si="80"/>
        <v>0</v>
      </c>
      <c r="AP295" s="5">
        <f t="shared" si="81"/>
        <v>0</v>
      </c>
      <c r="AQ295" s="5">
        <f>IF(CreditAmort4BEST[[#This Row],[Month]]=AS$8,AO$7,0)</f>
        <v>0</v>
      </c>
      <c r="AR295" s="13">
        <f t="shared" si="82"/>
        <v>0</v>
      </c>
      <c r="AS295" s="6" t="str">
        <f t="shared" si="83"/>
        <v xml:space="preserve"> </v>
      </c>
      <c r="AT295" s="21" t="str">
        <f t="shared" si="84"/>
        <v xml:space="preserve"> </v>
      </c>
    </row>
    <row r="296" spans="3:46">
      <c r="C296" s="22">
        <f t="shared" si="69"/>
        <v>285</v>
      </c>
      <c r="D296" s="23">
        <f>IF(AND(C296&gt;='Amort. Sched.-BEST'!$I$8, C296&lt;= ($I$7+$I$8)), PMT('Amort. Sched.-BEST'!$E$8/12, 'Amort. Sched.-BEST'!$I$7, 'Amort. Sched.-BEST'!$E$7), 0)</f>
        <v>-1350.6783839027553</v>
      </c>
      <c r="E296" s="5">
        <f>IF(AND(C296&gt;='Amort. Sched.-BEST'!$I$8, C296&lt;= ($I$7+$I$8)), (IPMT($E$8/12, (C296-$I$8), $I$7, $E$7)), 0)</f>
        <v>-136.2247527829893</v>
      </c>
      <c r="F296" s="23">
        <f>IF(AND(C296&gt;='Amort. Sched.-BEST'!$I$8, C296&lt;= ($I$7+$I$8)), (PPMT($E$8/12, (C296-$I$8), $I$7, $E$7)), 0)</f>
        <v>-1214.453631119766</v>
      </c>
      <c r="G296" s="5">
        <f>IF(MortgageAmortBEST[[#This Row],[Month]]=I$8,E$7,0)</f>
        <v>0</v>
      </c>
      <c r="H296" s="13">
        <f>IF(AND(C296&gt;='Amort. Sched.-BEST'!$I$8, C296&lt;= ($I$7+$I$8)), H295+F296, 0)</f>
        <v>19219.259286328608</v>
      </c>
      <c r="I296" s="24">
        <f>IF(AND(C296&gt;='Amort. Sched.-BEST'!$I$8, C296&lt;= ($I$7+$I$8)), E296/D296, " ")</f>
        <v>0.10085654320562301</v>
      </c>
      <c r="J296" s="25">
        <f>IF(AND(C296&gt;='Amort. Sched.-BEST'!$I$8, C296&lt;= ($I$7+$I$8)), F296/D296, " ")</f>
        <v>0.89914345679437702</v>
      </c>
      <c r="L296" s="20">
        <f t="shared" si="68"/>
        <v>285</v>
      </c>
      <c r="M296" s="5">
        <f>IF(AND(L296&gt;='Amort. Sched.-BEST'!$R$8, L296&lt;= ($R$7+$R$8)), PMT('Amort. Sched.-BEST'!$N$8/12, 'Amort. Sched.-BEST'!$R$7, 'Amort. Sched.-BEST'!$N$7), 0)</f>
        <v>0</v>
      </c>
      <c r="N296" s="5">
        <f>IF(AND(L296&gt;='Amort. Sched.-BEST'!$R$8, L296&lt;= ($R$7+$R$8)), (IPMT($N$8/12, (L296-$R$8), $R$7, $N$7)), 0)</f>
        <v>0</v>
      </c>
      <c r="O296" s="5">
        <f>IF(AND(L296&gt;='Amort. Sched.-BEST'!$R$8, L296&lt;= ($R$7+$R$8)), (PPMT($N$8/12, (L296-$R$8), $R$7, $N$7)), 0)</f>
        <v>0</v>
      </c>
      <c r="P296" s="5">
        <f>IF(CreditAmort1BEST[[#This Row],[Month]]=R$8,N$7,0)</f>
        <v>0</v>
      </c>
      <c r="Q296" s="13">
        <f>IF(AND(L296&gt;='Amort. Sched.-BEST'!$R$8, L296&lt;= ($R$7+$R$8)), Q295+O296, 0)</f>
        <v>0</v>
      </c>
      <c r="R296" s="6" t="str">
        <f>IF(AND(L296&gt;='Amort. Sched.-BEST'!$R$8, L296&lt;= ($R$7+$R$8)), N296/M296, " ")</f>
        <v xml:space="preserve"> </v>
      </c>
      <c r="S296" s="21" t="str">
        <f>IF(AND(L296&gt;='Amort. Sched.-BEST'!$R$8, L296&lt;= ($R$7+$R$8)), O296/M296, " ")</f>
        <v xml:space="preserve"> </v>
      </c>
      <c r="U296" s="22">
        <f t="shared" si="70"/>
        <v>285</v>
      </c>
      <c r="V296" s="23">
        <f>IF(AND(U296&gt;='Amort. Sched.-BEST'!$AA$8, U296&lt;= ($AA$7+$AA$8)), PMT('Amort. Sched.-BEST'!$W$8/12, 'Amort. Sched.-BEST'!$AA$7, 'Amort. Sched.-BEST'!$W$7), 0)</f>
        <v>0</v>
      </c>
      <c r="W296" s="5">
        <f>IF(AND(U296&gt;='Amort. Sched.-BEST'!$AA$8, U296&lt;= ($AA$7+$AA$8)), (IPMT($W$8/12, (U296-$AA$8), $AA$7, $W$7)), 0)</f>
        <v>0</v>
      </c>
      <c r="X296" s="23">
        <f>IF(AND(U296&gt;='Amort. Sched.-BEST'!$AA$8, U296&lt;= ($AA$7+$AA$8)), (PPMT($W$8/12, (U296-$AA$8), $AA$7, $W$7)), 0)</f>
        <v>0</v>
      </c>
      <c r="Y296" s="5">
        <f>IF(CreditAmort2BEST[[#This Row],[Month]]=AA$8,W$7,0)</f>
        <v>0</v>
      </c>
      <c r="Z296" s="13">
        <f>IF(AND(U296&gt;='Amort. Sched.-BEST'!$AA$8, U296&lt;= ($AA$7+$AA$8)), Z295+X296, 0)</f>
        <v>0</v>
      </c>
      <c r="AA296" s="24" t="str">
        <f>IF(AND(U296&gt;='Amort. Sched.-BEST'!$AA$8, U296&lt;= ($AA$7+$AA$8)), W296/V296, " ")</f>
        <v xml:space="preserve"> </v>
      </c>
      <c r="AB296" s="25" t="str">
        <f>IF(AND(U296&gt;='Amort. Sched.-BEST'!$AA$8, U296&lt;= ($AA$7+$AA$8)), X296/V296, " ")</f>
        <v xml:space="preserve"> </v>
      </c>
      <c r="AD296" s="22">
        <f t="shared" si="71"/>
        <v>285</v>
      </c>
      <c r="AE296" s="5">
        <f t="shared" si="72"/>
        <v>0</v>
      </c>
      <c r="AF296" s="5">
        <f t="shared" si="73"/>
        <v>0</v>
      </c>
      <c r="AG296" s="5">
        <f t="shared" si="74"/>
        <v>0</v>
      </c>
      <c r="AH296" s="5">
        <f>IF(CreditAmort3BEST[[#This Row],[Month]]=AJ$8,AF$7,0)</f>
        <v>0</v>
      </c>
      <c r="AI296" s="13">
        <f t="shared" si="75"/>
        <v>0</v>
      </c>
      <c r="AJ296" s="6" t="str">
        <f t="shared" si="76"/>
        <v xml:space="preserve"> </v>
      </c>
      <c r="AK296" s="21" t="str">
        <f t="shared" si="77"/>
        <v xml:space="preserve"> </v>
      </c>
      <c r="AM296" s="20">
        <f t="shared" si="78"/>
        <v>285</v>
      </c>
      <c r="AN296" s="5">
        <f t="shared" si="79"/>
        <v>0</v>
      </c>
      <c r="AO296" s="5">
        <f t="shared" si="80"/>
        <v>0</v>
      </c>
      <c r="AP296" s="5">
        <f t="shared" si="81"/>
        <v>0</v>
      </c>
      <c r="AQ296" s="5">
        <f>IF(CreditAmort4BEST[[#This Row],[Month]]=AS$8,AO$7,0)</f>
        <v>0</v>
      </c>
      <c r="AR296" s="13">
        <f t="shared" si="82"/>
        <v>0</v>
      </c>
      <c r="AS296" s="6" t="str">
        <f t="shared" si="83"/>
        <v xml:space="preserve"> </v>
      </c>
      <c r="AT296" s="21" t="str">
        <f t="shared" si="84"/>
        <v xml:space="preserve"> </v>
      </c>
    </row>
    <row r="297" spans="3:46">
      <c r="C297" s="22">
        <f t="shared" si="69"/>
        <v>286</v>
      </c>
      <c r="D297" s="23">
        <f>IF(AND(C297&gt;='Amort. Sched.-BEST'!$I$8, C297&lt;= ($I$7+$I$8)), PMT('Amort. Sched.-BEST'!$E$8/12, 'Amort. Sched.-BEST'!$I$7, 'Amort. Sched.-BEST'!$E$7), 0)</f>
        <v>-1350.6783839027553</v>
      </c>
      <c r="E297" s="5">
        <f>IF(AND(C297&gt;='Amort. Sched.-BEST'!$I$8, C297&lt;= ($I$7+$I$8)), (IPMT($E$8/12, (C297-$I$8), $I$7, $E$7)), 0)</f>
        <v>-128.12839524219086</v>
      </c>
      <c r="F297" s="23">
        <f>IF(AND(C297&gt;='Amort. Sched.-BEST'!$I$8, C297&lt;= ($I$7+$I$8)), (PPMT($E$8/12, (C297-$I$8), $I$7, $E$7)), 0)</f>
        <v>-1222.5499886605644</v>
      </c>
      <c r="G297" s="5">
        <f>IF(MortgageAmortBEST[[#This Row],[Month]]=I$8,E$7,0)</f>
        <v>0</v>
      </c>
      <c r="H297" s="13">
        <f>IF(AND(C297&gt;='Amort. Sched.-BEST'!$I$8, C297&lt;= ($I$7+$I$8)), H296+F297, 0)</f>
        <v>17996.709297668043</v>
      </c>
      <c r="I297" s="24">
        <f>IF(AND(C297&gt;='Amort. Sched.-BEST'!$I$8, C297&lt;= ($I$7+$I$8)), E297/D297, " ")</f>
        <v>9.4862253493660495E-2</v>
      </c>
      <c r="J297" s="25">
        <f>IF(AND(C297&gt;='Amort. Sched.-BEST'!$I$8, C297&lt;= ($I$7+$I$8)), F297/D297, " ")</f>
        <v>0.90513774650633949</v>
      </c>
      <c r="L297" s="20">
        <f t="shared" si="68"/>
        <v>286</v>
      </c>
      <c r="M297" s="5">
        <f>IF(AND(L297&gt;='Amort. Sched.-BEST'!$R$8, L297&lt;= ($R$7+$R$8)), PMT('Amort. Sched.-BEST'!$N$8/12, 'Amort. Sched.-BEST'!$R$7, 'Amort. Sched.-BEST'!$N$7), 0)</f>
        <v>0</v>
      </c>
      <c r="N297" s="5">
        <f>IF(AND(L297&gt;='Amort. Sched.-BEST'!$R$8, L297&lt;= ($R$7+$R$8)), (IPMT($N$8/12, (L297-$R$8), $R$7, $N$7)), 0)</f>
        <v>0</v>
      </c>
      <c r="O297" s="5">
        <f>IF(AND(L297&gt;='Amort. Sched.-BEST'!$R$8, L297&lt;= ($R$7+$R$8)), (PPMT($N$8/12, (L297-$R$8), $R$7, $N$7)), 0)</f>
        <v>0</v>
      </c>
      <c r="P297" s="5">
        <f>IF(CreditAmort1BEST[[#This Row],[Month]]=R$8,N$7,0)</f>
        <v>0</v>
      </c>
      <c r="Q297" s="13">
        <f>IF(AND(L297&gt;='Amort. Sched.-BEST'!$R$8, L297&lt;= ($R$7+$R$8)), Q296+O297, 0)</f>
        <v>0</v>
      </c>
      <c r="R297" s="6" t="str">
        <f>IF(AND(L297&gt;='Amort. Sched.-BEST'!$R$8, L297&lt;= ($R$7+$R$8)), N297/M297, " ")</f>
        <v xml:space="preserve"> </v>
      </c>
      <c r="S297" s="21" t="str">
        <f>IF(AND(L297&gt;='Amort. Sched.-BEST'!$R$8, L297&lt;= ($R$7+$R$8)), O297/M297, " ")</f>
        <v xml:space="preserve"> </v>
      </c>
      <c r="U297" s="22">
        <f t="shared" si="70"/>
        <v>286</v>
      </c>
      <c r="V297" s="23">
        <f>IF(AND(U297&gt;='Amort. Sched.-BEST'!$AA$8, U297&lt;= ($AA$7+$AA$8)), PMT('Amort. Sched.-BEST'!$W$8/12, 'Amort. Sched.-BEST'!$AA$7, 'Amort. Sched.-BEST'!$W$7), 0)</f>
        <v>0</v>
      </c>
      <c r="W297" s="5">
        <f>IF(AND(U297&gt;='Amort. Sched.-BEST'!$AA$8, U297&lt;= ($AA$7+$AA$8)), (IPMT($W$8/12, (U297-$AA$8), $AA$7, $W$7)), 0)</f>
        <v>0</v>
      </c>
      <c r="X297" s="23">
        <f>IF(AND(U297&gt;='Amort. Sched.-BEST'!$AA$8, U297&lt;= ($AA$7+$AA$8)), (PPMT($W$8/12, (U297-$AA$8), $AA$7, $W$7)), 0)</f>
        <v>0</v>
      </c>
      <c r="Y297" s="5">
        <f>IF(CreditAmort2BEST[[#This Row],[Month]]=AA$8,W$7,0)</f>
        <v>0</v>
      </c>
      <c r="Z297" s="13">
        <f>IF(AND(U297&gt;='Amort. Sched.-BEST'!$AA$8, U297&lt;= ($AA$7+$AA$8)), Z296+X297, 0)</f>
        <v>0</v>
      </c>
      <c r="AA297" s="24" t="str">
        <f>IF(AND(U297&gt;='Amort. Sched.-BEST'!$AA$8, U297&lt;= ($AA$7+$AA$8)), W297/V297, " ")</f>
        <v xml:space="preserve"> </v>
      </c>
      <c r="AB297" s="25" t="str">
        <f>IF(AND(U297&gt;='Amort. Sched.-BEST'!$AA$8, U297&lt;= ($AA$7+$AA$8)), X297/V297, " ")</f>
        <v xml:space="preserve"> </v>
      </c>
      <c r="AD297" s="22">
        <f t="shared" si="71"/>
        <v>286</v>
      </c>
      <c r="AE297" s="5">
        <f t="shared" si="72"/>
        <v>0</v>
      </c>
      <c r="AF297" s="5">
        <f t="shared" si="73"/>
        <v>0</v>
      </c>
      <c r="AG297" s="5">
        <f t="shared" si="74"/>
        <v>0</v>
      </c>
      <c r="AH297" s="5">
        <f>IF(CreditAmort3BEST[[#This Row],[Month]]=AJ$8,AF$7,0)</f>
        <v>0</v>
      </c>
      <c r="AI297" s="13">
        <f t="shared" si="75"/>
        <v>0</v>
      </c>
      <c r="AJ297" s="6" t="str">
        <f t="shared" si="76"/>
        <v xml:space="preserve"> </v>
      </c>
      <c r="AK297" s="21" t="str">
        <f t="shared" si="77"/>
        <v xml:space="preserve"> </v>
      </c>
      <c r="AM297" s="20">
        <f t="shared" si="78"/>
        <v>286</v>
      </c>
      <c r="AN297" s="5">
        <f t="shared" si="79"/>
        <v>0</v>
      </c>
      <c r="AO297" s="5">
        <f t="shared" si="80"/>
        <v>0</v>
      </c>
      <c r="AP297" s="5">
        <f t="shared" si="81"/>
        <v>0</v>
      </c>
      <c r="AQ297" s="5">
        <f>IF(CreditAmort4BEST[[#This Row],[Month]]=AS$8,AO$7,0)</f>
        <v>0</v>
      </c>
      <c r="AR297" s="13">
        <f t="shared" si="82"/>
        <v>0</v>
      </c>
      <c r="AS297" s="6" t="str">
        <f t="shared" si="83"/>
        <v xml:space="preserve"> </v>
      </c>
      <c r="AT297" s="21" t="str">
        <f t="shared" si="84"/>
        <v xml:space="preserve"> </v>
      </c>
    </row>
    <row r="298" spans="3:46">
      <c r="C298" s="22">
        <f t="shared" si="69"/>
        <v>287</v>
      </c>
      <c r="D298" s="23">
        <f>IF(AND(C298&gt;='Amort. Sched.-BEST'!$I$8, C298&lt;= ($I$7+$I$8)), PMT('Amort. Sched.-BEST'!$E$8/12, 'Amort. Sched.-BEST'!$I$7, 'Amort. Sched.-BEST'!$E$7), 0)</f>
        <v>-1350.6783839027553</v>
      </c>
      <c r="E298" s="5">
        <f>IF(AND(C298&gt;='Amort. Sched.-BEST'!$I$8, C298&lt;= ($I$7+$I$8)), (IPMT($E$8/12, (C298-$I$8), $I$7, $E$7)), 0)</f>
        <v>-119.97806198445375</v>
      </c>
      <c r="F298" s="23">
        <f>IF(AND(C298&gt;='Amort. Sched.-BEST'!$I$8, C298&lt;= ($I$7+$I$8)), (PPMT($E$8/12, (C298-$I$8), $I$7, $E$7)), 0)</f>
        <v>-1230.7003219183018</v>
      </c>
      <c r="G298" s="5">
        <f>IF(MortgageAmortBEST[[#This Row],[Month]]=I$8,E$7,0)</f>
        <v>0</v>
      </c>
      <c r="H298" s="13">
        <f>IF(AND(C298&gt;='Amort. Sched.-BEST'!$I$8, C298&lt;= ($I$7+$I$8)), H297+F298, 0)</f>
        <v>16766.008975749741</v>
      </c>
      <c r="I298" s="24">
        <f>IF(AND(C298&gt;='Amort. Sched.-BEST'!$I$8, C298&lt;= ($I$7+$I$8)), E298/D298, " ")</f>
        <v>8.8828001850284888E-2</v>
      </c>
      <c r="J298" s="25">
        <f>IF(AND(C298&gt;='Amort. Sched.-BEST'!$I$8, C298&lt;= ($I$7+$I$8)), F298/D298, " ")</f>
        <v>0.91117199814971528</v>
      </c>
      <c r="L298" s="20">
        <f t="shared" si="68"/>
        <v>287</v>
      </c>
      <c r="M298" s="5">
        <f>IF(AND(L298&gt;='Amort. Sched.-BEST'!$R$8, L298&lt;= ($R$7+$R$8)), PMT('Amort. Sched.-BEST'!$N$8/12, 'Amort. Sched.-BEST'!$R$7, 'Amort. Sched.-BEST'!$N$7), 0)</f>
        <v>0</v>
      </c>
      <c r="N298" s="5">
        <f>IF(AND(L298&gt;='Amort. Sched.-BEST'!$R$8, L298&lt;= ($R$7+$R$8)), (IPMT($N$8/12, (L298-$R$8), $R$7, $N$7)), 0)</f>
        <v>0</v>
      </c>
      <c r="O298" s="5">
        <f>IF(AND(L298&gt;='Amort. Sched.-BEST'!$R$8, L298&lt;= ($R$7+$R$8)), (PPMT($N$8/12, (L298-$R$8), $R$7, $N$7)), 0)</f>
        <v>0</v>
      </c>
      <c r="P298" s="5">
        <f>IF(CreditAmort1BEST[[#This Row],[Month]]=R$8,N$7,0)</f>
        <v>0</v>
      </c>
      <c r="Q298" s="13">
        <f>IF(AND(L298&gt;='Amort. Sched.-BEST'!$R$8, L298&lt;= ($R$7+$R$8)), Q297+O298, 0)</f>
        <v>0</v>
      </c>
      <c r="R298" s="6" t="str">
        <f>IF(AND(L298&gt;='Amort. Sched.-BEST'!$R$8, L298&lt;= ($R$7+$R$8)), N298/M298, " ")</f>
        <v xml:space="preserve"> </v>
      </c>
      <c r="S298" s="21" t="str">
        <f>IF(AND(L298&gt;='Amort. Sched.-BEST'!$R$8, L298&lt;= ($R$7+$R$8)), O298/M298, " ")</f>
        <v xml:space="preserve"> </v>
      </c>
      <c r="U298" s="22">
        <f t="shared" si="70"/>
        <v>287</v>
      </c>
      <c r="V298" s="23">
        <f>IF(AND(U298&gt;='Amort. Sched.-BEST'!$AA$8, U298&lt;= ($AA$7+$AA$8)), PMT('Amort. Sched.-BEST'!$W$8/12, 'Amort. Sched.-BEST'!$AA$7, 'Amort. Sched.-BEST'!$W$7), 0)</f>
        <v>0</v>
      </c>
      <c r="W298" s="5">
        <f>IF(AND(U298&gt;='Amort. Sched.-BEST'!$AA$8, U298&lt;= ($AA$7+$AA$8)), (IPMT($W$8/12, (U298-$AA$8), $AA$7, $W$7)), 0)</f>
        <v>0</v>
      </c>
      <c r="X298" s="23">
        <f>IF(AND(U298&gt;='Amort. Sched.-BEST'!$AA$8, U298&lt;= ($AA$7+$AA$8)), (PPMT($W$8/12, (U298-$AA$8), $AA$7, $W$7)), 0)</f>
        <v>0</v>
      </c>
      <c r="Y298" s="5">
        <f>IF(CreditAmort2BEST[[#This Row],[Month]]=AA$8,W$7,0)</f>
        <v>0</v>
      </c>
      <c r="Z298" s="13">
        <f>IF(AND(U298&gt;='Amort. Sched.-BEST'!$AA$8, U298&lt;= ($AA$7+$AA$8)), Z297+X298, 0)</f>
        <v>0</v>
      </c>
      <c r="AA298" s="24" t="str">
        <f>IF(AND(U298&gt;='Amort. Sched.-BEST'!$AA$8, U298&lt;= ($AA$7+$AA$8)), W298/V298, " ")</f>
        <v xml:space="preserve"> </v>
      </c>
      <c r="AB298" s="25" t="str">
        <f>IF(AND(U298&gt;='Amort. Sched.-BEST'!$AA$8, U298&lt;= ($AA$7+$AA$8)), X298/V298, " ")</f>
        <v xml:space="preserve"> </v>
      </c>
      <c r="AD298" s="22">
        <f t="shared" si="71"/>
        <v>287</v>
      </c>
      <c r="AE298" s="5">
        <f t="shared" si="72"/>
        <v>0</v>
      </c>
      <c r="AF298" s="5">
        <f t="shared" si="73"/>
        <v>0</v>
      </c>
      <c r="AG298" s="5">
        <f t="shared" si="74"/>
        <v>0</v>
      </c>
      <c r="AH298" s="5">
        <f>IF(CreditAmort3BEST[[#This Row],[Month]]=AJ$8,AF$7,0)</f>
        <v>0</v>
      </c>
      <c r="AI298" s="13">
        <f t="shared" si="75"/>
        <v>0</v>
      </c>
      <c r="AJ298" s="6" t="str">
        <f t="shared" si="76"/>
        <v xml:space="preserve"> </v>
      </c>
      <c r="AK298" s="21" t="str">
        <f t="shared" si="77"/>
        <v xml:space="preserve"> </v>
      </c>
      <c r="AM298" s="20">
        <f t="shared" si="78"/>
        <v>287</v>
      </c>
      <c r="AN298" s="5">
        <f t="shared" si="79"/>
        <v>0</v>
      </c>
      <c r="AO298" s="5">
        <f t="shared" si="80"/>
        <v>0</v>
      </c>
      <c r="AP298" s="5">
        <f t="shared" si="81"/>
        <v>0</v>
      </c>
      <c r="AQ298" s="5">
        <f>IF(CreditAmort4BEST[[#This Row],[Month]]=AS$8,AO$7,0)</f>
        <v>0</v>
      </c>
      <c r="AR298" s="13">
        <f t="shared" si="82"/>
        <v>0</v>
      </c>
      <c r="AS298" s="6" t="str">
        <f t="shared" si="83"/>
        <v xml:space="preserve"> </v>
      </c>
      <c r="AT298" s="21" t="str">
        <f t="shared" si="84"/>
        <v xml:space="preserve"> </v>
      </c>
    </row>
    <row r="299" spans="3:46">
      <c r="C299" s="22">
        <f t="shared" si="69"/>
        <v>288</v>
      </c>
      <c r="D299" s="23">
        <f>IF(AND(C299&gt;='Amort. Sched.-BEST'!$I$8, C299&lt;= ($I$7+$I$8)), PMT('Amort. Sched.-BEST'!$E$8/12, 'Amort. Sched.-BEST'!$I$7, 'Amort. Sched.-BEST'!$E$7), 0)</f>
        <v>-1350.6783839027553</v>
      </c>
      <c r="E299" s="5">
        <f>IF(AND(C299&gt;='Amort. Sched.-BEST'!$I$8, C299&lt;= ($I$7+$I$8)), (IPMT($E$8/12, (C299-$I$8), $I$7, $E$7)), 0)</f>
        <v>-111.77339317166506</v>
      </c>
      <c r="F299" s="23">
        <f>IF(AND(C299&gt;='Amort. Sched.-BEST'!$I$8, C299&lt;= ($I$7+$I$8)), (PPMT($E$8/12, (C299-$I$8), $I$7, $E$7)), 0)</f>
        <v>-1238.9049907310903</v>
      </c>
      <c r="G299" s="5">
        <f>IF(MortgageAmortBEST[[#This Row],[Month]]=I$8,E$7,0)</f>
        <v>0</v>
      </c>
      <c r="H299" s="13">
        <f>IF(AND(C299&gt;='Amort. Sched.-BEST'!$I$8, C299&lt;= ($I$7+$I$8)), H298+F299, 0)</f>
        <v>15527.10398501865</v>
      </c>
      <c r="I299" s="24">
        <f>IF(AND(C299&gt;='Amort. Sched.-BEST'!$I$8, C299&lt;= ($I$7+$I$8)), E299/D299, " ")</f>
        <v>8.2753521862620111E-2</v>
      </c>
      <c r="J299" s="25">
        <f>IF(AND(C299&gt;='Amort. Sched.-BEST'!$I$8, C299&lt;= ($I$7+$I$8)), F299/D299, " ")</f>
        <v>0.91724647813737992</v>
      </c>
      <c r="L299" s="20">
        <f t="shared" si="68"/>
        <v>288</v>
      </c>
      <c r="M299" s="5">
        <f>IF(AND(L299&gt;='Amort. Sched.-BEST'!$R$8, L299&lt;= ($R$7+$R$8)), PMT('Amort. Sched.-BEST'!$N$8/12, 'Amort. Sched.-BEST'!$R$7, 'Amort. Sched.-BEST'!$N$7), 0)</f>
        <v>0</v>
      </c>
      <c r="N299" s="5">
        <f>IF(AND(L299&gt;='Amort. Sched.-BEST'!$R$8, L299&lt;= ($R$7+$R$8)), (IPMT($N$8/12, (L299-$R$8), $R$7, $N$7)), 0)</f>
        <v>0</v>
      </c>
      <c r="O299" s="5">
        <f>IF(AND(L299&gt;='Amort. Sched.-BEST'!$R$8, L299&lt;= ($R$7+$R$8)), (PPMT($N$8/12, (L299-$R$8), $R$7, $N$7)), 0)</f>
        <v>0</v>
      </c>
      <c r="P299" s="5">
        <f>IF(CreditAmort1BEST[[#This Row],[Month]]=R$8,N$7,0)</f>
        <v>0</v>
      </c>
      <c r="Q299" s="13">
        <f>IF(AND(L299&gt;='Amort. Sched.-BEST'!$R$8, L299&lt;= ($R$7+$R$8)), Q298+O299, 0)</f>
        <v>0</v>
      </c>
      <c r="R299" s="6" t="str">
        <f>IF(AND(L299&gt;='Amort. Sched.-BEST'!$R$8, L299&lt;= ($R$7+$R$8)), N299/M299, " ")</f>
        <v xml:space="preserve"> </v>
      </c>
      <c r="S299" s="21" t="str">
        <f>IF(AND(L299&gt;='Amort. Sched.-BEST'!$R$8, L299&lt;= ($R$7+$R$8)), O299/M299, " ")</f>
        <v xml:space="preserve"> </v>
      </c>
      <c r="U299" s="22">
        <f t="shared" si="70"/>
        <v>288</v>
      </c>
      <c r="V299" s="23">
        <f>IF(AND(U299&gt;='Amort. Sched.-BEST'!$AA$8, U299&lt;= ($AA$7+$AA$8)), PMT('Amort. Sched.-BEST'!$W$8/12, 'Amort. Sched.-BEST'!$AA$7, 'Amort. Sched.-BEST'!$W$7), 0)</f>
        <v>0</v>
      </c>
      <c r="W299" s="5">
        <f>IF(AND(U299&gt;='Amort. Sched.-BEST'!$AA$8, U299&lt;= ($AA$7+$AA$8)), (IPMT($W$8/12, (U299-$AA$8), $AA$7, $W$7)), 0)</f>
        <v>0</v>
      </c>
      <c r="X299" s="23">
        <f>IF(AND(U299&gt;='Amort. Sched.-BEST'!$AA$8, U299&lt;= ($AA$7+$AA$8)), (PPMT($W$8/12, (U299-$AA$8), $AA$7, $W$7)), 0)</f>
        <v>0</v>
      </c>
      <c r="Y299" s="5">
        <f>IF(CreditAmort2BEST[[#This Row],[Month]]=AA$8,W$7,0)</f>
        <v>0</v>
      </c>
      <c r="Z299" s="13">
        <f>IF(AND(U299&gt;='Amort. Sched.-BEST'!$AA$8, U299&lt;= ($AA$7+$AA$8)), Z298+X299, 0)</f>
        <v>0</v>
      </c>
      <c r="AA299" s="24" t="str">
        <f>IF(AND(U299&gt;='Amort. Sched.-BEST'!$AA$8, U299&lt;= ($AA$7+$AA$8)), W299/V299, " ")</f>
        <v xml:space="preserve"> </v>
      </c>
      <c r="AB299" s="25" t="str">
        <f>IF(AND(U299&gt;='Amort. Sched.-BEST'!$AA$8, U299&lt;= ($AA$7+$AA$8)), X299/V299, " ")</f>
        <v xml:space="preserve"> </v>
      </c>
      <c r="AD299" s="22">
        <f t="shared" si="71"/>
        <v>288</v>
      </c>
      <c r="AE299" s="5">
        <f t="shared" si="72"/>
        <v>0</v>
      </c>
      <c r="AF299" s="5">
        <f t="shared" si="73"/>
        <v>0</v>
      </c>
      <c r="AG299" s="5">
        <f t="shared" si="74"/>
        <v>0</v>
      </c>
      <c r="AH299" s="5">
        <f>IF(CreditAmort3BEST[[#This Row],[Month]]=AJ$8,AF$7,0)</f>
        <v>0</v>
      </c>
      <c r="AI299" s="13">
        <f t="shared" si="75"/>
        <v>0</v>
      </c>
      <c r="AJ299" s="6" t="str">
        <f t="shared" si="76"/>
        <v xml:space="preserve"> </v>
      </c>
      <c r="AK299" s="21" t="str">
        <f t="shared" si="77"/>
        <v xml:space="preserve"> </v>
      </c>
      <c r="AM299" s="20">
        <f t="shared" si="78"/>
        <v>288</v>
      </c>
      <c r="AN299" s="5">
        <f t="shared" si="79"/>
        <v>0</v>
      </c>
      <c r="AO299" s="5">
        <f t="shared" si="80"/>
        <v>0</v>
      </c>
      <c r="AP299" s="5">
        <f t="shared" si="81"/>
        <v>0</v>
      </c>
      <c r="AQ299" s="5">
        <f>IF(CreditAmort4BEST[[#This Row],[Month]]=AS$8,AO$7,0)</f>
        <v>0</v>
      </c>
      <c r="AR299" s="13">
        <f t="shared" si="82"/>
        <v>0</v>
      </c>
      <c r="AS299" s="6" t="str">
        <f t="shared" si="83"/>
        <v xml:space="preserve"> </v>
      </c>
      <c r="AT299" s="21" t="str">
        <f t="shared" si="84"/>
        <v xml:space="preserve"> </v>
      </c>
    </row>
    <row r="300" spans="3:46">
      <c r="C300" s="22">
        <f t="shared" si="69"/>
        <v>289</v>
      </c>
      <c r="D300" s="23">
        <f>IF(AND(C300&gt;='Amort. Sched.-BEST'!$I$8, C300&lt;= ($I$7+$I$8)), PMT('Amort. Sched.-BEST'!$E$8/12, 'Amort. Sched.-BEST'!$I$7, 'Amort. Sched.-BEST'!$E$7), 0)</f>
        <v>-1350.6783839027553</v>
      </c>
      <c r="E300" s="5">
        <f>IF(AND(C300&gt;='Amort. Sched.-BEST'!$I$8, C300&lt;= ($I$7+$I$8)), (IPMT($E$8/12, (C300-$I$8), $I$7, $E$7)), 0)</f>
        <v>-103.51402656679115</v>
      </c>
      <c r="F300" s="23">
        <f>IF(AND(C300&gt;='Amort. Sched.-BEST'!$I$8, C300&lt;= ($I$7+$I$8)), (PPMT($E$8/12, (C300-$I$8), $I$7, $E$7)), 0)</f>
        <v>-1247.1643573359643</v>
      </c>
      <c r="G300" s="5">
        <f>IF(MortgageAmortBEST[[#This Row],[Month]]=I$8,E$7,0)</f>
        <v>0</v>
      </c>
      <c r="H300" s="13">
        <f>IF(AND(C300&gt;='Amort. Sched.-BEST'!$I$8, C300&lt;= ($I$7+$I$8)), H299+F300, 0)</f>
        <v>14279.939627682685</v>
      </c>
      <c r="I300" s="24">
        <f>IF(AND(C300&gt;='Amort. Sched.-BEST'!$I$8, C300&lt;= ($I$7+$I$8)), E300/D300, " ")</f>
        <v>7.6638545341704264E-2</v>
      </c>
      <c r="J300" s="25">
        <f>IF(AND(C300&gt;='Amort. Sched.-BEST'!$I$8, C300&lt;= ($I$7+$I$8)), F300/D300, " ")</f>
        <v>0.92336145465829589</v>
      </c>
      <c r="L300" s="20">
        <f t="shared" si="68"/>
        <v>289</v>
      </c>
      <c r="M300" s="5">
        <f>IF(AND(L300&gt;='Amort. Sched.-BEST'!$R$8, L300&lt;= ($R$7+$R$8)), PMT('Amort. Sched.-BEST'!$N$8/12, 'Amort. Sched.-BEST'!$R$7, 'Amort. Sched.-BEST'!$N$7), 0)</f>
        <v>0</v>
      </c>
      <c r="N300" s="5">
        <f>IF(AND(L300&gt;='Amort. Sched.-BEST'!$R$8, L300&lt;= ($R$7+$R$8)), (IPMT($N$8/12, (L300-$R$8), $R$7, $N$7)), 0)</f>
        <v>0</v>
      </c>
      <c r="O300" s="5">
        <f>IF(AND(L300&gt;='Amort. Sched.-BEST'!$R$8, L300&lt;= ($R$7+$R$8)), (PPMT($N$8/12, (L300-$R$8), $R$7, $N$7)), 0)</f>
        <v>0</v>
      </c>
      <c r="P300" s="5">
        <f>IF(CreditAmort1BEST[[#This Row],[Month]]=R$8,N$7,0)</f>
        <v>0</v>
      </c>
      <c r="Q300" s="13">
        <f>IF(AND(L300&gt;='Amort. Sched.-BEST'!$R$8, L300&lt;= ($R$7+$R$8)), Q299+O300, 0)</f>
        <v>0</v>
      </c>
      <c r="R300" s="6" t="str">
        <f>IF(AND(L300&gt;='Amort. Sched.-BEST'!$R$8, L300&lt;= ($R$7+$R$8)), N300/M300, " ")</f>
        <v xml:space="preserve"> </v>
      </c>
      <c r="S300" s="21" t="str">
        <f>IF(AND(L300&gt;='Amort. Sched.-BEST'!$R$8, L300&lt;= ($R$7+$R$8)), O300/M300, " ")</f>
        <v xml:space="preserve"> </v>
      </c>
      <c r="U300" s="22">
        <f t="shared" si="70"/>
        <v>289</v>
      </c>
      <c r="V300" s="23">
        <f>IF(AND(U300&gt;='Amort. Sched.-BEST'!$AA$8, U300&lt;= ($AA$7+$AA$8)), PMT('Amort. Sched.-BEST'!$W$8/12, 'Amort. Sched.-BEST'!$AA$7, 'Amort. Sched.-BEST'!$W$7), 0)</f>
        <v>0</v>
      </c>
      <c r="W300" s="5">
        <f>IF(AND(U300&gt;='Amort. Sched.-BEST'!$AA$8, U300&lt;= ($AA$7+$AA$8)), (IPMT($W$8/12, (U300-$AA$8), $AA$7, $W$7)), 0)</f>
        <v>0</v>
      </c>
      <c r="X300" s="23">
        <f>IF(AND(U300&gt;='Amort. Sched.-BEST'!$AA$8, U300&lt;= ($AA$7+$AA$8)), (PPMT($W$8/12, (U300-$AA$8), $AA$7, $W$7)), 0)</f>
        <v>0</v>
      </c>
      <c r="Y300" s="5">
        <f>IF(CreditAmort2BEST[[#This Row],[Month]]=AA$8,W$7,0)</f>
        <v>0</v>
      </c>
      <c r="Z300" s="13">
        <f>IF(AND(U300&gt;='Amort. Sched.-BEST'!$AA$8, U300&lt;= ($AA$7+$AA$8)), Z299+X300, 0)</f>
        <v>0</v>
      </c>
      <c r="AA300" s="24" t="str">
        <f>IF(AND(U300&gt;='Amort. Sched.-BEST'!$AA$8, U300&lt;= ($AA$7+$AA$8)), W300/V300, " ")</f>
        <v xml:space="preserve"> </v>
      </c>
      <c r="AB300" s="25" t="str">
        <f>IF(AND(U300&gt;='Amort. Sched.-BEST'!$AA$8, U300&lt;= ($AA$7+$AA$8)), X300/V300, " ")</f>
        <v xml:space="preserve"> </v>
      </c>
      <c r="AD300" s="22">
        <f t="shared" si="71"/>
        <v>289</v>
      </c>
      <c r="AE300" s="5">
        <f t="shared" si="72"/>
        <v>0</v>
      </c>
      <c r="AF300" s="5">
        <f t="shared" si="73"/>
        <v>0</v>
      </c>
      <c r="AG300" s="5">
        <f t="shared" si="74"/>
        <v>0</v>
      </c>
      <c r="AH300" s="5">
        <f>IF(CreditAmort3BEST[[#This Row],[Month]]=AJ$8,AF$7,0)</f>
        <v>0</v>
      </c>
      <c r="AI300" s="13">
        <f t="shared" si="75"/>
        <v>0</v>
      </c>
      <c r="AJ300" s="6" t="str">
        <f t="shared" si="76"/>
        <v xml:space="preserve"> </v>
      </c>
      <c r="AK300" s="21" t="str">
        <f t="shared" si="77"/>
        <v xml:space="preserve"> </v>
      </c>
      <c r="AM300" s="20">
        <f t="shared" si="78"/>
        <v>289</v>
      </c>
      <c r="AN300" s="5">
        <f t="shared" si="79"/>
        <v>0</v>
      </c>
      <c r="AO300" s="5">
        <f t="shared" si="80"/>
        <v>0</v>
      </c>
      <c r="AP300" s="5">
        <f t="shared" si="81"/>
        <v>0</v>
      </c>
      <c r="AQ300" s="5">
        <f>IF(CreditAmort4BEST[[#This Row],[Month]]=AS$8,AO$7,0)</f>
        <v>0</v>
      </c>
      <c r="AR300" s="13">
        <f t="shared" si="82"/>
        <v>0</v>
      </c>
      <c r="AS300" s="6" t="str">
        <f t="shared" si="83"/>
        <v xml:space="preserve"> </v>
      </c>
      <c r="AT300" s="21" t="str">
        <f t="shared" si="84"/>
        <v xml:space="preserve"> </v>
      </c>
    </row>
    <row r="301" spans="3:46">
      <c r="C301" s="22">
        <f t="shared" si="69"/>
        <v>290</v>
      </c>
      <c r="D301" s="23">
        <f>IF(AND(C301&gt;='Amort. Sched.-BEST'!$I$8, C301&lt;= ($I$7+$I$8)), PMT('Amort. Sched.-BEST'!$E$8/12, 'Amort. Sched.-BEST'!$I$7, 'Amort. Sched.-BEST'!$E$7), 0)</f>
        <v>-1350.6783839027553</v>
      </c>
      <c r="E301" s="5">
        <f>IF(AND(C301&gt;='Amort. Sched.-BEST'!$I$8, C301&lt;= ($I$7+$I$8)), (IPMT($E$8/12, (C301-$I$8), $I$7, $E$7)), 0)</f>
        <v>-95.199597517884712</v>
      </c>
      <c r="F301" s="23">
        <f>IF(AND(C301&gt;='Amort. Sched.-BEST'!$I$8, C301&lt;= ($I$7+$I$8)), (PPMT($E$8/12, (C301-$I$8), $I$7, $E$7)), 0)</f>
        <v>-1255.4787863848705</v>
      </c>
      <c r="G301" s="5">
        <f>IF(MortgageAmortBEST[[#This Row],[Month]]=I$8,E$7,0)</f>
        <v>0</v>
      </c>
      <c r="H301" s="13">
        <f>IF(AND(C301&gt;='Amort. Sched.-BEST'!$I$8, C301&lt;= ($I$7+$I$8)), H300+F301, 0)</f>
        <v>13024.460841297814</v>
      </c>
      <c r="I301" s="24">
        <f>IF(AND(C301&gt;='Amort. Sched.-BEST'!$I$8, C301&lt;= ($I$7+$I$8)), E301/D301, " ")</f>
        <v>7.0482802310648948E-2</v>
      </c>
      <c r="J301" s="25">
        <f>IF(AND(C301&gt;='Amort. Sched.-BEST'!$I$8, C301&lt;= ($I$7+$I$8)), F301/D301, " ")</f>
        <v>0.92951719768935104</v>
      </c>
      <c r="L301" s="20">
        <f t="shared" si="68"/>
        <v>290</v>
      </c>
      <c r="M301" s="5">
        <f>IF(AND(L301&gt;='Amort. Sched.-BEST'!$R$8, L301&lt;= ($R$7+$R$8)), PMT('Amort. Sched.-BEST'!$N$8/12, 'Amort. Sched.-BEST'!$R$7, 'Amort. Sched.-BEST'!$N$7), 0)</f>
        <v>0</v>
      </c>
      <c r="N301" s="5">
        <f>IF(AND(L301&gt;='Amort. Sched.-BEST'!$R$8, L301&lt;= ($R$7+$R$8)), (IPMT($N$8/12, (L301-$R$8), $R$7, $N$7)), 0)</f>
        <v>0</v>
      </c>
      <c r="O301" s="5">
        <f>IF(AND(L301&gt;='Amort. Sched.-BEST'!$R$8, L301&lt;= ($R$7+$R$8)), (PPMT($N$8/12, (L301-$R$8), $R$7, $N$7)), 0)</f>
        <v>0</v>
      </c>
      <c r="P301" s="5">
        <f>IF(CreditAmort1BEST[[#This Row],[Month]]=R$8,N$7,0)</f>
        <v>0</v>
      </c>
      <c r="Q301" s="13">
        <f>IF(AND(L301&gt;='Amort. Sched.-BEST'!$R$8, L301&lt;= ($R$7+$R$8)), Q300+O301, 0)</f>
        <v>0</v>
      </c>
      <c r="R301" s="6" t="str">
        <f>IF(AND(L301&gt;='Amort. Sched.-BEST'!$R$8, L301&lt;= ($R$7+$R$8)), N301/M301, " ")</f>
        <v xml:space="preserve"> </v>
      </c>
      <c r="S301" s="21" t="str">
        <f>IF(AND(L301&gt;='Amort. Sched.-BEST'!$R$8, L301&lt;= ($R$7+$R$8)), O301/M301, " ")</f>
        <v xml:space="preserve"> </v>
      </c>
      <c r="U301" s="22">
        <f t="shared" si="70"/>
        <v>290</v>
      </c>
      <c r="V301" s="23">
        <f>IF(AND(U301&gt;='Amort. Sched.-BEST'!$AA$8, U301&lt;= ($AA$7+$AA$8)), PMT('Amort. Sched.-BEST'!$W$8/12, 'Amort. Sched.-BEST'!$AA$7, 'Amort. Sched.-BEST'!$W$7), 0)</f>
        <v>0</v>
      </c>
      <c r="W301" s="5">
        <f>IF(AND(U301&gt;='Amort. Sched.-BEST'!$AA$8, U301&lt;= ($AA$7+$AA$8)), (IPMT($W$8/12, (U301-$AA$8), $AA$7, $W$7)), 0)</f>
        <v>0</v>
      </c>
      <c r="X301" s="23">
        <f>IF(AND(U301&gt;='Amort. Sched.-BEST'!$AA$8, U301&lt;= ($AA$7+$AA$8)), (PPMT($W$8/12, (U301-$AA$8), $AA$7, $W$7)), 0)</f>
        <v>0</v>
      </c>
      <c r="Y301" s="5">
        <f>IF(CreditAmort2BEST[[#This Row],[Month]]=AA$8,W$7,0)</f>
        <v>0</v>
      </c>
      <c r="Z301" s="13">
        <f>IF(AND(U301&gt;='Amort. Sched.-BEST'!$AA$8, U301&lt;= ($AA$7+$AA$8)), Z300+X301, 0)</f>
        <v>0</v>
      </c>
      <c r="AA301" s="24" t="str">
        <f>IF(AND(U301&gt;='Amort. Sched.-BEST'!$AA$8, U301&lt;= ($AA$7+$AA$8)), W301/V301, " ")</f>
        <v xml:space="preserve"> </v>
      </c>
      <c r="AB301" s="25" t="str">
        <f>IF(AND(U301&gt;='Amort. Sched.-BEST'!$AA$8, U301&lt;= ($AA$7+$AA$8)), X301/V301, " ")</f>
        <v xml:space="preserve"> </v>
      </c>
      <c r="AD301" s="22">
        <f t="shared" si="71"/>
        <v>290</v>
      </c>
      <c r="AE301" s="5">
        <f t="shared" si="72"/>
        <v>0</v>
      </c>
      <c r="AF301" s="5">
        <f t="shared" si="73"/>
        <v>0</v>
      </c>
      <c r="AG301" s="5">
        <f t="shared" si="74"/>
        <v>0</v>
      </c>
      <c r="AH301" s="5">
        <f>IF(CreditAmort3BEST[[#This Row],[Month]]=AJ$8,AF$7,0)</f>
        <v>0</v>
      </c>
      <c r="AI301" s="13">
        <f t="shared" si="75"/>
        <v>0</v>
      </c>
      <c r="AJ301" s="6" t="str">
        <f t="shared" si="76"/>
        <v xml:space="preserve"> </v>
      </c>
      <c r="AK301" s="21" t="str">
        <f t="shared" si="77"/>
        <v xml:space="preserve"> </v>
      </c>
      <c r="AM301" s="20">
        <f t="shared" si="78"/>
        <v>290</v>
      </c>
      <c r="AN301" s="5">
        <f t="shared" si="79"/>
        <v>0</v>
      </c>
      <c r="AO301" s="5">
        <f t="shared" si="80"/>
        <v>0</v>
      </c>
      <c r="AP301" s="5">
        <f t="shared" si="81"/>
        <v>0</v>
      </c>
      <c r="AQ301" s="5">
        <f>IF(CreditAmort4BEST[[#This Row],[Month]]=AS$8,AO$7,0)</f>
        <v>0</v>
      </c>
      <c r="AR301" s="13">
        <f t="shared" si="82"/>
        <v>0</v>
      </c>
      <c r="AS301" s="6" t="str">
        <f t="shared" si="83"/>
        <v xml:space="preserve"> </v>
      </c>
      <c r="AT301" s="21" t="str">
        <f t="shared" si="84"/>
        <v xml:space="preserve"> </v>
      </c>
    </row>
    <row r="302" spans="3:46">
      <c r="C302" s="22">
        <f t="shared" si="69"/>
        <v>291</v>
      </c>
      <c r="D302" s="23">
        <f>IF(AND(C302&gt;='Amort. Sched.-BEST'!$I$8, C302&lt;= ($I$7+$I$8)), PMT('Amort. Sched.-BEST'!$E$8/12, 'Amort. Sched.-BEST'!$I$7, 'Amort. Sched.-BEST'!$E$7), 0)</f>
        <v>-1350.6783839027553</v>
      </c>
      <c r="E302" s="5">
        <f>IF(AND(C302&gt;='Amort. Sched.-BEST'!$I$8, C302&lt;= ($I$7+$I$8)), (IPMT($E$8/12, (C302-$I$8), $I$7, $E$7)), 0)</f>
        <v>-86.829738941985568</v>
      </c>
      <c r="F302" s="23">
        <f>IF(AND(C302&gt;='Amort. Sched.-BEST'!$I$8, C302&lt;= ($I$7+$I$8)), (PPMT($E$8/12, (C302-$I$8), $I$7, $E$7)), 0)</f>
        <v>-1263.8486449607697</v>
      </c>
      <c r="G302" s="5">
        <f>IF(MortgageAmortBEST[[#This Row],[Month]]=I$8,E$7,0)</f>
        <v>0</v>
      </c>
      <c r="H302" s="13">
        <f>IF(AND(C302&gt;='Amort. Sched.-BEST'!$I$8, C302&lt;= ($I$7+$I$8)), H301+F302, 0)</f>
        <v>11760.612196337044</v>
      </c>
      <c r="I302" s="24">
        <f>IF(AND(C302&gt;='Amort. Sched.-BEST'!$I$8, C302&lt;= ($I$7+$I$8)), E302/D302, " ")</f>
        <v>6.4286020992719933E-2</v>
      </c>
      <c r="J302" s="25">
        <f>IF(AND(C302&gt;='Amort. Sched.-BEST'!$I$8, C302&lt;= ($I$7+$I$8)), F302/D302, " ")</f>
        <v>0.93571397900728004</v>
      </c>
      <c r="L302" s="20">
        <f t="shared" si="68"/>
        <v>291</v>
      </c>
      <c r="M302" s="5">
        <f>IF(AND(L302&gt;='Amort. Sched.-BEST'!$R$8, L302&lt;= ($R$7+$R$8)), PMT('Amort. Sched.-BEST'!$N$8/12, 'Amort. Sched.-BEST'!$R$7, 'Amort. Sched.-BEST'!$N$7), 0)</f>
        <v>0</v>
      </c>
      <c r="N302" s="5">
        <f>IF(AND(L302&gt;='Amort. Sched.-BEST'!$R$8, L302&lt;= ($R$7+$R$8)), (IPMT($N$8/12, (L302-$R$8), $R$7, $N$7)), 0)</f>
        <v>0</v>
      </c>
      <c r="O302" s="5">
        <f>IF(AND(L302&gt;='Amort. Sched.-BEST'!$R$8, L302&lt;= ($R$7+$R$8)), (PPMT($N$8/12, (L302-$R$8), $R$7, $N$7)), 0)</f>
        <v>0</v>
      </c>
      <c r="P302" s="5">
        <f>IF(CreditAmort1BEST[[#This Row],[Month]]=R$8,N$7,0)</f>
        <v>0</v>
      </c>
      <c r="Q302" s="13">
        <f>IF(AND(L302&gt;='Amort. Sched.-BEST'!$R$8, L302&lt;= ($R$7+$R$8)), Q301+O302, 0)</f>
        <v>0</v>
      </c>
      <c r="R302" s="6" t="str">
        <f>IF(AND(L302&gt;='Amort. Sched.-BEST'!$R$8, L302&lt;= ($R$7+$R$8)), N302/M302, " ")</f>
        <v xml:space="preserve"> </v>
      </c>
      <c r="S302" s="21" t="str">
        <f>IF(AND(L302&gt;='Amort. Sched.-BEST'!$R$8, L302&lt;= ($R$7+$R$8)), O302/M302, " ")</f>
        <v xml:space="preserve"> </v>
      </c>
      <c r="U302" s="22">
        <f t="shared" si="70"/>
        <v>291</v>
      </c>
      <c r="V302" s="23">
        <f>IF(AND(U302&gt;='Amort. Sched.-BEST'!$AA$8, U302&lt;= ($AA$7+$AA$8)), PMT('Amort. Sched.-BEST'!$W$8/12, 'Amort. Sched.-BEST'!$AA$7, 'Amort. Sched.-BEST'!$W$7), 0)</f>
        <v>0</v>
      </c>
      <c r="W302" s="5">
        <f>IF(AND(U302&gt;='Amort. Sched.-BEST'!$AA$8, U302&lt;= ($AA$7+$AA$8)), (IPMT($W$8/12, (U302-$AA$8), $AA$7, $W$7)), 0)</f>
        <v>0</v>
      </c>
      <c r="X302" s="23">
        <f>IF(AND(U302&gt;='Amort. Sched.-BEST'!$AA$8, U302&lt;= ($AA$7+$AA$8)), (PPMT($W$8/12, (U302-$AA$8), $AA$7, $W$7)), 0)</f>
        <v>0</v>
      </c>
      <c r="Y302" s="5">
        <f>IF(CreditAmort2BEST[[#This Row],[Month]]=AA$8,W$7,0)</f>
        <v>0</v>
      </c>
      <c r="Z302" s="13">
        <f>IF(AND(U302&gt;='Amort. Sched.-BEST'!$AA$8, U302&lt;= ($AA$7+$AA$8)), Z301+X302, 0)</f>
        <v>0</v>
      </c>
      <c r="AA302" s="24" t="str">
        <f>IF(AND(U302&gt;='Amort. Sched.-BEST'!$AA$8, U302&lt;= ($AA$7+$AA$8)), W302/V302, " ")</f>
        <v xml:space="preserve"> </v>
      </c>
      <c r="AB302" s="25" t="str">
        <f>IF(AND(U302&gt;='Amort. Sched.-BEST'!$AA$8, U302&lt;= ($AA$7+$AA$8)), X302/V302, " ")</f>
        <v xml:space="preserve"> </v>
      </c>
      <c r="AD302" s="22">
        <f t="shared" si="71"/>
        <v>291</v>
      </c>
      <c r="AE302" s="5">
        <f t="shared" si="72"/>
        <v>0</v>
      </c>
      <c r="AF302" s="5">
        <f t="shared" si="73"/>
        <v>0</v>
      </c>
      <c r="AG302" s="5">
        <f t="shared" si="74"/>
        <v>0</v>
      </c>
      <c r="AH302" s="5">
        <f>IF(CreditAmort3BEST[[#This Row],[Month]]=AJ$8,AF$7,0)</f>
        <v>0</v>
      </c>
      <c r="AI302" s="13">
        <f t="shared" si="75"/>
        <v>0</v>
      </c>
      <c r="AJ302" s="6" t="str">
        <f t="shared" si="76"/>
        <v xml:space="preserve"> </v>
      </c>
      <c r="AK302" s="21" t="str">
        <f t="shared" si="77"/>
        <v xml:space="preserve"> </v>
      </c>
      <c r="AM302" s="20">
        <f t="shared" si="78"/>
        <v>291</v>
      </c>
      <c r="AN302" s="5">
        <f t="shared" si="79"/>
        <v>0</v>
      </c>
      <c r="AO302" s="5">
        <f t="shared" si="80"/>
        <v>0</v>
      </c>
      <c r="AP302" s="5">
        <f t="shared" si="81"/>
        <v>0</v>
      </c>
      <c r="AQ302" s="5">
        <f>IF(CreditAmort4BEST[[#This Row],[Month]]=AS$8,AO$7,0)</f>
        <v>0</v>
      </c>
      <c r="AR302" s="13">
        <f t="shared" si="82"/>
        <v>0</v>
      </c>
      <c r="AS302" s="6" t="str">
        <f t="shared" si="83"/>
        <v xml:space="preserve"> </v>
      </c>
      <c r="AT302" s="21" t="str">
        <f t="shared" si="84"/>
        <v xml:space="preserve"> </v>
      </c>
    </row>
    <row r="303" spans="3:46">
      <c r="C303" s="22">
        <f t="shared" si="69"/>
        <v>292</v>
      </c>
      <c r="D303" s="23">
        <f>IF(AND(C303&gt;='Amort. Sched.-BEST'!$I$8, C303&lt;= ($I$7+$I$8)), PMT('Amort. Sched.-BEST'!$E$8/12, 'Amort. Sched.-BEST'!$I$7, 'Amort. Sched.-BEST'!$E$7), 0)</f>
        <v>-1350.6783839027553</v>
      </c>
      <c r="E303" s="5">
        <f>IF(AND(C303&gt;='Amort. Sched.-BEST'!$I$8, C303&lt;= ($I$7+$I$8)), (IPMT($E$8/12, (C303-$I$8), $I$7, $E$7)), 0)</f>
        <v>-78.40408130891376</v>
      </c>
      <c r="F303" s="23">
        <f>IF(AND(C303&gt;='Amort. Sched.-BEST'!$I$8, C303&lt;= ($I$7+$I$8)), (PPMT($E$8/12, (C303-$I$8), $I$7, $E$7)), 0)</f>
        <v>-1272.2743025938414</v>
      </c>
      <c r="G303" s="5">
        <f>IF(MortgageAmortBEST[[#This Row],[Month]]=I$8,E$7,0)</f>
        <v>0</v>
      </c>
      <c r="H303" s="13">
        <f>IF(AND(C303&gt;='Amort. Sched.-BEST'!$I$8, C303&lt;= ($I$7+$I$8)), H302+F303, 0)</f>
        <v>10488.337893743203</v>
      </c>
      <c r="I303" s="24">
        <f>IF(AND(C303&gt;='Amort. Sched.-BEST'!$I$8, C303&lt;= ($I$7+$I$8)), E303/D303, " ")</f>
        <v>5.8047927799338067E-2</v>
      </c>
      <c r="J303" s="25">
        <f>IF(AND(C303&gt;='Amort. Sched.-BEST'!$I$8, C303&lt;= ($I$7+$I$8)), F303/D303, " ")</f>
        <v>0.94195207220066191</v>
      </c>
      <c r="L303" s="20">
        <f t="shared" si="68"/>
        <v>292</v>
      </c>
      <c r="M303" s="5">
        <f>IF(AND(L303&gt;='Amort. Sched.-BEST'!$R$8, L303&lt;= ($R$7+$R$8)), PMT('Amort. Sched.-BEST'!$N$8/12, 'Amort. Sched.-BEST'!$R$7, 'Amort. Sched.-BEST'!$N$7), 0)</f>
        <v>0</v>
      </c>
      <c r="N303" s="5">
        <f>IF(AND(L303&gt;='Amort. Sched.-BEST'!$R$8, L303&lt;= ($R$7+$R$8)), (IPMT($N$8/12, (L303-$R$8), $R$7, $N$7)), 0)</f>
        <v>0</v>
      </c>
      <c r="O303" s="5">
        <f>IF(AND(L303&gt;='Amort. Sched.-BEST'!$R$8, L303&lt;= ($R$7+$R$8)), (PPMT($N$8/12, (L303-$R$8), $R$7, $N$7)), 0)</f>
        <v>0</v>
      </c>
      <c r="P303" s="5">
        <f>IF(CreditAmort1BEST[[#This Row],[Month]]=R$8,N$7,0)</f>
        <v>0</v>
      </c>
      <c r="Q303" s="13">
        <f>IF(AND(L303&gt;='Amort. Sched.-BEST'!$R$8, L303&lt;= ($R$7+$R$8)), Q302+O303, 0)</f>
        <v>0</v>
      </c>
      <c r="R303" s="6" t="str">
        <f>IF(AND(L303&gt;='Amort. Sched.-BEST'!$R$8, L303&lt;= ($R$7+$R$8)), N303/M303, " ")</f>
        <v xml:space="preserve"> </v>
      </c>
      <c r="S303" s="21" t="str">
        <f>IF(AND(L303&gt;='Amort. Sched.-BEST'!$R$8, L303&lt;= ($R$7+$R$8)), O303/M303, " ")</f>
        <v xml:space="preserve"> </v>
      </c>
      <c r="U303" s="22">
        <f t="shared" si="70"/>
        <v>292</v>
      </c>
      <c r="V303" s="23">
        <f>IF(AND(U303&gt;='Amort. Sched.-BEST'!$AA$8, U303&lt;= ($AA$7+$AA$8)), PMT('Amort. Sched.-BEST'!$W$8/12, 'Amort. Sched.-BEST'!$AA$7, 'Amort. Sched.-BEST'!$W$7), 0)</f>
        <v>0</v>
      </c>
      <c r="W303" s="5">
        <f>IF(AND(U303&gt;='Amort. Sched.-BEST'!$AA$8, U303&lt;= ($AA$7+$AA$8)), (IPMT($W$8/12, (U303-$AA$8), $AA$7, $W$7)), 0)</f>
        <v>0</v>
      </c>
      <c r="X303" s="23">
        <f>IF(AND(U303&gt;='Amort. Sched.-BEST'!$AA$8, U303&lt;= ($AA$7+$AA$8)), (PPMT($W$8/12, (U303-$AA$8), $AA$7, $W$7)), 0)</f>
        <v>0</v>
      </c>
      <c r="Y303" s="5">
        <f>IF(CreditAmort2BEST[[#This Row],[Month]]=AA$8,W$7,0)</f>
        <v>0</v>
      </c>
      <c r="Z303" s="13">
        <f>IF(AND(U303&gt;='Amort. Sched.-BEST'!$AA$8, U303&lt;= ($AA$7+$AA$8)), Z302+X303, 0)</f>
        <v>0</v>
      </c>
      <c r="AA303" s="24" t="str">
        <f>IF(AND(U303&gt;='Amort. Sched.-BEST'!$AA$8, U303&lt;= ($AA$7+$AA$8)), W303/V303, " ")</f>
        <v xml:space="preserve"> </v>
      </c>
      <c r="AB303" s="25" t="str">
        <f>IF(AND(U303&gt;='Amort. Sched.-BEST'!$AA$8, U303&lt;= ($AA$7+$AA$8)), X303/V303, " ")</f>
        <v xml:space="preserve"> </v>
      </c>
      <c r="AD303" s="22">
        <f t="shared" si="71"/>
        <v>292</v>
      </c>
      <c r="AE303" s="5">
        <f t="shared" si="72"/>
        <v>0</v>
      </c>
      <c r="AF303" s="5">
        <f t="shared" si="73"/>
        <v>0</v>
      </c>
      <c r="AG303" s="5">
        <f t="shared" si="74"/>
        <v>0</v>
      </c>
      <c r="AH303" s="5">
        <f>IF(CreditAmort3BEST[[#This Row],[Month]]=AJ$8,AF$7,0)</f>
        <v>0</v>
      </c>
      <c r="AI303" s="13">
        <f t="shared" si="75"/>
        <v>0</v>
      </c>
      <c r="AJ303" s="6" t="str">
        <f t="shared" si="76"/>
        <v xml:space="preserve"> </v>
      </c>
      <c r="AK303" s="21" t="str">
        <f t="shared" si="77"/>
        <v xml:space="preserve"> </v>
      </c>
      <c r="AM303" s="20">
        <f t="shared" si="78"/>
        <v>292</v>
      </c>
      <c r="AN303" s="5">
        <f t="shared" si="79"/>
        <v>0</v>
      </c>
      <c r="AO303" s="5">
        <f t="shared" si="80"/>
        <v>0</v>
      </c>
      <c r="AP303" s="5">
        <f t="shared" si="81"/>
        <v>0</v>
      </c>
      <c r="AQ303" s="5">
        <f>IF(CreditAmort4BEST[[#This Row],[Month]]=AS$8,AO$7,0)</f>
        <v>0</v>
      </c>
      <c r="AR303" s="13">
        <f t="shared" si="82"/>
        <v>0</v>
      </c>
      <c r="AS303" s="6" t="str">
        <f t="shared" si="83"/>
        <v xml:space="preserve"> </v>
      </c>
      <c r="AT303" s="21" t="str">
        <f t="shared" si="84"/>
        <v xml:space="preserve"> </v>
      </c>
    </row>
    <row r="304" spans="3:46">
      <c r="C304" s="22">
        <f t="shared" si="69"/>
        <v>293</v>
      </c>
      <c r="D304" s="23">
        <f>IF(AND(C304&gt;='Amort. Sched.-BEST'!$I$8, C304&lt;= ($I$7+$I$8)), PMT('Amort. Sched.-BEST'!$E$8/12, 'Amort. Sched.-BEST'!$I$7, 'Amort. Sched.-BEST'!$E$7), 0)</f>
        <v>-1350.6783839027553</v>
      </c>
      <c r="E304" s="5">
        <f>IF(AND(C304&gt;='Amort. Sched.-BEST'!$I$8, C304&lt;= ($I$7+$I$8)), (IPMT($E$8/12, (C304-$I$8), $I$7, $E$7)), 0)</f>
        <v>-69.922252624954822</v>
      </c>
      <c r="F304" s="23">
        <f>IF(AND(C304&gt;='Amort. Sched.-BEST'!$I$8, C304&lt;= ($I$7+$I$8)), (PPMT($E$8/12, (C304-$I$8), $I$7, $E$7)), 0)</f>
        <v>-1280.7561312778005</v>
      </c>
      <c r="G304" s="5">
        <f>IF(MortgageAmortBEST[[#This Row],[Month]]=I$8,E$7,0)</f>
        <v>0</v>
      </c>
      <c r="H304" s="13">
        <f>IF(AND(C304&gt;='Amort. Sched.-BEST'!$I$8, C304&lt;= ($I$7+$I$8)), H303+F304, 0)</f>
        <v>9207.5817624654028</v>
      </c>
      <c r="I304" s="24">
        <f>IF(AND(C304&gt;='Amort. Sched.-BEST'!$I$8, C304&lt;= ($I$7+$I$8)), E304/D304, " ")</f>
        <v>5.1768247318000324E-2</v>
      </c>
      <c r="J304" s="25">
        <f>IF(AND(C304&gt;='Amort. Sched.-BEST'!$I$8, C304&lt;= ($I$7+$I$8)), F304/D304, " ")</f>
        <v>0.94823175268199966</v>
      </c>
      <c r="L304" s="20">
        <f t="shared" si="68"/>
        <v>293</v>
      </c>
      <c r="M304" s="5">
        <f>IF(AND(L304&gt;='Amort. Sched.-BEST'!$R$8, L304&lt;= ($R$7+$R$8)), PMT('Amort. Sched.-BEST'!$N$8/12, 'Amort. Sched.-BEST'!$R$7, 'Amort. Sched.-BEST'!$N$7), 0)</f>
        <v>0</v>
      </c>
      <c r="N304" s="5">
        <f>IF(AND(L304&gt;='Amort. Sched.-BEST'!$R$8, L304&lt;= ($R$7+$R$8)), (IPMT($N$8/12, (L304-$R$8), $R$7, $N$7)), 0)</f>
        <v>0</v>
      </c>
      <c r="O304" s="5">
        <f>IF(AND(L304&gt;='Amort. Sched.-BEST'!$R$8, L304&lt;= ($R$7+$R$8)), (PPMT($N$8/12, (L304-$R$8), $R$7, $N$7)), 0)</f>
        <v>0</v>
      </c>
      <c r="P304" s="5">
        <f>IF(CreditAmort1BEST[[#This Row],[Month]]=R$8,N$7,0)</f>
        <v>0</v>
      </c>
      <c r="Q304" s="13">
        <f>IF(AND(L304&gt;='Amort. Sched.-BEST'!$R$8, L304&lt;= ($R$7+$R$8)), Q303+O304, 0)</f>
        <v>0</v>
      </c>
      <c r="R304" s="6" t="str">
        <f>IF(AND(L304&gt;='Amort. Sched.-BEST'!$R$8, L304&lt;= ($R$7+$R$8)), N304/M304, " ")</f>
        <v xml:space="preserve"> </v>
      </c>
      <c r="S304" s="21" t="str">
        <f>IF(AND(L304&gt;='Amort. Sched.-BEST'!$R$8, L304&lt;= ($R$7+$R$8)), O304/M304, " ")</f>
        <v xml:space="preserve"> </v>
      </c>
      <c r="U304" s="22">
        <f t="shared" si="70"/>
        <v>293</v>
      </c>
      <c r="V304" s="23">
        <f>IF(AND(U304&gt;='Amort. Sched.-BEST'!$AA$8, U304&lt;= ($AA$7+$AA$8)), PMT('Amort. Sched.-BEST'!$W$8/12, 'Amort. Sched.-BEST'!$AA$7, 'Amort. Sched.-BEST'!$W$7), 0)</f>
        <v>0</v>
      </c>
      <c r="W304" s="5">
        <f>IF(AND(U304&gt;='Amort. Sched.-BEST'!$AA$8, U304&lt;= ($AA$7+$AA$8)), (IPMT($W$8/12, (U304-$AA$8), $AA$7, $W$7)), 0)</f>
        <v>0</v>
      </c>
      <c r="X304" s="23">
        <f>IF(AND(U304&gt;='Amort. Sched.-BEST'!$AA$8, U304&lt;= ($AA$7+$AA$8)), (PPMT($W$8/12, (U304-$AA$8), $AA$7, $W$7)), 0)</f>
        <v>0</v>
      </c>
      <c r="Y304" s="5">
        <f>IF(CreditAmort2BEST[[#This Row],[Month]]=AA$8,W$7,0)</f>
        <v>0</v>
      </c>
      <c r="Z304" s="13">
        <f>IF(AND(U304&gt;='Amort. Sched.-BEST'!$AA$8, U304&lt;= ($AA$7+$AA$8)), Z303+X304, 0)</f>
        <v>0</v>
      </c>
      <c r="AA304" s="24" t="str">
        <f>IF(AND(U304&gt;='Amort. Sched.-BEST'!$AA$8, U304&lt;= ($AA$7+$AA$8)), W304/V304, " ")</f>
        <v xml:space="preserve"> </v>
      </c>
      <c r="AB304" s="25" t="str">
        <f>IF(AND(U304&gt;='Amort. Sched.-BEST'!$AA$8, U304&lt;= ($AA$7+$AA$8)), X304/V304, " ")</f>
        <v xml:space="preserve"> </v>
      </c>
      <c r="AD304" s="22">
        <f t="shared" si="71"/>
        <v>293</v>
      </c>
      <c r="AE304" s="5">
        <f t="shared" si="72"/>
        <v>0</v>
      </c>
      <c r="AF304" s="5">
        <f t="shared" si="73"/>
        <v>0</v>
      </c>
      <c r="AG304" s="5">
        <f t="shared" si="74"/>
        <v>0</v>
      </c>
      <c r="AH304" s="5">
        <f>IF(CreditAmort3BEST[[#This Row],[Month]]=AJ$8,AF$7,0)</f>
        <v>0</v>
      </c>
      <c r="AI304" s="13">
        <f t="shared" si="75"/>
        <v>0</v>
      </c>
      <c r="AJ304" s="6" t="str">
        <f t="shared" si="76"/>
        <v xml:space="preserve"> </v>
      </c>
      <c r="AK304" s="21" t="str">
        <f t="shared" si="77"/>
        <v xml:space="preserve"> </v>
      </c>
      <c r="AM304" s="20">
        <f t="shared" si="78"/>
        <v>293</v>
      </c>
      <c r="AN304" s="5">
        <f t="shared" si="79"/>
        <v>0</v>
      </c>
      <c r="AO304" s="5">
        <f t="shared" si="80"/>
        <v>0</v>
      </c>
      <c r="AP304" s="5">
        <f t="shared" si="81"/>
        <v>0</v>
      </c>
      <c r="AQ304" s="5">
        <f>IF(CreditAmort4BEST[[#This Row],[Month]]=AS$8,AO$7,0)</f>
        <v>0</v>
      </c>
      <c r="AR304" s="13">
        <f t="shared" si="82"/>
        <v>0</v>
      </c>
      <c r="AS304" s="6" t="str">
        <f t="shared" si="83"/>
        <v xml:space="preserve"> </v>
      </c>
      <c r="AT304" s="21" t="str">
        <f t="shared" si="84"/>
        <v xml:space="preserve"> </v>
      </c>
    </row>
    <row r="305" spans="3:46">
      <c r="C305" s="22">
        <f t="shared" si="69"/>
        <v>294</v>
      </c>
      <c r="D305" s="23">
        <f>IF(AND(C305&gt;='Amort. Sched.-BEST'!$I$8, C305&lt;= ($I$7+$I$8)), PMT('Amort. Sched.-BEST'!$E$8/12, 'Amort. Sched.-BEST'!$I$7, 'Amort. Sched.-BEST'!$E$7), 0)</f>
        <v>-1350.6783839027553</v>
      </c>
      <c r="E305" s="5">
        <f>IF(AND(C305&gt;='Amort. Sched.-BEST'!$I$8, C305&lt;= ($I$7+$I$8)), (IPMT($E$8/12, (C305-$I$8), $I$7, $E$7)), 0)</f>
        <v>-61.383878416436154</v>
      </c>
      <c r="F305" s="23">
        <f>IF(AND(C305&gt;='Amort. Sched.-BEST'!$I$8, C305&lt;= ($I$7+$I$8)), (PPMT($E$8/12, (C305-$I$8), $I$7, $E$7)), 0)</f>
        <v>-1289.2945054863192</v>
      </c>
      <c r="G305" s="5">
        <f>IF(MortgageAmortBEST[[#This Row],[Month]]=I$8,E$7,0)</f>
        <v>0</v>
      </c>
      <c r="H305" s="13">
        <f>IF(AND(C305&gt;='Amort. Sched.-BEST'!$I$8, C305&lt;= ($I$7+$I$8)), H304+F305, 0)</f>
        <v>7918.2872569790834</v>
      </c>
      <c r="I305" s="24">
        <f>IF(AND(C305&gt;='Amort. Sched.-BEST'!$I$8, C305&lt;= ($I$7+$I$8)), E305/D305, " ")</f>
        <v>4.544670230012033E-2</v>
      </c>
      <c r="J305" s="25">
        <f>IF(AND(C305&gt;='Amort. Sched.-BEST'!$I$8, C305&lt;= ($I$7+$I$8)), F305/D305, " ")</f>
        <v>0.95455329769987973</v>
      </c>
      <c r="L305" s="20">
        <f t="shared" si="68"/>
        <v>294</v>
      </c>
      <c r="M305" s="5">
        <f>IF(AND(L305&gt;='Amort. Sched.-BEST'!$R$8, L305&lt;= ($R$7+$R$8)), PMT('Amort. Sched.-BEST'!$N$8/12, 'Amort. Sched.-BEST'!$R$7, 'Amort. Sched.-BEST'!$N$7), 0)</f>
        <v>0</v>
      </c>
      <c r="N305" s="5">
        <f>IF(AND(L305&gt;='Amort. Sched.-BEST'!$R$8, L305&lt;= ($R$7+$R$8)), (IPMT($N$8/12, (L305-$R$8), $R$7, $N$7)), 0)</f>
        <v>0</v>
      </c>
      <c r="O305" s="5">
        <f>IF(AND(L305&gt;='Amort. Sched.-BEST'!$R$8, L305&lt;= ($R$7+$R$8)), (PPMT($N$8/12, (L305-$R$8), $R$7, $N$7)), 0)</f>
        <v>0</v>
      </c>
      <c r="P305" s="5">
        <f>IF(CreditAmort1BEST[[#This Row],[Month]]=R$8,N$7,0)</f>
        <v>0</v>
      </c>
      <c r="Q305" s="13">
        <f>IF(AND(L305&gt;='Amort. Sched.-BEST'!$R$8, L305&lt;= ($R$7+$R$8)), Q304+O305, 0)</f>
        <v>0</v>
      </c>
      <c r="R305" s="6" t="str">
        <f>IF(AND(L305&gt;='Amort. Sched.-BEST'!$R$8, L305&lt;= ($R$7+$R$8)), N305/M305, " ")</f>
        <v xml:space="preserve"> </v>
      </c>
      <c r="S305" s="21" t="str">
        <f>IF(AND(L305&gt;='Amort. Sched.-BEST'!$R$8, L305&lt;= ($R$7+$R$8)), O305/M305, " ")</f>
        <v xml:space="preserve"> </v>
      </c>
      <c r="U305" s="22">
        <f t="shared" si="70"/>
        <v>294</v>
      </c>
      <c r="V305" s="23">
        <f>IF(AND(U305&gt;='Amort. Sched.-BEST'!$AA$8, U305&lt;= ($AA$7+$AA$8)), PMT('Amort. Sched.-BEST'!$W$8/12, 'Amort. Sched.-BEST'!$AA$7, 'Amort. Sched.-BEST'!$W$7), 0)</f>
        <v>0</v>
      </c>
      <c r="W305" s="5">
        <f>IF(AND(U305&gt;='Amort. Sched.-BEST'!$AA$8, U305&lt;= ($AA$7+$AA$8)), (IPMT($W$8/12, (U305-$AA$8), $AA$7, $W$7)), 0)</f>
        <v>0</v>
      </c>
      <c r="X305" s="23">
        <f>IF(AND(U305&gt;='Amort. Sched.-BEST'!$AA$8, U305&lt;= ($AA$7+$AA$8)), (PPMT($W$8/12, (U305-$AA$8), $AA$7, $W$7)), 0)</f>
        <v>0</v>
      </c>
      <c r="Y305" s="5">
        <f>IF(CreditAmort2BEST[[#This Row],[Month]]=AA$8,W$7,0)</f>
        <v>0</v>
      </c>
      <c r="Z305" s="13">
        <f>IF(AND(U305&gt;='Amort. Sched.-BEST'!$AA$8, U305&lt;= ($AA$7+$AA$8)), Z304+X305, 0)</f>
        <v>0</v>
      </c>
      <c r="AA305" s="24" t="str">
        <f>IF(AND(U305&gt;='Amort. Sched.-BEST'!$AA$8, U305&lt;= ($AA$7+$AA$8)), W305/V305, " ")</f>
        <v xml:space="preserve"> </v>
      </c>
      <c r="AB305" s="25" t="str">
        <f>IF(AND(U305&gt;='Amort. Sched.-BEST'!$AA$8, U305&lt;= ($AA$7+$AA$8)), X305/V305, " ")</f>
        <v xml:space="preserve"> </v>
      </c>
      <c r="AD305" s="22">
        <f t="shared" si="71"/>
        <v>294</v>
      </c>
      <c r="AE305" s="5">
        <f t="shared" si="72"/>
        <v>0</v>
      </c>
      <c r="AF305" s="5">
        <f t="shared" si="73"/>
        <v>0</v>
      </c>
      <c r="AG305" s="5">
        <f t="shared" si="74"/>
        <v>0</v>
      </c>
      <c r="AH305" s="5">
        <f>IF(CreditAmort3BEST[[#This Row],[Month]]=AJ$8,AF$7,0)</f>
        <v>0</v>
      </c>
      <c r="AI305" s="13">
        <f t="shared" si="75"/>
        <v>0</v>
      </c>
      <c r="AJ305" s="6" t="str">
        <f t="shared" si="76"/>
        <v xml:space="preserve"> </v>
      </c>
      <c r="AK305" s="21" t="str">
        <f t="shared" si="77"/>
        <v xml:space="preserve"> </v>
      </c>
      <c r="AM305" s="20">
        <f t="shared" si="78"/>
        <v>294</v>
      </c>
      <c r="AN305" s="5">
        <f t="shared" si="79"/>
        <v>0</v>
      </c>
      <c r="AO305" s="5">
        <f t="shared" si="80"/>
        <v>0</v>
      </c>
      <c r="AP305" s="5">
        <f t="shared" si="81"/>
        <v>0</v>
      </c>
      <c r="AQ305" s="5">
        <f>IF(CreditAmort4BEST[[#This Row],[Month]]=AS$8,AO$7,0)</f>
        <v>0</v>
      </c>
      <c r="AR305" s="13">
        <f t="shared" si="82"/>
        <v>0</v>
      </c>
      <c r="AS305" s="6" t="str">
        <f t="shared" si="83"/>
        <v xml:space="preserve"> </v>
      </c>
      <c r="AT305" s="21" t="str">
        <f t="shared" si="84"/>
        <v xml:space="preserve"> </v>
      </c>
    </row>
    <row r="306" spans="3:46">
      <c r="C306" s="22">
        <f t="shared" si="69"/>
        <v>295</v>
      </c>
      <c r="D306" s="23">
        <f>IF(AND(C306&gt;='Amort. Sched.-BEST'!$I$8, C306&lt;= ($I$7+$I$8)), PMT('Amort. Sched.-BEST'!$E$8/12, 'Amort. Sched.-BEST'!$I$7, 'Amort. Sched.-BEST'!$E$7), 0)</f>
        <v>-1350.6783839027553</v>
      </c>
      <c r="E306" s="5">
        <f>IF(AND(C306&gt;='Amort. Sched.-BEST'!$I$8, C306&lt;= ($I$7+$I$8)), (IPMT($E$8/12, (C306-$I$8), $I$7, $E$7)), 0)</f>
        <v>-52.788581713194027</v>
      </c>
      <c r="F306" s="23">
        <f>IF(AND(C306&gt;='Amort. Sched.-BEST'!$I$8, C306&lt;= ($I$7+$I$8)), (PPMT($E$8/12, (C306-$I$8), $I$7, $E$7)), 0)</f>
        <v>-1297.8898021895614</v>
      </c>
      <c r="G306" s="5">
        <f>IF(MortgageAmortBEST[[#This Row],[Month]]=I$8,E$7,0)</f>
        <v>0</v>
      </c>
      <c r="H306" s="13">
        <f>IF(AND(C306&gt;='Amort. Sched.-BEST'!$I$8, C306&lt;= ($I$7+$I$8)), H305+F306, 0)</f>
        <v>6620.3974547895223</v>
      </c>
      <c r="I306" s="24">
        <f>IF(AND(C306&gt;='Amort. Sched.-BEST'!$I$8, C306&lt;= ($I$7+$I$8)), E306/D306, " ")</f>
        <v>3.9083013648787794E-2</v>
      </c>
      <c r="J306" s="25">
        <f>IF(AND(C306&gt;='Amort. Sched.-BEST'!$I$8, C306&lt;= ($I$7+$I$8)), F306/D306, " ")</f>
        <v>0.96091698635121225</v>
      </c>
      <c r="L306" s="20">
        <f t="shared" si="68"/>
        <v>295</v>
      </c>
      <c r="M306" s="5">
        <f>IF(AND(L306&gt;='Amort. Sched.-BEST'!$R$8, L306&lt;= ($R$7+$R$8)), PMT('Amort. Sched.-BEST'!$N$8/12, 'Amort. Sched.-BEST'!$R$7, 'Amort. Sched.-BEST'!$N$7), 0)</f>
        <v>0</v>
      </c>
      <c r="N306" s="5">
        <f>IF(AND(L306&gt;='Amort. Sched.-BEST'!$R$8, L306&lt;= ($R$7+$R$8)), (IPMT($N$8/12, (L306-$R$8), $R$7, $N$7)), 0)</f>
        <v>0</v>
      </c>
      <c r="O306" s="5">
        <f>IF(AND(L306&gt;='Amort. Sched.-BEST'!$R$8, L306&lt;= ($R$7+$R$8)), (PPMT($N$8/12, (L306-$R$8), $R$7, $N$7)), 0)</f>
        <v>0</v>
      </c>
      <c r="P306" s="5">
        <f>IF(CreditAmort1BEST[[#This Row],[Month]]=R$8,N$7,0)</f>
        <v>0</v>
      </c>
      <c r="Q306" s="13">
        <f>IF(AND(L306&gt;='Amort. Sched.-BEST'!$R$8, L306&lt;= ($R$7+$R$8)), Q305+O306, 0)</f>
        <v>0</v>
      </c>
      <c r="R306" s="6" t="str">
        <f>IF(AND(L306&gt;='Amort. Sched.-BEST'!$R$8, L306&lt;= ($R$7+$R$8)), N306/M306, " ")</f>
        <v xml:space="preserve"> </v>
      </c>
      <c r="S306" s="21" t="str">
        <f>IF(AND(L306&gt;='Amort. Sched.-BEST'!$R$8, L306&lt;= ($R$7+$R$8)), O306/M306, " ")</f>
        <v xml:space="preserve"> </v>
      </c>
      <c r="U306" s="22">
        <f t="shared" si="70"/>
        <v>295</v>
      </c>
      <c r="V306" s="23">
        <f>IF(AND(U306&gt;='Amort. Sched.-BEST'!$AA$8, U306&lt;= ($AA$7+$AA$8)), PMT('Amort. Sched.-BEST'!$W$8/12, 'Amort. Sched.-BEST'!$AA$7, 'Amort. Sched.-BEST'!$W$7), 0)</f>
        <v>0</v>
      </c>
      <c r="W306" s="5">
        <f>IF(AND(U306&gt;='Amort. Sched.-BEST'!$AA$8, U306&lt;= ($AA$7+$AA$8)), (IPMT($W$8/12, (U306-$AA$8), $AA$7, $W$7)), 0)</f>
        <v>0</v>
      </c>
      <c r="X306" s="23">
        <f>IF(AND(U306&gt;='Amort. Sched.-BEST'!$AA$8, U306&lt;= ($AA$7+$AA$8)), (PPMT($W$8/12, (U306-$AA$8), $AA$7, $W$7)), 0)</f>
        <v>0</v>
      </c>
      <c r="Y306" s="5">
        <f>IF(CreditAmort2BEST[[#This Row],[Month]]=AA$8,W$7,0)</f>
        <v>0</v>
      </c>
      <c r="Z306" s="13">
        <f>IF(AND(U306&gt;='Amort. Sched.-BEST'!$AA$8, U306&lt;= ($AA$7+$AA$8)), Z305+X306, 0)</f>
        <v>0</v>
      </c>
      <c r="AA306" s="24" t="str">
        <f>IF(AND(U306&gt;='Amort. Sched.-BEST'!$AA$8, U306&lt;= ($AA$7+$AA$8)), W306/V306, " ")</f>
        <v xml:space="preserve"> </v>
      </c>
      <c r="AB306" s="25" t="str">
        <f>IF(AND(U306&gt;='Amort. Sched.-BEST'!$AA$8, U306&lt;= ($AA$7+$AA$8)), X306/V306, " ")</f>
        <v xml:space="preserve"> </v>
      </c>
      <c r="AD306" s="22">
        <f t="shared" si="71"/>
        <v>295</v>
      </c>
      <c r="AE306" s="5">
        <f t="shared" si="72"/>
        <v>0</v>
      </c>
      <c r="AF306" s="5">
        <f t="shared" si="73"/>
        <v>0</v>
      </c>
      <c r="AG306" s="5">
        <f t="shared" si="74"/>
        <v>0</v>
      </c>
      <c r="AH306" s="5">
        <f>IF(CreditAmort3BEST[[#This Row],[Month]]=AJ$8,AF$7,0)</f>
        <v>0</v>
      </c>
      <c r="AI306" s="13">
        <f t="shared" si="75"/>
        <v>0</v>
      </c>
      <c r="AJ306" s="6" t="str">
        <f t="shared" si="76"/>
        <v xml:space="preserve"> </v>
      </c>
      <c r="AK306" s="21" t="str">
        <f t="shared" si="77"/>
        <v xml:space="preserve"> </v>
      </c>
      <c r="AM306" s="20">
        <f t="shared" si="78"/>
        <v>295</v>
      </c>
      <c r="AN306" s="5">
        <f t="shared" si="79"/>
        <v>0</v>
      </c>
      <c r="AO306" s="5">
        <f t="shared" si="80"/>
        <v>0</v>
      </c>
      <c r="AP306" s="5">
        <f t="shared" si="81"/>
        <v>0</v>
      </c>
      <c r="AQ306" s="5">
        <f>IF(CreditAmort4BEST[[#This Row],[Month]]=AS$8,AO$7,0)</f>
        <v>0</v>
      </c>
      <c r="AR306" s="13">
        <f t="shared" si="82"/>
        <v>0</v>
      </c>
      <c r="AS306" s="6" t="str">
        <f t="shared" si="83"/>
        <v xml:space="preserve"> </v>
      </c>
      <c r="AT306" s="21" t="str">
        <f t="shared" si="84"/>
        <v xml:space="preserve"> </v>
      </c>
    </row>
    <row r="307" spans="3:46">
      <c r="C307" s="22">
        <f t="shared" si="69"/>
        <v>296</v>
      </c>
      <c r="D307" s="23">
        <f>IF(AND(C307&gt;='Amort. Sched.-BEST'!$I$8, C307&lt;= ($I$7+$I$8)), PMT('Amort. Sched.-BEST'!$E$8/12, 'Amort. Sched.-BEST'!$I$7, 'Amort. Sched.-BEST'!$E$7), 0)</f>
        <v>-1350.6783839027553</v>
      </c>
      <c r="E307" s="5">
        <f>IF(AND(C307&gt;='Amort. Sched.-BEST'!$I$8, C307&lt;= ($I$7+$I$8)), (IPMT($E$8/12, (C307-$I$8), $I$7, $E$7)), 0)</f>
        <v>-44.135983031930287</v>
      </c>
      <c r="F307" s="23">
        <f>IF(AND(C307&gt;='Amort. Sched.-BEST'!$I$8, C307&lt;= ($I$7+$I$8)), (PPMT($E$8/12, (C307-$I$8), $I$7, $E$7)), 0)</f>
        <v>-1306.5424008708253</v>
      </c>
      <c r="G307" s="5">
        <f>IF(MortgageAmortBEST[[#This Row],[Month]]=I$8,E$7,0)</f>
        <v>0</v>
      </c>
      <c r="H307" s="13">
        <f>IF(AND(C307&gt;='Amort. Sched.-BEST'!$I$8, C307&lt;= ($I$7+$I$8)), H306+F307, 0)</f>
        <v>5313.8550539186972</v>
      </c>
      <c r="I307" s="24">
        <f>IF(AND(C307&gt;='Amort. Sched.-BEST'!$I$8, C307&lt;= ($I$7+$I$8)), E307/D307, " ")</f>
        <v>3.2676900406446385E-2</v>
      </c>
      <c r="J307" s="25">
        <f>IF(AND(C307&gt;='Amort. Sched.-BEST'!$I$8, C307&lt;= ($I$7+$I$8)), F307/D307, " ")</f>
        <v>0.96732309959355389</v>
      </c>
      <c r="L307" s="20">
        <f t="shared" si="68"/>
        <v>296</v>
      </c>
      <c r="M307" s="5">
        <f>IF(AND(L307&gt;='Amort. Sched.-BEST'!$R$8, L307&lt;= ($R$7+$R$8)), PMT('Amort. Sched.-BEST'!$N$8/12, 'Amort. Sched.-BEST'!$R$7, 'Amort. Sched.-BEST'!$N$7), 0)</f>
        <v>0</v>
      </c>
      <c r="N307" s="5">
        <f>IF(AND(L307&gt;='Amort. Sched.-BEST'!$R$8, L307&lt;= ($R$7+$R$8)), (IPMT($N$8/12, (L307-$R$8), $R$7, $N$7)), 0)</f>
        <v>0</v>
      </c>
      <c r="O307" s="5">
        <f>IF(AND(L307&gt;='Amort. Sched.-BEST'!$R$8, L307&lt;= ($R$7+$R$8)), (PPMT($N$8/12, (L307-$R$8), $R$7, $N$7)), 0)</f>
        <v>0</v>
      </c>
      <c r="P307" s="5">
        <f>IF(CreditAmort1BEST[[#This Row],[Month]]=R$8,N$7,0)</f>
        <v>0</v>
      </c>
      <c r="Q307" s="13">
        <f>IF(AND(L307&gt;='Amort. Sched.-BEST'!$R$8, L307&lt;= ($R$7+$R$8)), Q306+O307, 0)</f>
        <v>0</v>
      </c>
      <c r="R307" s="6" t="str">
        <f>IF(AND(L307&gt;='Amort. Sched.-BEST'!$R$8, L307&lt;= ($R$7+$R$8)), N307/M307, " ")</f>
        <v xml:space="preserve"> </v>
      </c>
      <c r="S307" s="21" t="str">
        <f>IF(AND(L307&gt;='Amort. Sched.-BEST'!$R$8, L307&lt;= ($R$7+$R$8)), O307/M307, " ")</f>
        <v xml:space="preserve"> </v>
      </c>
      <c r="U307" s="22">
        <f t="shared" si="70"/>
        <v>296</v>
      </c>
      <c r="V307" s="23">
        <f>IF(AND(U307&gt;='Amort. Sched.-BEST'!$AA$8, U307&lt;= ($AA$7+$AA$8)), PMT('Amort. Sched.-BEST'!$W$8/12, 'Amort. Sched.-BEST'!$AA$7, 'Amort. Sched.-BEST'!$W$7), 0)</f>
        <v>0</v>
      </c>
      <c r="W307" s="5">
        <f>IF(AND(U307&gt;='Amort. Sched.-BEST'!$AA$8, U307&lt;= ($AA$7+$AA$8)), (IPMT($W$8/12, (U307-$AA$8), $AA$7, $W$7)), 0)</f>
        <v>0</v>
      </c>
      <c r="X307" s="23">
        <f>IF(AND(U307&gt;='Amort. Sched.-BEST'!$AA$8, U307&lt;= ($AA$7+$AA$8)), (PPMT($W$8/12, (U307-$AA$8), $AA$7, $W$7)), 0)</f>
        <v>0</v>
      </c>
      <c r="Y307" s="5">
        <f>IF(CreditAmort2BEST[[#This Row],[Month]]=AA$8,W$7,0)</f>
        <v>0</v>
      </c>
      <c r="Z307" s="13">
        <f>IF(AND(U307&gt;='Amort. Sched.-BEST'!$AA$8, U307&lt;= ($AA$7+$AA$8)), Z306+X307, 0)</f>
        <v>0</v>
      </c>
      <c r="AA307" s="24" t="str">
        <f>IF(AND(U307&gt;='Amort. Sched.-BEST'!$AA$8, U307&lt;= ($AA$7+$AA$8)), W307/V307, " ")</f>
        <v xml:space="preserve"> </v>
      </c>
      <c r="AB307" s="25" t="str">
        <f>IF(AND(U307&gt;='Amort. Sched.-BEST'!$AA$8, U307&lt;= ($AA$7+$AA$8)), X307/V307, " ")</f>
        <v xml:space="preserve"> </v>
      </c>
      <c r="AD307" s="22">
        <f t="shared" si="71"/>
        <v>296</v>
      </c>
      <c r="AE307" s="5">
        <f t="shared" si="72"/>
        <v>0</v>
      </c>
      <c r="AF307" s="5">
        <f t="shared" si="73"/>
        <v>0</v>
      </c>
      <c r="AG307" s="5">
        <f t="shared" si="74"/>
        <v>0</v>
      </c>
      <c r="AH307" s="5">
        <f>IF(CreditAmort3BEST[[#This Row],[Month]]=AJ$8,AF$7,0)</f>
        <v>0</v>
      </c>
      <c r="AI307" s="13">
        <f t="shared" si="75"/>
        <v>0</v>
      </c>
      <c r="AJ307" s="6" t="str">
        <f t="shared" si="76"/>
        <v xml:space="preserve"> </v>
      </c>
      <c r="AK307" s="21" t="str">
        <f t="shared" si="77"/>
        <v xml:space="preserve"> </v>
      </c>
      <c r="AM307" s="20">
        <f t="shared" si="78"/>
        <v>296</v>
      </c>
      <c r="AN307" s="5">
        <f t="shared" si="79"/>
        <v>0</v>
      </c>
      <c r="AO307" s="5">
        <f t="shared" si="80"/>
        <v>0</v>
      </c>
      <c r="AP307" s="5">
        <f t="shared" si="81"/>
        <v>0</v>
      </c>
      <c r="AQ307" s="5">
        <f>IF(CreditAmort4BEST[[#This Row],[Month]]=AS$8,AO$7,0)</f>
        <v>0</v>
      </c>
      <c r="AR307" s="13">
        <f t="shared" si="82"/>
        <v>0</v>
      </c>
      <c r="AS307" s="6" t="str">
        <f t="shared" si="83"/>
        <v xml:space="preserve"> </v>
      </c>
      <c r="AT307" s="21" t="str">
        <f t="shared" si="84"/>
        <v xml:space="preserve"> </v>
      </c>
    </row>
    <row r="308" spans="3:46">
      <c r="C308" s="22">
        <f t="shared" si="69"/>
        <v>297</v>
      </c>
      <c r="D308" s="23">
        <f>IF(AND(C308&gt;='Amort. Sched.-BEST'!$I$8, C308&lt;= ($I$7+$I$8)), PMT('Amort. Sched.-BEST'!$E$8/12, 'Amort. Sched.-BEST'!$I$7, 'Amort. Sched.-BEST'!$E$7), 0)</f>
        <v>-1350.6783839027553</v>
      </c>
      <c r="E308" s="5">
        <f>IF(AND(C308&gt;='Amort. Sched.-BEST'!$I$8, C308&lt;= ($I$7+$I$8)), (IPMT($E$8/12, (C308-$I$8), $I$7, $E$7)), 0)</f>
        <v>-35.425700359458119</v>
      </c>
      <c r="F308" s="23">
        <f>IF(AND(C308&gt;='Amort. Sched.-BEST'!$I$8, C308&lt;= ($I$7+$I$8)), (PPMT($E$8/12, (C308-$I$8), $I$7, $E$7)), 0)</f>
        <v>-1315.2526835432973</v>
      </c>
      <c r="G308" s="5">
        <f>IF(MortgageAmortBEST[[#This Row],[Month]]=I$8,E$7,0)</f>
        <v>0</v>
      </c>
      <c r="H308" s="13">
        <f>IF(AND(C308&gt;='Amort. Sched.-BEST'!$I$8, C308&lt;= ($I$7+$I$8)), H307+F308, 0)</f>
        <v>3998.6023703753999</v>
      </c>
      <c r="I308" s="24">
        <f>IF(AND(C308&gt;='Amort. Sched.-BEST'!$I$8, C308&lt;= ($I$7+$I$8)), E308/D308, " ")</f>
        <v>2.6228079742489356E-2</v>
      </c>
      <c r="J308" s="25">
        <f>IF(AND(C308&gt;='Amort. Sched.-BEST'!$I$8, C308&lt;= ($I$7+$I$8)), F308/D308, " ")</f>
        <v>0.97377192025751069</v>
      </c>
      <c r="L308" s="20">
        <f t="shared" si="68"/>
        <v>297</v>
      </c>
      <c r="M308" s="5">
        <f>IF(AND(L308&gt;='Amort. Sched.-BEST'!$R$8, L308&lt;= ($R$7+$R$8)), PMT('Amort. Sched.-BEST'!$N$8/12, 'Amort. Sched.-BEST'!$R$7, 'Amort. Sched.-BEST'!$N$7), 0)</f>
        <v>0</v>
      </c>
      <c r="N308" s="5">
        <f>IF(AND(L308&gt;='Amort. Sched.-BEST'!$R$8, L308&lt;= ($R$7+$R$8)), (IPMT($N$8/12, (L308-$R$8), $R$7, $N$7)), 0)</f>
        <v>0</v>
      </c>
      <c r="O308" s="5">
        <f>IF(AND(L308&gt;='Amort. Sched.-BEST'!$R$8, L308&lt;= ($R$7+$R$8)), (PPMT($N$8/12, (L308-$R$8), $R$7, $N$7)), 0)</f>
        <v>0</v>
      </c>
      <c r="P308" s="5">
        <f>IF(CreditAmort1BEST[[#This Row],[Month]]=R$8,N$7,0)</f>
        <v>0</v>
      </c>
      <c r="Q308" s="13">
        <f>IF(AND(L308&gt;='Amort. Sched.-BEST'!$R$8, L308&lt;= ($R$7+$R$8)), Q307+O308, 0)</f>
        <v>0</v>
      </c>
      <c r="R308" s="6" t="str">
        <f>IF(AND(L308&gt;='Amort. Sched.-BEST'!$R$8, L308&lt;= ($R$7+$R$8)), N308/M308, " ")</f>
        <v xml:space="preserve"> </v>
      </c>
      <c r="S308" s="21" t="str">
        <f>IF(AND(L308&gt;='Amort. Sched.-BEST'!$R$8, L308&lt;= ($R$7+$R$8)), O308/M308, " ")</f>
        <v xml:space="preserve"> </v>
      </c>
      <c r="U308" s="22">
        <f t="shared" si="70"/>
        <v>297</v>
      </c>
      <c r="V308" s="23">
        <f>IF(AND(U308&gt;='Amort. Sched.-BEST'!$AA$8, U308&lt;= ($AA$7+$AA$8)), PMT('Amort. Sched.-BEST'!$W$8/12, 'Amort. Sched.-BEST'!$AA$7, 'Amort. Sched.-BEST'!$W$7), 0)</f>
        <v>0</v>
      </c>
      <c r="W308" s="5">
        <f>IF(AND(U308&gt;='Amort. Sched.-BEST'!$AA$8, U308&lt;= ($AA$7+$AA$8)), (IPMT($W$8/12, (U308-$AA$8), $AA$7, $W$7)), 0)</f>
        <v>0</v>
      </c>
      <c r="X308" s="23">
        <f>IF(AND(U308&gt;='Amort. Sched.-BEST'!$AA$8, U308&lt;= ($AA$7+$AA$8)), (PPMT($W$8/12, (U308-$AA$8), $AA$7, $W$7)), 0)</f>
        <v>0</v>
      </c>
      <c r="Y308" s="5">
        <f>IF(CreditAmort2BEST[[#This Row],[Month]]=AA$8,W$7,0)</f>
        <v>0</v>
      </c>
      <c r="Z308" s="13">
        <f>IF(AND(U308&gt;='Amort. Sched.-BEST'!$AA$8, U308&lt;= ($AA$7+$AA$8)), Z307+X308, 0)</f>
        <v>0</v>
      </c>
      <c r="AA308" s="24" t="str">
        <f>IF(AND(U308&gt;='Amort. Sched.-BEST'!$AA$8, U308&lt;= ($AA$7+$AA$8)), W308/V308, " ")</f>
        <v xml:space="preserve"> </v>
      </c>
      <c r="AB308" s="25" t="str">
        <f>IF(AND(U308&gt;='Amort. Sched.-BEST'!$AA$8, U308&lt;= ($AA$7+$AA$8)), X308/V308, " ")</f>
        <v xml:space="preserve"> </v>
      </c>
      <c r="AD308" s="22">
        <f t="shared" si="71"/>
        <v>297</v>
      </c>
      <c r="AE308" s="5">
        <f t="shared" si="72"/>
        <v>0</v>
      </c>
      <c r="AF308" s="5">
        <f t="shared" si="73"/>
        <v>0</v>
      </c>
      <c r="AG308" s="5">
        <f t="shared" si="74"/>
        <v>0</v>
      </c>
      <c r="AH308" s="5">
        <f>IF(CreditAmort3BEST[[#This Row],[Month]]=AJ$8,AF$7,0)</f>
        <v>0</v>
      </c>
      <c r="AI308" s="13">
        <f t="shared" si="75"/>
        <v>0</v>
      </c>
      <c r="AJ308" s="6" t="str">
        <f t="shared" si="76"/>
        <v xml:space="preserve"> </v>
      </c>
      <c r="AK308" s="21" t="str">
        <f t="shared" si="77"/>
        <v xml:space="preserve"> </v>
      </c>
      <c r="AM308" s="20">
        <f t="shared" si="78"/>
        <v>297</v>
      </c>
      <c r="AN308" s="5">
        <f t="shared" si="79"/>
        <v>0</v>
      </c>
      <c r="AO308" s="5">
        <f t="shared" si="80"/>
        <v>0</v>
      </c>
      <c r="AP308" s="5">
        <f t="shared" si="81"/>
        <v>0</v>
      </c>
      <c r="AQ308" s="5">
        <f>IF(CreditAmort4BEST[[#This Row],[Month]]=AS$8,AO$7,0)</f>
        <v>0</v>
      </c>
      <c r="AR308" s="13">
        <f t="shared" si="82"/>
        <v>0</v>
      </c>
      <c r="AS308" s="6" t="str">
        <f t="shared" si="83"/>
        <v xml:space="preserve"> </v>
      </c>
      <c r="AT308" s="21" t="str">
        <f t="shared" si="84"/>
        <v xml:space="preserve"> </v>
      </c>
    </row>
    <row r="309" spans="3:46">
      <c r="C309" s="22">
        <f t="shared" si="69"/>
        <v>298</v>
      </c>
      <c r="D309" s="23">
        <f>IF(AND(C309&gt;='Amort. Sched.-BEST'!$I$8, C309&lt;= ($I$7+$I$8)), PMT('Amort. Sched.-BEST'!$E$8/12, 'Amort. Sched.-BEST'!$I$7, 'Amort. Sched.-BEST'!$E$7), 0)</f>
        <v>-1350.6783839027553</v>
      </c>
      <c r="E309" s="5">
        <f>IF(AND(C309&gt;='Amort. Sched.-BEST'!$I$8, C309&lt;= ($I$7+$I$8)), (IPMT($E$8/12, (C309-$I$8), $I$7, $E$7)), 0)</f>
        <v>-26.657349135836128</v>
      </c>
      <c r="F309" s="23">
        <f>IF(AND(C309&gt;='Amort. Sched.-BEST'!$I$8, C309&lt;= ($I$7+$I$8)), (PPMT($E$8/12, (C309-$I$8), $I$7, $E$7)), 0)</f>
        <v>-1324.0210347669192</v>
      </c>
      <c r="G309" s="5">
        <f>IF(MortgageAmortBEST[[#This Row],[Month]]=I$8,E$7,0)</f>
        <v>0</v>
      </c>
      <c r="H309" s="13">
        <f>IF(AND(C309&gt;='Amort. Sched.-BEST'!$I$8, C309&lt;= ($I$7+$I$8)), H308+F309, 0)</f>
        <v>2674.5813356084809</v>
      </c>
      <c r="I309" s="24">
        <f>IF(AND(C309&gt;='Amort. Sched.-BEST'!$I$8, C309&lt;= ($I$7+$I$8)), E309/D309, " ")</f>
        <v>1.9736266940772611E-2</v>
      </c>
      <c r="J309" s="25">
        <f>IF(AND(C309&gt;='Amort. Sched.-BEST'!$I$8, C309&lt;= ($I$7+$I$8)), F309/D309, " ")</f>
        <v>0.98026373305922743</v>
      </c>
      <c r="L309" s="20">
        <f t="shared" si="68"/>
        <v>298</v>
      </c>
      <c r="M309" s="5">
        <f>IF(AND(L309&gt;='Amort. Sched.-BEST'!$R$8, L309&lt;= ($R$7+$R$8)), PMT('Amort. Sched.-BEST'!$N$8/12, 'Amort. Sched.-BEST'!$R$7, 'Amort. Sched.-BEST'!$N$7), 0)</f>
        <v>0</v>
      </c>
      <c r="N309" s="5">
        <f>IF(AND(L309&gt;='Amort. Sched.-BEST'!$R$8, L309&lt;= ($R$7+$R$8)), (IPMT($N$8/12, (L309-$R$8), $R$7, $N$7)), 0)</f>
        <v>0</v>
      </c>
      <c r="O309" s="5">
        <f>IF(AND(L309&gt;='Amort. Sched.-BEST'!$R$8, L309&lt;= ($R$7+$R$8)), (PPMT($N$8/12, (L309-$R$8), $R$7, $N$7)), 0)</f>
        <v>0</v>
      </c>
      <c r="P309" s="5">
        <f>IF(CreditAmort1BEST[[#This Row],[Month]]=R$8,N$7,0)</f>
        <v>0</v>
      </c>
      <c r="Q309" s="13">
        <f>IF(AND(L309&gt;='Amort. Sched.-BEST'!$R$8, L309&lt;= ($R$7+$R$8)), Q308+O309, 0)</f>
        <v>0</v>
      </c>
      <c r="R309" s="6" t="str">
        <f>IF(AND(L309&gt;='Amort. Sched.-BEST'!$R$8, L309&lt;= ($R$7+$R$8)), N309/M309, " ")</f>
        <v xml:space="preserve"> </v>
      </c>
      <c r="S309" s="21" t="str">
        <f>IF(AND(L309&gt;='Amort. Sched.-BEST'!$R$8, L309&lt;= ($R$7+$R$8)), O309/M309, " ")</f>
        <v xml:space="preserve"> </v>
      </c>
      <c r="U309" s="22">
        <f t="shared" si="70"/>
        <v>298</v>
      </c>
      <c r="V309" s="23">
        <f>IF(AND(U309&gt;='Amort. Sched.-BEST'!$AA$8, U309&lt;= ($AA$7+$AA$8)), PMT('Amort. Sched.-BEST'!$W$8/12, 'Amort. Sched.-BEST'!$AA$7, 'Amort. Sched.-BEST'!$W$7), 0)</f>
        <v>0</v>
      </c>
      <c r="W309" s="5">
        <f>IF(AND(U309&gt;='Amort. Sched.-BEST'!$AA$8, U309&lt;= ($AA$7+$AA$8)), (IPMT($W$8/12, (U309-$AA$8), $AA$7, $W$7)), 0)</f>
        <v>0</v>
      </c>
      <c r="X309" s="23">
        <f>IF(AND(U309&gt;='Amort. Sched.-BEST'!$AA$8, U309&lt;= ($AA$7+$AA$8)), (PPMT($W$8/12, (U309-$AA$8), $AA$7, $W$7)), 0)</f>
        <v>0</v>
      </c>
      <c r="Y309" s="5">
        <f>IF(CreditAmort2BEST[[#This Row],[Month]]=AA$8,W$7,0)</f>
        <v>0</v>
      </c>
      <c r="Z309" s="13">
        <f>IF(AND(U309&gt;='Amort. Sched.-BEST'!$AA$8, U309&lt;= ($AA$7+$AA$8)), Z308+X309, 0)</f>
        <v>0</v>
      </c>
      <c r="AA309" s="24" t="str">
        <f>IF(AND(U309&gt;='Amort. Sched.-BEST'!$AA$8, U309&lt;= ($AA$7+$AA$8)), W309/V309, " ")</f>
        <v xml:space="preserve"> </v>
      </c>
      <c r="AB309" s="25" t="str">
        <f>IF(AND(U309&gt;='Amort. Sched.-BEST'!$AA$8, U309&lt;= ($AA$7+$AA$8)), X309/V309, " ")</f>
        <v xml:space="preserve"> </v>
      </c>
      <c r="AD309" s="22">
        <f t="shared" si="71"/>
        <v>298</v>
      </c>
      <c r="AE309" s="5">
        <f t="shared" si="72"/>
        <v>0</v>
      </c>
      <c r="AF309" s="5">
        <f t="shared" si="73"/>
        <v>0</v>
      </c>
      <c r="AG309" s="5">
        <f t="shared" si="74"/>
        <v>0</v>
      </c>
      <c r="AH309" s="5">
        <f>IF(CreditAmort3BEST[[#This Row],[Month]]=AJ$8,AF$7,0)</f>
        <v>0</v>
      </c>
      <c r="AI309" s="13">
        <f t="shared" si="75"/>
        <v>0</v>
      </c>
      <c r="AJ309" s="6" t="str">
        <f t="shared" si="76"/>
        <v xml:space="preserve"> </v>
      </c>
      <c r="AK309" s="21" t="str">
        <f t="shared" si="77"/>
        <v xml:space="preserve"> </v>
      </c>
      <c r="AM309" s="20">
        <f t="shared" si="78"/>
        <v>298</v>
      </c>
      <c r="AN309" s="5">
        <f t="shared" si="79"/>
        <v>0</v>
      </c>
      <c r="AO309" s="5">
        <f t="shared" si="80"/>
        <v>0</v>
      </c>
      <c r="AP309" s="5">
        <f t="shared" si="81"/>
        <v>0</v>
      </c>
      <c r="AQ309" s="5">
        <f>IF(CreditAmort4BEST[[#This Row],[Month]]=AS$8,AO$7,0)</f>
        <v>0</v>
      </c>
      <c r="AR309" s="13">
        <f t="shared" si="82"/>
        <v>0</v>
      </c>
      <c r="AS309" s="6" t="str">
        <f t="shared" si="83"/>
        <v xml:space="preserve"> </v>
      </c>
      <c r="AT309" s="21" t="str">
        <f t="shared" si="84"/>
        <v xml:space="preserve"> </v>
      </c>
    </row>
    <row r="310" spans="3:46">
      <c r="C310" s="22">
        <f t="shared" si="69"/>
        <v>299</v>
      </c>
      <c r="D310" s="23">
        <f>IF(AND(C310&gt;='Amort. Sched.-BEST'!$I$8, C310&lt;= ($I$7+$I$8)), PMT('Amort. Sched.-BEST'!$E$8/12, 'Amort. Sched.-BEST'!$I$7, 'Amort. Sched.-BEST'!$E$7), 0)</f>
        <v>-1350.6783839027553</v>
      </c>
      <c r="E310" s="5">
        <f>IF(AND(C310&gt;='Amort. Sched.-BEST'!$I$8, C310&lt;= ($I$7+$I$8)), (IPMT($E$8/12, (C310-$I$8), $I$7, $E$7)), 0)</f>
        <v>-17.830542237389999</v>
      </c>
      <c r="F310" s="23">
        <f>IF(AND(C310&gt;='Amort. Sched.-BEST'!$I$8, C310&lt;= ($I$7+$I$8)), (PPMT($E$8/12, (C310-$I$8), $I$7, $E$7)), 0)</f>
        <v>-1332.8478416653654</v>
      </c>
      <c r="G310" s="5">
        <f>IF(MortgageAmortBEST[[#This Row],[Month]]=I$8,E$7,0)</f>
        <v>0</v>
      </c>
      <c r="H310" s="13">
        <f>IF(AND(C310&gt;='Amort. Sched.-BEST'!$I$8, C310&lt;= ($I$7+$I$8)), H309+F310, 0)</f>
        <v>1341.7334939431155</v>
      </c>
      <c r="I310" s="24">
        <f>IF(AND(C310&gt;='Amort. Sched.-BEST'!$I$8, C310&lt;= ($I$7+$I$8)), E310/D310, " ")</f>
        <v>1.3201175387044429E-2</v>
      </c>
      <c r="J310" s="25">
        <f>IF(AND(C310&gt;='Amort. Sched.-BEST'!$I$8, C310&lt;= ($I$7+$I$8)), F310/D310, " ")</f>
        <v>0.98679882461295565</v>
      </c>
      <c r="L310" s="20">
        <f t="shared" si="68"/>
        <v>299</v>
      </c>
      <c r="M310" s="5">
        <f>IF(AND(L310&gt;='Amort. Sched.-BEST'!$R$8, L310&lt;= ($R$7+$R$8)), PMT('Amort. Sched.-BEST'!$N$8/12, 'Amort. Sched.-BEST'!$R$7, 'Amort. Sched.-BEST'!$N$7), 0)</f>
        <v>0</v>
      </c>
      <c r="N310" s="5">
        <f>IF(AND(L310&gt;='Amort. Sched.-BEST'!$R$8, L310&lt;= ($R$7+$R$8)), (IPMT($N$8/12, (L310-$R$8), $R$7, $N$7)), 0)</f>
        <v>0</v>
      </c>
      <c r="O310" s="5">
        <f>IF(AND(L310&gt;='Amort. Sched.-BEST'!$R$8, L310&lt;= ($R$7+$R$8)), (PPMT($N$8/12, (L310-$R$8), $R$7, $N$7)), 0)</f>
        <v>0</v>
      </c>
      <c r="P310" s="5">
        <f>IF(CreditAmort1BEST[[#This Row],[Month]]=R$8,N$7,0)</f>
        <v>0</v>
      </c>
      <c r="Q310" s="13">
        <f>IF(AND(L310&gt;='Amort. Sched.-BEST'!$R$8, L310&lt;= ($R$7+$R$8)), Q309+O310, 0)</f>
        <v>0</v>
      </c>
      <c r="R310" s="6" t="str">
        <f>IF(AND(L310&gt;='Amort. Sched.-BEST'!$R$8, L310&lt;= ($R$7+$R$8)), N310/M310, " ")</f>
        <v xml:space="preserve"> </v>
      </c>
      <c r="S310" s="21" t="str">
        <f>IF(AND(L310&gt;='Amort. Sched.-BEST'!$R$8, L310&lt;= ($R$7+$R$8)), O310/M310, " ")</f>
        <v xml:space="preserve"> </v>
      </c>
      <c r="U310" s="22">
        <f t="shared" si="70"/>
        <v>299</v>
      </c>
      <c r="V310" s="23">
        <f>IF(AND(U310&gt;='Amort. Sched.-BEST'!$AA$8, U310&lt;= ($AA$7+$AA$8)), PMT('Amort. Sched.-BEST'!$W$8/12, 'Amort. Sched.-BEST'!$AA$7, 'Amort. Sched.-BEST'!$W$7), 0)</f>
        <v>0</v>
      </c>
      <c r="W310" s="5">
        <f>IF(AND(U310&gt;='Amort. Sched.-BEST'!$AA$8, U310&lt;= ($AA$7+$AA$8)), (IPMT($W$8/12, (U310-$AA$8), $AA$7, $W$7)), 0)</f>
        <v>0</v>
      </c>
      <c r="X310" s="23">
        <f>IF(AND(U310&gt;='Amort. Sched.-BEST'!$AA$8, U310&lt;= ($AA$7+$AA$8)), (PPMT($W$8/12, (U310-$AA$8), $AA$7, $W$7)), 0)</f>
        <v>0</v>
      </c>
      <c r="Y310" s="5">
        <f>IF(CreditAmort2BEST[[#This Row],[Month]]=AA$8,W$7,0)</f>
        <v>0</v>
      </c>
      <c r="Z310" s="13">
        <f>IF(AND(U310&gt;='Amort. Sched.-BEST'!$AA$8, U310&lt;= ($AA$7+$AA$8)), Z309+X310, 0)</f>
        <v>0</v>
      </c>
      <c r="AA310" s="24" t="str">
        <f>IF(AND(U310&gt;='Amort. Sched.-BEST'!$AA$8, U310&lt;= ($AA$7+$AA$8)), W310/V310, " ")</f>
        <v xml:space="preserve"> </v>
      </c>
      <c r="AB310" s="25" t="str">
        <f>IF(AND(U310&gt;='Amort. Sched.-BEST'!$AA$8, U310&lt;= ($AA$7+$AA$8)), X310/V310, " ")</f>
        <v xml:space="preserve"> </v>
      </c>
      <c r="AD310" s="22">
        <f t="shared" si="71"/>
        <v>299</v>
      </c>
      <c r="AE310" s="5">
        <f t="shared" si="72"/>
        <v>0</v>
      </c>
      <c r="AF310" s="5">
        <f t="shared" si="73"/>
        <v>0</v>
      </c>
      <c r="AG310" s="5">
        <f t="shared" si="74"/>
        <v>0</v>
      </c>
      <c r="AH310" s="5">
        <f>IF(CreditAmort3BEST[[#This Row],[Month]]=AJ$8,AF$7,0)</f>
        <v>0</v>
      </c>
      <c r="AI310" s="13">
        <f t="shared" si="75"/>
        <v>0</v>
      </c>
      <c r="AJ310" s="6" t="str">
        <f t="shared" si="76"/>
        <v xml:space="preserve"> </v>
      </c>
      <c r="AK310" s="21" t="str">
        <f t="shared" si="77"/>
        <v xml:space="preserve"> </v>
      </c>
      <c r="AM310" s="20">
        <f t="shared" si="78"/>
        <v>299</v>
      </c>
      <c r="AN310" s="5">
        <f t="shared" si="79"/>
        <v>0</v>
      </c>
      <c r="AO310" s="5">
        <f t="shared" si="80"/>
        <v>0</v>
      </c>
      <c r="AP310" s="5">
        <f t="shared" si="81"/>
        <v>0</v>
      </c>
      <c r="AQ310" s="5">
        <f>IF(CreditAmort4BEST[[#This Row],[Month]]=AS$8,AO$7,0)</f>
        <v>0</v>
      </c>
      <c r="AR310" s="13">
        <f t="shared" si="82"/>
        <v>0</v>
      </c>
      <c r="AS310" s="6" t="str">
        <f t="shared" si="83"/>
        <v xml:space="preserve"> </v>
      </c>
      <c r="AT310" s="21" t="str">
        <f t="shared" si="84"/>
        <v xml:space="preserve"> </v>
      </c>
    </row>
    <row r="311" spans="3:46">
      <c r="C311" s="22">
        <f t="shared" si="69"/>
        <v>300</v>
      </c>
      <c r="D311" s="23">
        <f>IF(AND(C311&gt;='Amort. Sched.-BEST'!$I$8, C311&lt;= ($I$7+$I$8)), PMT('Amort. Sched.-BEST'!$E$8/12, 'Amort. Sched.-BEST'!$I$7, 'Amort. Sched.-BEST'!$E$7), 0)</f>
        <v>-1350.6783839027553</v>
      </c>
      <c r="E311" s="5">
        <f>IF(AND(C311&gt;='Amort. Sched.-BEST'!$I$8, C311&lt;= ($I$7+$I$8)), (IPMT($E$8/12, (C311-$I$8), $I$7, $E$7)), 0)</f>
        <v>-8.9448899596208964</v>
      </c>
      <c r="F311" s="23">
        <f>IF(AND(C311&gt;='Amort. Sched.-BEST'!$I$8, C311&lt;= ($I$7+$I$8)), (PPMT($E$8/12, (C311-$I$8), $I$7, $E$7)), 0)</f>
        <v>-1341.7334939431344</v>
      </c>
      <c r="G311" s="5">
        <f>IF(MortgageAmortBEST[[#This Row],[Month]]=I$8,E$7,0)</f>
        <v>0</v>
      </c>
      <c r="H311" s="13">
        <f>IF(AND(C311&gt;='Amort. Sched.-BEST'!$I$8, C311&lt;= ($I$7+$I$8)), H310+F311, 0)</f>
        <v>-1.8872015061788261E-11</v>
      </c>
      <c r="I311" s="24">
        <f>IF(AND(C311&gt;='Amort. Sched.-BEST'!$I$8, C311&lt;= ($I$7+$I$8)), E311/D311, " ")</f>
        <v>6.6225165562913907E-3</v>
      </c>
      <c r="J311" s="25">
        <f>IF(AND(C311&gt;='Amort. Sched.-BEST'!$I$8, C311&lt;= ($I$7+$I$8)), F311/D311, " ")</f>
        <v>0.99337748344370858</v>
      </c>
      <c r="L311" s="20">
        <f t="shared" si="68"/>
        <v>300</v>
      </c>
      <c r="M311" s="5">
        <f>IF(AND(L311&gt;='Amort. Sched.-BEST'!$R$8, L311&lt;= ($R$7+$R$8)), PMT('Amort. Sched.-BEST'!$N$8/12, 'Amort. Sched.-BEST'!$R$7, 'Amort. Sched.-BEST'!$N$7), 0)</f>
        <v>0</v>
      </c>
      <c r="N311" s="5">
        <f>IF(AND(L311&gt;='Amort. Sched.-BEST'!$R$8, L311&lt;= ($R$7+$R$8)), (IPMT($N$8/12, (L311-$R$8), $R$7, $N$7)), 0)</f>
        <v>0</v>
      </c>
      <c r="O311" s="5">
        <f>IF(AND(L311&gt;='Amort. Sched.-BEST'!$R$8, L311&lt;= ($R$7+$R$8)), (PPMT($N$8/12, (L311-$R$8), $R$7, $N$7)), 0)</f>
        <v>0</v>
      </c>
      <c r="P311" s="5">
        <f>IF(CreditAmort1BEST[[#This Row],[Month]]=R$8,N$7,0)</f>
        <v>0</v>
      </c>
      <c r="Q311" s="13">
        <f>IF(AND(L311&gt;='Amort. Sched.-BEST'!$R$8, L311&lt;= ($R$7+$R$8)), Q310+O311, 0)</f>
        <v>0</v>
      </c>
      <c r="R311" s="6" t="str">
        <f>IF(AND(L311&gt;='Amort. Sched.-BEST'!$R$8, L311&lt;= ($R$7+$R$8)), N311/M311, " ")</f>
        <v xml:space="preserve"> </v>
      </c>
      <c r="S311" s="21" t="str">
        <f>IF(AND(L311&gt;='Amort. Sched.-BEST'!$R$8, L311&lt;= ($R$7+$R$8)), O311/M311, " ")</f>
        <v xml:space="preserve"> </v>
      </c>
      <c r="U311" s="22">
        <f t="shared" si="70"/>
        <v>300</v>
      </c>
      <c r="V311" s="23">
        <f>IF(AND(U311&gt;='Amort. Sched.-BEST'!$AA$8, U311&lt;= ($AA$7+$AA$8)), PMT('Amort. Sched.-BEST'!$W$8/12, 'Amort. Sched.-BEST'!$AA$7, 'Amort. Sched.-BEST'!$W$7), 0)</f>
        <v>0</v>
      </c>
      <c r="W311" s="5">
        <f>IF(AND(U311&gt;='Amort. Sched.-BEST'!$AA$8, U311&lt;= ($AA$7+$AA$8)), (IPMT($W$8/12, (U311-$AA$8), $AA$7, $W$7)), 0)</f>
        <v>0</v>
      </c>
      <c r="X311" s="23">
        <f>IF(AND(U311&gt;='Amort. Sched.-BEST'!$AA$8, U311&lt;= ($AA$7+$AA$8)), (PPMT($W$8/12, (U311-$AA$8), $AA$7, $W$7)), 0)</f>
        <v>0</v>
      </c>
      <c r="Y311" s="5">
        <f>IF(CreditAmort2BEST[[#This Row],[Month]]=AA$8,W$7,0)</f>
        <v>0</v>
      </c>
      <c r="Z311" s="13">
        <f>IF(AND(U311&gt;='Amort. Sched.-BEST'!$AA$8, U311&lt;= ($AA$7+$AA$8)), Z310+X311, 0)</f>
        <v>0</v>
      </c>
      <c r="AA311" s="24" t="str">
        <f>IF(AND(U311&gt;='Amort. Sched.-BEST'!$AA$8, U311&lt;= ($AA$7+$AA$8)), W311/V311, " ")</f>
        <v xml:space="preserve"> </v>
      </c>
      <c r="AB311" s="25" t="str">
        <f>IF(AND(U311&gt;='Amort. Sched.-BEST'!$AA$8, U311&lt;= ($AA$7+$AA$8)), X311/V311, " ")</f>
        <v xml:space="preserve"> </v>
      </c>
      <c r="AD311" s="22">
        <f t="shared" si="71"/>
        <v>300</v>
      </c>
      <c r="AE311" s="5">
        <f t="shared" si="72"/>
        <v>0</v>
      </c>
      <c r="AF311" s="5">
        <f t="shared" si="73"/>
        <v>0</v>
      </c>
      <c r="AG311" s="5">
        <f t="shared" si="74"/>
        <v>0</v>
      </c>
      <c r="AH311" s="5">
        <f>IF(CreditAmort3BEST[[#This Row],[Month]]=AJ$8,AF$7,0)</f>
        <v>0</v>
      </c>
      <c r="AI311" s="13">
        <f t="shared" si="75"/>
        <v>0</v>
      </c>
      <c r="AJ311" s="6" t="str">
        <f t="shared" si="76"/>
        <v xml:space="preserve"> </v>
      </c>
      <c r="AK311" s="21" t="str">
        <f t="shared" si="77"/>
        <v xml:space="preserve"> </v>
      </c>
      <c r="AM311" s="20">
        <f t="shared" si="78"/>
        <v>300</v>
      </c>
      <c r="AN311" s="5">
        <f t="shared" si="79"/>
        <v>0</v>
      </c>
      <c r="AO311" s="5">
        <f t="shared" si="80"/>
        <v>0</v>
      </c>
      <c r="AP311" s="5">
        <f t="shared" si="81"/>
        <v>0</v>
      </c>
      <c r="AQ311" s="5">
        <f>IF(CreditAmort4BEST[[#This Row],[Month]]=AS$8,AO$7,0)</f>
        <v>0</v>
      </c>
      <c r="AR311" s="13">
        <f t="shared" si="82"/>
        <v>0</v>
      </c>
      <c r="AS311" s="6" t="str">
        <f t="shared" si="83"/>
        <v xml:space="preserve"> </v>
      </c>
      <c r="AT311" s="21" t="str">
        <f t="shared" si="84"/>
        <v xml:space="preserve"> </v>
      </c>
    </row>
    <row r="312" spans="3:46">
      <c r="C312" s="22">
        <f t="shared" si="69"/>
        <v>301</v>
      </c>
      <c r="D312" s="23">
        <f>IF(AND(C312&gt;='Amort. Sched.-BEST'!$I$8, C312&lt;= ($I$7+$I$8)), PMT('Amort. Sched.-BEST'!$E$8/12, 'Amort. Sched.-BEST'!$I$7, 'Amort. Sched.-BEST'!$E$7), 0)</f>
        <v>0</v>
      </c>
      <c r="E312" s="5">
        <f>IF(AND(C312&gt;='Amort. Sched.-BEST'!$I$8, C312&lt;= ($I$7+$I$8)), (IPMT($E$8/12, (C312-$I$8), $I$7, $E$7)), 0)</f>
        <v>0</v>
      </c>
      <c r="F312" s="23">
        <f>IF(AND(C312&gt;='Amort. Sched.-BEST'!$I$8, C312&lt;= ($I$7+$I$8)), (PPMT($E$8/12, (C312-$I$8), $I$7, $E$7)), 0)</f>
        <v>0</v>
      </c>
      <c r="G312" s="5">
        <f>IF(MortgageAmortBEST[[#This Row],[Month]]=I$8,E$7,0)</f>
        <v>0</v>
      </c>
      <c r="H312" s="13">
        <f>IF(AND(C312&gt;='Amort. Sched.-BEST'!$I$8, C312&lt;= ($I$7+$I$8)), H311+F312, 0)</f>
        <v>0</v>
      </c>
      <c r="I312" s="24" t="str">
        <f>IF(AND(C312&gt;='Amort. Sched.-BEST'!$I$8, C312&lt;= ($I$7+$I$8)), E312/D312, " ")</f>
        <v xml:space="preserve"> </v>
      </c>
      <c r="J312" s="25" t="str">
        <f>IF(AND(C312&gt;='Amort. Sched.-BEST'!$I$8, C312&lt;= ($I$7+$I$8)), F312/D312, " ")</f>
        <v xml:space="preserve"> </v>
      </c>
      <c r="L312" s="20">
        <f t="shared" si="68"/>
        <v>301</v>
      </c>
      <c r="M312" s="5">
        <f>IF(AND(L312&gt;='Amort. Sched.-BEST'!$R$8, L312&lt;= ($R$7+$R$8)), PMT('Amort. Sched.-BEST'!$N$8/12, 'Amort. Sched.-BEST'!$R$7, 'Amort. Sched.-BEST'!$N$7), 0)</f>
        <v>0</v>
      </c>
      <c r="N312" s="5">
        <f>IF(AND(L312&gt;='Amort. Sched.-BEST'!$R$8, L312&lt;= ($R$7+$R$8)), (IPMT($N$8/12, (L312-$R$8), $R$7, $N$7)), 0)</f>
        <v>0</v>
      </c>
      <c r="O312" s="5">
        <f>IF(AND(L312&gt;='Amort. Sched.-BEST'!$R$8, L312&lt;= ($R$7+$R$8)), (PPMT($N$8/12, (L312-$R$8), $R$7, $N$7)), 0)</f>
        <v>0</v>
      </c>
      <c r="P312" s="5">
        <f>IF(CreditAmort1BEST[[#This Row],[Month]]=R$8,N$7,0)</f>
        <v>0</v>
      </c>
      <c r="Q312" s="13">
        <f>IF(AND(L312&gt;='Amort. Sched.-BEST'!$R$8, L312&lt;= ($R$7+$R$8)), Q311+O312, 0)</f>
        <v>0</v>
      </c>
      <c r="R312" s="6" t="str">
        <f>IF(AND(L312&gt;='Amort. Sched.-BEST'!$R$8, L312&lt;= ($R$7+$R$8)), N312/M312, " ")</f>
        <v xml:space="preserve"> </v>
      </c>
      <c r="S312" s="21" t="str">
        <f>IF(AND(L312&gt;='Amort. Sched.-BEST'!$R$8, L312&lt;= ($R$7+$R$8)), O312/M312, " ")</f>
        <v xml:space="preserve"> </v>
      </c>
      <c r="U312" s="22">
        <f t="shared" si="70"/>
        <v>301</v>
      </c>
      <c r="V312" s="23">
        <f>IF(AND(U312&gt;='Amort. Sched.-BEST'!$AA$8, U312&lt;= ($AA$7+$AA$8)), PMT('Amort. Sched.-BEST'!$W$8/12, 'Amort. Sched.-BEST'!$AA$7, 'Amort. Sched.-BEST'!$W$7), 0)</f>
        <v>0</v>
      </c>
      <c r="W312" s="5">
        <f>IF(AND(U312&gt;='Amort. Sched.-BEST'!$AA$8, U312&lt;= ($AA$7+$AA$8)), (IPMT($W$8/12, (U312-$AA$8), $AA$7, $W$7)), 0)</f>
        <v>0</v>
      </c>
      <c r="X312" s="23">
        <f>IF(AND(U312&gt;='Amort. Sched.-BEST'!$AA$8, U312&lt;= ($AA$7+$AA$8)), (PPMT($W$8/12, (U312-$AA$8), $AA$7, $W$7)), 0)</f>
        <v>0</v>
      </c>
      <c r="Y312" s="5">
        <f>IF(CreditAmort2BEST[[#This Row],[Month]]=AA$8,W$7,0)</f>
        <v>0</v>
      </c>
      <c r="Z312" s="13">
        <f>IF(AND(U312&gt;='Amort. Sched.-BEST'!$AA$8, U312&lt;= ($AA$7+$AA$8)), Z311+X312, 0)</f>
        <v>0</v>
      </c>
      <c r="AA312" s="24" t="str">
        <f>IF(AND(U312&gt;='Amort. Sched.-BEST'!$AA$8, U312&lt;= ($AA$7+$AA$8)), W312/V312, " ")</f>
        <v xml:space="preserve"> </v>
      </c>
      <c r="AB312" s="25" t="str">
        <f>IF(AND(U312&gt;='Amort. Sched.-BEST'!$AA$8, U312&lt;= ($AA$7+$AA$8)), X312/V312, " ")</f>
        <v xml:space="preserve"> </v>
      </c>
      <c r="AD312" s="22">
        <f t="shared" si="71"/>
        <v>301</v>
      </c>
      <c r="AE312" s="5">
        <f t="shared" si="72"/>
        <v>0</v>
      </c>
      <c r="AF312" s="5">
        <f t="shared" si="73"/>
        <v>0</v>
      </c>
      <c r="AG312" s="5">
        <f t="shared" si="74"/>
        <v>0</v>
      </c>
      <c r="AH312" s="5">
        <f>IF(CreditAmort3BEST[[#This Row],[Month]]=AJ$8,AF$7,0)</f>
        <v>0</v>
      </c>
      <c r="AI312" s="13">
        <f t="shared" si="75"/>
        <v>0</v>
      </c>
      <c r="AJ312" s="6" t="str">
        <f t="shared" si="76"/>
        <v xml:space="preserve"> </v>
      </c>
      <c r="AK312" s="21" t="str">
        <f t="shared" si="77"/>
        <v xml:space="preserve"> </v>
      </c>
      <c r="AM312" s="20">
        <f t="shared" si="78"/>
        <v>301</v>
      </c>
      <c r="AN312" s="5">
        <f t="shared" si="79"/>
        <v>0</v>
      </c>
      <c r="AO312" s="5">
        <f t="shared" si="80"/>
        <v>0</v>
      </c>
      <c r="AP312" s="5">
        <f t="shared" si="81"/>
        <v>0</v>
      </c>
      <c r="AQ312" s="5">
        <f>IF(CreditAmort4BEST[[#This Row],[Month]]=AS$8,AO$7,0)</f>
        <v>0</v>
      </c>
      <c r="AR312" s="13">
        <f t="shared" si="82"/>
        <v>0</v>
      </c>
      <c r="AS312" s="6" t="str">
        <f t="shared" si="83"/>
        <v xml:space="preserve"> </v>
      </c>
      <c r="AT312" s="21" t="str">
        <f t="shared" si="84"/>
        <v xml:space="preserve"> </v>
      </c>
    </row>
    <row r="313" spans="3:46">
      <c r="C313" s="22">
        <f t="shared" si="69"/>
        <v>302</v>
      </c>
      <c r="D313" s="23">
        <f>IF(AND(C313&gt;='Amort. Sched.-BEST'!$I$8, C313&lt;= ($I$7+$I$8)), PMT('Amort. Sched.-BEST'!$E$8/12, 'Amort. Sched.-BEST'!$I$7, 'Amort. Sched.-BEST'!$E$7), 0)</f>
        <v>0</v>
      </c>
      <c r="E313" s="5">
        <f>IF(AND(C313&gt;='Amort. Sched.-BEST'!$I$8, C313&lt;= ($I$7+$I$8)), (IPMT($E$8/12, (C313-$I$8), $I$7, $E$7)), 0)</f>
        <v>0</v>
      </c>
      <c r="F313" s="23">
        <f>IF(AND(C313&gt;='Amort. Sched.-BEST'!$I$8, C313&lt;= ($I$7+$I$8)), (PPMT($E$8/12, (C313-$I$8), $I$7, $E$7)), 0)</f>
        <v>0</v>
      </c>
      <c r="G313" s="5">
        <f>IF(MortgageAmortBEST[[#This Row],[Month]]=I$8,E$7,0)</f>
        <v>0</v>
      </c>
      <c r="H313" s="13">
        <f>IF(AND(C313&gt;='Amort. Sched.-BEST'!$I$8, C313&lt;= ($I$7+$I$8)), H312+F313, 0)</f>
        <v>0</v>
      </c>
      <c r="I313" s="24" t="str">
        <f>IF(AND(C313&gt;='Amort. Sched.-BEST'!$I$8, C313&lt;= ($I$7+$I$8)), E313/D313, " ")</f>
        <v xml:space="preserve"> </v>
      </c>
      <c r="J313" s="25" t="str">
        <f>IF(AND(C313&gt;='Amort. Sched.-BEST'!$I$8, C313&lt;= ($I$7+$I$8)), F313/D313, " ")</f>
        <v xml:space="preserve"> </v>
      </c>
      <c r="L313" s="20">
        <f t="shared" si="68"/>
        <v>302</v>
      </c>
      <c r="M313" s="5">
        <f>IF(AND(L313&gt;='Amort. Sched.-BEST'!$R$8, L313&lt;= ($R$7+$R$8)), PMT('Amort. Sched.-BEST'!$N$8/12, 'Amort. Sched.-BEST'!$R$7, 'Amort. Sched.-BEST'!$N$7), 0)</f>
        <v>0</v>
      </c>
      <c r="N313" s="5">
        <f>IF(AND(L313&gt;='Amort. Sched.-BEST'!$R$8, L313&lt;= ($R$7+$R$8)), (IPMT($N$8/12, (L313-$R$8), $R$7, $N$7)), 0)</f>
        <v>0</v>
      </c>
      <c r="O313" s="5">
        <f>IF(AND(L313&gt;='Amort. Sched.-BEST'!$R$8, L313&lt;= ($R$7+$R$8)), (PPMT($N$8/12, (L313-$R$8), $R$7, $N$7)), 0)</f>
        <v>0</v>
      </c>
      <c r="P313" s="5">
        <f>IF(CreditAmort1BEST[[#This Row],[Month]]=R$8,N$7,0)</f>
        <v>0</v>
      </c>
      <c r="Q313" s="13">
        <f>IF(AND(L313&gt;='Amort. Sched.-BEST'!$R$8, L313&lt;= ($R$7+$R$8)), Q312+O313, 0)</f>
        <v>0</v>
      </c>
      <c r="R313" s="6" t="str">
        <f>IF(AND(L313&gt;='Amort. Sched.-BEST'!$R$8, L313&lt;= ($R$7+$R$8)), N313/M313, " ")</f>
        <v xml:space="preserve"> </v>
      </c>
      <c r="S313" s="21" t="str">
        <f>IF(AND(L313&gt;='Amort. Sched.-BEST'!$R$8, L313&lt;= ($R$7+$R$8)), O313/M313, " ")</f>
        <v xml:space="preserve"> </v>
      </c>
      <c r="U313" s="22">
        <f t="shared" si="70"/>
        <v>302</v>
      </c>
      <c r="V313" s="23">
        <f>IF(AND(U313&gt;='Amort. Sched.-BEST'!$AA$8, U313&lt;= ($AA$7+$AA$8)), PMT('Amort. Sched.-BEST'!$W$8/12, 'Amort. Sched.-BEST'!$AA$7, 'Amort. Sched.-BEST'!$W$7), 0)</f>
        <v>0</v>
      </c>
      <c r="W313" s="5">
        <f>IF(AND(U313&gt;='Amort. Sched.-BEST'!$AA$8, U313&lt;= ($AA$7+$AA$8)), (IPMT($W$8/12, (U313-$AA$8), $AA$7, $W$7)), 0)</f>
        <v>0</v>
      </c>
      <c r="X313" s="23">
        <f>IF(AND(U313&gt;='Amort. Sched.-BEST'!$AA$8, U313&lt;= ($AA$7+$AA$8)), (PPMT($W$8/12, (U313-$AA$8), $AA$7, $W$7)), 0)</f>
        <v>0</v>
      </c>
      <c r="Y313" s="5">
        <f>IF(CreditAmort2BEST[[#This Row],[Month]]=AA$8,W$7,0)</f>
        <v>0</v>
      </c>
      <c r="Z313" s="13">
        <f>IF(AND(U313&gt;='Amort. Sched.-BEST'!$AA$8, U313&lt;= ($AA$7+$AA$8)), Z312+X313, 0)</f>
        <v>0</v>
      </c>
      <c r="AA313" s="24" t="str">
        <f>IF(AND(U313&gt;='Amort. Sched.-BEST'!$AA$8, U313&lt;= ($AA$7+$AA$8)), W313/V313, " ")</f>
        <v xml:space="preserve"> </v>
      </c>
      <c r="AB313" s="25" t="str">
        <f>IF(AND(U313&gt;='Amort. Sched.-BEST'!$AA$8, U313&lt;= ($AA$7+$AA$8)), X313/V313, " ")</f>
        <v xml:space="preserve"> </v>
      </c>
      <c r="AD313" s="22">
        <f t="shared" si="71"/>
        <v>302</v>
      </c>
      <c r="AE313" s="5">
        <f t="shared" si="72"/>
        <v>0</v>
      </c>
      <c r="AF313" s="5">
        <f t="shared" si="73"/>
        <v>0</v>
      </c>
      <c r="AG313" s="5">
        <f t="shared" si="74"/>
        <v>0</v>
      </c>
      <c r="AH313" s="5">
        <f>IF(CreditAmort3BEST[[#This Row],[Month]]=AJ$8,AF$7,0)</f>
        <v>0</v>
      </c>
      <c r="AI313" s="13">
        <f t="shared" si="75"/>
        <v>0</v>
      </c>
      <c r="AJ313" s="6" t="str">
        <f t="shared" si="76"/>
        <v xml:space="preserve"> </v>
      </c>
      <c r="AK313" s="21" t="str">
        <f t="shared" si="77"/>
        <v xml:space="preserve"> </v>
      </c>
      <c r="AM313" s="20">
        <f t="shared" si="78"/>
        <v>302</v>
      </c>
      <c r="AN313" s="5">
        <f t="shared" si="79"/>
        <v>0</v>
      </c>
      <c r="AO313" s="5">
        <f t="shared" si="80"/>
        <v>0</v>
      </c>
      <c r="AP313" s="5">
        <f t="shared" si="81"/>
        <v>0</v>
      </c>
      <c r="AQ313" s="5">
        <f>IF(CreditAmort4BEST[[#This Row],[Month]]=AS$8,AO$7,0)</f>
        <v>0</v>
      </c>
      <c r="AR313" s="13">
        <f t="shared" si="82"/>
        <v>0</v>
      </c>
      <c r="AS313" s="6" t="str">
        <f t="shared" si="83"/>
        <v xml:space="preserve"> </v>
      </c>
      <c r="AT313" s="21" t="str">
        <f t="shared" si="84"/>
        <v xml:space="preserve"> </v>
      </c>
    </row>
    <row r="314" spans="3:46">
      <c r="C314" s="22">
        <f t="shared" si="69"/>
        <v>303</v>
      </c>
      <c r="D314" s="23">
        <f>IF(AND(C314&gt;='Amort. Sched.-BEST'!$I$8, C314&lt;= ($I$7+$I$8)), PMT('Amort. Sched.-BEST'!$E$8/12, 'Amort. Sched.-BEST'!$I$7, 'Amort. Sched.-BEST'!$E$7), 0)</f>
        <v>0</v>
      </c>
      <c r="E314" s="5">
        <f>IF(AND(C314&gt;='Amort. Sched.-BEST'!$I$8, C314&lt;= ($I$7+$I$8)), (IPMT($E$8/12, (C314-$I$8), $I$7, $E$7)), 0)</f>
        <v>0</v>
      </c>
      <c r="F314" s="23">
        <f>IF(AND(C314&gt;='Amort. Sched.-BEST'!$I$8, C314&lt;= ($I$7+$I$8)), (PPMT($E$8/12, (C314-$I$8), $I$7, $E$7)), 0)</f>
        <v>0</v>
      </c>
      <c r="G314" s="5">
        <f>IF(MortgageAmortBEST[[#This Row],[Month]]=I$8,E$7,0)</f>
        <v>0</v>
      </c>
      <c r="H314" s="13">
        <f>IF(AND(C314&gt;='Amort. Sched.-BEST'!$I$8, C314&lt;= ($I$7+$I$8)), H313+F314, 0)</f>
        <v>0</v>
      </c>
      <c r="I314" s="24" t="str">
        <f>IF(AND(C314&gt;='Amort. Sched.-BEST'!$I$8, C314&lt;= ($I$7+$I$8)), E314/D314, " ")</f>
        <v xml:space="preserve"> </v>
      </c>
      <c r="J314" s="25" t="str">
        <f>IF(AND(C314&gt;='Amort. Sched.-BEST'!$I$8, C314&lt;= ($I$7+$I$8)), F314/D314, " ")</f>
        <v xml:space="preserve"> </v>
      </c>
      <c r="L314" s="20">
        <f t="shared" si="68"/>
        <v>303</v>
      </c>
      <c r="M314" s="5">
        <f>IF(AND(L314&gt;='Amort. Sched.-BEST'!$R$8, L314&lt;= ($R$7+$R$8)), PMT('Amort. Sched.-BEST'!$N$8/12, 'Amort. Sched.-BEST'!$R$7, 'Amort. Sched.-BEST'!$N$7), 0)</f>
        <v>0</v>
      </c>
      <c r="N314" s="5">
        <f>IF(AND(L314&gt;='Amort. Sched.-BEST'!$R$8, L314&lt;= ($R$7+$R$8)), (IPMT($N$8/12, (L314-$R$8), $R$7, $N$7)), 0)</f>
        <v>0</v>
      </c>
      <c r="O314" s="5">
        <f>IF(AND(L314&gt;='Amort. Sched.-BEST'!$R$8, L314&lt;= ($R$7+$R$8)), (PPMT($N$8/12, (L314-$R$8), $R$7, $N$7)), 0)</f>
        <v>0</v>
      </c>
      <c r="P314" s="5">
        <f>IF(CreditAmort1BEST[[#This Row],[Month]]=R$8,N$7,0)</f>
        <v>0</v>
      </c>
      <c r="Q314" s="13">
        <f>IF(AND(L314&gt;='Amort. Sched.-BEST'!$R$8, L314&lt;= ($R$7+$R$8)), Q313+O314, 0)</f>
        <v>0</v>
      </c>
      <c r="R314" s="6" t="str">
        <f>IF(AND(L314&gt;='Amort. Sched.-BEST'!$R$8, L314&lt;= ($R$7+$R$8)), N314/M314, " ")</f>
        <v xml:space="preserve"> </v>
      </c>
      <c r="S314" s="21" t="str">
        <f>IF(AND(L314&gt;='Amort. Sched.-BEST'!$R$8, L314&lt;= ($R$7+$R$8)), O314/M314, " ")</f>
        <v xml:space="preserve"> </v>
      </c>
      <c r="U314" s="22">
        <f t="shared" si="70"/>
        <v>303</v>
      </c>
      <c r="V314" s="23">
        <f>IF(AND(U314&gt;='Amort. Sched.-BEST'!$AA$8, U314&lt;= ($AA$7+$AA$8)), PMT('Amort. Sched.-BEST'!$W$8/12, 'Amort. Sched.-BEST'!$AA$7, 'Amort. Sched.-BEST'!$W$7), 0)</f>
        <v>0</v>
      </c>
      <c r="W314" s="5">
        <f>IF(AND(U314&gt;='Amort. Sched.-BEST'!$AA$8, U314&lt;= ($AA$7+$AA$8)), (IPMT($W$8/12, (U314-$AA$8), $AA$7, $W$7)), 0)</f>
        <v>0</v>
      </c>
      <c r="X314" s="23">
        <f>IF(AND(U314&gt;='Amort. Sched.-BEST'!$AA$8, U314&lt;= ($AA$7+$AA$8)), (PPMT($W$8/12, (U314-$AA$8), $AA$7, $W$7)), 0)</f>
        <v>0</v>
      </c>
      <c r="Y314" s="5">
        <f>IF(CreditAmort2BEST[[#This Row],[Month]]=AA$8,W$7,0)</f>
        <v>0</v>
      </c>
      <c r="Z314" s="13">
        <f>IF(AND(U314&gt;='Amort. Sched.-BEST'!$AA$8, U314&lt;= ($AA$7+$AA$8)), Z313+X314, 0)</f>
        <v>0</v>
      </c>
      <c r="AA314" s="24" t="str">
        <f>IF(AND(U314&gt;='Amort. Sched.-BEST'!$AA$8, U314&lt;= ($AA$7+$AA$8)), W314/V314, " ")</f>
        <v xml:space="preserve"> </v>
      </c>
      <c r="AB314" s="25" t="str">
        <f>IF(AND(U314&gt;='Amort. Sched.-BEST'!$AA$8, U314&lt;= ($AA$7+$AA$8)), X314/V314, " ")</f>
        <v xml:space="preserve"> </v>
      </c>
      <c r="AD314" s="22">
        <f t="shared" si="71"/>
        <v>303</v>
      </c>
      <c r="AE314" s="5">
        <f t="shared" si="72"/>
        <v>0</v>
      </c>
      <c r="AF314" s="5">
        <f t="shared" si="73"/>
        <v>0</v>
      </c>
      <c r="AG314" s="5">
        <f t="shared" si="74"/>
        <v>0</v>
      </c>
      <c r="AH314" s="5">
        <f>IF(CreditAmort3BEST[[#This Row],[Month]]=AJ$8,AF$7,0)</f>
        <v>0</v>
      </c>
      <c r="AI314" s="13">
        <f t="shared" si="75"/>
        <v>0</v>
      </c>
      <c r="AJ314" s="6" t="str">
        <f t="shared" si="76"/>
        <v xml:space="preserve"> </v>
      </c>
      <c r="AK314" s="21" t="str">
        <f t="shared" si="77"/>
        <v xml:space="preserve"> </v>
      </c>
      <c r="AM314" s="20">
        <f t="shared" si="78"/>
        <v>303</v>
      </c>
      <c r="AN314" s="5">
        <f t="shared" si="79"/>
        <v>0</v>
      </c>
      <c r="AO314" s="5">
        <f t="shared" si="80"/>
        <v>0</v>
      </c>
      <c r="AP314" s="5">
        <f t="shared" si="81"/>
        <v>0</v>
      </c>
      <c r="AQ314" s="5">
        <f>IF(CreditAmort4BEST[[#This Row],[Month]]=AS$8,AO$7,0)</f>
        <v>0</v>
      </c>
      <c r="AR314" s="13">
        <f t="shared" si="82"/>
        <v>0</v>
      </c>
      <c r="AS314" s="6" t="str">
        <f t="shared" si="83"/>
        <v xml:space="preserve"> </v>
      </c>
      <c r="AT314" s="21" t="str">
        <f t="shared" si="84"/>
        <v xml:space="preserve"> </v>
      </c>
    </row>
    <row r="315" spans="3:46">
      <c r="C315" s="22">
        <f t="shared" si="69"/>
        <v>304</v>
      </c>
      <c r="D315" s="23">
        <f>IF(AND(C315&gt;='Amort. Sched.-BEST'!$I$8, C315&lt;= ($I$7+$I$8)), PMT('Amort. Sched.-BEST'!$E$8/12, 'Amort. Sched.-BEST'!$I$7, 'Amort. Sched.-BEST'!$E$7), 0)</f>
        <v>0</v>
      </c>
      <c r="E315" s="5">
        <f>IF(AND(C315&gt;='Amort. Sched.-BEST'!$I$8, C315&lt;= ($I$7+$I$8)), (IPMT($E$8/12, (C315-$I$8), $I$7, $E$7)), 0)</f>
        <v>0</v>
      </c>
      <c r="F315" s="23">
        <f>IF(AND(C315&gt;='Amort. Sched.-BEST'!$I$8, C315&lt;= ($I$7+$I$8)), (PPMT($E$8/12, (C315-$I$8), $I$7, $E$7)), 0)</f>
        <v>0</v>
      </c>
      <c r="G315" s="5">
        <f>IF(MortgageAmortBEST[[#This Row],[Month]]=I$8,E$7,0)</f>
        <v>0</v>
      </c>
      <c r="H315" s="13">
        <f>IF(AND(C315&gt;='Amort. Sched.-BEST'!$I$8, C315&lt;= ($I$7+$I$8)), H314+F315, 0)</f>
        <v>0</v>
      </c>
      <c r="I315" s="24" t="str">
        <f>IF(AND(C315&gt;='Amort. Sched.-BEST'!$I$8, C315&lt;= ($I$7+$I$8)), E315/D315, " ")</f>
        <v xml:space="preserve"> </v>
      </c>
      <c r="J315" s="25" t="str">
        <f>IF(AND(C315&gt;='Amort. Sched.-BEST'!$I$8, C315&lt;= ($I$7+$I$8)), F315/D315, " ")</f>
        <v xml:space="preserve"> </v>
      </c>
      <c r="L315" s="20">
        <f t="shared" si="68"/>
        <v>304</v>
      </c>
      <c r="M315" s="5">
        <f>IF(AND(L315&gt;='Amort. Sched.-BEST'!$R$8, L315&lt;= ($R$7+$R$8)), PMT('Amort. Sched.-BEST'!$N$8/12, 'Amort. Sched.-BEST'!$R$7, 'Amort. Sched.-BEST'!$N$7), 0)</f>
        <v>0</v>
      </c>
      <c r="N315" s="5">
        <f>IF(AND(L315&gt;='Amort. Sched.-BEST'!$R$8, L315&lt;= ($R$7+$R$8)), (IPMT($N$8/12, (L315-$R$8), $R$7, $N$7)), 0)</f>
        <v>0</v>
      </c>
      <c r="O315" s="5">
        <f>IF(AND(L315&gt;='Amort. Sched.-BEST'!$R$8, L315&lt;= ($R$7+$R$8)), (PPMT($N$8/12, (L315-$R$8), $R$7, $N$7)), 0)</f>
        <v>0</v>
      </c>
      <c r="P315" s="5">
        <f>IF(CreditAmort1BEST[[#This Row],[Month]]=R$8,N$7,0)</f>
        <v>0</v>
      </c>
      <c r="Q315" s="13">
        <f>IF(AND(L315&gt;='Amort. Sched.-BEST'!$R$8, L315&lt;= ($R$7+$R$8)), Q314+O315, 0)</f>
        <v>0</v>
      </c>
      <c r="R315" s="6" t="str">
        <f>IF(AND(L315&gt;='Amort. Sched.-BEST'!$R$8, L315&lt;= ($R$7+$R$8)), N315/M315, " ")</f>
        <v xml:space="preserve"> </v>
      </c>
      <c r="S315" s="21" t="str">
        <f>IF(AND(L315&gt;='Amort. Sched.-BEST'!$R$8, L315&lt;= ($R$7+$R$8)), O315/M315, " ")</f>
        <v xml:space="preserve"> </v>
      </c>
      <c r="U315" s="22">
        <f t="shared" si="70"/>
        <v>304</v>
      </c>
      <c r="V315" s="23">
        <f>IF(AND(U315&gt;='Amort. Sched.-BEST'!$AA$8, U315&lt;= ($AA$7+$AA$8)), PMT('Amort. Sched.-BEST'!$W$8/12, 'Amort. Sched.-BEST'!$AA$7, 'Amort. Sched.-BEST'!$W$7), 0)</f>
        <v>0</v>
      </c>
      <c r="W315" s="5">
        <f>IF(AND(U315&gt;='Amort. Sched.-BEST'!$AA$8, U315&lt;= ($AA$7+$AA$8)), (IPMT($W$8/12, (U315-$AA$8), $AA$7, $W$7)), 0)</f>
        <v>0</v>
      </c>
      <c r="X315" s="23">
        <f>IF(AND(U315&gt;='Amort. Sched.-BEST'!$AA$8, U315&lt;= ($AA$7+$AA$8)), (PPMT($W$8/12, (U315-$AA$8), $AA$7, $W$7)), 0)</f>
        <v>0</v>
      </c>
      <c r="Y315" s="5">
        <f>IF(CreditAmort2BEST[[#This Row],[Month]]=AA$8,W$7,0)</f>
        <v>0</v>
      </c>
      <c r="Z315" s="13">
        <f>IF(AND(U315&gt;='Amort. Sched.-BEST'!$AA$8, U315&lt;= ($AA$7+$AA$8)), Z314+X315, 0)</f>
        <v>0</v>
      </c>
      <c r="AA315" s="24" t="str">
        <f>IF(AND(U315&gt;='Amort. Sched.-BEST'!$AA$8, U315&lt;= ($AA$7+$AA$8)), W315/V315, " ")</f>
        <v xml:space="preserve"> </v>
      </c>
      <c r="AB315" s="25" t="str">
        <f>IF(AND(U315&gt;='Amort. Sched.-BEST'!$AA$8, U315&lt;= ($AA$7+$AA$8)), X315/V315, " ")</f>
        <v xml:space="preserve"> </v>
      </c>
      <c r="AD315" s="22">
        <f t="shared" si="71"/>
        <v>304</v>
      </c>
      <c r="AE315" s="5">
        <f t="shared" si="72"/>
        <v>0</v>
      </c>
      <c r="AF315" s="5">
        <f t="shared" si="73"/>
        <v>0</v>
      </c>
      <c r="AG315" s="5">
        <f t="shared" si="74"/>
        <v>0</v>
      </c>
      <c r="AH315" s="5">
        <f>IF(CreditAmort3BEST[[#This Row],[Month]]=AJ$8,AF$7,0)</f>
        <v>0</v>
      </c>
      <c r="AI315" s="13">
        <f t="shared" si="75"/>
        <v>0</v>
      </c>
      <c r="AJ315" s="6" t="str">
        <f t="shared" si="76"/>
        <v xml:space="preserve"> </v>
      </c>
      <c r="AK315" s="21" t="str">
        <f t="shared" si="77"/>
        <v xml:space="preserve"> </v>
      </c>
      <c r="AM315" s="20">
        <f t="shared" si="78"/>
        <v>304</v>
      </c>
      <c r="AN315" s="5">
        <f t="shared" si="79"/>
        <v>0</v>
      </c>
      <c r="AO315" s="5">
        <f t="shared" si="80"/>
        <v>0</v>
      </c>
      <c r="AP315" s="5">
        <f t="shared" si="81"/>
        <v>0</v>
      </c>
      <c r="AQ315" s="5">
        <f>IF(CreditAmort4BEST[[#This Row],[Month]]=AS$8,AO$7,0)</f>
        <v>0</v>
      </c>
      <c r="AR315" s="13">
        <f t="shared" si="82"/>
        <v>0</v>
      </c>
      <c r="AS315" s="6" t="str">
        <f t="shared" si="83"/>
        <v xml:space="preserve"> </v>
      </c>
      <c r="AT315" s="21" t="str">
        <f t="shared" si="84"/>
        <v xml:space="preserve"> </v>
      </c>
    </row>
    <row r="316" spans="3:46">
      <c r="C316" s="22">
        <f t="shared" si="69"/>
        <v>305</v>
      </c>
      <c r="D316" s="23">
        <f>IF(AND(C316&gt;='Amort. Sched.-BEST'!$I$8, C316&lt;= ($I$7+$I$8)), PMT('Amort. Sched.-BEST'!$E$8/12, 'Amort. Sched.-BEST'!$I$7, 'Amort. Sched.-BEST'!$E$7), 0)</f>
        <v>0</v>
      </c>
      <c r="E316" s="5">
        <f>IF(AND(C316&gt;='Amort. Sched.-BEST'!$I$8, C316&lt;= ($I$7+$I$8)), (IPMT($E$8/12, (C316-$I$8), $I$7, $E$7)), 0)</f>
        <v>0</v>
      </c>
      <c r="F316" s="23">
        <f>IF(AND(C316&gt;='Amort. Sched.-BEST'!$I$8, C316&lt;= ($I$7+$I$8)), (PPMT($E$8/12, (C316-$I$8), $I$7, $E$7)), 0)</f>
        <v>0</v>
      </c>
      <c r="G316" s="5">
        <f>IF(MortgageAmortBEST[[#This Row],[Month]]=I$8,E$7,0)</f>
        <v>0</v>
      </c>
      <c r="H316" s="13">
        <f>IF(AND(C316&gt;='Amort. Sched.-BEST'!$I$8, C316&lt;= ($I$7+$I$8)), H315+F316, 0)</f>
        <v>0</v>
      </c>
      <c r="I316" s="24" t="str">
        <f>IF(AND(C316&gt;='Amort. Sched.-BEST'!$I$8, C316&lt;= ($I$7+$I$8)), E316/D316, " ")</f>
        <v xml:space="preserve"> </v>
      </c>
      <c r="J316" s="25" t="str">
        <f>IF(AND(C316&gt;='Amort. Sched.-BEST'!$I$8, C316&lt;= ($I$7+$I$8)), F316/D316, " ")</f>
        <v xml:space="preserve"> </v>
      </c>
      <c r="L316" s="20">
        <f t="shared" si="68"/>
        <v>305</v>
      </c>
      <c r="M316" s="5">
        <f>IF(AND(L316&gt;='Amort. Sched.-BEST'!$R$8, L316&lt;= ($R$7+$R$8)), PMT('Amort. Sched.-BEST'!$N$8/12, 'Amort. Sched.-BEST'!$R$7, 'Amort. Sched.-BEST'!$N$7), 0)</f>
        <v>0</v>
      </c>
      <c r="N316" s="5">
        <f>IF(AND(L316&gt;='Amort. Sched.-BEST'!$R$8, L316&lt;= ($R$7+$R$8)), (IPMT($N$8/12, (L316-$R$8), $R$7, $N$7)), 0)</f>
        <v>0</v>
      </c>
      <c r="O316" s="5">
        <f>IF(AND(L316&gt;='Amort. Sched.-BEST'!$R$8, L316&lt;= ($R$7+$R$8)), (PPMT($N$8/12, (L316-$R$8), $R$7, $N$7)), 0)</f>
        <v>0</v>
      </c>
      <c r="P316" s="5">
        <f>IF(CreditAmort1BEST[[#This Row],[Month]]=R$8,N$7,0)</f>
        <v>0</v>
      </c>
      <c r="Q316" s="13">
        <f>IF(AND(L316&gt;='Amort. Sched.-BEST'!$R$8, L316&lt;= ($R$7+$R$8)), Q315+O316, 0)</f>
        <v>0</v>
      </c>
      <c r="R316" s="6" t="str">
        <f>IF(AND(L316&gt;='Amort. Sched.-BEST'!$R$8, L316&lt;= ($R$7+$R$8)), N316/M316, " ")</f>
        <v xml:space="preserve"> </v>
      </c>
      <c r="S316" s="21" t="str">
        <f>IF(AND(L316&gt;='Amort. Sched.-BEST'!$R$8, L316&lt;= ($R$7+$R$8)), O316/M316, " ")</f>
        <v xml:space="preserve"> </v>
      </c>
      <c r="U316" s="22">
        <f t="shared" si="70"/>
        <v>305</v>
      </c>
      <c r="V316" s="23">
        <f>IF(AND(U316&gt;='Amort. Sched.-BEST'!$AA$8, U316&lt;= ($AA$7+$AA$8)), PMT('Amort. Sched.-BEST'!$W$8/12, 'Amort. Sched.-BEST'!$AA$7, 'Amort. Sched.-BEST'!$W$7), 0)</f>
        <v>0</v>
      </c>
      <c r="W316" s="5">
        <f>IF(AND(U316&gt;='Amort. Sched.-BEST'!$AA$8, U316&lt;= ($AA$7+$AA$8)), (IPMT($W$8/12, (U316-$AA$8), $AA$7, $W$7)), 0)</f>
        <v>0</v>
      </c>
      <c r="X316" s="23">
        <f>IF(AND(U316&gt;='Amort. Sched.-BEST'!$AA$8, U316&lt;= ($AA$7+$AA$8)), (PPMT($W$8/12, (U316-$AA$8), $AA$7, $W$7)), 0)</f>
        <v>0</v>
      </c>
      <c r="Y316" s="5">
        <f>IF(CreditAmort2BEST[[#This Row],[Month]]=AA$8,W$7,0)</f>
        <v>0</v>
      </c>
      <c r="Z316" s="13">
        <f>IF(AND(U316&gt;='Amort. Sched.-BEST'!$AA$8, U316&lt;= ($AA$7+$AA$8)), Z315+X316, 0)</f>
        <v>0</v>
      </c>
      <c r="AA316" s="24" t="str">
        <f>IF(AND(U316&gt;='Amort. Sched.-BEST'!$AA$8, U316&lt;= ($AA$7+$AA$8)), W316/V316, " ")</f>
        <v xml:space="preserve"> </v>
      </c>
      <c r="AB316" s="25" t="str">
        <f>IF(AND(U316&gt;='Amort. Sched.-BEST'!$AA$8, U316&lt;= ($AA$7+$AA$8)), X316/V316, " ")</f>
        <v xml:space="preserve"> </v>
      </c>
      <c r="AD316" s="22">
        <f t="shared" si="71"/>
        <v>305</v>
      </c>
      <c r="AE316" s="5">
        <f t="shared" si="72"/>
        <v>0</v>
      </c>
      <c r="AF316" s="5">
        <f t="shared" si="73"/>
        <v>0</v>
      </c>
      <c r="AG316" s="5">
        <f t="shared" si="74"/>
        <v>0</v>
      </c>
      <c r="AH316" s="5">
        <f>IF(CreditAmort3BEST[[#This Row],[Month]]=AJ$8,AF$7,0)</f>
        <v>0</v>
      </c>
      <c r="AI316" s="13">
        <f t="shared" si="75"/>
        <v>0</v>
      </c>
      <c r="AJ316" s="6" t="str">
        <f t="shared" si="76"/>
        <v xml:space="preserve"> </v>
      </c>
      <c r="AK316" s="21" t="str">
        <f t="shared" si="77"/>
        <v xml:space="preserve"> </v>
      </c>
      <c r="AM316" s="20">
        <f t="shared" si="78"/>
        <v>305</v>
      </c>
      <c r="AN316" s="5">
        <f t="shared" si="79"/>
        <v>0</v>
      </c>
      <c r="AO316" s="5">
        <f t="shared" si="80"/>
        <v>0</v>
      </c>
      <c r="AP316" s="5">
        <f t="shared" si="81"/>
        <v>0</v>
      </c>
      <c r="AQ316" s="5">
        <f>IF(CreditAmort4BEST[[#This Row],[Month]]=AS$8,AO$7,0)</f>
        <v>0</v>
      </c>
      <c r="AR316" s="13">
        <f t="shared" si="82"/>
        <v>0</v>
      </c>
      <c r="AS316" s="6" t="str">
        <f t="shared" si="83"/>
        <v xml:space="preserve"> </v>
      </c>
      <c r="AT316" s="21" t="str">
        <f t="shared" si="84"/>
        <v xml:space="preserve"> </v>
      </c>
    </row>
    <row r="317" spans="3:46">
      <c r="C317" s="22">
        <f t="shared" si="69"/>
        <v>306</v>
      </c>
      <c r="D317" s="23">
        <f>IF(AND(C317&gt;='Amort. Sched.-BEST'!$I$8, C317&lt;= ($I$7+$I$8)), PMT('Amort. Sched.-BEST'!$E$8/12, 'Amort. Sched.-BEST'!$I$7, 'Amort. Sched.-BEST'!$E$7), 0)</f>
        <v>0</v>
      </c>
      <c r="E317" s="5">
        <f>IF(AND(C317&gt;='Amort. Sched.-BEST'!$I$8, C317&lt;= ($I$7+$I$8)), (IPMT($E$8/12, (C317-$I$8), $I$7, $E$7)), 0)</f>
        <v>0</v>
      </c>
      <c r="F317" s="23">
        <f>IF(AND(C317&gt;='Amort. Sched.-BEST'!$I$8, C317&lt;= ($I$7+$I$8)), (PPMT($E$8/12, (C317-$I$8), $I$7, $E$7)), 0)</f>
        <v>0</v>
      </c>
      <c r="G317" s="5">
        <f>IF(MortgageAmortBEST[[#This Row],[Month]]=I$8,E$7,0)</f>
        <v>0</v>
      </c>
      <c r="H317" s="13">
        <f>IF(AND(C317&gt;='Amort. Sched.-BEST'!$I$8, C317&lt;= ($I$7+$I$8)), H316+F317, 0)</f>
        <v>0</v>
      </c>
      <c r="I317" s="24" t="str">
        <f>IF(AND(C317&gt;='Amort. Sched.-BEST'!$I$8, C317&lt;= ($I$7+$I$8)), E317/D317, " ")</f>
        <v xml:space="preserve"> </v>
      </c>
      <c r="J317" s="25" t="str">
        <f>IF(AND(C317&gt;='Amort. Sched.-BEST'!$I$8, C317&lt;= ($I$7+$I$8)), F317/D317, " ")</f>
        <v xml:space="preserve"> </v>
      </c>
      <c r="L317" s="20">
        <f t="shared" si="68"/>
        <v>306</v>
      </c>
      <c r="M317" s="5">
        <f>IF(AND(L317&gt;='Amort. Sched.-BEST'!$R$8, L317&lt;= ($R$7+$R$8)), PMT('Amort. Sched.-BEST'!$N$8/12, 'Amort. Sched.-BEST'!$R$7, 'Amort. Sched.-BEST'!$N$7), 0)</f>
        <v>0</v>
      </c>
      <c r="N317" s="5">
        <f>IF(AND(L317&gt;='Amort. Sched.-BEST'!$R$8, L317&lt;= ($R$7+$R$8)), (IPMT($N$8/12, (L317-$R$8), $R$7, $N$7)), 0)</f>
        <v>0</v>
      </c>
      <c r="O317" s="5">
        <f>IF(AND(L317&gt;='Amort. Sched.-BEST'!$R$8, L317&lt;= ($R$7+$R$8)), (PPMT($N$8/12, (L317-$R$8), $R$7, $N$7)), 0)</f>
        <v>0</v>
      </c>
      <c r="P317" s="5">
        <f>IF(CreditAmort1BEST[[#This Row],[Month]]=R$8,N$7,0)</f>
        <v>0</v>
      </c>
      <c r="Q317" s="13">
        <f>IF(AND(L317&gt;='Amort. Sched.-BEST'!$R$8, L317&lt;= ($R$7+$R$8)), Q316+O317, 0)</f>
        <v>0</v>
      </c>
      <c r="R317" s="6" t="str">
        <f>IF(AND(L317&gt;='Amort. Sched.-BEST'!$R$8, L317&lt;= ($R$7+$R$8)), N317/M317, " ")</f>
        <v xml:space="preserve"> </v>
      </c>
      <c r="S317" s="21" t="str">
        <f>IF(AND(L317&gt;='Amort. Sched.-BEST'!$R$8, L317&lt;= ($R$7+$R$8)), O317/M317, " ")</f>
        <v xml:space="preserve"> </v>
      </c>
      <c r="U317" s="22">
        <f t="shared" si="70"/>
        <v>306</v>
      </c>
      <c r="V317" s="23">
        <f>IF(AND(U317&gt;='Amort. Sched.-BEST'!$AA$8, U317&lt;= ($AA$7+$AA$8)), PMT('Amort. Sched.-BEST'!$W$8/12, 'Amort. Sched.-BEST'!$AA$7, 'Amort. Sched.-BEST'!$W$7), 0)</f>
        <v>0</v>
      </c>
      <c r="W317" s="5">
        <f>IF(AND(U317&gt;='Amort. Sched.-BEST'!$AA$8, U317&lt;= ($AA$7+$AA$8)), (IPMT($W$8/12, (U317-$AA$8), $AA$7, $W$7)), 0)</f>
        <v>0</v>
      </c>
      <c r="X317" s="23">
        <f>IF(AND(U317&gt;='Amort. Sched.-BEST'!$AA$8, U317&lt;= ($AA$7+$AA$8)), (PPMT($W$8/12, (U317-$AA$8), $AA$7, $W$7)), 0)</f>
        <v>0</v>
      </c>
      <c r="Y317" s="5">
        <f>IF(CreditAmort2BEST[[#This Row],[Month]]=AA$8,W$7,0)</f>
        <v>0</v>
      </c>
      <c r="Z317" s="13">
        <f>IF(AND(U317&gt;='Amort. Sched.-BEST'!$AA$8, U317&lt;= ($AA$7+$AA$8)), Z316+X317, 0)</f>
        <v>0</v>
      </c>
      <c r="AA317" s="24" t="str">
        <f>IF(AND(U317&gt;='Amort. Sched.-BEST'!$AA$8, U317&lt;= ($AA$7+$AA$8)), W317/V317, " ")</f>
        <v xml:space="preserve"> </v>
      </c>
      <c r="AB317" s="25" t="str">
        <f>IF(AND(U317&gt;='Amort. Sched.-BEST'!$AA$8, U317&lt;= ($AA$7+$AA$8)), X317/V317, " ")</f>
        <v xml:space="preserve"> </v>
      </c>
      <c r="AD317" s="22">
        <f t="shared" si="71"/>
        <v>306</v>
      </c>
      <c r="AE317" s="5">
        <f t="shared" si="72"/>
        <v>0</v>
      </c>
      <c r="AF317" s="5">
        <f t="shared" si="73"/>
        <v>0</v>
      </c>
      <c r="AG317" s="5">
        <f t="shared" si="74"/>
        <v>0</v>
      </c>
      <c r="AH317" s="5">
        <f>IF(CreditAmort3BEST[[#This Row],[Month]]=AJ$8,AF$7,0)</f>
        <v>0</v>
      </c>
      <c r="AI317" s="13">
        <f t="shared" si="75"/>
        <v>0</v>
      </c>
      <c r="AJ317" s="6" t="str">
        <f t="shared" si="76"/>
        <v xml:space="preserve"> </v>
      </c>
      <c r="AK317" s="21" t="str">
        <f t="shared" si="77"/>
        <v xml:space="preserve"> </v>
      </c>
      <c r="AM317" s="20">
        <f t="shared" si="78"/>
        <v>306</v>
      </c>
      <c r="AN317" s="5">
        <f t="shared" si="79"/>
        <v>0</v>
      </c>
      <c r="AO317" s="5">
        <f t="shared" si="80"/>
        <v>0</v>
      </c>
      <c r="AP317" s="5">
        <f t="shared" si="81"/>
        <v>0</v>
      </c>
      <c r="AQ317" s="5">
        <f>IF(CreditAmort4BEST[[#This Row],[Month]]=AS$8,AO$7,0)</f>
        <v>0</v>
      </c>
      <c r="AR317" s="13">
        <f t="shared" si="82"/>
        <v>0</v>
      </c>
      <c r="AS317" s="6" t="str">
        <f t="shared" si="83"/>
        <v xml:space="preserve"> </v>
      </c>
      <c r="AT317" s="21" t="str">
        <f t="shared" si="84"/>
        <v xml:space="preserve"> </v>
      </c>
    </row>
    <row r="318" spans="3:46">
      <c r="C318" s="22">
        <f t="shared" si="69"/>
        <v>307</v>
      </c>
      <c r="D318" s="23">
        <f>IF(AND(C318&gt;='Amort. Sched.-BEST'!$I$8, C318&lt;= ($I$7+$I$8)), PMT('Amort. Sched.-BEST'!$E$8/12, 'Amort. Sched.-BEST'!$I$7, 'Amort. Sched.-BEST'!$E$7), 0)</f>
        <v>0</v>
      </c>
      <c r="E318" s="5">
        <f>IF(AND(C318&gt;='Amort. Sched.-BEST'!$I$8, C318&lt;= ($I$7+$I$8)), (IPMT($E$8/12, (C318-$I$8), $I$7, $E$7)), 0)</f>
        <v>0</v>
      </c>
      <c r="F318" s="23">
        <f>IF(AND(C318&gt;='Amort. Sched.-BEST'!$I$8, C318&lt;= ($I$7+$I$8)), (PPMT($E$8/12, (C318-$I$8), $I$7, $E$7)), 0)</f>
        <v>0</v>
      </c>
      <c r="G318" s="5">
        <f>IF(MortgageAmortBEST[[#This Row],[Month]]=I$8,E$7,0)</f>
        <v>0</v>
      </c>
      <c r="H318" s="13">
        <f>IF(AND(C318&gt;='Amort. Sched.-BEST'!$I$8, C318&lt;= ($I$7+$I$8)), H317+F318, 0)</f>
        <v>0</v>
      </c>
      <c r="I318" s="24" t="str">
        <f>IF(AND(C318&gt;='Amort. Sched.-BEST'!$I$8, C318&lt;= ($I$7+$I$8)), E318/D318, " ")</f>
        <v xml:space="preserve"> </v>
      </c>
      <c r="J318" s="25" t="str">
        <f>IF(AND(C318&gt;='Amort. Sched.-BEST'!$I$8, C318&lt;= ($I$7+$I$8)), F318/D318, " ")</f>
        <v xml:space="preserve"> </v>
      </c>
      <c r="L318" s="20">
        <f t="shared" si="68"/>
        <v>307</v>
      </c>
      <c r="M318" s="5">
        <f>IF(AND(L318&gt;='Amort. Sched.-BEST'!$R$8, L318&lt;= ($R$7+$R$8)), PMT('Amort. Sched.-BEST'!$N$8/12, 'Amort. Sched.-BEST'!$R$7, 'Amort. Sched.-BEST'!$N$7), 0)</f>
        <v>0</v>
      </c>
      <c r="N318" s="5">
        <f>IF(AND(L318&gt;='Amort. Sched.-BEST'!$R$8, L318&lt;= ($R$7+$R$8)), (IPMT($N$8/12, (L318-$R$8), $R$7, $N$7)), 0)</f>
        <v>0</v>
      </c>
      <c r="O318" s="5">
        <f>IF(AND(L318&gt;='Amort. Sched.-BEST'!$R$8, L318&lt;= ($R$7+$R$8)), (PPMT($N$8/12, (L318-$R$8), $R$7, $N$7)), 0)</f>
        <v>0</v>
      </c>
      <c r="P318" s="5">
        <f>IF(CreditAmort1BEST[[#This Row],[Month]]=R$8,N$7,0)</f>
        <v>0</v>
      </c>
      <c r="Q318" s="13">
        <f>IF(AND(L318&gt;='Amort. Sched.-BEST'!$R$8, L318&lt;= ($R$7+$R$8)), Q317+O318, 0)</f>
        <v>0</v>
      </c>
      <c r="R318" s="6" t="str">
        <f>IF(AND(L318&gt;='Amort. Sched.-BEST'!$R$8, L318&lt;= ($R$7+$R$8)), N318/M318, " ")</f>
        <v xml:space="preserve"> </v>
      </c>
      <c r="S318" s="21" t="str">
        <f>IF(AND(L318&gt;='Amort. Sched.-BEST'!$R$8, L318&lt;= ($R$7+$R$8)), O318/M318, " ")</f>
        <v xml:space="preserve"> </v>
      </c>
      <c r="U318" s="22">
        <f t="shared" si="70"/>
        <v>307</v>
      </c>
      <c r="V318" s="23">
        <f>IF(AND(U318&gt;='Amort. Sched.-BEST'!$AA$8, U318&lt;= ($AA$7+$AA$8)), PMT('Amort. Sched.-BEST'!$W$8/12, 'Amort. Sched.-BEST'!$AA$7, 'Amort. Sched.-BEST'!$W$7), 0)</f>
        <v>0</v>
      </c>
      <c r="W318" s="5">
        <f>IF(AND(U318&gt;='Amort. Sched.-BEST'!$AA$8, U318&lt;= ($AA$7+$AA$8)), (IPMT($W$8/12, (U318-$AA$8), $AA$7, $W$7)), 0)</f>
        <v>0</v>
      </c>
      <c r="X318" s="23">
        <f>IF(AND(U318&gt;='Amort. Sched.-BEST'!$AA$8, U318&lt;= ($AA$7+$AA$8)), (PPMT($W$8/12, (U318-$AA$8), $AA$7, $W$7)), 0)</f>
        <v>0</v>
      </c>
      <c r="Y318" s="5">
        <f>IF(CreditAmort2BEST[[#This Row],[Month]]=AA$8,W$7,0)</f>
        <v>0</v>
      </c>
      <c r="Z318" s="13">
        <f>IF(AND(U318&gt;='Amort. Sched.-BEST'!$AA$8, U318&lt;= ($AA$7+$AA$8)), Z317+X318, 0)</f>
        <v>0</v>
      </c>
      <c r="AA318" s="24" t="str">
        <f>IF(AND(U318&gt;='Amort. Sched.-BEST'!$AA$8, U318&lt;= ($AA$7+$AA$8)), W318/V318, " ")</f>
        <v xml:space="preserve"> </v>
      </c>
      <c r="AB318" s="25" t="str">
        <f>IF(AND(U318&gt;='Amort. Sched.-BEST'!$AA$8, U318&lt;= ($AA$7+$AA$8)), X318/V318, " ")</f>
        <v xml:space="preserve"> </v>
      </c>
      <c r="AD318" s="22">
        <f t="shared" si="71"/>
        <v>307</v>
      </c>
      <c r="AE318" s="5">
        <f t="shared" si="72"/>
        <v>0</v>
      </c>
      <c r="AF318" s="5">
        <f t="shared" si="73"/>
        <v>0</v>
      </c>
      <c r="AG318" s="5">
        <f t="shared" si="74"/>
        <v>0</v>
      </c>
      <c r="AH318" s="5">
        <f>IF(CreditAmort3BEST[[#This Row],[Month]]=AJ$8,AF$7,0)</f>
        <v>0</v>
      </c>
      <c r="AI318" s="13">
        <f t="shared" si="75"/>
        <v>0</v>
      </c>
      <c r="AJ318" s="6" t="str">
        <f t="shared" si="76"/>
        <v xml:space="preserve"> </v>
      </c>
      <c r="AK318" s="21" t="str">
        <f t="shared" si="77"/>
        <v xml:space="preserve"> </v>
      </c>
      <c r="AM318" s="20">
        <f t="shared" si="78"/>
        <v>307</v>
      </c>
      <c r="AN318" s="5">
        <f t="shared" si="79"/>
        <v>0</v>
      </c>
      <c r="AO318" s="5">
        <f t="shared" si="80"/>
        <v>0</v>
      </c>
      <c r="AP318" s="5">
        <f t="shared" si="81"/>
        <v>0</v>
      </c>
      <c r="AQ318" s="5">
        <f>IF(CreditAmort4BEST[[#This Row],[Month]]=AS$8,AO$7,0)</f>
        <v>0</v>
      </c>
      <c r="AR318" s="13">
        <f t="shared" si="82"/>
        <v>0</v>
      </c>
      <c r="AS318" s="6" t="str">
        <f t="shared" si="83"/>
        <v xml:space="preserve"> </v>
      </c>
      <c r="AT318" s="21" t="str">
        <f t="shared" si="84"/>
        <v xml:space="preserve"> </v>
      </c>
    </row>
    <row r="319" spans="3:46">
      <c r="C319" s="22">
        <f t="shared" si="69"/>
        <v>308</v>
      </c>
      <c r="D319" s="23">
        <f>IF(AND(C319&gt;='Amort. Sched.-BEST'!$I$8, C319&lt;= ($I$7+$I$8)), PMT('Amort. Sched.-BEST'!$E$8/12, 'Amort. Sched.-BEST'!$I$7, 'Amort. Sched.-BEST'!$E$7), 0)</f>
        <v>0</v>
      </c>
      <c r="E319" s="5">
        <f>IF(AND(C319&gt;='Amort. Sched.-BEST'!$I$8, C319&lt;= ($I$7+$I$8)), (IPMT($E$8/12, (C319-$I$8), $I$7, $E$7)), 0)</f>
        <v>0</v>
      </c>
      <c r="F319" s="23">
        <f>IF(AND(C319&gt;='Amort. Sched.-BEST'!$I$8, C319&lt;= ($I$7+$I$8)), (PPMT($E$8/12, (C319-$I$8), $I$7, $E$7)), 0)</f>
        <v>0</v>
      </c>
      <c r="G319" s="5">
        <f>IF(MortgageAmortBEST[[#This Row],[Month]]=I$8,E$7,0)</f>
        <v>0</v>
      </c>
      <c r="H319" s="13">
        <f>IF(AND(C319&gt;='Amort. Sched.-BEST'!$I$8, C319&lt;= ($I$7+$I$8)), H318+F319, 0)</f>
        <v>0</v>
      </c>
      <c r="I319" s="24" t="str">
        <f>IF(AND(C319&gt;='Amort. Sched.-BEST'!$I$8, C319&lt;= ($I$7+$I$8)), E319/D319, " ")</f>
        <v xml:space="preserve"> </v>
      </c>
      <c r="J319" s="25" t="str">
        <f>IF(AND(C319&gt;='Amort. Sched.-BEST'!$I$8, C319&lt;= ($I$7+$I$8)), F319/D319, " ")</f>
        <v xml:space="preserve"> </v>
      </c>
      <c r="L319" s="20">
        <f t="shared" si="68"/>
        <v>308</v>
      </c>
      <c r="M319" s="5">
        <f>IF(AND(L319&gt;='Amort. Sched.-BEST'!$R$8, L319&lt;= ($R$7+$R$8)), PMT('Amort. Sched.-BEST'!$N$8/12, 'Amort. Sched.-BEST'!$R$7, 'Amort. Sched.-BEST'!$N$7), 0)</f>
        <v>0</v>
      </c>
      <c r="N319" s="5">
        <f>IF(AND(L319&gt;='Amort. Sched.-BEST'!$R$8, L319&lt;= ($R$7+$R$8)), (IPMT($N$8/12, (L319-$R$8), $R$7, $N$7)), 0)</f>
        <v>0</v>
      </c>
      <c r="O319" s="5">
        <f>IF(AND(L319&gt;='Amort. Sched.-BEST'!$R$8, L319&lt;= ($R$7+$R$8)), (PPMT($N$8/12, (L319-$R$8), $R$7, $N$7)), 0)</f>
        <v>0</v>
      </c>
      <c r="P319" s="5">
        <f>IF(CreditAmort1BEST[[#This Row],[Month]]=R$8,N$7,0)</f>
        <v>0</v>
      </c>
      <c r="Q319" s="13">
        <f>IF(AND(L319&gt;='Amort. Sched.-BEST'!$R$8, L319&lt;= ($R$7+$R$8)), Q318+O319, 0)</f>
        <v>0</v>
      </c>
      <c r="R319" s="6" t="str">
        <f>IF(AND(L319&gt;='Amort. Sched.-BEST'!$R$8, L319&lt;= ($R$7+$R$8)), N319/M319, " ")</f>
        <v xml:space="preserve"> </v>
      </c>
      <c r="S319" s="21" t="str">
        <f>IF(AND(L319&gt;='Amort. Sched.-BEST'!$R$8, L319&lt;= ($R$7+$R$8)), O319/M319, " ")</f>
        <v xml:space="preserve"> </v>
      </c>
      <c r="U319" s="22">
        <f t="shared" si="70"/>
        <v>308</v>
      </c>
      <c r="V319" s="23">
        <f>IF(AND(U319&gt;='Amort. Sched.-BEST'!$AA$8, U319&lt;= ($AA$7+$AA$8)), PMT('Amort. Sched.-BEST'!$W$8/12, 'Amort. Sched.-BEST'!$AA$7, 'Amort. Sched.-BEST'!$W$7), 0)</f>
        <v>0</v>
      </c>
      <c r="W319" s="5">
        <f>IF(AND(U319&gt;='Amort. Sched.-BEST'!$AA$8, U319&lt;= ($AA$7+$AA$8)), (IPMT($W$8/12, (U319-$AA$8), $AA$7, $W$7)), 0)</f>
        <v>0</v>
      </c>
      <c r="X319" s="23">
        <f>IF(AND(U319&gt;='Amort. Sched.-BEST'!$AA$8, U319&lt;= ($AA$7+$AA$8)), (PPMT($W$8/12, (U319-$AA$8), $AA$7, $W$7)), 0)</f>
        <v>0</v>
      </c>
      <c r="Y319" s="5">
        <f>IF(CreditAmort2BEST[[#This Row],[Month]]=AA$8,W$7,0)</f>
        <v>0</v>
      </c>
      <c r="Z319" s="13">
        <f>IF(AND(U319&gt;='Amort. Sched.-BEST'!$AA$8, U319&lt;= ($AA$7+$AA$8)), Z318+X319, 0)</f>
        <v>0</v>
      </c>
      <c r="AA319" s="24" t="str">
        <f>IF(AND(U319&gt;='Amort. Sched.-BEST'!$AA$8, U319&lt;= ($AA$7+$AA$8)), W319/V319, " ")</f>
        <v xml:space="preserve"> </v>
      </c>
      <c r="AB319" s="25" t="str">
        <f>IF(AND(U319&gt;='Amort. Sched.-BEST'!$AA$8, U319&lt;= ($AA$7+$AA$8)), X319/V319, " ")</f>
        <v xml:space="preserve"> </v>
      </c>
      <c r="AD319" s="22">
        <f t="shared" si="71"/>
        <v>308</v>
      </c>
      <c r="AE319" s="5">
        <f t="shared" si="72"/>
        <v>0</v>
      </c>
      <c r="AF319" s="5">
        <f t="shared" si="73"/>
        <v>0</v>
      </c>
      <c r="AG319" s="5">
        <f t="shared" si="74"/>
        <v>0</v>
      </c>
      <c r="AH319" s="5">
        <f>IF(CreditAmort3BEST[[#This Row],[Month]]=AJ$8,AF$7,0)</f>
        <v>0</v>
      </c>
      <c r="AI319" s="13">
        <f t="shared" si="75"/>
        <v>0</v>
      </c>
      <c r="AJ319" s="6" t="str">
        <f t="shared" si="76"/>
        <v xml:space="preserve"> </v>
      </c>
      <c r="AK319" s="21" t="str">
        <f t="shared" si="77"/>
        <v xml:space="preserve"> </v>
      </c>
      <c r="AM319" s="20">
        <f t="shared" si="78"/>
        <v>308</v>
      </c>
      <c r="AN319" s="5">
        <f t="shared" si="79"/>
        <v>0</v>
      </c>
      <c r="AO319" s="5">
        <f t="shared" si="80"/>
        <v>0</v>
      </c>
      <c r="AP319" s="5">
        <f t="shared" si="81"/>
        <v>0</v>
      </c>
      <c r="AQ319" s="5">
        <f>IF(CreditAmort4BEST[[#This Row],[Month]]=AS$8,AO$7,0)</f>
        <v>0</v>
      </c>
      <c r="AR319" s="13">
        <f t="shared" si="82"/>
        <v>0</v>
      </c>
      <c r="AS319" s="6" t="str">
        <f t="shared" si="83"/>
        <v xml:space="preserve"> </v>
      </c>
      <c r="AT319" s="21" t="str">
        <f t="shared" si="84"/>
        <v xml:space="preserve"> </v>
      </c>
    </row>
    <row r="320" spans="3:46">
      <c r="C320" s="22">
        <f t="shared" si="69"/>
        <v>309</v>
      </c>
      <c r="D320" s="23">
        <f>IF(AND(C320&gt;='Amort. Sched.-BEST'!$I$8, C320&lt;= ($I$7+$I$8)), PMT('Amort. Sched.-BEST'!$E$8/12, 'Amort. Sched.-BEST'!$I$7, 'Amort. Sched.-BEST'!$E$7), 0)</f>
        <v>0</v>
      </c>
      <c r="E320" s="5">
        <f>IF(AND(C320&gt;='Amort. Sched.-BEST'!$I$8, C320&lt;= ($I$7+$I$8)), (IPMT($E$8/12, (C320-$I$8), $I$7, $E$7)), 0)</f>
        <v>0</v>
      </c>
      <c r="F320" s="23">
        <f>IF(AND(C320&gt;='Amort. Sched.-BEST'!$I$8, C320&lt;= ($I$7+$I$8)), (PPMT($E$8/12, (C320-$I$8), $I$7, $E$7)), 0)</f>
        <v>0</v>
      </c>
      <c r="G320" s="5">
        <f>IF(MortgageAmortBEST[[#This Row],[Month]]=I$8,E$7,0)</f>
        <v>0</v>
      </c>
      <c r="H320" s="13">
        <f>IF(AND(C320&gt;='Amort. Sched.-BEST'!$I$8, C320&lt;= ($I$7+$I$8)), H319+F320, 0)</f>
        <v>0</v>
      </c>
      <c r="I320" s="24" t="str">
        <f>IF(AND(C320&gt;='Amort. Sched.-BEST'!$I$8, C320&lt;= ($I$7+$I$8)), E320/D320, " ")</f>
        <v xml:space="preserve"> </v>
      </c>
      <c r="J320" s="25" t="str">
        <f>IF(AND(C320&gt;='Amort. Sched.-BEST'!$I$8, C320&lt;= ($I$7+$I$8)), F320/D320, " ")</f>
        <v xml:space="preserve"> </v>
      </c>
      <c r="L320" s="20">
        <f t="shared" si="68"/>
        <v>309</v>
      </c>
      <c r="M320" s="5">
        <f>IF(AND(L320&gt;='Amort. Sched.-BEST'!$R$8, L320&lt;= ($R$7+$R$8)), PMT('Amort. Sched.-BEST'!$N$8/12, 'Amort. Sched.-BEST'!$R$7, 'Amort. Sched.-BEST'!$N$7), 0)</f>
        <v>0</v>
      </c>
      <c r="N320" s="5">
        <f>IF(AND(L320&gt;='Amort. Sched.-BEST'!$R$8, L320&lt;= ($R$7+$R$8)), (IPMT($N$8/12, (L320-$R$8), $R$7, $N$7)), 0)</f>
        <v>0</v>
      </c>
      <c r="O320" s="5">
        <f>IF(AND(L320&gt;='Amort. Sched.-BEST'!$R$8, L320&lt;= ($R$7+$R$8)), (PPMT($N$8/12, (L320-$R$8), $R$7, $N$7)), 0)</f>
        <v>0</v>
      </c>
      <c r="P320" s="5">
        <f>IF(CreditAmort1BEST[[#This Row],[Month]]=R$8,N$7,0)</f>
        <v>0</v>
      </c>
      <c r="Q320" s="13">
        <f>IF(AND(L320&gt;='Amort. Sched.-BEST'!$R$8, L320&lt;= ($R$7+$R$8)), Q319+O320, 0)</f>
        <v>0</v>
      </c>
      <c r="R320" s="6" t="str">
        <f>IF(AND(L320&gt;='Amort. Sched.-BEST'!$R$8, L320&lt;= ($R$7+$R$8)), N320/M320, " ")</f>
        <v xml:space="preserve"> </v>
      </c>
      <c r="S320" s="21" t="str">
        <f>IF(AND(L320&gt;='Amort. Sched.-BEST'!$R$8, L320&lt;= ($R$7+$R$8)), O320/M320, " ")</f>
        <v xml:space="preserve"> </v>
      </c>
      <c r="U320" s="22">
        <f t="shared" si="70"/>
        <v>309</v>
      </c>
      <c r="V320" s="23">
        <f>IF(AND(U320&gt;='Amort. Sched.-BEST'!$AA$8, U320&lt;= ($AA$7+$AA$8)), PMT('Amort. Sched.-BEST'!$W$8/12, 'Amort. Sched.-BEST'!$AA$7, 'Amort. Sched.-BEST'!$W$7), 0)</f>
        <v>0</v>
      </c>
      <c r="W320" s="5">
        <f>IF(AND(U320&gt;='Amort. Sched.-BEST'!$AA$8, U320&lt;= ($AA$7+$AA$8)), (IPMT($W$8/12, (U320-$AA$8), $AA$7, $W$7)), 0)</f>
        <v>0</v>
      </c>
      <c r="X320" s="23">
        <f>IF(AND(U320&gt;='Amort. Sched.-BEST'!$AA$8, U320&lt;= ($AA$7+$AA$8)), (PPMT($W$8/12, (U320-$AA$8), $AA$7, $W$7)), 0)</f>
        <v>0</v>
      </c>
      <c r="Y320" s="5">
        <f>IF(CreditAmort2BEST[[#This Row],[Month]]=AA$8,W$7,0)</f>
        <v>0</v>
      </c>
      <c r="Z320" s="13">
        <f>IF(AND(U320&gt;='Amort. Sched.-BEST'!$AA$8, U320&lt;= ($AA$7+$AA$8)), Z319+X320, 0)</f>
        <v>0</v>
      </c>
      <c r="AA320" s="24" t="str">
        <f>IF(AND(U320&gt;='Amort. Sched.-BEST'!$AA$8, U320&lt;= ($AA$7+$AA$8)), W320/V320, " ")</f>
        <v xml:space="preserve"> </v>
      </c>
      <c r="AB320" s="25" t="str">
        <f>IF(AND(U320&gt;='Amort. Sched.-BEST'!$AA$8, U320&lt;= ($AA$7+$AA$8)), X320/V320, " ")</f>
        <v xml:space="preserve"> </v>
      </c>
      <c r="AD320" s="22">
        <f t="shared" si="71"/>
        <v>309</v>
      </c>
      <c r="AE320" s="5">
        <f t="shared" si="72"/>
        <v>0</v>
      </c>
      <c r="AF320" s="5">
        <f t="shared" si="73"/>
        <v>0</v>
      </c>
      <c r="AG320" s="5">
        <f t="shared" si="74"/>
        <v>0</v>
      </c>
      <c r="AH320" s="5">
        <f>IF(CreditAmort3BEST[[#This Row],[Month]]=AJ$8,AF$7,0)</f>
        <v>0</v>
      </c>
      <c r="AI320" s="13">
        <f t="shared" si="75"/>
        <v>0</v>
      </c>
      <c r="AJ320" s="6" t="str">
        <f t="shared" si="76"/>
        <v xml:space="preserve"> </v>
      </c>
      <c r="AK320" s="21" t="str">
        <f t="shared" si="77"/>
        <v xml:space="preserve"> </v>
      </c>
      <c r="AM320" s="20">
        <f t="shared" si="78"/>
        <v>309</v>
      </c>
      <c r="AN320" s="5">
        <f t="shared" si="79"/>
        <v>0</v>
      </c>
      <c r="AO320" s="5">
        <f t="shared" si="80"/>
        <v>0</v>
      </c>
      <c r="AP320" s="5">
        <f t="shared" si="81"/>
        <v>0</v>
      </c>
      <c r="AQ320" s="5">
        <f>IF(CreditAmort4BEST[[#This Row],[Month]]=AS$8,AO$7,0)</f>
        <v>0</v>
      </c>
      <c r="AR320" s="13">
        <f t="shared" si="82"/>
        <v>0</v>
      </c>
      <c r="AS320" s="6" t="str">
        <f t="shared" si="83"/>
        <v xml:space="preserve"> </v>
      </c>
      <c r="AT320" s="21" t="str">
        <f t="shared" si="84"/>
        <v xml:space="preserve"> </v>
      </c>
    </row>
    <row r="321" spans="3:46">
      <c r="C321" s="22">
        <f t="shared" si="69"/>
        <v>310</v>
      </c>
      <c r="D321" s="23">
        <f>IF(AND(C321&gt;='Amort. Sched.-BEST'!$I$8, C321&lt;= ($I$7+$I$8)), PMT('Amort. Sched.-BEST'!$E$8/12, 'Amort. Sched.-BEST'!$I$7, 'Amort. Sched.-BEST'!$E$7), 0)</f>
        <v>0</v>
      </c>
      <c r="E321" s="5">
        <f>IF(AND(C321&gt;='Amort. Sched.-BEST'!$I$8, C321&lt;= ($I$7+$I$8)), (IPMT($E$8/12, (C321-$I$8), $I$7, $E$7)), 0)</f>
        <v>0</v>
      </c>
      <c r="F321" s="23">
        <f>IF(AND(C321&gt;='Amort. Sched.-BEST'!$I$8, C321&lt;= ($I$7+$I$8)), (PPMT($E$8/12, (C321-$I$8), $I$7, $E$7)), 0)</f>
        <v>0</v>
      </c>
      <c r="G321" s="5">
        <f>IF(MortgageAmortBEST[[#This Row],[Month]]=I$8,E$7,0)</f>
        <v>0</v>
      </c>
      <c r="H321" s="13">
        <f>IF(AND(C321&gt;='Amort. Sched.-BEST'!$I$8, C321&lt;= ($I$7+$I$8)), H320+F321, 0)</f>
        <v>0</v>
      </c>
      <c r="I321" s="24" t="str">
        <f>IF(AND(C321&gt;='Amort. Sched.-BEST'!$I$8, C321&lt;= ($I$7+$I$8)), E321/D321, " ")</f>
        <v xml:space="preserve"> </v>
      </c>
      <c r="J321" s="25" t="str">
        <f>IF(AND(C321&gt;='Amort. Sched.-BEST'!$I$8, C321&lt;= ($I$7+$I$8)), F321/D321, " ")</f>
        <v xml:space="preserve"> </v>
      </c>
      <c r="L321" s="20">
        <f t="shared" si="68"/>
        <v>310</v>
      </c>
      <c r="M321" s="5">
        <f>IF(AND(L321&gt;='Amort. Sched.-BEST'!$R$8, L321&lt;= ($R$7+$R$8)), PMT('Amort. Sched.-BEST'!$N$8/12, 'Amort. Sched.-BEST'!$R$7, 'Amort. Sched.-BEST'!$N$7), 0)</f>
        <v>0</v>
      </c>
      <c r="N321" s="5">
        <f>IF(AND(L321&gt;='Amort. Sched.-BEST'!$R$8, L321&lt;= ($R$7+$R$8)), (IPMT($N$8/12, (L321-$R$8), $R$7, $N$7)), 0)</f>
        <v>0</v>
      </c>
      <c r="O321" s="5">
        <f>IF(AND(L321&gt;='Amort. Sched.-BEST'!$R$8, L321&lt;= ($R$7+$R$8)), (PPMT($N$8/12, (L321-$R$8), $R$7, $N$7)), 0)</f>
        <v>0</v>
      </c>
      <c r="P321" s="5">
        <f>IF(CreditAmort1BEST[[#This Row],[Month]]=R$8,N$7,0)</f>
        <v>0</v>
      </c>
      <c r="Q321" s="13">
        <f>IF(AND(L321&gt;='Amort. Sched.-BEST'!$R$8, L321&lt;= ($R$7+$R$8)), Q320+O321, 0)</f>
        <v>0</v>
      </c>
      <c r="R321" s="6" t="str">
        <f>IF(AND(L321&gt;='Amort. Sched.-BEST'!$R$8, L321&lt;= ($R$7+$R$8)), N321/M321, " ")</f>
        <v xml:space="preserve"> </v>
      </c>
      <c r="S321" s="21" t="str">
        <f>IF(AND(L321&gt;='Amort. Sched.-BEST'!$R$8, L321&lt;= ($R$7+$R$8)), O321/M321, " ")</f>
        <v xml:space="preserve"> </v>
      </c>
      <c r="U321" s="22">
        <f t="shared" si="70"/>
        <v>310</v>
      </c>
      <c r="V321" s="23">
        <f>IF(AND(U321&gt;='Amort. Sched.-BEST'!$AA$8, U321&lt;= ($AA$7+$AA$8)), PMT('Amort. Sched.-BEST'!$W$8/12, 'Amort. Sched.-BEST'!$AA$7, 'Amort. Sched.-BEST'!$W$7), 0)</f>
        <v>0</v>
      </c>
      <c r="W321" s="5">
        <f>IF(AND(U321&gt;='Amort. Sched.-BEST'!$AA$8, U321&lt;= ($AA$7+$AA$8)), (IPMT($W$8/12, (U321-$AA$8), $AA$7, $W$7)), 0)</f>
        <v>0</v>
      </c>
      <c r="X321" s="23">
        <f>IF(AND(U321&gt;='Amort. Sched.-BEST'!$AA$8, U321&lt;= ($AA$7+$AA$8)), (PPMT($W$8/12, (U321-$AA$8), $AA$7, $W$7)), 0)</f>
        <v>0</v>
      </c>
      <c r="Y321" s="5">
        <f>IF(CreditAmort2BEST[[#This Row],[Month]]=AA$8,W$7,0)</f>
        <v>0</v>
      </c>
      <c r="Z321" s="13">
        <f>IF(AND(U321&gt;='Amort. Sched.-BEST'!$AA$8, U321&lt;= ($AA$7+$AA$8)), Z320+X321, 0)</f>
        <v>0</v>
      </c>
      <c r="AA321" s="24" t="str">
        <f>IF(AND(U321&gt;='Amort. Sched.-BEST'!$AA$8, U321&lt;= ($AA$7+$AA$8)), W321/V321, " ")</f>
        <v xml:space="preserve"> </v>
      </c>
      <c r="AB321" s="25" t="str">
        <f>IF(AND(U321&gt;='Amort. Sched.-BEST'!$AA$8, U321&lt;= ($AA$7+$AA$8)), X321/V321, " ")</f>
        <v xml:space="preserve"> </v>
      </c>
      <c r="AD321" s="22">
        <f t="shared" si="71"/>
        <v>310</v>
      </c>
      <c r="AE321" s="5">
        <f t="shared" si="72"/>
        <v>0</v>
      </c>
      <c r="AF321" s="5">
        <f t="shared" si="73"/>
        <v>0</v>
      </c>
      <c r="AG321" s="5">
        <f t="shared" si="74"/>
        <v>0</v>
      </c>
      <c r="AH321" s="5">
        <f>IF(CreditAmort3BEST[[#This Row],[Month]]=AJ$8,AF$7,0)</f>
        <v>0</v>
      </c>
      <c r="AI321" s="13">
        <f t="shared" si="75"/>
        <v>0</v>
      </c>
      <c r="AJ321" s="6" t="str">
        <f t="shared" si="76"/>
        <v xml:space="preserve"> </v>
      </c>
      <c r="AK321" s="21" t="str">
        <f t="shared" si="77"/>
        <v xml:space="preserve"> </v>
      </c>
      <c r="AM321" s="20">
        <f t="shared" si="78"/>
        <v>310</v>
      </c>
      <c r="AN321" s="5">
        <f t="shared" si="79"/>
        <v>0</v>
      </c>
      <c r="AO321" s="5">
        <f t="shared" si="80"/>
        <v>0</v>
      </c>
      <c r="AP321" s="5">
        <f t="shared" si="81"/>
        <v>0</v>
      </c>
      <c r="AQ321" s="5">
        <f>IF(CreditAmort4BEST[[#This Row],[Month]]=AS$8,AO$7,0)</f>
        <v>0</v>
      </c>
      <c r="AR321" s="13">
        <f t="shared" si="82"/>
        <v>0</v>
      </c>
      <c r="AS321" s="6" t="str">
        <f t="shared" si="83"/>
        <v xml:space="preserve"> </v>
      </c>
      <c r="AT321" s="21" t="str">
        <f t="shared" si="84"/>
        <v xml:space="preserve"> </v>
      </c>
    </row>
    <row r="322" spans="3:46">
      <c r="C322" s="22">
        <f t="shared" si="69"/>
        <v>311</v>
      </c>
      <c r="D322" s="23">
        <f>IF(AND(C322&gt;='Amort. Sched.-BEST'!$I$8, C322&lt;= ($I$7+$I$8)), PMT('Amort. Sched.-BEST'!$E$8/12, 'Amort. Sched.-BEST'!$I$7, 'Amort. Sched.-BEST'!$E$7), 0)</f>
        <v>0</v>
      </c>
      <c r="E322" s="5">
        <f>IF(AND(C322&gt;='Amort. Sched.-BEST'!$I$8, C322&lt;= ($I$7+$I$8)), (IPMT($E$8/12, (C322-$I$8), $I$7, $E$7)), 0)</f>
        <v>0</v>
      </c>
      <c r="F322" s="23">
        <f>IF(AND(C322&gt;='Amort. Sched.-BEST'!$I$8, C322&lt;= ($I$7+$I$8)), (PPMT($E$8/12, (C322-$I$8), $I$7, $E$7)), 0)</f>
        <v>0</v>
      </c>
      <c r="G322" s="5">
        <f>IF(MortgageAmortBEST[[#This Row],[Month]]=I$8,E$7,0)</f>
        <v>0</v>
      </c>
      <c r="H322" s="13">
        <f>IF(AND(C322&gt;='Amort. Sched.-BEST'!$I$8, C322&lt;= ($I$7+$I$8)), H321+F322, 0)</f>
        <v>0</v>
      </c>
      <c r="I322" s="24" t="str">
        <f>IF(AND(C322&gt;='Amort. Sched.-BEST'!$I$8, C322&lt;= ($I$7+$I$8)), E322/D322, " ")</f>
        <v xml:space="preserve"> </v>
      </c>
      <c r="J322" s="25" t="str">
        <f>IF(AND(C322&gt;='Amort. Sched.-BEST'!$I$8, C322&lt;= ($I$7+$I$8)), F322/D322, " ")</f>
        <v xml:space="preserve"> </v>
      </c>
      <c r="L322" s="20">
        <f t="shared" si="68"/>
        <v>311</v>
      </c>
      <c r="M322" s="5">
        <f>IF(AND(L322&gt;='Amort. Sched.-BEST'!$R$8, L322&lt;= ($R$7+$R$8)), PMT('Amort. Sched.-BEST'!$N$8/12, 'Amort. Sched.-BEST'!$R$7, 'Amort. Sched.-BEST'!$N$7), 0)</f>
        <v>0</v>
      </c>
      <c r="N322" s="5">
        <f>IF(AND(L322&gt;='Amort. Sched.-BEST'!$R$8, L322&lt;= ($R$7+$R$8)), (IPMT($N$8/12, (L322-$R$8), $R$7, $N$7)), 0)</f>
        <v>0</v>
      </c>
      <c r="O322" s="5">
        <f>IF(AND(L322&gt;='Amort. Sched.-BEST'!$R$8, L322&lt;= ($R$7+$R$8)), (PPMT($N$8/12, (L322-$R$8), $R$7, $N$7)), 0)</f>
        <v>0</v>
      </c>
      <c r="P322" s="5">
        <f>IF(CreditAmort1BEST[[#This Row],[Month]]=R$8,N$7,0)</f>
        <v>0</v>
      </c>
      <c r="Q322" s="13">
        <f>IF(AND(L322&gt;='Amort. Sched.-BEST'!$R$8, L322&lt;= ($R$7+$R$8)), Q321+O322, 0)</f>
        <v>0</v>
      </c>
      <c r="R322" s="6" t="str">
        <f>IF(AND(L322&gt;='Amort. Sched.-BEST'!$R$8, L322&lt;= ($R$7+$R$8)), N322/M322, " ")</f>
        <v xml:space="preserve"> </v>
      </c>
      <c r="S322" s="21" t="str">
        <f>IF(AND(L322&gt;='Amort. Sched.-BEST'!$R$8, L322&lt;= ($R$7+$R$8)), O322/M322, " ")</f>
        <v xml:space="preserve"> </v>
      </c>
      <c r="U322" s="22">
        <f t="shared" si="70"/>
        <v>311</v>
      </c>
      <c r="V322" s="23">
        <f>IF(AND(U322&gt;='Amort. Sched.-BEST'!$AA$8, U322&lt;= ($AA$7+$AA$8)), PMT('Amort. Sched.-BEST'!$W$8/12, 'Amort. Sched.-BEST'!$AA$7, 'Amort. Sched.-BEST'!$W$7), 0)</f>
        <v>0</v>
      </c>
      <c r="W322" s="5">
        <f>IF(AND(U322&gt;='Amort. Sched.-BEST'!$AA$8, U322&lt;= ($AA$7+$AA$8)), (IPMT($W$8/12, (U322-$AA$8), $AA$7, $W$7)), 0)</f>
        <v>0</v>
      </c>
      <c r="X322" s="23">
        <f>IF(AND(U322&gt;='Amort. Sched.-BEST'!$AA$8, U322&lt;= ($AA$7+$AA$8)), (PPMT($W$8/12, (U322-$AA$8), $AA$7, $W$7)), 0)</f>
        <v>0</v>
      </c>
      <c r="Y322" s="5">
        <f>IF(CreditAmort2BEST[[#This Row],[Month]]=AA$8,W$7,0)</f>
        <v>0</v>
      </c>
      <c r="Z322" s="13">
        <f>IF(AND(U322&gt;='Amort. Sched.-BEST'!$AA$8, U322&lt;= ($AA$7+$AA$8)), Z321+X322, 0)</f>
        <v>0</v>
      </c>
      <c r="AA322" s="24" t="str">
        <f>IF(AND(U322&gt;='Amort. Sched.-BEST'!$AA$8, U322&lt;= ($AA$7+$AA$8)), W322/V322, " ")</f>
        <v xml:space="preserve"> </v>
      </c>
      <c r="AB322" s="25" t="str">
        <f>IF(AND(U322&gt;='Amort. Sched.-BEST'!$AA$8, U322&lt;= ($AA$7+$AA$8)), X322/V322, " ")</f>
        <v xml:space="preserve"> </v>
      </c>
      <c r="AD322" s="22">
        <f t="shared" si="71"/>
        <v>311</v>
      </c>
      <c r="AE322" s="5">
        <f t="shared" si="72"/>
        <v>0</v>
      </c>
      <c r="AF322" s="5">
        <f t="shared" si="73"/>
        <v>0</v>
      </c>
      <c r="AG322" s="5">
        <f t="shared" si="74"/>
        <v>0</v>
      </c>
      <c r="AH322" s="5">
        <f>IF(CreditAmort3BEST[[#This Row],[Month]]=AJ$8,AF$7,0)</f>
        <v>0</v>
      </c>
      <c r="AI322" s="13">
        <f t="shared" si="75"/>
        <v>0</v>
      </c>
      <c r="AJ322" s="6" t="str">
        <f t="shared" si="76"/>
        <v xml:space="preserve"> </v>
      </c>
      <c r="AK322" s="21" t="str">
        <f t="shared" si="77"/>
        <v xml:space="preserve"> </v>
      </c>
      <c r="AM322" s="20">
        <f t="shared" si="78"/>
        <v>311</v>
      </c>
      <c r="AN322" s="5">
        <f t="shared" si="79"/>
        <v>0</v>
      </c>
      <c r="AO322" s="5">
        <f t="shared" si="80"/>
        <v>0</v>
      </c>
      <c r="AP322" s="5">
        <f t="shared" si="81"/>
        <v>0</v>
      </c>
      <c r="AQ322" s="5">
        <f>IF(CreditAmort4BEST[[#This Row],[Month]]=AS$8,AO$7,0)</f>
        <v>0</v>
      </c>
      <c r="AR322" s="13">
        <f t="shared" si="82"/>
        <v>0</v>
      </c>
      <c r="AS322" s="6" t="str">
        <f t="shared" si="83"/>
        <v xml:space="preserve"> </v>
      </c>
      <c r="AT322" s="21" t="str">
        <f t="shared" si="84"/>
        <v xml:space="preserve"> </v>
      </c>
    </row>
    <row r="323" spans="3:46">
      <c r="C323" s="22">
        <f t="shared" si="69"/>
        <v>312</v>
      </c>
      <c r="D323" s="23">
        <f>IF(AND(C323&gt;='Amort. Sched.-BEST'!$I$8, C323&lt;= ($I$7+$I$8)), PMT('Amort. Sched.-BEST'!$E$8/12, 'Amort. Sched.-BEST'!$I$7, 'Amort. Sched.-BEST'!$E$7), 0)</f>
        <v>0</v>
      </c>
      <c r="E323" s="5">
        <f>IF(AND(C323&gt;='Amort. Sched.-BEST'!$I$8, C323&lt;= ($I$7+$I$8)), (IPMT($E$8/12, (C323-$I$8), $I$7, $E$7)), 0)</f>
        <v>0</v>
      </c>
      <c r="F323" s="23">
        <f>IF(AND(C323&gt;='Amort. Sched.-BEST'!$I$8, C323&lt;= ($I$7+$I$8)), (PPMT($E$8/12, (C323-$I$8), $I$7, $E$7)), 0)</f>
        <v>0</v>
      </c>
      <c r="G323" s="5">
        <f>IF(MortgageAmortBEST[[#This Row],[Month]]=I$8,E$7,0)</f>
        <v>0</v>
      </c>
      <c r="H323" s="13">
        <f>IF(AND(C323&gt;='Amort. Sched.-BEST'!$I$8, C323&lt;= ($I$7+$I$8)), H322+F323, 0)</f>
        <v>0</v>
      </c>
      <c r="I323" s="24" t="str">
        <f>IF(AND(C323&gt;='Amort. Sched.-BEST'!$I$8, C323&lt;= ($I$7+$I$8)), E323/D323, " ")</f>
        <v xml:space="preserve"> </v>
      </c>
      <c r="J323" s="25" t="str">
        <f>IF(AND(C323&gt;='Amort. Sched.-BEST'!$I$8, C323&lt;= ($I$7+$I$8)), F323/D323, " ")</f>
        <v xml:space="preserve"> </v>
      </c>
      <c r="L323" s="20">
        <f t="shared" si="68"/>
        <v>312</v>
      </c>
      <c r="M323" s="5">
        <f>IF(AND(L323&gt;='Amort. Sched.-BEST'!$R$8, L323&lt;= ($R$7+$R$8)), PMT('Amort. Sched.-BEST'!$N$8/12, 'Amort. Sched.-BEST'!$R$7, 'Amort. Sched.-BEST'!$N$7), 0)</f>
        <v>0</v>
      </c>
      <c r="N323" s="5">
        <f>IF(AND(L323&gt;='Amort. Sched.-BEST'!$R$8, L323&lt;= ($R$7+$R$8)), (IPMT($N$8/12, (L323-$R$8), $R$7, $N$7)), 0)</f>
        <v>0</v>
      </c>
      <c r="O323" s="5">
        <f>IF(AND(L323&gt;='Amort. Sched.-BEST'!$R$8, L323&lt;= ($R$7+$R$8)), (PPMT($N$8/12, (L323-$R$8), $R$7, $N$7)), 0)</f>
        <v>0</v>
      </c>
      <c r="P323" s="5">
        <f>IF(CreditAmort1BEST[[#This Row],[Month]]=R$8,N$7,0)</f>
        <v>0</v>
      </c>
      <c r="Q323" s="13">
        <f>IF(AND(L323&gt;='Amort. Sched.-BEST'!$R$8, L323&lt;= ($R$7+$R$8)), Q322+O323, 0)</f>
        <v>0</v>
      </c>
      <c r="R323" s="6" t="str">
        <f>IF(AND(L323&gt;='Amort. Sched.-BEST'!$R$8, L323&lt;= ($R$7+$R$8)), N323/M323, " ")</f>
        <v xml:space="preserve"> </v>
      </c>
      <c r="S323" s="21" t="str">
        <f>IF(AND(L323&gt;='Amort. Sched.-BEST'!$R$8, L323&lt;= ($R$7+$R$8)), O323/M323, " ")</f>
        <v xml:space="preserve"> </v>
      </c>
      <c r="U323" s="22">
        <f t="shared" si="70"/>
        <v>312</v>
      </c>
      <c r="V323" s="23">
        <f>IF(AND(U323&gt;='Amort. Sched.-BEST'!$AA$8, U323&lt;= ($AA$7+$AA$8)), PMT('Amort. Sched.-BEST'!$W$8/12, 'Amort. Sched.-BEST'!$AA$7, 'Amort. Sched.-BEST'!$W$7), 0)</f>
        <v>0</v>
      </c>
      <c r="W323" s="5">
        <f>IF(AND(U323&gt;='Amort. Sched.-BEST'!$AA$8, U323&lt;= ($AA$7+$AA$8)), (IPMT($W$8/12, (U323-$AA$8), $AA$7, $W$7)), 0)</f>
        <v>0</v>
      </c>
      <c r="X323" s="23">
        <f>IF(AND(U323&gt;='Amort. Sched.-BEST'!$AA$8, U323&lt;= ($AA$7+$AA$8)), (PPMT($W$8/12, (U323-$AA$8), $AA$7, $W$7)), 0)</f>
        <v>0</v>
      </c>
      <c r="Y323" s="5">
        <f>IF(CreditAmort2BEST[[#This Row],[Month]]=AA$8,W$7,0)</f>
        <v>0</v>
      </c>
      <c r="Z323" s="13">
        <f>IF(AND(U323&gt;='Amort. Sched.-BEST'!$AA$8, U323&lt;= ($AA$7+$AA$8)), Z322+X323, 0)</f>
        <v>0</v>
      </c>
      <c r="AA323" s="24" t="str">
        <f>IF(AND(U323&gt;='Amort. Sched.-BEST'!$AA$8, U323&lt;= ($AA$7+$AA$8)), W323/V323, " ")</f>
        <v xml:space="preserve"> </v>
      </c>
      <c r="AB323" s="25" t="str">
        <f>IF(AND(U323&gt;='Amort. Sched.-BEST'!$AA$8, U323&lt;= ($AA$7+$AA$8)), X323/V323, " ")</f>
        <v xml:space="preserve"> </v>
      </c>
      <c r="AD323" s="22">
        <f t="shared" si="71"/>
        <v>312</v>
      </c>
      <c r="AE323" s="5">
        <f t="shared" si="72"/>
        <v>0</v>
      </c>
      <c r="AF323" s="5">
        <f t="shared" si="73"/>
        <v>0</v>
      </c>
      <c r="AG323" s="5">
        <f t="shared" si="74"/>
        <v>0</v>
      </c>
      <c r="AH323" s="5">
        <f>IF(CreditAmort3BEST[[#This Row],[Month]]=AJ$8,AF$7,0)</f>
        <v>0</v>
      </c>
      <c r="AI323" s="13">
        <f t="shared" si="75"/>
        <v>0</v>
      </c>
      <c r="AJ323" s="6" t="str">
        <f t="shared" si="76"/>
        <v xml:space="preserve"> </v>
      </c>
      <c r="AK323" s="21" t="str">
        <f t="shared" si="77"/>
        <v xml:space="preserve"> </v>
      </c>
      <c r="AM323" s="20">
        <f t="shared" si="78"/>
        <v>312</v>
      </c>
      <c r="AN323" s="5">
        <f t="shared" si="79"/>
        <v>0</v>
      </c>
      <c r="AO323" s="5">
        <f t="shared" si="80"/>
        <v>0</v>
      </c>
      <c r="AP323" s="5">
        <f t="shared" si="81"/>
        <v>0</v>
      </c>
      <c r="AQ323" s="5">
        <f>IF(CreditAmort4BEST[[#This Row],[Month]]=AS$8,AO$7,0)</f>
        <v>0</v>
      </c>
      <c r="AR323" s="13">
        <f t="shared" si="82"/>
        <v>0</v>
      </c>
      <c r="AS323" s="6" t="str">
        <f t="shared" si="83"/>
        <v xml:space="preserve"> </v>
      </c>
      <c r="AT323" s="21" t="str">
        <f t="shared" si="84"/>
        <v xml:space="preserve"> </v>
      </c>
    </row>
    <row r="324" spans="3:46">
      <c r="C324" s="22">
        <f t="shared" si="69"/>
        <v>313</v>
      </c>
      <c r="D324" s="23">
        <f>IF(AND(C324&gt;='Amort. Sched.-BEST'!$I$8, C324&lt;= ($I$7+$I$8)), PMT('Amort. Sched.-BEST'!$E$8/12, 'Amort. Sched.-BEST'!$I$7, 'Amort. Sched.-BEST'!$E$7), 0)</f>
        <v>0</v>
      </c>
      <c r="E324" s="5">
        <f>IF(AND(C324&gt;='Amort. Sched.-BEST'!$I$8, C324&lt;= ($I$7+$I$8)), (IPMT($E$8/12, (C324-$I$8), $I$7, $E$7)), 0)</f>
        <v>0</v>
      </c>
      <c r="F324" s="23">
        <f>IF(AND(C324&gt;='Amort. Sched.-BEST'!$I$8, C324&lt;= ($I$7+$I$8)), (PPMT($E$8/12, (C324-$I$8), $I$7, $E$7)), 0)</f>
        <v>0</v>
      </c>
      <c r="G324" s="5">
        <f>IF(MortgageAmortBEST[[#This Row],[Month]]=I$8,E$7,0)</f>
        <v>0</v>
      </c>
      <c r="H324" s="13">
        <f>IF(AND(C324&gt;='Amort. Sched.-BEST'!$I$8, C324&lt;= ($I$7+$I$8)), H323+F324, 0)</f>
        <v>0</v>
      </c>
      <c r="I324" s="24" t="str">
        <f>IF(AND(C324&gt;='Amort. Sched.-BEST'!$I$8, C324&lt;= ($I$7+$I$8)), E324/D324, " ")</f>
        <v xml:space="preserve"> </v>
      </c>
      <c r="J324" s="25" t="str">
        <f>IF(AND(C324&gt;='Amort. Sched.-BEST'!$I$8, C324&lt;= ($I$7+$I$8)), F324/D324, " ")</f>
        <v xml:space="preserve"> </v>
      </c>
      <c r="L324" s="20">
        <f t="shared" si="68"/>
        <v>313</v>
      </c>
      <c r="M324" s="5">
        <f>IF(AND(L324&gt;='Amort. Sched.-BEST'!$R$8, L324&lt;= ($R$7+$R$8)), PMT('Amort. Sched.-BEST'!$N$8/12, 'Amort. Sched.-BEST'!$R$7, 'Amort. Sched.-BEST'!$N$7), 0)</f>
        <v>0</v>
      </c>
      <c r="N324" s="5">
        <f>IF(AND(L324&gt;='Amort. Sched.-BEST'!$R$8, L324&lt;= ($R$7+$R$8)), (IPMT($N$8/12, (L324-$R$8), $R$7, $N$7)), 0)</f>
        <v>0</v>
      </c>
      <c r="O324" s="5">
        <f>IF(AND(L324&gt;='Amort. Sched.-BEST'!$R$8, L324&lt;= ($R$7+$R$8)), (PPMT($N$8/12, (L324-$R$8), $R$7, $N$7)), 0)</f>
        <v>0</v>
      </c>
      <c r="P324" s="5">
        <f>IF(CreditAmort1BEST[[#This Row],[Month]]=R$8,N$7,0)</f>
        <v>0</v>
      </c>
      <c r="Q324" s="13">
        <f>IF(AND(L324&gt;='Amort. Sched.-BEST'!$R$8, L324&lt;= ($R$7+$R$8)), Q323+O324, 0)</f>
        <v>0</v>
      </c>
      <c r="R324" s="6" t="str">
        <f>IF(AND(L324&gt;='Amort. Sched.-BEST'!$R$8, L324&lt;= ($R$7+$R$8)), N324/M324, " ")</f>
        <v xml:space="preserve"> </v>
      </c>
      <c r="S324" s="21" t="str">
        <f>IF(AND(L324&gt;='Amort. Sched.-BEST'!$R$8, L324&lt;= ($R$7+$R$8)), O324/M324, " ")</f>
        <v xml:space="preserve"> </v>
      </c>
      <c r="U324" s="22">
        <f t="shared" si="70"/>
        <v>313</v>
      </c>
      <c r="V324" s="23">
        <f>IF(AND(U324&gt;='Amort. Sched.-BEST'!$AA$8, U324&lt;= ($AA$7+$AA$8)), PMT('Amort. Sched.-BEST'!$W$8/12, 'Amort. Sched.-BEST'!$AA$7, 'Amort. Sched.-BEST'!$W$7), 0)</f>
        <v>0</v>
      </c>
      <c r="W324" s="5">
        <f>IF(AND(U324&gt;='Amort. Sched.-BEST'!$AA$8, U324&lt;= ($AA$7+$AA$8)), (IPMT($W$8/12, (U324-$AA$8), $AA$7, $W$7)), 0)</f>
        <v>0</v>
      </c>
      <c r="X324" s="23">
        <f>IF(AND(U324&gt;='Amort. Sched.-BEST'!$AA$8, U324&lt;= ($AA$7+$AA$8)), (PPMT($W$8/12, (U324-$AA$8), $AA$7, $W$7)), 0)</f>
        <v>0</v>
      </c>
      <c r="Y324" s="5">
        <f>IF(CreditAmort2BEST[[#This Row],[Month]]=AA$8,W$7,0)</f>
        <v>0</v>
      </c>
      <c r="Z324" s="13">
        <f>IF(AND(U324&gt;='Amort. Sched.-BEST'!$AA$8, U324&lt;= ($AA$7+$AA$8)), Z323+X324, 0)</f>
        <v>0</v>
      </c>
      <c r="AA324" s="24" t="str">
        <f>IF(AND(U324&gt;='Amort. Sched.-BEST'!$AA$8, U324&lt;= ($AA$7+$AA$8)), W324/V324, " ")</f>
        <v xml:space="preserve"> </v>
      </c>
      <c r="AB324" s="25" t="str">
        <f>IF(AND(U324&gt;='Amort. Sched.-BEST'!$AA$8, U324&lt;= ($AA$7+$AA$8)), X324/V324, " ")</f>
        <v xml:space="preserve"> </v>
      </c>
      <c r="AD324" s="22">
        <f t="shared" si="71"/>
        <v>313</v>
      </c>
      <c r="AE324" s="5">
        <f t="shared" si="72"/>
        <v>0</v>
      </c>
      <c r="AF324" s="5">
        <f t="shared" si="73"/>
        <v>0</v>
      </c>
      <c r="AG324" s="5">
        <f t="shared" si="74"/>
        <v>0</v>
      </c>
      <c r="AH324" s="5">
        <f>IF(CreditAmort3BEST[[#This Row],[Month]]=AJ$8,AF$7,0)</f>
        <v>0</v>
      </c>
      <c r="AI324" s="13">
        <f t="shared" si="75"/>
        <v>0</v>
      </c>
      <c r="AJ324" s="6" t="str">
        <f t="shared" si="76"/>
        <v xml:space="preserve"> </v>
      </c>
      <c r="AK324" s="21" t="str">
        <f t="shared" si="77"/>
        <v xml:space="preserve"> </v>
      </c>
      <c r="AM324" s="20">
        <f t="shared" si="78"/>
        <v>313</v>
      </c>
      <c r="AN324" s="5">
        <f t="shared" si="79"/>
        <v>0</v>
      </c>
      <c r="AO324" s="5">
        <f t="shared" si="80"/>
        <v>0</v>
      </c>
      <c r="AP324" s="5">
        <f t="shared" si="81"/>
        <v>0</v>
      </c>
      <c r="AQ324" s="5">
        <f>IF(CreditAmort4BEST[[#This Row],[Month]]=AS$8,AO$7,0)</f>
        <v>0</v>
      </c>
      <c r="AR324" s="13">
        <f t="shared" si="82"/>
        <v>0</v>
      </c>
      <c r="AS324" s="6" t="str">
        <f t="shared" si="83"/>
        <v xml:space="preserve"> </v>
      </c>
      <c r="AT324" s="21" t="str">
        <f t="shared" si="84"/>
        <v xml:space="preserve"> </v>
      </c>
    </row>
    <row r="325" spans="3:46">
      <c r="C325" s="22">
        <f t="shared" si="69"/>
        <v>314</v>
      </c>
      <c r="D325" s="23">
        <f>IF(AND(C325&gt;='Amort. Sched.-BEST'!$I$8, C325&lt;= ($I$7+$I$8)), PMT('Amort. Sched.-BEST'!$E$8/12, 'Amort. Sched.-BEST'!$I$7, 'Amort. Sched.-BEST'!$E$7), 0)</f>
        <v>0</v>
      </c>
      <c r="E325" s="5">
        <f>IF(AND(C325&gt;='Amort. Sched.-BEST'!$I$8, C325&lt;= ($I$7+$I$8)), (IPMT($E$8/12, (C325-$I$8), $I$7, $E$7)), 0)</f>
        <v>0</v>
      </c>
      <c r="F325" s="23">
        <f>IF(AND(C325&gt;='Amort. Sched.-BEST'!$I$8, C325&lt;= ($I$7+$I$8)), (PPMT($E$8/12, (C325-$I$8), $I$7, $E$7)), 0)</f>
        <v>0</v>
      </c>
      <c r="G325" s="5">
        <f>IF(MortgageAmortBEST[[#This Row],[Month]]=I$8,E$7,0)</f>
        <v>0</v>
      </c>
      <c r="H325" s="13">
        <f>IF(AND(C325&gt;='Amort. Sched.-BEST'!$I$8, C325&lt;= ($I$7+$I$8)), H324+F325, 0)</f>
        <v>0</v>
      </c>
      <c r="I325" s="24" t="str">
        <f>IF(AND(C325&gt;='Amort. Sched.-BEST'!$I$8, C325&lt;= ($I$7+$I$8)), E325/D325, " ")</f>
        <v xml:space="preserve"> </v>
      </c>
      <c r="J325" s="25" t="str">
        <f>IF(AND(C325&gt;='Amort. Sched.-BEST'!$I$8, C325&lt;= ($I$7+$I$8)), F325/D325, " ")</f>
        <v xml:space="preserve"> </v>
      </c>
      <c r="L325" s="20">
        <f t="shared" si="68"/>
        <v>314</v>
      </c>
      <c r="M325" s="5">
        <f>IF(AND(L325&gt;='Amort. Sched.-BEST'!$R$8, L325&lt;= ($R$7+$R$8)), PMT('Amort. Sched.-BEST'!$N$8/12, 'Amort. Sched.-BEST'!$R$7, 'Amort. Sched.-BEST'!$N$7), 0)</f>
        <v>0</v>
      </c>
      <c r="N325" s="5">
        <f>IF(AND(L325&gt;='Amort. Sched.-BEST'!$R$8, L325&lt;= ($R$7+$R$8)), (IPMT($N$8/12, (L325-$R$8), $R$7, $N$7)), 0)</f>
        <v>0</v>
      </c>
      <c r="O325" s="5">
        <f>IF(AND(L325&gt;='Amort. Sched.-BEST'!$R$8, L325&lt;= ($R$7+$R$8)), (PPMT($N$8/12, (L325-$R$8), $R$7, $N$7)), 0)</f>
        <v>0</v>
      </c>
      <c r="P325" s="5">
        <f>IF(CreditAmort1BEST[[#This Row],[Month]]=R$8,N$7,0)</f>
        <v>0</v>
      </c>
      <c r="Q325" s="13">
        <f>IF(AND(L325&gt;='Amort. Sched.-BEST'!$R$8, L325&lt;= ($R$7+$R$8)), Q324+O325, 0)</f>
        <v>0</v>
      </c>
      <c r="R325" s="6" t="str">
        <f>IF(AND(L325&gt;='Amort. Sched.-BEST'!$R$8, L325&lt;= ($R$7+$R$8)), N325/M325, " ")</f>
        <v xml:space="preserve"> </v>
      </c>
      <c r="S325" s="21" t="str">
        <f>IF(AND(L325&gt;='Amort. Sched.-BEST'!$R$8, L325&lt;= ($R$7+$R$8)), O325/M325, " ")</f>
        <v xml:space="preserve"> </v>
      </c>
      <c r="U325" s="22">
        <f t="shared" si="70"/>
        <v>314</v>
      </c>
      <c r="V325" s="23">
        <f>IF(AND(U325&gt;='Amort. Sched.-BEST'!$AA$8, U325&lt;= ($AA$7+$AA$8)), PMT('Amort. Sched.-BEST'!$W$8/12, 'Amort. Sched.-BEST'!$AA$7, 'Amort. Sched.-BEST'!$W$7), 0)</f>
        <v>0</v>
      </c>
      <c r="W325" s="5">
        <f>IF(AND(U325&gt;='Amort. Sched.-BEST'!$AA$8, U325&lt;= ($AA$7+$AA$8)), (IPMT($W$8/12, (U325-$AA$8), $AA$7, $W$7)), 0)</f>
        <v>0</v>
      </c>
      <c r="X325" s="23">
        <f>IF(AND(U325&gt;='Amort. Sched.-BEST'!$AA$8, U325&lt;= ($AA$7+$AA$8)), (PPMT($W$8/12, (U325-$AA$8), $AA$7, $W$7)), 0)</f>
        <v>0</v>
      </c>
      <c r="Y325" s="5">
        <f>IF(CreditAmort2BEST[[#This Row],[Month]]=AA$8,W$7,0)</f>
        <v>0</v>
      </c>
      <c r="Z325" s="13">
        <f>IF(AND(U325&gt;='Amort. Sched.-BEST'!$AA$8, U325&lt;= ($AA$7+$AA$8)), Z324+X325, 0)</f>
        <v>0</v>
      </c>
      <c r="AA325" s="24" t="str">
        <f>IF(AND(U325&gt;='Amort. Sched.-BEST'!$AA$8, U325&lt;= ($AA$7+$AA$8)), W325/V325, " ")</f>
        <v xml:space="preserve"> </v>
      </c>
      <c r="AB325" s="25" t="str">
        <f>IF(AND(U325&gt;='Amort. Sched.-BEST'!$AA$8, U325&lt;= ($AA$7+$AA$8)), X325/V325, " ")</f>
        <v xml:space="preserve"> </v>
      </c>
      <c r="AD325" s="22">
        <f t="shared" si="71"/>
        <v>314</v>
      </c>
      <c r="AE325" s="5">
        <f t="shared" si="72"/>
        <v>0</v>
      </c>
      <c r="AF325" s="5">
        <f t="shared" si="73"/>
        <v>0</v>
      </c>
      <c r="AG325" s="5">
        <f t="shared" si="74"/>
        <v>0</v>
      </c>
      <c r="AH325" s="5">
        <f>IF(CreditAmort3BEST[[#This Row],[Month]]=AJ$8,AF$7,0)</f>
        <v>0</v>
      </c>
      <c r="AI325" s="13">
        <f t="shared" si="75"/>
        <v>0</v>
      </c>
      <c r="AJ325" s="6" t="str">
        <f t="shared" si="76"/>
        <v xml:space="preserve"> </v>
      </c>
      <c r="AK325" s="21" t="str">
        <f t="shared" si="77"/>
        <v xml:space="preserve"> </v>
      </c>
      <c r="AM325" s="20">
        <f t="shared" si="78"/>
        <v>314</v>
      </c>
      <c r="AN325" s="5">
        <f t="shared" si="79"/>
        <v>0</v>
      </c>
      <c r="AO325" s="5">
        <f t="shared" si="80"/>
        <v>0</v>
      </c>
      <c r="AP325" s="5">
        <f t="shared" si="81"/>
        <v>0</v>
      </c>
      <c r="AQ325" s="5">
        <f>IF(CreditAmort4BEST[[#This Row],[Month]]=AS$8,AO$7,0)</f>
        <v>0</v>
      </c>
      <c r="AR325" s="13">
        <f t="shared" si="82"/>
        <v>0</v>
      </c>
      <c r="AS325" s="6" t="str">
        <f t="shared" si="83"/>
        <v xml:space="preserve"> </v>
      </c>
      <c r="AT325" s="21" t="str">
        <f t="shared" si="84"/>
        <v xml:space="preserve"> </v>
      </c>
    </row>
    <row r="326" spans="3:46">
      <c r="C326" s="22">
        <f t="shared" si="69"/>
        <v>315</v>
      </c>
      <c r="D326" s="23">
        <f>IF(AND(C326&gt;='Amort. Sched.-BEST'!$I$8, C326&lt;= ($I$7+$I$8)), PMT('Amort. Sched.-BEST'!$E$8/12, 'Amort. Sched.-BEST'!$I$7, 'Amort. Sched.-BEST'!$E$7), 0)</f>
        <v>0</v>
      </c>
      <c r="E326" s="5">
        <f>IF(AND(C326&gt;='Amort. Sched.-BEST'!$I$8, C326&lt;= ($I$7+$I$8)), (IPMT($E$8/12, (C326-$I$8), $I$7, $E$7)), 0)</f>
        <v>0</v>
      </c>
      <c r="F326" s="23">
        <f>IF(AND(C326&gt;='Amort. Sched.-BEST'!$I$8, C326&lt;= ($I$7+$I$8)), (PPMT($E$8/12, (C326-$I$8), $I$7, $E$7)), 0)</f>
        <v>0</v>
      </c>
      <c r="G326" s="5">
        <f>IF(MortgageAmortBEST[[#This Row],[Month]]=I$8,E$7,0)</f>
        <v>0</v>
      </c>
      <c r="H326" s="13">
        <f>IF(AND(C326&gt;='Amort. Sched.-BEST'!$I$8, C326&lt;= ($I$7+$I$8)), H325+F326, 0)</f>
        <v>0</v>
      </c>
      <c r="I326" s="24" t="str">
        <f>IF(AND(C326&gt;='Amort. Sched.-BEST'!$I$8, C326&lt;= ($I$7+$I$8)), E326/D326, " ")</f>
        <v xml:space="preserve"> </v>
      </c>
      <c r="J326" s="25" t="str">
        <f>IF(AND(C326&gt;='Amort. Sched.-BEST'!$I$8, C326&lt;= ($I$7+$I$8)), F326/D326, " ")</f>
        <v xml:space="preserve"> </v>
      </c>
      <c r="L326" s="20">
        <f t="shared" si="68"/>
        <v>315</v>
      </c>
      <c r="M326" s="5">
        <f>IF(AND(L326&gt;='Amort. Sched.-BEST'!$R$8, L326&lt;= ($R$7+$R$8)), PMT('Amort. Sched.-BEST'!$N$8/12, 'Amort. Sched.-BEST'!$R$7, 'Amort. Sched.-BEST'!$N$7), 0)</f>
        <v>0</v>
      </c>
      <c r="N326" s="5">
        <f>IF(AND(L326&gt;='Amort. Sched.-BEST'!$R$8, L326&lt;= ($R$7+$R$8)), (IPMT($N$8/12, (L326-$R$8), $R$7, $N$7)), 0)</f>
        <v>0</v>
      </c>
      <c r="O326" s="5">
        <f>IF(AND(L326&gt;='Amort. Sched.-BEST'!$R$8, L326&lt;= ($R$7+$R$8)), (PPMT($N$8/12, (L326-$R$8), $R$7, $N$7)), 0)</f>
        <v>0</v>
      </c>
      <c r="P326" s="5">
        <f>IF(CreditAmort1BEST[[#This Row],[Month]]=R$8,N$7,0)</f>
        <v>0</v>
      </c>
      <c r="Q326" s="13">
        <f>IF(AND(L326&gt;='Amort. Sched.-BEST'!$R$8, L326&lt;= ($R$7+$R$8)), Q325+O326, 0)</f>
        <v>0</v>
      </c>
      <c r="R326" s="6" t="str">
        <f>IF(AND(L326&gt;='Amort. Sched.-BEST'!$R$8, L326&lt;= ($R$7+$R$8)), N326/M326, " ")</f>
        <v xml:space="preserve"> </v>
      </c>
      <c r="S326" s="21" t="str">
        <f>IF(AND(L326&gt;='Amort. Sched.-BEST'!$R$8, L326&lt;= ($R$7+$R$8)), O326/M326, " ")</f>
        <v xml:space="preserve"> </v>
      </c>
      <c r="U326" s="22">
        <f t="shared" si="70"/>
        <v>315</v>
      </c>
      <c r="V326" s="23">
        <f>IF(AND(U326&gt;='Amort. Sched.-BEST'!$AA$8, U326&lt;= ($AA$7+$AA$8)), PMT('Amort. Sched.-BEST'!$W$8/12, 'Amort. Sched.-BEST'!$AA$7, 'Amort. Sched.-BEST'!$W$7), 0)</f>
        <v>0</v>
      </c>
      <c r="W326" s="5">
        <f>IF(AND(U326&gt;='Amort. Sched.-BEST'!$AA$8, U326&lt;= ($AA$7+$AA$8)), (IPMT($W$8/12, (U326-$AA$8), $AA$7, $W$7)), 0)</f>
        <v>0</v>
      </c>
      <c r="X326" s="23">
        <f>IF(AND(U326&gt;='Amort. Sched.-BEST'!$AA$8, U326&lt;= ($AA$7+$AA$8)), (PPMT($W$8/12, (U326-$AA$8), $AA$7, $W$7)), 0)</f>
        <v>0</v>
      </c>
      <c r="Y326" s="5">
        <f>IF(CreditAmort2BEST[[#This Row],[Month]]=AA$8,W$7,0)</f>
        <v>0</v>
      </c>
      <c r="Z326" s="13">
        <f>IF(AND(U326&gt;='Amort. Sched.-BEST'!$AA$8, U326&lt;= ($AA$7+$AA$8)), Z325+X326, 0)</f>
        <v>0</v>
      </c>
      <c r="AA326" s="24" t="str">
        <f>IF(AND(U326&gt;='Amort. Sched.-BEST'!$AA$8, U326&lt;= ($AA$7+$AA$8)), W326/V326, " ")</f>
        <v xml:space="preserve"> </v>
      </c>
      <c r="AB326" s="25" t="str">
        <f>IF(AND(U326&gt;='Amort. Sched.-BEST'!$AA$8, U326&lt;= ($AA$7+$AA$8)), X326/V326, " ")</f>
        <v xml:space="preserve"> </v>
      </c>
      <c r="AD326" s="22">
        <f t="shared" si="71"/>
        <v>315</v>
      </c>
      <c r="AE326" s="5">
        <f t="shared" si="72"/>
        <v>0</v>
      </c>
      <c r="AF326" s="5">
        <f t="shared" si="73"/>
        <v>0</v>
      </c>
      <c r="AG326" s="5">
        <f t="shared" si="74"/>
        <v>0</v>
      </c>
      <c r="AH326" s="5">
        <f>IF(CreditAmort3BEST[[#This Row],[Month]]=AJ$8,AF$7,0)</f>
        <v>0</v>
      </c>
      <c r="AI326" s="13">
        <f t="shared" si="75"/>
        <v>0</v>
      </c>
      <c r="AJ326" s="6" t="str">
        <f t="shared" si="76"/>
        <v xml:space="preserve"> </v>
      </c>
      <c r="AK326" s="21" t="str">
        <f t="shared" si="77"/>
        <v xml:space="preserve"> </v>
      </c>
      <c r="AM326" s="20">
        <f t="shared" si="78"/>
        <v>315</v>
      </c>
      <c r="AN326" s="5">
        <f t="shared" si="79"/>
        <v>0</v>
      </c>
      <c r="AO326" s="5">
        <f t="shared" si="80"/>
        <v>0</v>
      </c>
      <c r="AP326" s="5">
        <f t="shared" si="81"/>
        <v>0</v>
      </c>
      <c r="AQ326" s="5">
        <f>IF(CreditAmort4BEST[[#This Row],[Month]]=AS$8,AO$7,0)</f>
        <v>0</v>
      </c>
      <c r="AR326" s="13">
        <f t="shared" si="82"/>
        <v>0</v>
      </c>
      <c r="AS326" s="6" t="str">
        <f t="shared" si="83"/>
        <v xml:space="preserve"> </v>
      </c>
      <c r="AT326" s="21" t="str">
        <f t="shared" si="84"/>
        <v xml:space="preserve"> </v>
      </c>
    </row>
    <row r="327" spans="3:46">
      <c r="C327" s="22">
        <f t="shared" si="69"/>
        <v>316</v>
      </c>
      <c r="D327" s="23">
        <f>IF(AND(C327&gt;='Amort. Sched.-BEST'!$I$8, C327&lt;= ($I$7+$I$8)), PMT('Amort. Sched.-BEST'!$E$8/12, 'Amort. Sched.-BEST'!$I$7, 'Amort. Sched.-BEST'!$E$7), 0)</f>
        <v>0</v>
      </c>
      <c r="E327" s="5">
        <f>IF(AND(C327&gt;='Amort. Sched.-BEST'!$I$8, C327&lt;= ($I$7+$I$8)), (IPMT($E$8/12, (C327-$I$8), $I$7, $E$7)), 0)</f>
        <v>0</v>
      </c>
      <c r="F327" s="23">
        <f>IF(AND(C327&gt;='Amort. Sched.-BEST'!$I$8, C327&lt;= ($I$7+$I$8)), (PPMT($E$8/12, (C327-$I$8), $I$7, $E$7)), 0)</f>
        <v>0</v>
      </c>
      <c r="G327" s="5">
        <f>IF(MortgageAmortBEST[[#This Row],[Month]]=I$8,E$7,0)</f>
        <v>0</v>
      </c>
      <c r="H327" s="13">
        <f>IF(AND(C327&gt;='Amort. Sched.-BEST'!$I$8, C327&lt;= ($I$7+$I$8)), H326+F327, 0)</f>
        <v>0</v>
      </c>
      <c r="I327" s="24" t="str">
        <f>IF(AND(C327&gt;='Amort. Sched.-BEST'!$I$8, C327&lt;= ($I$7+$I$8)), E327/D327, " ")</f>
        <v xml:space="preserve"> </v>
      </c>
      <c r="J327" s="25" t="str">
        <f>IF(AND(C327&gt;='Amort. Sched.-BEST'!$I$8, C327&lt;= ($I$7+$I$8)), F327/D327, " ")</f>
        <v xml:space="preserve"> </v>
      </c>
      <c r="L327" s="20">
        <f t="shared" si="68"/>
        <v>316</v>
      </c>
      <c r="M327" s="5">
        <f>IF(AND(L327&gt;='Amort. Sched.-BEST'!$R$8, L327&lt;= ($R$7+$R$8)), PMT('Amort. Sched.-BEST'!$N$8/12, 'Amort. Sched.-BEST'!$R$7, 'Amort. Sched.-BEST'!$N$7), 0)</f>
        <v>0</v>
      </c>
      <c r="N327" s="5">
        <f>IF(AND(L327&gt;='Amort. Sched.-BEST'!$R$8, L327&lt;= ($R$7+$R$8)), (IPMT($N$8/12, (L327-$R$8), $R$7, $N$7)), 0)</f>
        <v>0</v>
      </c>
      <c r="O327" s="5">
        <f>IF(AND(L327&gt;='Amort. Sched.-BEST'!$R$8, L327&lt;= ($R$7+$R$8)), (PPMT($N$8/12, (L327-$R$8), $R$7, $N$7)), 0)</f>
        <v>0</v>
      </c>
      <c r="P327" s="5">
        <f>IF(CreditAmort1BEST[[#This Row],[Month]]=R$8,N$7,0)</f>
        <v>0</v>
      </c>
      <c r="Q327" s="13">
        <f>IF(AND(L327&gt;='Amort. Sched.-BEST'!$R$8, L327&lt;= ($R$7+$R$8)), Q326+O327, 0)</f>
        <v>0</v>
      </c>
      <c r="R327" s="6" t="str">
        <f>IF(AND(L327&gt;='Amort. Sched.-BEST'!$R$8, L327&lt;= ($R$7+$R$8)), N327/M327, " ")</f>
        <v xml:space="preserve"> </v>
      </c>
      <c r="S327" s="21" t="str">
        <f>IF(AND(L327&gt;='Amort. Sched.-BEST'!$R$8, L327&lt;= ($R$7+$R$8)), O327/M327, " ")</f>
        <v xml:space="preserve"> </v>
      </c>
      <c r="U327" s="22">
        <f t="shared" si="70"/>
        <v>316</v>
      </c>
      <c r="V327" s="23">
        <f>IF(AND(U327&gt;='Amort. Sched.-BEST'!$AA$8, U327&lt;= ($AA$7+$AA$8)), PMT('Amort. Sched.-BEST'!$W$8/12, 'Amort. Sched.-BEST'!$AA$7, 'Amort. Sched.-BEST'!$W$7), 0)</f>
        <v>0</v>
      </c>
      <c r="W327" s="5">
        <f>IF(AND(U327&gt;='Amort. Sched.-BEST'!$AA$8, U327&lt;= ($AA$7+$AA$8)), (IPMT($W$8/12, (U327-$AA$8), $AA$7, $W$7)), 0)</f>
        <v>0</v>
      </c>
      <c r="X327" s="23">
        <f>IF(AND(U327&gt;='Amort. Sched.-BEST'!$AA$8, U327&lt;= ($AA$7+$AA$8)), (PPMT($W$8/12, (U327-$AA$8), $AA$7, $W$7)), 0)</f>
        <v>0</v>
      </c>
      <c r="Y327" s="5">
        <f>IF(CreditAmort2BEST[[#This Row],[Month]]=AA$8,W$7,0)</f>
        <v>0</v>
      </c>
      <c r="Z327" s="13">
        <f>IF(AND(U327&gt;='Amort. Sched.-BEST'!$AA$8, U327&lt;= ($AA$7+$AA$8)), Z326+X327, 0)</f>
        <v>0</v>
      </c>
      <c r="AA327" s="24" t="str">
        <f>IF(AND(U327&gt;='Amort. Sched.-BEST'!$AA$8, U327&lt;= ($AA$7+$AA$8)), W327/V327, " ")</f>
        <v xml:space="preserve"> </v>
      </c>
      <c r="AB327" s="25" t="str">
        <f>IF(AND(U327&gt;='Amort. Sched.-BEST'!$AA$8, U327&lt;= ($AA$7+$AA$8)), X327/V327, " ")</f>
        <v xml:space="preserve"> </v>
      </c>
      <c r="AD327" s="22">
        <f t="shared" si="71"/>
        <v>316</v>
      </c>
      <c r="AE327" s="5">
        <f t="shared" si="72"/>
        <v>0</v>
      </c>
      <c r="AF327" s="5">
        <f t="shared" si="73"/>
        <v>0</v>
      </c>
      <c r="AG327" s="5">
        <f t="shared" si="74"/>
        <v>0</v>
      </c>
      <c r="AH327" s="5">
        <f>IF(CreditAmort3BEST[[#This Row],[Month]]=AJ$8,AF$7,0)</f>
        <v>0</v>
      </c>
      <c r="AI327" s="13">
        <f t="shared" si="75"/>
        <v>0</v>
      </c>
      <c r="AJ327" s="6" t="str">
        <f t="shared" si="76"/>
        <v xml:space="preserve"> </v>
      </c>
      <c r="AK327" s="21" t="str">
        <f t="shared" si="77"/>
        <v xml:space="preserve"> </v>
      </c>
      <c r="AM327" s="20">
        <f t="shared" si="78"/>
        <v>316</v>
      </c>
      <c r="AN327" s="5">
        <f t="shared" si="79"/>
        <v>0</v>
      </c>
      <c r="AO327" s="5">
        <f t="shared" si="80"/>
        <v>0</v>
      </c>
      <c r="AP327" s="5">
        <f t="shared" si="81"/>
        <v>0</v>
      </c>
      <c r="AQ327" s="5">
        <f>IF(CreditAmort4BEST[[#This Row],[Month]]=AS$8,AO$7,0)</f>
        <v>0</v>
      </c>
      <c r="AR327" s="13">
        <f t="shared" si="82"/>
        <v>0</v>
      </c>
      <c r="AS327" s="6" t="str">
        <f t="shared" si="83"/>
        <v xml:space="preserve"> </v>
      </c>
      <c r="AT327" s="21" t="str">
        <f t="shared" si="84"/>
        <v xml:space="preserve"> </v>
      </c>
    </row>
    <row r="328" spans="3:46">
      <c r="C328" s="22">
        <f t="shared" si="69"/>
        <v>317</v>
      </c>
      <c r="D328" s="23">
        <f>IF(AND(C328&gt;='Amort. Sched.-BEST'!$I$8, C328&lt;= ($I$7+$I$8)), PMT('Amort. Sched.-BEST'!$E$8/12, 'Amort. Sched.-BEST'!$I$7, 'Amort. Sched.-BEST'!$E$7), 0)</f>
        <v>0</v>
      </c>
      <c r="E328" s="5">
        <f>IF(AND(C328&gt;='Amort. Sched.-BEST'!$I$8, C328&lt;= ($I$7+$I$8)), (IPMT($E$8/12, (C328-$I$8), $I$7, $E$7)), 0)</f>
        <v>0</v>
      </c>
      <c r="F328" s="23">
        <f>IF(AND(C328&gt;='Amort. Sched.-BEST'!$I$8, C328&lt;= ($I$7+$I$8)), (PPMT($E$8/12, (C328-$I$8), $I$7, $E$7)), 0)</f>
        <v>0</v>
      </c>
      <c r="G328" s="5">
        <f>IF(MortgageAmortBEST[[#This Row],[Month]]=I$8,E$7,0)</f>
        <v>0</v>
      </c>
      <c r="H328" s="13">
        <f>IF(AND(C328&gt;='Amort. Sched.-BEST'!$I$8, C328&lt;= ($I$7+$I$8)), H327+F328, 0)</f>
        <v>0</v>
      </c>
      <c r="I328" s="24" t="str">
        <f>IF(AND(C328&gt;='Amort. Sched.-BEST'!$I$8, C328&lt;= ($I$7+$I$8)), E328/D328, " ")</f>
        <v xml:space="preserve"> </v>
      </c>
      <c r="J328" s="25" t="str">
        <f>IF(AND(C328&gt;='Amort. Sched.-BEST'!$I$8, C328&lt;= ($I$7+$I$8)), F328/D328, " ")</f>
        <v xml:space="preserve"> </v>
      </c>
      <c r="L328" s="20">
        <f t="shared" si="68"/>
        <v>317</v>
      </c>
      <c r="M328" s="5">
        <f>IF(AND(L328&gt;='Amort. Sched.-BEST'!$R$8, L328&lt;= ($R$7+$R$8)), PMT('Amort. Sched.-BEST'!$N$8/12, 'Amort. Sched.-BEST'!$R$7, 'Amort. Sched.-BEST'!$N$7), 0)</f>
        <v>0</v>
      </c>
      <c r="N328" s="5">
        <f>IF(AND(L328&gt;='Amort. Sched.-BEST'!$R$8, L328&lt;= ($R$7+$R$8)), (IPMT($N$8/12, (L328-$R$8), $R$7, $N$7)), 0)</f>
        <v>0</v>
      </c>
      <c r="O328" s="5">
        <f>IF(AND(L328&gt;='Amort. Sched.-BEST'!$R$8, L328&lt;= ($R$7+$R$8)), (PPMT($N$8/12, (L328-$R$8), $R$7, $N$7)), 0)</f>
        <v>0</v>
      </c>
      <c r="P328" s="5">
        <f>IF(CreditAmort1BEST[[#This Row],[Month]]=R$8,N$7,0)</f>
        <v>0</v>
      </c>
      <c r="Q328" s="13">
        <f>IF(AND(L328&gt;='Amort. Sched.-BEST'!$R$8, L328&lt;= ($R$7+$R$8)), Q327+O328, 0)</f>
        <v>0</v>
      </c>
      <c r="R328" s="6" t="str">
        <f>IF(AND(L328&gt;='Amort. Sched.-BEST'!$R$8, L328&lt;= ($R$7+$R$8)), N328/M328, " ")</f>
        <v xml:space="preserve"> </v>
      </c>
      <c r="S328" s="21" t="str">
        <f>IF(AND(L328&gt;='Amort. Sched.-BEST'!$R$8, L328&lt;= ($R$7+$R$8)), O328/M328, " ")</f>
        <v xml:space="preserve"> </v>
      </c>
      <c r="U328" s="22">
        <f t="shared" si="70"/>
        <v>317</v>
      </c>
      <c r="V328" s="23">
        <f>IF(AND(U328&gt;='Amort. Sched.-BEST'!$AA$8, U328&lt;= ($AA$7+$AA$8)), PMT('Amort. Sched.-BEST'!$W$8/12, 'Amort. Sched.-BEST'!$AA$7, 'Amort. Sched.-BEST'!$W$7), 0)</f>
        <v>0</v>
      </c>
      <c r="W328" s="5">
        <f>IF(AND(U328&gt;='Amort. Sched.-BEST'!$AA$8, U328&lt;= ($AA$7+$AA$8)), (IPMT($W$8/12, (U328-$AA$8), $AA$7, $W$7)), 0)</f>
        <v>0</v>
      </c>
      <c r="X328" s="23">
        <f>IF(AND(U328&gt;='Amort. Sched.-BEST'!$AA$8, U328&lt;= ($AA$7+$AA$8)), (PPMT($W$8/12, (U328-$AA$8), $AA$7, $W$7)), 0)</f>
        <v>0</v>
      </c>
      <c r="Y328" s="5">
        <f>IF(CreditAmort2BEST[[#This Row],[Month]]=AA$8,W$7,0)</f>
        <v>0</v>
      </c>
      <c r="Z328" s="13">
        <f>IF(AND(U328&gt;='Amort. Sched.-BEST'!$AA$8, U328&lt;= ($AA$7+$AA$8)), Z327+X328, 0)</f>
        <v>0</v>
      </c>
      <c r="AA328" s="24" t="str">
        <f>IF(AND(U328&gt;='Amort. Sched.-BEST'!$AA$8, U328&lt;= ($AA$7+$AA$8)), W328/V328, " ")</f>
        <v xml:space="preserve"> </v>
      </c>
      <c r="AB328" s="25" t="str">
        <f>IF(AND(U328&gt;='Amort. Sched.-BEST'!$AA$8, U328&lt;= ($AA$7+$AA$8)), X328/V328, " ")</f>
        <v xml:space="preserve"> </v>
      </c>
      <c r="AD328" s="22">
        <f t="shared" si="71"/>
        <v>317</v>
      </c>
      <c r="AE328" s="5">
        <f t="shared" si="72"/>
        <v>0</v>
      </c>
      <c r="AF328" s="5">
        <f t="shared" si="73"/>
        <v>0</v>
      </c>
      <c r="AG328" s="5">
        <f t="shared" si="74"/>
        <v>0</v>
      </c>
      <c r="AH328" s="5">
        <f>IF(CreditAmort3BEST[[#This Row],[Month]]=AJ$8,AF$7,0)</f>
        <v>0</v>
      </c>
      <c r="AI328" s="13">
        <f t="shared" si="75"/>
        <v>0</v>
      </c>
      <c r="AJ328" s="6" t="str">
        <f t="shared" si="76"/>
        <v xml:space="preserve"> </v>
      </c>
      <c r="AK328" s="21" t="str">
        <f t="shared" si="77"/>
        <v xml:space="preserve"> </v>
      </c>
      <c r="AM328" s="20">
        <f t="shared" si="78"/>
        <v>317</v>
      </c>
      <c r="AN328" s="5">
        <f t="shared" si="79"/>
        <v>0</v>
      </c>
      <c r="AO328" s="5">
        <f t="shared" si="80"/>
        <v>0</v>
      </c>
      <c r="AP328" s="5">
        <f t="shared" si="81"/>
        <v>0</v>
      </c>
      <c r="AQ328" s="5">
        <f>IF(CreditAmort4BEST[[#This Row],[Month]]=AS$8,AO$7,0)</f>
        <v>0</v>
      </c>
      <c r="AR328" s="13">
        <f t="shared" si="82"/>
        <v>0</v>
      </c>
      <c r="AS328" s="6" t="str">
        <f t="shared" si="83"/>
        <v xml:space="preserve"> </v>
      </c>
      <c r="AT328" s="21" t="str">
        <f t="shared" si="84"/>
        <v xml:space="preserve"> </v>
      </c>
    </row>
    <row r="329" spans="3:46">
      <c r="C329" s="22">
        <f t="shared" si="69"/>
        <v>318</v>
      </c>
      <c r="D329" s="23">
        <f>IF(AND(C329&gt;='Amort. Sched.-BEST'!$I$8, C329&lt;= ($I$7+$I$8)), PMT('Amort. Sched.-BEST'!$E$8/12, 'Amort. Sched.-BEST'!$I$7, 'Amort. Sched.-BEST'!$E$7), 0)</f>
        <v>0</v>
      </c>
      <c r="E329" s="5">
        <f>IF(AND(C329&gt;='Amort. Sched.-BEST'!$I$8, C329&lt;= ($I$7+$I$8)), (IPMT($E$8/12, (C329-$I$8), $I$7, $E$7)), 0)</f>
        <v>0</v>
      </c>
      <c r="F329" s="23">
        <f>IF(AND(C329&gt;='Amort. Sched.-BEST'!$I$8, C329&lt;= ($I$7+$I$8)), (PPMT($E$8/12, (C329-$I$8), $I$7, $E$7)), 0)</f>
        <v>0</v>
      </c>
      <c r="G329" s="5">
        <f>IF(MortgageAmortBEST[[#This Row],[Month]]=I$8,E$7,0)</f>
        <v>0</v>
      </c>
      <c r="H329" s="13">
        <f>IF(AND(C329&gt;='Amort. Sched.-BEST'!$I$8, C329&lt;= ($I$7+$I$8)), H328+F329, 0)</f>
        <v>0</v>
      </c>
      <c r="I329" s="24" t="str">
        <f>IF(AND(C329&gt;='Amort. Sched.-BEST'!$I$8, C329&lt;= ($I$7+$I$8)), E329/D329, " ")</f>
        <v xml:space="preserve"> </v>
      </c>
      <c r="J329" s="25" t="str">
        <f>IF(AND(C329&gt;='Amort. Sched.-BEST'!$I$8, C329&lt;= ($I$7+$I$8)), F329/D329, " ")</f>
        <v xml:space="preserve"> </v>
      </c>
      <c r="L329" s="20">
        <f t="shared" si="68"/>
        <v>318</v>
      </c>
      <c r="M329" s="5">
        <f>IF(AND(L329&gt;='Amort. Sched.-BEST'!$R$8, L329&lt;= ($R$7+$R$8)), PMT('Amort. Sched.-BEST'!$N$8/12, 'Amort. Sched.-BEST'!$R$7, 'Amort. Sched.-BEST'!$N$7), 0)</f>
        <v>0</v>
      </c>
      <c r="N329" s="5">
        <f>IF(AND(L329&gt;='Amort. Sched.-BEST'!$R$8, L329&lt;= ($R$7+$R$8)), (IPMT($N$8/12, (L329-$R$8), $R$7, $N$7)), 0)</f>
        <v>0</v>
      </c>
      <c r="O329" s="5">
        <f>IF(AND(L329&gt;='Amort. Sched.-BEST'!$R$8, L329&lt;= ($R$7+$R$8)), (PPMT($N$8/12, (L329-$R$8), $R$7, $N$7)), 0)</f>
        <v>0</v>
      </c>
      <c r="P329" s="5">
        <f>IF(CreditAmort1BEST[[#This Row],[Month]]=R$8,N$7,0)</f>
        <v>0</v>
      </c>
      <c r="Q329" s="13">
        <f>IF(AND(L329&gt;='Amort. Sched.-BEST'!$R$8, L329&lt;= ($R$7+$R$8)), Q328+O329, 0)</f>
        <v>0</v>
      </c>
      <c r="R329" s="6" t="str">
        <f>IF(AND(L329&gt;='Amort. Sched.-BEST'!$R$8, L329&lt;= ($R$7+$R$8)), N329/M329, " ")</f>
        <v xml:space="preserve"> </v>
      </c>
      <c r="S329" s="21" t="str">
        <f>IF(AND(L329&gt;='Amort. Sched.-BEST'!$R$8, L329&lt;= ($R$7+$R$8)), O329/M329, " ")</f>
        <v xml:space="preserve"> </v>
      </c>
      <c r="U329" s="22">
        <f t="shared" si="70"/>
        <v>318</v>
      </c>
      <c r="V329" s="23">
        <f>IF(AND(U329&gt;='Amort. Sched.-BEST'!$AA$8, U329&lt;= ($AA$7+$AA$8)), PMT('Amort. Sched.-BEST'!$W$8/12, 'Amort. Sched.-BEST'!$AA$7, 'Amort. Sched.-BEST'!$W$7), 0)</f>
        <v>0</v>
      </c>
      <c r="W329" s="5">
        <f>IF(AND(U329&gt;='Amort. Sched.-BEST'!$AA$8, U329&lt;= ($AA$7+$AA$8)), (IPMT($W$8/12, (U329-$AA$8), $AA$7, $W$7)), 0)</f>
        <v>0</v>
      </c>
      <c r="X329" s="23">
        <f>IF(AND(U329&gt;='Amort. Sched.-BEST'!$AA$8, U329&lt;= ($AA$7+$AA$8)), (PPMT($W$8/12, (U329-$AA$8), $AA$7, $W$7)), 0)</f>
        <v>0</v>
      </c>
      <c r="Y329" s="5">
        <f>IF(CreditAmort2BEST[[#This Row],[Month]]=AA$8,W$7,0)</f>
        <v>0</v>
      </c>
      <c r="Z329" s="13">
        <f>IF(AND(U329&gt;='Amort. Sched.-BEST'!$AA$8, U329&lt;= ($AA$7+$AA$8)), Z328+X329, 0)</f>
        <v>0</v>
      </c>
      <c r="AA329" s="24" t="str">
        <f>IF(AND(U329&gt;='Amort. Sched.-BEST'!$AA$8, U329&lt;= ($AA$7+$AA$8)), W329/V329, " ")</f>
        <v xml:space="preserve"> </v>
      </c>
      <c r="AB329" s="25" t="str">
        <f>IF(AND(U329&gt;='Amort. Sched.-BEST'!$AA$8, U329&lt;= ($AA$7+$AA$8)), X329/V329, " ")</f>
        <v xml:space="preserve"> </v>
      </c>
      <c r="AD329" s="22">
        <f t="shared" si="71"/>
        <v>318</v>
      </c>
      <c r="AE329" s="5">
        <f t="shared" si="72"/>
        <v>0</v>
      </c>
      <c r="AF329" s="5">
        <f t="shared" si="73"/>
        <v>0</v>
      </c>
      <c r="AG329" s="5">
        <f t="shared" si="74"/>
        <v>0</v>
      </c>
      <c r="AH329" s="5">
        <f>IF(CreditAmort3BEST[[#This Row],[Month]]=AJ$8,AF$7,0)</f>
        <v>0</v>
      </c>
      <c r="AI329" s="13">
        <f t="shared" si="75"/>
        <v>0</v>
      </c>
      <c r="AJ329" s="6" t="str">
        <f t="shared" si="76"/>
        <v xml:space="preserve"> </v>
      </c>
      <c r="AK329" s="21" t="str">
        <f t="shared" si="77"/>
        <v xml:space="preserve"> </v>
      </c>
      <c r="AM329" s="20">
        <f t="shared" si="78"/>
        <v>318</v>
      </c>
      <c r="AN329" s="5">
        <f t="shared" si="79"/>
        <v>0</v>
      </c>
      <c r="AO329" s="5">
        <f t="shared" si="80"/>
        <v>0</v>
      </c>
      <c r="AP329" s="5">
        <f t="shared" si="81"/>
        <v>0</v>
      </c>
      <c r="AQ329" s="5">
        <f>IF(CreditAmort4BEST[[#This Row],[Month]]=AS$8,AO$7,0)</f>
        <v>0</v>
      </c>
      <c r="AR329" s="13">
        <f t="shared" si="82"/>
        <v>0</v>
      </c>
      <c r="AS329" s="6" t="str">
        <f t="shared" si="83"/>
        <v xml:space="preserve"> </v>
      </c>
      <c r="AT329" s="21" t="str">
        <f t="shared" si="84"/>
        <v xml:space="preserve"> </v>
      </c>
    </row>
    <row r="330" spans="3:46">
      <c r="C330" s="22">
        <f t="shared" si="69"/>
        <v>319</v>
      </c>
      <c r="D330" s="23">
        <f>IF(AND(C330&gt;='Amort. Sched.-BEST'!$I$8, C330&lt;= ($I$7+$I$8)), PMT('Amort. Sched.-BEST'!$E$8/12, 'Amort. Sched.-BEST'!$I$7, 'Amort. Sched.-BEST'!$E$7), 0)</f>
        <v>0</v>
      </c>
      <c r="E330" s="5">
        <f>IF(AND(C330&gt;='Amort. Sched.-BEST'!$I$8, C330&lt;= ($I$7+$I$8)), (IPMT($E$8/12, (C330-$I$8), $I$7, $E$7)), 0)</f>
        <v>0</v>
      </c>
      <c r="F330" s="23">
        <f>IF(AND(C330&gt;='Amort. Sched.-BEST'!$I$8, C330&lt;= ($I$7+$I$8)), (PPMT($E$8/12, (C330-$I$8), $I$7, $E$7)), 0)</f>
        <v>0</v>
      </c>
      <c r="G330" s="5">
        <f>IF(MortgageAmortBEST[[#This Row],[Month]]=I$8,E$7,0)</f>
        <v>0</v>
      </c>
      <c r="H330" s="13">
        <f>IF(AND(C330&gt;='Amort. Sched.-BEST'!$I$8, C330&lt;= ($I$7+$I$8)), H329+F330, 0)</f>
        <v>0</v>
      </c>
      <c r="I330" s="24" t="str">
        <f>IF(AND(C330&gt;='Amort. Sched.-BEST'!$I$8, C330&lt;= ($I$7+$I$8)), E330/D330, " ")</f>
        <v xml:space="preserve"> </v>
      </c>
      <c r="J330" s="25" t="str">
        <f>IF(AND(C330&gt;='Amort. Sched.-BEST'!$I$8, C330&lt;= ($I$7+$I$8)), F330/D330, " ")</f>
        <v xml:space="preserve"> </v>
      </c>
      <c r="L330" s="20">
        <f t="shared" si="68"/>
        <v>319</v>
      </c>
      <c r="M330" s="5">
        <f>IF(AND(L330&gt;='Amort. Sched.-BEST'!$R$8, L330&lt;= ($R$7+$R$8)), PMT('Amort. Sched.-BEST'!$N$8/12, 'Amort. Sched.-BEST'!$R$7, 'Amort. Sched.-BEST'!$N$7), 0)</f>
        <v>0</v>
      </c>
      <c r="N330" s="5">
        <f>IF(AND(L330&gt;='Amort. Sched.-BEST'!$R$8, L330&lt;= ($R$7+$R$8)), (IPMT($N$8/12, (L330-$R$8), $R$7, $N$7)), 0)</f>
        <v>0</v>
      </c>
      <c r="O330" s="5">
        <f>IF(AND(L330&gt;='Amort. Sched.-BEST'!$R$8, L330&lt;= ($R$7+$R$8)), (PPMT($N$8/12, (L330-$R$8), $R$7, $N$7)), 0)</f>
        <v>0</v>
      </c>
      <c r="P330" s="5">
        <f>IF(CreditAmort1BEST[[#This Row],[Month]]=R$8,N$7,0)</f>
        <v>0</v>
      </c>
      <c r="Q330" s="13">
        <f>IF(AND(L330&gt;='Amort. Sched.-BEST'!$R$8, L330&lt;= ($R$7+$R$8)), Q329+O330, 0)</f>
        <v>0</v>
      </c>
      <c r="R330" s="6" t="str">
        <f>IF(AND(L330&gt;='Amort. Sched.-BEST'!$R$8, L330&lt;= ($R$7+$R$8)), N330/M330, " ")</f>
        <v xml:space="preserve"> </v>
      </c>
      <c r="S330" s="21" t="str">
        <f>IF(AND(L330&gt;='Amort. Sched.-BEST'!$R$8, L330&lt;= ($R$7+$R$8)), O330/M330, " ")</f>
        <v xml:space="preserve"> </v>
      </c>
      <c r="U330" s="22">
        <f t="shared" si="70"/>
        <v>319</v>
      </c>
      <c r="V330" s="23">
        <f>IF(AND(U330&gt;='Amort. Sched.-BEST'!$AA$8, U330&lt;= ($AA$7+$AA$8)), PMT('Amort. Sched.-BEST'!$W$8/12, 'Amort. Sched.-BEST'!$AA$7, 'Amort. Sched.-BEST'!$W$7), 0)</f>
        <v>0</v>
      </c>
      <c r="W330" s="5">
        <f>IF(AND(U330&gt;='Amort. Sched.-BEST'!$AA$8, U330&lt;= ($AA$7+$AA$8)), (IPMT($W$8/12, (U330-$AA$8), $AA$7, $W$7)), 0)</f>
        <v>0</v>
      </c>
      <c r="X330" s="23">
        <f>IF(AND(U330&gt;='Amort. Sched.-BEST'!$AA$8, U330&lt;= ($AA$7+$AA$8)), (PPMT($W$8/12, (U330-$AA$8), $AA$7, $W$7)), 0)</f>
        <v>0</v>
      </c>
      <c r="Y330" s="5">
        <f>IF(CreditAmort2BEST[[#This Row],[Month]]=AA$8,W$7,0)</f>
        <v>0</v>
      </c>
      <c r="Z330" s="13">
        <f>IF(AND(U330&gt;='Amort. Sched.-BEST'!$AA$8, U330&lt;= ($AA$7+$AA$8)), Z329+X330, 0)</f>
        <v>0</v>
      </c>
      <c r="AA330" s="24" t="str">
        <f>IF(AND(U330&gt;='Amort. Sched.-BEST'!$AA$8, U330&lt;= ($AA$7+$AA$8)), W330/V330, " ")</f>
        <v xml:space="preserve"> </v>
      </c>
      <c r="AB330" s="25" t="str">
        <f>IF(AND(U330&gt;='Amort. Sched.-BEST'!$AA$8, U330&lt;= ($AA$7+$AA$8)), X330/V330, " ")</f>
        <v xml:space="preserve"> </v>
      </c>
      <c r="AD330" s="22">
        <f t="shared" si="71"/>
        <v>319</v>
      </c>
      <c r="AE330" s="5">
        <f t="shared" si="72"/>
        <v>0</v>
      </c>
      <c r="AF330" s="5">
        <f t="shared" si="73"/>
        <v>0</v>
      </c>
      <c r="AG330" s="5">
        <f t="shared" si="74"/>
        <v>0</v>
      </c>
      <c r="AH330" s="5">
        <f>IF(CreditAmort3BEST[[#This Row],[Month]]=AJ$8,AF$7,0)</f>
        <v>0</v>
      </c>
      <c r="AI330" s="13">
        <f t="shared" si="75"/>
        <v>0</v>
      </c>
      <c r="AJ330" s="6" t="str">
        <f t="shared" si="76"/>
        <v xml:space="preserve"> </v>
      </c>
      <c r="AK330" s="21" t="str">
        <f t="shared" si="77"/>
        <v xml:space="preserve"> </v>
      </c>
      <c r="AM330" s="20">
        <f t="shared" si="78"/>
        <v>319</v>
      </c>
      <c r="AN330" s="5">
        <f t="shared" si="79"/>
        <v>0</v>
      </c>
      <c r="AO330" s="5">
        <f t="shared" si="80"/>
        <v>0</v>
      </c>
      <c r="AP330" s="5">
        <f t="shared" si="81"/>
        <v>0</v>
      </c>
      <c r="AQ330" s="5">
        <f>IF(CreditAmort4BEST[[#This Row],[Month]]=AS$8,AO$7,0)</f>
        <v>0</v>
      </c>
      <c r="AR330" s="13">
        <f t="shared" si="82"/>
        <v>0</v>
      </c>
      <c r="AS330" s="6" t="str">
        <f t="shared" si="83"/>
        <v xml:space="preserve"> </v>
      </c>
      <c r="AT330" s="21" t="str">
        <f t="shared" si="84"/>
        <v xml:space="preserve"> </v>
      </c>
    </row>
    <row r="331" spans="3:46">
      <c r="C331" s="22">
        <f t="shared" si="69"/>
        <v>320</v>
      </c>
      <c r="D331" s="23">
        <f>IF(AND(C331&gt;='Amort. Sched.-BEST'!$I$8, C331&lt;= ($I$7+$I$8)), PMT('Amort. Sched.-BEST'!$E$8/12, 'Amort. Sched.-BEST'!$I$7, 'Amort. Sched.-BEST'!$E$7), 0)</f>
        <v>0</v>
      </c>
      <c r="E331" s="5">
        <f>IF(AND(C331&gt;='Amort. Sched.-BEST'!$I$8, C331&lt;= ($I$7+$I$8)), (IPMT($E$8/12, (C331-$I$8), $I$7, $E$7)), 0)</f>
        <v>0</v>
      </c>
      <c r="F331" s="23">
        <f>IF(AND(C331&gt;='Amort. Sched.-BEST'!$I$8, C331&lt;= ($I$7+$I$8)), (PPMT($E$8/12, (C331-$I$8), $I$7, $E$7)), 0)</f>
        <v>0</v>
      </c>
      <c r="G331" s="5">
        <f>IF(MortgageAmortBEST[[#This Row],[Month]]=I$8,E$7,0)</f>
        <v>0</v>
      </c>
      <c r="H331" s="13">
        <f>IF(AND(C331&gt;='Amort. Sched.-BEST'!$I$8, C331&lt;= ($I$7+$I$8)), H330+F331, 0)</f>
        <v>0</v>
      </c>
      <c r="I331" s="24" t="str">
        <f>IF(AND(C331&gt;='Amort. Sched.-BEST'!$I$8, C331&lt;= ($I$7+$I$8)), E331/D331, " ")</f>
        <v xml:space="preserve"> </v>
      </c>
      <c r="J331" s="25" t="str">
        <f>IF(AND(C331&gt;='Amort. Sched.-BEST'!$I$8, C331&lt;= ($I$7+$I$8)), F331/D331, " ")</f>
        <v xml:space="preserve"> </v>
      </c>
      <c r="L331" s="20">
        <f t="shared" si="68"/>
        <v>320</v>
      </c>
      <c r="M331" s="5">
        <f>IF(AND(L331&gt;='Amort. Sched.-BEST'!$R$8, L331&lt;= ($R$7+$R$8)), PMT('Amort. Sched.-BEST'!$N$8/12, 'Amort. Sched.-BEST'!$R$7, 'Amort. Sched.-BEST'!$N$7), 0)</f>
        <v>0</v>
      </c>
      <c r="N331" s="5">
        <f>IF(AND(L331&gt;='Amort. Sched.-BEST'!$R$8, L331&lt;= ($R$7+$R$8)), (IPMT($N$8/12, (L331-$R$8), $R$7, $N$7)), 0)</f>
        <v>0</v>
      </c>
      <c r="O331" s="5">
        <f>IF(AND(L331&gt;='Amort. Sched.-BEST'!$R$8, L331&lt;= ($R$7+$R$8)), (PPMT($N$8/12, (L331-$R$8), $R$7, $N$7)), 0)</f>
        <v>0</v>
      </c>
      <c r="P331" s="5">
        <f>IF(CreditAmort1BEST[[#This Row],[Month]]=R$8,N$7,0)</f>
        <v>0</v>
      </c>
      <c r="Q331" s="13">
        <f>IF(AND(L331&gt;='Amort. Sched.-BEST'!$R$8, L331&lt;= ($R$7+$R$8)), Q330+O331, 0)</f>
        <v>0</v>
      </c>
      <c r="R331" s="6" t="str">
        <f>IF(AND(L331&gt;='Amort. Sched.-BEST'!$R$8, L331&lt;= ($R$7+$R$8)), N331/M331, " ")</f>
        <v xml:space="preserve"> </v>
      </c>
      <c r="S331" s="21" t="str">
        <f>IF(AND(L331&gt;='Amort. Sched.-BEST'!$R$8, L331&lt;= ($R$7+$R$8)), O331/M331, " ")</f>
        <v xml:space="preserve"> </v>
      </c>
      <c r="U331" s="22">
        <f t="shared" si="70"/>
        <v>320</v>
      </c>
      <c r="V331" s="23">
        <f>IF(AND(U331&gt;='Amort. Sched.-BEST'!$AA$8, U331&lt;= ($AA$7+$AA$8)), PMT('Amort. Sched.-BEST'!$W$8/12, 'Amort. Sched.-BEST'!$AA$7, 'Amort. Sched.-BEST'!$W$7), 0)</f>
        <v>0</v>
      </c>
      <c r="W331" s="5">
        <f>IF(AND(U331&gt;='Amort. Sched.-BEST'!$AA$8, U331&lt;= ($AA$7+$AA$8)), (IPMT($W$8/12, (U331-$AA$8), $AA$7, $W$7)), 0)</f>
        <v>0</v>
      </c>
      <c r="X331" s="23">
        <f>IF(AND(U331&gt;='Amort. Sched.-BEST'!$AA$8, U331&lt;= ($AA$7+$AA$8)), (PPMT($W$8/12, (U331-$AA$8), $AA$7, $W$7)), 0)</f>
        <v>0</v>
      </c>
      <c r="Y331" s="5">
        <f>IF(CreditAmort2BEST[[#This Row],[Month]]=AA$8,W$7,0)</f>
        <v>0</v>
      </c>
      <c r="Z331" s="13">
        <f>IF(AND(U331&gt;='Amort. Sched.-BEST'!$AA$8, U331&lt;= ($AA$7+$AA$8)), Z330+X331, 0)</f>
        <v>0</v>
      </c>
      <c r="AA331" s="24" t="str">
        <f>IF(AND(U331&gt;='Amort. Sched.-BEST'!$AA$8, U331&lt;= ($AA$7+$AA$8)), W331/V331, " ")</f>
        <v xml:space="preserve"> </v>
      </c>
      <c r="AB331" s="25" t="str">
        <f>IF(AND(U331&gt;='Amort. Sched.-BEST'!$AA$8, U331&lt;= ($AA$7+$AA$8)), X331/V331, " ")</f>
        <v xml:space="preserve"> </v>
      </c>
      <c r="AD331" s="22">
        <f t="shared" si="71"/>
        <v>320</v>
      </c>
      <c r="AE331" s="5">
        <f t="shared" si="72"/>
        <v>0</v>
      </c>
      <c r="AF331" s="5">
        <f t="shared" si="73"/>
        <v>0</v>
      </c>
      <c r="AG331" s="5">
        <f t="shared" si="74"/>
        <v>0</v>
      </c>
      <c r="AH331" s="5">
        <f>IF(CreditAmort3BEST[[#This Row],[Month]]=AJ$8,AF$7,0)</f>
        <v>0</v>
      </c>
      <c r="AI331" s="13">
        <f t="shared" si="75"/>
        <v>0</v>
      </c>
      <c r="AJ331" s="6" t="str">
        <f t="shared" si="76"/>
        <v xml:space="preserve"> </v>
      </c>
      <c r="AK331" s="21" t="str">
        <f t="shared" si="77"/>
        <v xml:space="preserve"> </v>
      </c>
      <c r="AM331" s="20">
        <f t="shared" si="78"/>
        <v>320</v>
      </c>
      <c r="AN331" s="5">
        <f t="shared" si="79"/>
        <v>0</v>
      </c>
      <c r="AO331" s="5">
        <f t="shared" si="80"/>
        <v>0</v>
      </c>
      <c r="AP331" s="5">
        <f t="shared" si="81"/>
        <v>0</v>
      </c>
      <c r="AQ331" s="5">
        <f>IF(CreditAmort4BEST[[#This Row],[Month]]=AS$8,AO$7,0)</f>
        <v>0</v>
      </c>
      <c r="AR331" s="13">
        <f t="shared" si="82"/>
        <v>0</v>
      </c>
      <c r="AS331" s="6" t="str">
        <f t="shared" si="83"/>
        <v xml:space="preserve"> </v>
      </c>
      <c r="AT331" s="21" t="str">
        <f t="shared" si="84"/>
        <v xml:space="preserve"> </v>
      </c>
    </row>
    <row r="332" spans="3:46">
      <c r="C332" s="22">
        <f t="shared" si="69"/>
        <v>321</v>
      </c>
      <c r="D332" s="23">
        <f>IF(AND(C332&gt;='Amort. Sched.-BEST'!$I$8, C332&lt;= ($I$7+$I$8)), PMT('Amort. Sched.-BEST'!$E$8/12, 'Amort. Sched.-BEST'!$I$7, 'Amort. Sched.-BEST'!$E$7), 0)</f>
        <v>0</v>
      </c>
      <c r="E332" s="5">
        <f>IF(AND(C332&gt;='Amort. Sched.-BEST'!$I$8, C332&lt;= ($I$7+$I$8)), (IPMT($E$8/12, (C332-$I$8), $I$7, $E$7)), 0)</f>
        <v>0</v>
      </c>
      <c r="F332" s="23">
        <f>IF(AND(C332&gt;='Amort. Sched.-BEST'!$I$8, C332&lt;= ($I$7+$I$8)), (PPMT($E$8/12, (C332-$I$8), $I$7, $E$7)), 0)</f>
        <v>0</v>
      </c>
      <c r="G332" s="5">
        <f>IF(MortgageAmortBEST[[#This Row],[Month]]=I$8,E$7,0)</f>
        <v>0</v>
      </c>
      <c r="H332" s="13">
        <f>IF(AND(C332&gt;='Amort. Sched.-BEST'!$I$8, C332&lt;= ($I$7+$I$8)), H331+F332, 0)</f>
        <v>0</v>
      </c>
      <c r="I332" s="24" t="str">
        <f>IF(AND(C332&gt;='Amort. Sched.-BEST'!$I$8, C332&lt;= ($I$7+$I$8)), E332/D332, " ")</f>
        <v xml:space="preserve"> </v>
      </c>
      <c r="J332" s="25" t="str">
        <f>IF(AND(C332&gt;='Amort. Sched.-BEST'!$I$8, C332&lt;= ($I$7+$I$8)), F332/D332, " ")</f>
        <v xml:space="preserve"> </v>
      </c>
      <c r="L332" s="20">
        <f t="shared" ref="L332:L371" si="85">L331+1</f>
        <v>321</v>
      </c>
      <c r="M332" s="5">
        <f>IF(AND(L332&gt;='Amort. Sched.-BEST'!$R$8, L332&lt;= ($R$7+$R$8)), PMT('Amort. Sched.-BEST'!$N$8/12, 'Amort. Sched.-BEST'!$R$7, 'Amort. Sched.-BEST'!$N$7), 0)</f>
        <v>0</v>
      </c>
      <c r="N332" s="5">
        <f>IF(AND(L332&gt;='Amort. Sched.-BEST'!$R$8, L332&lt;= ($R$7+$R$8)), (IPMT($N$8/12, (L332-$R$8), $R$7, $N$7)), 0)</f>
        <v>0</v>
      </c>
      <c r="O332" s="5">
        <f>IF(AND(L332&gt;='Amort. Sched.-BEST'!$R$8, L332&lt;= ($R$7+$R$8)), (PPMT($N$8/12, (L332-$R$8), $R$7, $N$7)), 0)</f>
        <v>0</v>
      </c>
      <c r="P332" s="5">
        <f>IF(CreditAmort1BEST[[#This Row],[Month]]=R$8,N$7,0)</f>
        <v>0</v>
      </c>
      <c r="Q332" s="13">
        <f>IF(AND(L332&gt;='Amort. Sched.-BEST'!$R$8, L332&lt;= ($R$7+$R$8)), Q331+O332, 0)</f>
        <v>0</v>
      </c>
      <c r="R332" s="6" t="str">
        <f>IF(AND(L332&gt;='Amort. Sched.-BEST'!$R$8, L332&lt;= ($R$7+$R$8)), N332/M332, " ")</f>
        <v xml:space="preserve"> </v>
      </c>
      <c r="S332" s="21" t="str">
        <f>IF(AND(L332&gt;='Amort. Sched.-BEST'!$R$8, L332&lt;= ($R$7+$R$8)), O332/M332, " ")</f>
        <v xml:space="preserve"> </v>
      </c>
      <c r="U332" s="22">
        <f t="shared" si="70"/>
        <v>321</v>
      </c>
      <c r="V332" s="23">
        <f>IF(AND(U332&gt;='Amort. Sched.-BEST'!$AA$8, U332&lt;= ($AA$7+$AA$8)), PMT('Amort. Sched.-BEST'!$W$8/12, 'Amort. Sched.-BEST'!$AA$7, 'Amort. Sched.-BEST'!$W$7), 0)</f>
        <v>0</v>
      </c>
      <c r="W332" s="5">
        <f>IF(AND(U332&gt;='Amort. Sched.-BEST'!$AA$8, U332&lt;= ($AA$7+$AA$8)), (IPMT($W$8/12, (U332-$AA$8), $AA$7, $W$7)), 0)</f>
        <v>0</v>
      </c>
      <c r="X332" s="23">
        <f>IF(AND(U332&gt;='Amort. Sched.-BEST'!$AA$8, U332&lt;= ($AA$7+$AA$8)), (PPMT($W$8/12, (U332-$AA$8), $AA$7, $W$7)), 0)</f>
        <v>0</v>
      </c>
      <c r="Y332" s="5">
        <f>IF(CreditAmort2BEST[[#This Row],[Month]]=AA$8,W$7,0)</f>
        <v>0</v>
      </c>
      <c r="Z332" s="13">
        <f>IF(AND(U332&gt;='Amort. Sched.-BEST'!$AA$8, U332&lt;= ($AA$7+$AA$8)), Z331+X332, 0)</f>
        <v>0</v>
      </c>
      <c r="AA332" s="24" t="str">
        <f>IF(AND(U332&gt;='Amort. Sched.-BEST'!$AA$8, U332&lt;= ($AA$7+$AA$8)), W332/V332, " ")</f>
        <v xml:space="preserve"> </v>
      </c>
      <c r="AB332" s="25" t="str">
        <f>IF(AND(U332&gt;='Amort. Sched.-BEST'!$AA$8, U332&lt;= ($AA$7+$AA$8)), X332/V332, " ")</f>
        <v xml:space="preserve"> </v>
      </c>
      <c r="AD332" s="22">
        <f t="shared" si="71"/>
        <v>321</v>
      </c>
      <c r="AE332" s="5">
        <f t="shared" si="72"/>
        <v>0</v>
      </c>
      <c r="AF332" s="5">
        <f t="shared" si="73"/>
        <v>0</v>
      </c>
      <c r="AG332" s="5">
        <f t="shared" si="74"/>
        <v>0</v>
      </c>
      <c r="AH332" s="5">
        <f>IF(CreditAmort3BEST[[#This Row],[Month]]=AJ$8,AF$7,0)</f>
        <v>0</v>
      </c>
      <c r="AI332" s="13">
        <f t="shared" si="75"/>
        <v>0</v>
      </c>
      <c r="AJ332" s="6" t="str">
        <f t="shared" si="76"/>
        <v xml:space="preserve"> </v>
      </c>
      <c r="AK332" s="21" t="str">
        <f t="shared" si="77"/>
        <v xml:space="preserve"> </v>
      </c>
      <c r="AM332" s="20">
        <f t="shared" si="78"/>
        <v>321</v>
      </c>
      <c r="AN332" s="5">
        <f t="shared" si="79"/>
        <v>0</v>
      </c>
      <c r="AO332" s="5">
        <f t="shared" si="80"/>
        <v>0</v>
      </c>
      <c r="AP332" s="5">
        <f t="shared" si="81"/>
        <v>0</v>
      </c>
      <c r="AQ332" s="5">
        <f>IF(CreditAmort4BEST[[#This Row],[Month]]=AS$8,AO$7,0)</f>
        <v>0</v>
      </c>
      <c r="AR332" s="13">
        <f t="shared" si="82"/>
        <v>0</v>
      </c>
      <c r="AS332" s="6" t="str">
        <f t="shared" si="83"/>
        <v xml:space="preserve"> </v>
      </c>
      <c r="AT332" s="21" t="str">
        <f t="shared" si="84"/>
        <v xml:space="preserve"> </v>
      </c>
    </row>
    <row r="333" spans="3:46">
      <c r="C333" s="22">
        <f t="shared" ref="C333:C371" si="86">C332+1</f>
        <v>322</v>
      </c>
      <c r="D333" s="23">
        <f>IF(AND(C333&gt;='Amort. Sched.-BEST'!$I$8, C333&lt;= ($I$7+$I$8)), PMT('Amort. Sched.-BEST'!$E$8/12, 'Amort. Sched.-BEST'!$I$7, 'Amort. Sched.-BEST'!$E$7), 0)</f>
        <v>0</v>
      </c>
      <c r="E333" s="5">
        <f>IF(AND(C333&gt;='Amort. Sched.-BEST'!$I$8, C333&lt;= ($I$7+$I$8)), (IPMT($E$8/12, (C333-$I$8), $I$7, $E$7)), 0)</f>
        <v>0</v>
      </c>
      <c r="F333" s="23">
        <f>IF(AND(C333&gt;='Amort. Sched.-BEST'!$I$8, C333&lt;= ($I$7+$I$8)), (PPMT($E$8/12, (C333-$I$8), $I$7, $E$7)), 0)</f>
        <v>0</v>
      </c>
      <c r="G333" s="5">
        <f>IF(MortgageAmortBEST[[#This Row],[Month]]=I$8,E$7,0)</f>
        <v>0</v>
      </c>
      <c r="H333" s="13">
        <f>IF(AND(C333&gt;='Amort. Sched.-BEST'!$I$8, C333&lt;= ($I$7+$I$8)), H332+F333, 0)</f>
        <v>0</v>
      </c>
      <c r="I333" s="24" t="str">
        <f>IF(AND(C333&gt;='Amort. Sched.-BEST'!$I$8, C333&lt;= ($I$7+$I$8)), E333/D333, " ")</f>
        <v xml:space="preserve"> </v>
      </c>
      <c r="J333" s="25" t="str">
        <f>IF(AND(C333&gt;='Amort. Sched.-BEST'!$I$8, C333&lt;= ($I$7+$I$8)), F333/D333, " ")</f>
        <v xml:space="preserve"> </v>
      </c>
      <c r="L333" s="20">
        <f t="shared" si="85"/>
        <v>322</v>
      </c>
      <c r="M333" s="5">
        <f>IF(AND(L333&gt;='Amort. Sched.-BEST'!$R$8, L333&lt;= ($R$7+$R$8)), PMT('Amort. Sched.-BEST'!$N$8/12, 'Amort. Sched.-BEST'!$R$7, 'Amort. Sched.-BEST'!$N$7), 0)</f>
        <v>0</v>
      </c>
      <c r="N333" s="5">
        <f>IF(AND(L333&gt;='Amort. Sched.-BEST'!$R$8, L333&lt;= ($R$7+$R$8)), (IPMT($N$8/12, (L333-$R$8), $R$7, $N$7)), 0)</f>
        <v>0</v>
      </c>
      <c r="O333" s="5">
        <f>IF(AND(L333&gt;='Amort. Sched.-BEST'!$R$8, L333&lt;= ($R$7+$R$8)), (PPMT($N$8/12, (L333-$R$8), $R$7, $N$7)), 0)</f>
        <v>0</v>
      </c>
      <c r="P333" s="5">
        <f>IF(CreditAmort1BEST[[#This Row],[Month]]=R$8,N$7,0)</f>
        <v>0</v>
      </c>
      <c r="Q333" s="13">
        <f>IF(AND(L333&gt;='Amort. Sched.-BEST'!$R$8, L333&lt;= ($R$7+$R$8)), Q332+O333, 0)</f>
        <v>0</v>
      </c>
      <c r="R333" s="6" t="str">
        <f>IF(AND(L333&gt;='Amort. Sched.-BEST'!$R$8, L333&lt;= ($R$7+$R$8)), N333/M333, " ")</f>
        <v xml:space="preserve"> </v>
      </c>
      <c r="S333" s="21" t="str">
        <f>IF(AND(L333&gt;='Amort. Sched.-BEST'!$R$8, L333&lt;= ($R$7+$R$8)), O333/M333, " ")</f>
        <v xml:space="preserve"> </v>
      </c>
      <c r="U333" s="22">
        <f t="shared" ref="U333:U371" si="87">U332+1</f>
        <v>322</v>
      </c>
      <c r="V333" s="23">
        <f>IF(AND(U333&gt;='Amort. Sched.-BEST'!$AA$8, U333&lt;= ($AA$7+$AA$8)), PMT('Amort. Sched.-BEST'!$W$8/12, 'Amort. Sched.-BEST'!$AA$7, 'Amort. Sched.-BEST'!$W$7), 0)</f>
        <v>0</v>
      </c>
      <c r="W333" s="5">
        <f>IF(AND(U333&gt;='Amort. Sched.-BEST'!$AA$8, U333&lt;= ($AA$7+$AA$8)), (IPMT($W$8/12, (U333-$AA$8), $AA$7, $W$7)), 0)</f>
        <v>0</v>
      </c>
      <c r="X333" s="23">
        <f>IF(AND(U333&gt;='Amort. Sched.-BEST'!$AA$8, U333&lt;= ($AA$7+$AA$8)), (PPMT($W$8/12, (U333-$AA$8), $AA$7, $W$7)), 0)</f>
        <v>0</v>
      </c>
      <c r="Y333" s="5">
        <f>IF(CreditAmort2BEST[[#This Row],[Month]]=AA$8,W$7,0)</f>
        <v>0</v>
      </c>
      <c r="Z333" s="13">
        <f>IF(AND(U333&gt;='Amort. Sched.-BEST'!$AA$8, U333&lt;= ($AA$7+$AA$8)), Z332+X333, 0)</f>
        <v>0</v>
      </c>
      <c r="AA333" s="24" t="str">
        <f>IF(AND(U333&gt;='Amort. Sched.-BEST'!$AA$8, U333&lt;= ($AA$7+$AA$8)), W333/V333, " ")</f>
        <v xml:space="preserve"> </v>
      </c>
      <c r="AB333" s="25" t="str">
        <f>IF(AND(U333&gt;='Amort. Sched.-BEST'!$AA$8, U333&lt;= ($AA$7+$AA$8)), X333/V333, " ")</f>
        <v xml:space="preserve"> </v>
      </c>
      <c r="AD333" s="22">
        <f t="shared" ref="AD333:AD371" si="88">AD332+1</f>
        <v>322</v>
      </c>
      <c r="AE333" s="5">
        <f t="shared" ref="AE333:AE371" si="89">IF(AND(AD333&gt;=$AJ$8, AD333&lt;= ($AJ$7+$AJ$8)), PMT($AF$8/12, $AJ$7, $AF$7), 0)</f>
        <v>0</v>
      </c>
      <c r="AF333" s="5">
        <f t="shared" ref="AF333:AF371" si="90">IF(AND(AD333&gt;=$AJ$8, AD333&lt;= ($AJ$7+$AJ$8)), (IPMT($AF$8/12, (AD333-$AJ$8), $AJ$7, $AF$7)), 0)</f>
        <v>0</v>
      </c>
      <c r="AG333" s="5">
        <f t="shared" ref="AG333:AG371" si="91">IF(AND(AD333&gt;=$AJ$8, AD333&lt;= ($AJ$7+$AJ$8)), (PPMT($AF$8/12, (AD333-$AJ$8), $AJ$7, $AF$7)), 0)</f>
        <v>0</v>
      </c>
      <c r="AH333" s="5">
        <f>IF(CreditAmort3BEST[[#This Row],[Month]]=AJ$8,AF$7,0)</f>
        <v>0</v>
      </c>
      <c r="AI333" s="13">
        <f t="shared" ref="AI333:AI371" si="92">IF(AND(AD333&gt;=$AJ$8, AD333&lt;= ($AJ$7+$AJ$8)), AI332+AG333, 0)</f>
        <v>0</v>
      </c>
      <c r="AJ333" s="6" t="str">
        <f t="shared" ref="AJ333:AJ371" si="93">IF(AND(AD333&gt;=$AJ$8, AD333&lt;= ($AJ$7+$AJ$8)), AF333/AE333, " ")</f>
        <v xml:space="preserve"> </v>
      </c>
      <c r="AK333" s="21" t="str">
        <f t="shared" ref="AK333:AK371" si="94">IF(AND(AD333&gt;=$AJ$8, AD333&lt;= ($AJ$7+$AJ$8)), AG333/AE333, " ")</f>
        <v xml:space="preserve"> </v>
      </c>
      <c r="AM333" s="20">
        <f t="shared" ref="AM333:AM371" si="95">AM332+1</f>
        <v>322</v>
      </c>
      <c r="AN333" s="5">
        <f t="shared" ref="AN333:AN371" si="96">IF(AND(AM333&gt;=$AS$8, AM333&lt;= ($AS$7+$AS$8)), PMT($AO$8/12, $AS$7, $AO$7), 0)</f>
        <v>0</v>
      </c>
      <c r="AO333" s="5">
        <f t="shared" ref="AO333:AO371" si="97">IF(AND(AM333&gt;=$AS$8, AM333&lt;= ($AS$7+$AS$8)), (IPMT($AO$8/12, (AM333-$AS$8), $AS$7, $AO$7)), 0)</f>
        <v>0</v>
      </c>
      <c r="AP333" s="5">
        <f t="shared" ref="AP333:AP371" si="98">IF(AND(AM333&gt;=$AS$8, AM333&lt;= ($AS$7+$AS$8)), (PPMT($AO$8/12, (AM333-$AS$8), $AS$7, $AO$7)), 0)</f>
        <v>0</v>
      </c>
      <c r="AQ333" s="5">
        <f>IF(CreditAmort4BEST[[#This Row],[Month]]=AS$8,AO$7,0)</f>
        <v>0</v>
      </c>
      <c r="AR333" s="13">
        <f t="shared" ref="AR333:AR371" si="99">IF(AND(AM333&gt;=$AS$8, AM333&lt;= ($AS$7+$AS$8)), AR332+AP333, 0)</f>
        <v>0</v>
      </c>
      <c r="AS333" s="6" t="str">
        <f t="shared" ref="AS333:AS371" si="100">IF(AND(AM333&gt;=$AS$8, AM333&lt;= ($AS$7+$AS$8)), AO333/AN333, " ")</f>
        <v xml:space="preserve"> </v>
      </c>
      <c r="AT333" s="21" t="str">
        <f t="shared" ref="AT333:AT371" si="101">IF(AND(AM333&gt;=$AS$8, AM333&lt;= ($AS$7+$AS$8)), AP333/AN333, " ")</f>
        <v xml:space="preserve"> </v>
      </c>
    </row>
    <row r="334" spans="3:46">
      <c r="C334" s="22">
        <f t="shared" si="86"/>
        <v>323</v>
      </c>
      <c r="D334" s="23">
        <f>IF(AND(C334&gt;='Amort. Sched.-BEST'!$I$8, C334&lt;= ($I$7+$I$8)), PMT('Amort. Sched.-BEST'!$E$8/12, 'Amort. Sched.-BEST'!$I$7, 'Amort. Sched.-BEST'!$E$7), 0)</f>
        <v>0</v>
      </c>
      <c r="E334" s="5">
        <f>IF(AND(C334&gt;='Amort. Sched.-BEST'!$I$8, C334&lt;= ($I$7+$I$8)), (IPMT($E$8/12, (C334-$I$8), $I$7, $E$7)), 0)</f>
        <v>0</v>
      </c>
      <c r="F334" s="23">
        <f>IF(AND(C334&gt;='Amort. Sched.-BEST'!$I$8, C334&lt;= ($I$7+$I$8)), (PPMT($E$8/12, (C334-$I$8), $I$7, $E$7)), 0)</f>
        <v>0</v>
      </c>
      <c r="G334" s="5">
        <f>IF(MortgageAmortBEST[[#This Row],[Month]]=I$8,E$7,0)</f>
        <v>0</v>
      </c>
      <c r="H334" s="13">
        <f>IF(AND(C334&gt;='Amort. Sched.-BEST'!$I$8, C334&lt;= ($I$7+$I$8)), H333+F334, 0)</f>
        <v>0</v>
      </c>
      <c r="I334" s="24" t="str">
        <f>IF(AND(C334&gt;='Amort. Sched.-BEST'!$I$8, C334&lt;= ($I$7+$I$8)), E334/D334, " ")</f>
        <v xml:space="preserve"> </v>
      </c>
      <c r="J334" s="25" t="str">
        <f>IF(AND(C334&gt;='Amort. Sched.-BEST'!$I$8, C334&lt;= ($I$7+$I$8)), F334/D334, " ")</f>
        <v xml:space="preserve"> </v>
      </c>
      <c r="L334" s="20">
        <f t="shared" si="85"/>
        <v>323</v>
      </c>
      <c r="M334" s="5">
        <f>IF(AND(L334&gt;='Amort. Sched.-BEST'!$R$8, L334&lt;= ($R$7+$R$8)), PMT('Amort. Sched.-BEST'!$N$8/12, 'Amort. Sched.-BEST'!$R$7, 'Amort. Sched.-BEST'!$N$7), 0)</f>
        <v>0</v>
      </c>
      <c r="N334" s="5">
        <f>IF(AND(L334&gt;='Amort. Sched.-BEST'!$R$8, L334&lt;= ($R$7+$R$8)), (IPMT($N$8/12, (L334-$R$8), $R$7, $N$7)), 0)</f>
        <v>0</v>
      </c>
      <c r="O334" s="5">
        <f>IF(AND(L334&gt;='Amort. Sched.-BEST'!$R$8, L334&lt;= ($R$7+$R$8)), (PPMT($N$8/12, (L334-$R$8), $R$7, $N$7)), 0)</f>
        <v>0</v>
      </c>
      <c r="P334" s="5">
        <f>IF(CreditAmort1BEST[[#This Row],[Month]]=R$8,N$7,0)</f>
        <v>0</v>
      </c>
      <c r="Q334" s="13">
        <f>IF(AND(L334&gt;='Amort. Sched.-BEST'!$R$8, L334&lt;= ($R$7+$R$8)), Q333+O334, 0)</f>
        <v>0</v>
      </c>
      <c r="R334" s="6" t="str">
        <f>IF(AND(L334&gt;='Amort. Sched.-BEST'!$R$8, L334&lt;= ($R$7+$R$8)), N334/M334, " ")</f>
        <v xml:space="preserve"> </v>
      </c>
      <c r="S334" s="21" t="str">
        <f>IF(AND(L334&gt;='Amort. Sched.-BEST'!$R$8, L334&lt;= ($R$7+$R$8)), O334/M334, " ")</f>
        <v xml:space="preserve"> </v>
      </c>
      <c r="U334" s="22">
        <f t="shared" si="87"/>
        <v>323</v>
      </c>
      <c r="V334" s="23">
        <f>IF(AND(U334&gt;='Amort. Sched.-BEST'!$AA$8, U334&lt;= ($AA$7+$AA$8)), PMT('Amort. Sched.-BEST'!$W$8/12, 'Amort. Sched.-BEST'!$AA$7, 'Amort. Sched.-BEST'!$W$7), 0)</f>
        <v>0</v>
      </c>
      <c r="W334" s="5">
        <f>IF(AND(U334&gt;='Amort. Sched.-BEST'!$AA$8, U334&lt;= ($AA$7+$AA$8)), (IPMT($W$8/12, (U334-$AA$8), $AA$7, $W$7)), 0)</f>
        <v>0</v>
      </c>
      <c r="X334" s="23">
        <f>IF(AND(U334&gt;='Amort. Sched.-BEST'!$AA$8, U334&lt;= ($AA$7+$AA$8)), (PPMT($W$8/12, (U334-$AA$8), $AA$7, $W$7)), 0)</f>
        <v>0</v>
      </c>
      <c r="Y334" s="5">
        <f>IF(CreditAmort2BEST[[#This Row],[Month]]=AA$8,W$7,0)</f>
        <v>0</v>
      </c>
      <c r="Z334" s="13">
        <f>IF(AND(U334&gt;='Amort. Sched.-BEST'!$AA$8, U334&lt;= ($AA$7+$AA$8)), Z333+X334, 0)</f>
        <v>0</v>
      </c>
      <c r="AA334" s="24" t="str">
        <f>IF(AND(U334&gt;='Amort. Sched.-BEST'!$AA$8, U334&lt;= ($AA$7+$AA$8)), W334/V334, " ")</f>
        <v xml:space="preserve"> </v>
      </c>
      <c r="AB334" s="25" t="str">
        <f>IF(AND(U334&gt;='Amort. Sched.-BEST'!$AA$8, U334&lt;= ($AA$7+$AA$8)), X334/V334, " ")</f>
        <v xml:space="preserve"> </v>
      </c>
      <c r="AD334" s="22">
        <f t="shared" si="88"/>
        <v>323</v>
      </c>
      <c r="AE334" s="5">
        <f t="shared" si="89"/>
        <v>0</v>
      </c>
      <c r="AF334" s="5">
        <f t="shared" si="90"/>
        <v>0</v>
      </c>
      <c r="AG334" s="5">
        <f t="shared" si="91"/>
        <v>0</v>
      </c>
      <c r="AH334" s="5">
        <f>IF(CreditAmort3BEST[[#This Row],[Month]]=AJ$8,AF$7,0)</f>
        <v>0</v>
      </c>
      <c r="AI334" s="13">
        <f t="shared" si="92"/>
        <v>0</v>
      </c>
      <c r="AJ334" s="6" t="str">
        <f t="shared" si="93"/>
        <v xml:space="preserve"> </v>
      </c>
      <c r="AK334" s="21" t="str">
        <f t="shared" si="94"/>
        <v xml:space="preserve"> </v>
      </c>
      <c r="AM334" s="20">
        <f t="shared" si="95"/>
        <v>323</v>
      </c>
      <c r="AN334" s="5">
        <f t="shared" si="96"/>
        <v>0</v>
      </c>
      <c r="AO334" s="5">
        <f t="shared" si="97"/>
        <v>0</v>
      </c>
      <c r="AP334" s="5">
        <f t="shared" si="98"/>
        <v>0</v>
      </c>
      <c r="AQ334" s="5">
        <f>IF(CreditAmort4BEST[[#This Row],[Month]]=AS$8,AO$7,0)</f>
        <v>0</v>
      </c>
      <c r="AR334" s="13">
        <f t="shared" si="99"/>
        <v>0</v>
      </c>
      <c r="AS334" s="6" t="str">
        <f t="shared" si="100"/>
        <v xml:space="preserve"> </v>
      </c>
      <c r="AT334" s="21" t="str">
        <f t="shared" si="101"/>
        <v xml:space="preserve"> </v>
      </c>
    </row>
    <row r="335" spans="3:46">
      <c r="C335" s="22">
        <f t="shared" si="86"/>
        <v>324</v>
      </c>
      <c r="D335" s="23">
        <f>IF(AND(C335&gt;='Amort. Sched.-BEST'!$I$8, C335&lt;= ($I$7+$I$8)), PMT('Amort. Sched.-BEST'!$E$8/12, 'Amort. Sched.-BEST'!$I$7, 'Amort. Sched.-BEST'!$E$7), 0)</f>
        <v>0</v>
      </c>
      <c r="E335" s="5">
        <f>IF(AND(C335&gt;='Amort. Sched.-BEST'!$I$8, C335&lt;= ($I$7+$I$8)), (IPMT($E$8/12, (C335-$I$8), $I$7, $E$7)), 0)</f>
        <v>0</v>
      </c>
      <c r="F335" s="23">
        <f>IF(AND(C335&gt;='Amort. Sched.-BEST'!$I$8, C335&lt;= ($I$7+$I$8)), (PPMT($E$8/12, (C335-$I$8), $I$7, $E$7)), 0)</f>
        <v>0</v>
      </c>
      <c r="G335" s="5">
        <f>IF(MortgageAmortBEST[[#This Row],[Month]]=I$8,E$7,0)</f>
        <v>0</v>
      </c>
      <c r="H335" s="13">
        <f>IF(AND(C335&gt;='Amort. Sched.-BEST'!$I$8, C335&lt;= ($I$7+$I$8)), H334+F335, 0)</f>
        <v>0</v>
      </c>
      <c r="I335" s="24" t="str">
        <f>IF(AND(C335&gt;='Amort. Sched.-BEST'!$I$8, C335&lt;= ($I$7+$I$8)), E335/D335, " ")</f>
        <v xml:space="preserve"> </v>
      </c>
      <c r="J335" s="25" t="str">
        <f>IF(AND(C335&gt;='Amort. Sched.-BEST'!$I$8, C335&lt;= ($I$7+$I$8)), F335/D335, " ")</f>
        <v xml:space="preserve"> </v>
      </c>
      <c r="L335" s="20">
        <f t="shared" si="85"/>
        <v>324</v>
      </c>
      <c r="M335" s="5">
        <f>IF(AND(L335&gt;='Amort. Sched.-BEST'!$R$8, L335&lt;= ($R$7+$R$8)), PMT('Amort. Sched.-BEST'!$N$8/12, 'Amort. Sched.-BEST'!$R$7, 'Amort. Sched.-BEST'!$N$7), 0)</f>
        <v>0</v>
      </c>
      <c r="N335" s="5">
        <f>IF(AND(L335&gt;='Amort. Sched.-BEST'!$R$8, L335&lt;= ($R$7+$R$8)), (IPMT($N$8/12, (L335-$R$8), $R$7, $N$7)), 0)</f>
        <v>0</v>
      </c>
      <c r="O335" s="5">
        <f>IF(AND(L335&gt;='Amort. Sched.-BEST'!$R$8, L335&lt;= ($R$7+$R$8)), (PPMT($N$8/12, (L335-$R$8), $R$7, $N$7)), 0)</f>
        <v>0</v>
      </c>
      <c r="P335" s="5">
        <f>IF(CreditAmort1BEST[[#This Row],[Month]]=R$8,N$7,0)</f>
        <v>0</v>
      </c>
      <c r="Q335" s="13">
        <f>IF(AND(L335&gt;='Amort. Sched.-BEST'!$R$8, L335&lt;= ($R$7+$R$8)), Q334+O335, 0)</f>
        <v>0</v>
      </c>
      <c r="R335" s="6" t="str">
        <f>IF(AND(L335&gt;='Amort. Sched.-BEST'!$R$8, L335&lt;= ($R$7+$R$8)), N335/M335, " ")</f>
        <v xml:space="preserve"> </v>
      </c>
      <c r="S335" s="21" t="str">
        <f>IF(AND(L335&gt;='Amort. Sched.-BEST'!$R$8, L335&lt;= ($R$7+$R$8)), O335/M335, " ")</f>
        <v xml:space="preserve"> </v>
      </c>
      <c r="U335" s="22">
        <f t="shared" si="87"/>
        <v>324</v>
      </c>
      <c r="V335" s="23">
        <f>IF(AND(U335&gt;='Amort. Sched.-BEST'!$AA$8, U335&lt;= ($AA$7+$AA$8)), PMT('Amort. Sched.-BEST'!$W$8/12, 'Amort. Sched.-BEST'!$AA$7, 'Amort. Sched.-BEST'!$W$7), 0)</f>
        <v>0</v>
      </c>
      <c r="W335" s="5">
        <f>IF(AND(U335&gt;='Amort. Sched.-BEST'!$AA$8, U335&lt;= ($AA$7+$AA$8)), (IPMT($W$8/12, (U335-$AA$8), $AA$7, $W$7)), 0)</f>
        <v>0</v>
      </c>
      <c r="X335" s="23">
        <f>IF(AND(U335&gt;='Amort. Sched.-BEST'!$AA$8, U335&lt;= ($AA$7+$AA$8)), (PPMT($W$8/12, (U335-$AA$8), $AA$7, $W$7)), 0)</f>
        <v>0</v>
      </c>
      <c r="Y335" s="5">
        <f>IF(CreditAmort2BEST[[#This Row],[Month]]=AA$8,W$7,0)</f>
        <v>0</v>
      </c>
      <c r="Z335" s="13">
        <f>IF(AND(U335&gt;='Amort. Sched.-BEST'!$AA$8, U335&lt;= ($AA$7+$AA$8)), Z334+X335, 0)</f>
        <v>0</v>
      </c>
      <c r="AA335" s="24" t="str">
        <f>IF(AND(U335&gt;='Amort. Sched.-BEST'!$AA$8, U335&lt;= ($AA$7+$AA$8)), W335/V335, " ")</f>
        <v xml:space="preserve"> </v>
      </c>
      <c r="AB335" s="25" t="str">
        <f>IF(AND(U335&gt;='Amort. Sched.-BEST'!$AA$8, U335&lt;= ($AA$7+$AA$8)), X335/V335, " ")</f>
        <v xml:space="preserve"> </v>
      </c>
      <c r="AD335" s="22">
        <f t="shared" si="88"/>
        <v>324</v>
      </c>
      <c r="AE335" s="5">
        <f t="shared" si="89"/>
        <v>0</v>
      </c>
      <c r="AF335" s="5">
        <f t="shared" si="90"/>
        <v>0</v>
      </c>
      <c r="AG335" s="5">
        <f t="shared" si="91"/>
        <v>0</v>
      </c>
      <c r="AH335" s="5">
        <f>IF(CreditAmort3BEST[[#This Row],[Month]]=AJ$8,AF$7,0)</f>
        <v>0</v>
      </c>
      <c r="AI335" s="13">
        <f t="shared" si="92"/>
        <v>0</v>
      </c>
      <c r="AJ335" s="6" t="str">
        <f t="shared" si="93"/>
        <v xml:space="preserve"> </v>
      </c>
      <c r="AK335" s="21" t="str">
        <f t="shared" si="94"/>
        <v xml:space="preserve"> </v>
      </c>
      <c r="AM335" s="20">
        <f t="shared" si="95"/>
        <v>324</v>
      </c>
      <c r="AN335" s="5">
        <f t="shared" si="96"/>
        <v>0</v>
      </c>
      <c r="AO335" s="5">
        <f t="shared" si="97"/>
        <v>0</v>
      </c>
      <c r="AP335" s="5">
        <f t="shared" si="98"/>
        <v>0</v>
      </c>
      <c r="AQ335" s="5">
        <f>IF(CreditAmort4BEST[[#This Row],[Month]]=AS$8,AO$7,0)</f>
        <v>0</v>
      </c>
      <c r="AR335" s="13">
        <f t="shared" si="99"/>
        <v>0</v>
      </c>
      <c r="AS335" s="6" t="str">
        <f t="shared" si="100"/>
        <v xml:space="preserve"> </v>
      </c>
      <c r="AT335" s="21" t="str">
        <f t="shared" si="101"/>
        <v xml:space="preserve"> </v>
      </c>
    </row>
    <row r="336" spans="3:46">
      <c r="C336" s="22">
        <f t="shared" si="86"/>
        <v>325</v>
      </c>
      <c r="D336" s="23">
        <f>IF(AND(C336&gt;='Amort. Sched.-BEST'!$I$8, C336&lt;= ($I$7+$I$8)), PMT('Amort. Sched.-BEST'!$E$8/12, 'Amort. Sched.-BEST'!$I$7, 'Amort. Sched.-BEST'!$E$7), 0)</f>
        <v>0</v>
      </c>
      <c r="E336" s="5">
        <f>IF(AND(C336&gt;='Amort. Sched.-BEST'!$I$8, C336&lt;= ($I$7+$I$8)), (IPMT($E$8/12, (C336-$I$8), $I$7, $E$7)), 0)</f>
        <v>0</v>
      </c>
      <c r="F336" s="23">
        <f>IF(AND(C336&gt;='Amort. Sched.-BEST'!$I$8, C336&lt;= ($I$7+$I$8)), (PPMT($E$8/12, (C336-$I$8), $I$7, $E$7)), 0)</f>
        <v>0</v>
      </c>
      <c r="G336" s="5">
        <f>IF(MortgageAmortBEST[[#This Row],[Month]]=I$8,E$7,0)</f>
        <v>0</v>
      </c>
      <c r="H336" s="13">
        <f>IF(AND(C336&gt;='Amort. Sched.-BEST'!$I$8, C336&lt;= ($I$7+$I$8)), H335+F336, 0)</f>
        <v>0</v>
      </c>
      <c r="I336" s="24" t="str">
        <f>IF(AND(C336&gt;='Amort. Sched.-BEST'!$I$8, C336&lt;= ($I$7+$I$8)), E336/D336, " ")</f>
        <v xml:space="preserve"> </v>
      </c>
      <c r="J336" s="25" t="str">
        <f>IF(AND(C336&gt;='Amort. Sched.-BEST'!$I$8, C336&lt;= ($I$7+$I$8)), F336/D336, " ")</f>
        <v xml:space="preserve"> </v>
      </c>
      <c r="L336" s="20">
        <f t="shared" si="85"/>
        <v>325</v>
      </c>
      <c r="M336" s="5">
        <f>IF(AND(L336&gt;='Amort. Sched.-BEST'!$R$8, L336&lt;= ($R$7+$R$8)), PMT('Amort. Sched.-BEST'!$N$8/12, 'Amort. Sched.-BEST'!$R$7, 'Amort. Sched.-BEST'!$N$7), 0)</f>
        <v>0</v>
      </c>
      <c r="N336" s="5">
        <f>IF(AND(L336&gt;='Amort. Sched.-BEST'!$R$8, L336&lt;= ($R$7+$R$8)), (IPMT($N$8/12, (L336-$R$8), $R$7, $N$7)), 0)</f>
        <v>0</v>
      </c>
      <c r="O336" s="5">
        <f>IF(AND(L336&gt;='Amort. Sched.-BEST'!$R$8, L336&lt;= ($R$7+$R$8)), (PPMT($N$8/12, (L336-$R$8), $R$7, $N$7)), 0)</f>
        <v>0</v>
      </c>
      <c r="P336" s="5">
        <f>IF(CreditAmort1BEST[[#This Row],[Month]]=R$8,N$7,0)</f>
        <v>0</v>
      </c>
      <c r="Q336" s="13">
        <f>IF(AND(L336&gt;='Amort. Sched.-BEST'!$R$8, L336&lt;= ($R$7+$R$8)), Q335+O336, 0)</f>
        <v>0</v>
      </c>
      <c r="R336" s="6" t="str">
        <f>IF(AND(L336&gt;='Amort. Sched.-BEST'!$R$8, L336&lt;= ($R$7+$R$8)), N336/M336, " ")</f>
        <v xml:space="preserve"> </v>
      </c>
      <c r="S336" s="21" t="str">
        <f>IF(AND(L336&gt;='Amort. Sched.-BEST'!$R$8, L336&lt;= ($R$7+$R$8)), O336/M336, " ")</f>
        <v xml:space="preserve"> </v>
      </c>
      <c r="U336" s="22">
        <f t="shared" si="87"/>
        <v>325</v>
      </c>
      <c r="V336" s="23">
        <f>IF(AND(U336&gt;='Amort. Sched.-BEST'!$AA$8, U336&lt;= ($AA$7+$AA$8)), PMT('Amort. Sched.-BEST'!$W$8/12, 'Amort. Sched.-BEST'!$AA$7, 'Amort. Sched.-BEST'!$W$7), 0)</f>
        <v>0</v>
      </c>
      <c r="W336" s="5">
        <f>IF(AND(U336&gt;='Amort. Sched.-BEST'!$AA$8, U336&lt;= ($AA$7+$AA$8)), (IPMT($W$8/12, (U336-$AA$8), $AA$7, $W$7)), 0)</f>
        <v>0</v>
      </c>
      <c r="X336" s="23">
        <f>IF(AND(U336&gt;='Amort. Sched.-BEST'!$AA$8, U336&lt;= ($AA$7+$AA$8)), (PPMT($W$8/12, (U336-$AA$8), $AA$7, $W$7)), 0)</f>
        <v>0</v>
      </c>
      <c r="Y336" s="5">
        <f>IF(CreditAmort2BEST[[#This Row],[Month]]=AA$8,W$7,0)</f>
        <v>0</v>
      </c>
      <c r="Z336" s="13">
        <f>IF(AND(U336&gt;='Amort. Sched.-BEST'!$AA$8, U336&lt;= ($AA$7+$AA$8)), Z335+X336, 0)</f>
        <v>0</v>
      </c>
      <c r="AA336" s="24" t="str">
        <f>IF(AND(U336&gt;='Amort. Sched.-BEST'!$AA$8, U336&lt;= ($AA$7+$AA$8)), W336/V336, " ")</f>
        <v xml:space="preserve"> </v>
      </c>
      <c r="AB336" s="25" t="str">
        <f>IF(AND(U336&gt;='Amort. Sched.-BEST'!$AA$8, U336&lt;= ($AA$7+$AA$8)), X336/V336, " ")</f>
        <v xml:space="preserve"> </v>
      </c>
      <c r="AD336" s="22">
        <f t="shared" si="88"/>
        <v>325</v>
      </c>
      <c r="AE336" s="5">
        <f t="shared" si="89"/>
        <v>0</v>
      </c>
      <c r="AF336" s="5">
        <f t="shared" si="90"/>
        <v>0</v>
      </c>
      <c r="AG336" s="5">
        <f t="shared" si="91"/>
        <v>0</v>
      </c>
      <c r="AH336" s="5">
        <f>IF(CreditAmort3BEST[[#This Row],[Month]]=AJ$8,AF$7,0)</f>
        <v>0</v>
      </c>
      <c r="AI336" s="13">
        <f t="shared" si="92"/>
        <v>0</v>
      </c>
      <c r="AJ336" s="6" t="str">
        <f t="shared" si="93"/>
        <v xml:space="preserve"> </v>
      </c>
      <c r="AK336" s="21" t="str">
        <f t="shared" si="94"/>
        <v xml:space="preserve"> </v>
      </c>
      <c r="AM336" s="20">
        <f t="shared" si="95"/>
        <v>325</v>
      </c>
      <c r="AN336" s="5">
        <f t="shared" si="96"/>
        <v>0</v>
      </c>
      <c r="AO336" s="5">
        <f t="shared" si="97"/>
        <v>0</v>
      </c>
      <c r="AP336" s="5">
        <f t="shared" si="98"/>
        <v>0</v>
      </c>
      <c r="AQ336" s="5">
        <f>IF(CreditAmort4BEST[[#This Row],[Month]]=AS$8,AO$7,0)</f>
        <v>0</v>
      </c>
      <c r="AR336" s="13">
        <f t="shared" si="99"/>
        <v>0</v>
      </c>
      <c r="AS336" s="6" t="str">
        <f t="shared" si="100"/>
        <v xml:space="preserve"> </v>
      </c>
      <c r="AT336" s="21" t="str">
        <f t="shared" si="101"/>
        <v xml:space="preserve"> </v>
      </c>
    </row>
    <row r="337" spans="3:46">
      <c r="C337" s="22">
        <f t="shared" si="86"/>
        <v>326</v>
      </c>
      <c r="D337" s="23">
        <f>IF(AND(C337&gt;='Amort. Sched.-BEST'!$I$8, C337&lt;= ($I$7+$I$8)), PMT('Amort. Sched.-BEST'!$E$8/12, 'Amort. Sched.-BEST'!$I$7, 'Amort. Sched.-BEST'!$E$7), 0)</f>
        <v>0</v>
      </c>
      <c r="E337" s="5">
        <f>IF(AND(C337&gt;='Amort. Sched.-BEST'!$I$8, C337&lt;= ($I$7+$I$8)), (IPMT($E$8/12, (C337-$I$8), $I$7, $E$7)), 0)</f>
        <v>0</v>
      </c>
      <c r="F337" s="23">
        <f>IF(AND(C337&gt;='Amort. Sched.-BEST'!$I$8, C337&lt;= ($I$7+$I$8)), (PPMT($E$8/12, (C337-$I$8), $I$7, $E$7)), 0)</f>
        <v>0</v>
      </c>
      <c r="G337" s="5">
        <f>IF(MortgageAmortBEST[[#This Row],[Month]]=I$8,E$7,0)</f>
        <v>0</v>
      </c>
      <c r="H337" s="13">
        <f>IF(AND(C337&gt;='Amort. Sched.-BEST'!$I$8, C337&lt;= ($I$7+$I$8)), H336+F337, 0)</f>
        <v>0</v>
      </c>
      <c r="I337" s="24" t="str">
        <f>IF(AND(C337&gt;='Amort. Sched.-BEST'!$I$8, C337&lt;= ($I$7+$I$8)), E337/D337, " ")</f>
        <v xml:space="preserve"> </v>
      </c>
      <c r="J337" s="25" t="str">
        <f>IF(AND(C337&gt;='Amort. Sched.-BEST'!$I$8, C337&lt;= ($I$7+$I$8)), F337/D337, " ")</f>
        <v xml:space="preserve"> </v>
      </c>
      <c r="L337" s="20">
        <f t="shared" si="85"/>
        <v>326</v>
      </c>
      <c r="M337" s="5">
        <f>IF(AND(L337&gt;='Amort. Sched.-BEST'!$R$8, L337&lt;= ($R$7+$R$8)), PMT('Amort. Sched.-BEST'!$N$8/12, 'Amort. Sched.-BEST'!$R$7, 'Amort. Sched.-BEST'!$N$7), 0)</f>
        <v>0</v>
      </c>
      <c r="N337" s="5">
        <f>IF(AND(L337&gt;='Amort. Sched.-BEST'!$R$8, L337&lt;= ($R$7+$R$8)), (IPMT($N$8/12, (L337-$R$8), $R$7, $N$7)), 0)</f>
        <v>0</v>
      </c>
      <c r="O337" s="5">
        <f>IF(AND(L337&gt;='Amort. Sched.-BEST'!$R$8, L337&lt;= ($R$7+$R$8)), (PPMT($N$8/12, (L337-$R$8), $R$7, $N$7)), 0)</f>
        <v>0</v>
      </c>
      <c r="P337" s="5">
        <f>IF(CreditAmort1BEST[[#This Row],[Month]]=R$8,N$7,0)</f>
        <v>0</v>
      </c>
      <c r="Q337" s="13">
        <f>IF(AND(L337&gt;='Amort. Sched.-BEST'!$R$8, L337&lt;= ($R$7+$R$8)), Q336+O337, 0)</f>
        <v>0</v>
      </c>
      <c r="R337" s="6" t="str">
        <f>IF(AND(L337&gt;='Amort. Sched.-BEST'!$R$8, L337&lt;= ($R$7+$R$8)), N337/M337, " ")</f>
        <v xml:space="preserve"> </v>
      </c>
      <c r="S337" s="21" t="str">
        <f>IF(AND(L337&gt;='Amort. Sched.-BEST'!$R$8, L337&lt;= ($R$7+$R$8)), O337/M337, " ")</f>
        <v xml:space="preserve"> </v>
      </c>
      <c r="U337" s="22">
        <f t="shared" si="87"/>
        <v>326</v>
      </c>
      <c r="V337" s="23">
        <f>IF(AND(U337&gt;='Amort. Sched.-BEST'!$AA$8, U337&lt;= ($AA$7+$AA$8)), PMT('Amort. Sched.-BEST'!$W$8/12, 'Amort. Sched.-BEST'!$AA$7, 'Amort. Sched.-BEST'!$W$7), 0)</f>
        <v>0</v>
      </c>
      <c r="W337" s="5">
        <f>IF(AND(U337&gt;='Amort. Sched.-BEST'!$AA$8, U337&lt;= ($AA$7+$AA$8)), (IPMT($W$8/12, (U337-$AA$8), $AA$7, $W$7)), 0)</f>
        <v>0</v>
      </c>
      <c r="X337" s="23">
        <f>IF(AND(U337&gt;='Amort. Sched.-BEST'!$AA$8, U337&lt;= ($AA$7+$AA$8)), (PPMT($W$8/12, (U337-$AA$8), $AA$7, $W$7)), 0)</f>
        <v>0</v>
      </c>
      <c r="Y337" s="5">
        <f>IF(CreditAmort2BEST[[#This Row],[Month]]=AA$8,W$7,0)</f>
        <v>0</v>
      </c>
      <c r="Z337" s="13">
        <f>IF(AND(U337&gt;='Amort. Sched.-BEST'!$AA$8, U337&lt;= ($AA$7+$AA$8)), Z336+X337, 0)</f>
        <v>0</v>
      </c>
      <c r="AA337" s="24" t="str">
        <f>IF(AND(U337&gt;='Amort. Sched.-BEST'!$AA$8, U337&lt;= ($AA$7+$AA$8)), W337/V337, " ")</f>
        <v xml:space="preserve"> </v>
      </c>
      <c r="AB337" s="25" t="str">
        <f>IF(AND(U337&gt;='Amort. Sched.-BEST'!$AA$8, U337&lt;= ($AA$7+$AA$8)), X337/V337, " ")</f>
        <v xml:space="preserve"> </v>
      </c>
      <c r="AD337" s="22">
        <f t="shared" si="88"/>
        <v>326</v>
      </c>
      <c r="AE337" s="5">
        <f t="shared" si="89"/>
        <v>0</v>
      </c>
      <c r="AF337" s="5">
        <f t="shared" si="90"/>
        <v>0</v>
      </c>
      <c r="AG337" s="5">
        <f t="shared" si="91"/>
        <v>0</v>
      </c>
      <c r="AH337" s="5">
        <f>IF(CreditAmort3BEST[[#This Row],[Month]]=AJ$8,AF$7,0)</f>
        <v>0</v>
      </c>
      <c r="AI337" s="13">
        <f t="shared" si="92"/>
        <v>0</v>
      </c>
      <c r="AJ337" s="6" t="str">
        <f t="shared" si="93"/>
        <v xml:space="preserve"> </v>
      </c>
      <c r="AK337" s="21" t="str">
        <f t="shared" si="94"/>
        <v xml:space="preserve"> </v>
      </c>
      <c r="AM337" s="20">
        <f t="shared" si="95"/>
        <v>326</v>
      </c>
      <c r="AN337" s="5">
        <f t="shared" si="96"/>
        <v>0</v>
      </c>
      <c r="AO337" s="5">
        <f t="shared" si="97"/>
        <v>0</v>
      </c>
      <c r="AP337" s="5">
        <f t="shared" si="98"/>
        <v>0</v>
      </c>
      <c r="AQ337" s="5">
        <f>IF(CreditAmort4BEST[[#This Row],[Month]]=AS$8,AO$7,0)</f>
        <v>0</v>
      </c>
      <c r="AR337" s="13">
        <f t="shared" si="99"/>
        <v>0</v>
      </c>
      <c r="AS337" s="6" t="str">
        <f t="shared" si="100"/>
        <v xml:space="preserve"> </v>
      </c>
      <c r="AT337" s="21" t="str">
        <f t="shared" si="101"/>
        <v xml:space="preserve"> </v>
      </c>
    </row>
    <row r="338" spans="3:46">
      <c r="C338" s="22">
        <f t="shared" si="86"/>
        <v>327</v>
      </c>
      <c r="D338" s="23">
        <f>IF(AND(C338&gt;='Amort. Sched.-BEST'!$I$8, C338&lt;= ($I$7+$I$8)), PMT('Amort. Sched.-BEST'!$E$8/12, 'Amort. Sched.-BEST'!$I$7, 'Amort. Sched.-BEST'!$E$7), 0)</f>
        <v>0</v>
      </c>
      <c r="E338" s="5">
        <f>IF(AND(C338&gt;='Amort. Sched.-BEST'!$I$8, C338&lt;= ($I$7+$I$8)), (IPMT($E$8/12, (C338-$I$8), $I$7, $E$7)), 0)</f>
        <v>0</v>
      </c>
      <c r="F338" s="23">
        <f>IF(AND(C338&gt;='Amort. Sched.-BEST'!$I$8, C338&lt;= ($I$7+$I$8)), (PPMT($E$8/12, (C338-$I$8), $I$7, $E$7)), 0)</f>
        <v>0</v>
      </c>
      <c r="G338" s="5">
        <f>IF(MortgageAmortBEST[[#This Row],[Month]]=I$8,E$7,0)</f>
        <v>0</v>
      </c>
      <c r="H338" s="13">
        <f>IF(AND(C338&gt;='Amort. Sched.-BEST'!$I$8, C338&lt;= ($I$7+$I$8)), H337+F338, 0)</f>
        <v>0</v>
      </c>
      <c r="I338" s="24" t="str">
        <f>IF(AND(C338&gt;='Amort. Sched.-BEST'!$I$8, C338&lt;= ($I$7+$I$8)), E338/D338, " ")</f>
        <v xml:space="preserve"> </v>
      </c>
      <c r="J338" s="25" t="str">
        <f>IF(AND(C338&gt;='Amort. Sched.-BEST'!$I$8, C338&lt;= ($I$7+$I$8)), F338/D338, " ")</f>
        <v xml:space="preserve"> </v>
      </c>
      <c r="L338" s="20">
        <f t="shared" si="85"/>
        <v>327</v>
      </c>
      <c r="M338" s="5">
        <f>IF(AND(L338&gt;='Amort. Sched.-BEST'!$R$8, L338&lt;= ($R$7+$R$8)), PMT('Amort. Sched.-BEST'!$N$8/12, 'Amort. Sched.-BEST'!$R$7, 'Amort. Sched.-BEST'!$N$7), 0)</f>
        <v>0</v>
      </c>
      <c r="N338" s="5">
        <f>IF(AND(L338&gt;='Amort. Sched.-BEST'!$R$8, L338&lt;= ($R$7+$R$8)), (IPMT($N$8/12, (L338-$R$8), $R$7, $N$7)), 0)</f>
        <v>0</v>
      </c>
      <c r="O338" s="5">
        <f>IF(AND(L338&gt;='Amort. Sched.-BEST'!$R$8, L338&lt;= ($R$7+$R$8)), (PPMT($N$8/12, (L338-$R$8), $R$7, $N$7)), 0)</f>
        <v>0</v>
      </c>
      <c r="P338" s="5">
        <f>IF(CreditAmort1BEST[[#This Row],[Month]]=R$8,N$7,0)</f>
        <v>0</v>
      </c>
      <c r="Q338" s="13">
        <f>IF(AND(L338&gt;='Amort. Sched.-BEST'!$R$8, L338&lt;= ($R$7+$R$8)), Q337+O338, 0)</f>
        <v>0</v>
      </c>
      <c r="R338" s="6" t="str">
        <f>IF(AND(L338&gt;='Amort. Sched.-BEST'!$R$8, L338&lt;= ($R$7+$R$8)), N338/M338, " ")</f>
        <v xml:space="preserve"> </v>
      </c>
      <c r="S338" s="21" t="str">
        <f>IF(AND(L338&gt;='Amort. Sched.-BEST'!$R$8, L338&lt;= ($R$7+$R$8)), O338/M338, " ")</f>
        <v xml:space="preserve"> </v>
      </c>
      <c r="U338" s="22">
        <f t="shared" si="87"/>
        <v>327</v>
      </c>
      <c r="V338" s="23">
        <f>IF(AND(U338&gt;='Amort. Sched.-BEST'!$AA$8, U338&lt;= ($AA$7+$AA$8)), PMT('Amort. Sched.-BEST'!$W$8/12, 'Amort. Sched.-BEST'!$AA$7, 'Amort. Sched.-BEST'!$W$7), 0)</f>
        <v>0</v>
      </c>
      <c r="W338" s="5">
        <f>IF(AND(U338&gt;='Amort. Sched.-BEST'!$AA$8, U338&lt;= ($AA$7+$AA$8)), (IPMT($W$8/12, (U338-$AA$8), $AA$7, $W$7)), 0)</f>
        <v>0</v>
      </c>
      <c r="X338" s="23">
        <f>IF(AND(U338&gt;='Amort. Sched.-BEST'!$AA$8, U338&lt;= ($AA$7+$AA$8)), (PPMT($W$8/12, (U338-$AA$8), $AA$7, $W$7)), 0)</f>
        <v>0</v>
      </c>
      <c r="Y338" s="5">
        <f>IF(CreditAmort2BEST[[#This Row],[Month]]=AA$8,W$7,0)</f>
        <v>0</v>
      </c>
      <c r="Z338" s="13">
        <f>IF(AND(U338&gt;='Amort. Sched.-BEST'!$AA$8, U338&lt;= ($AA$7+$AA$8)), Z337+X338, 0)</f>
        <v>0</v>
      </c>
      <c r="AA338" s="24" t="str">
        <f>IF(AND(U338&gt;='Amort. Sched.-BEST'!$AA$8, U338&lt;= ($AA$7+$AA$8)), W338/V338, " ")</f>
        <v xml:space="preserve"> </v>
      </c>
      <c r="AB338" s="25" t="str">
        <f>IF(AND(U338&gt;='Amort. Sched.-BEST'!$AA$8, U338&lt;= ($AA$7+$AA$8)), X338/V338, " ")</f>
        <v xml:space="preserve"> </v>
      </c>
      <c r="AD338" s="22">
        <f t="shared" si="88"/>
        <v>327</v>
      </c>
      <c r="AE338" s="5">
        <f t="shared" si="89"/>
        <v>0</v>
      </c>
      <c r="AF338" s="5">
        <f t="shared" si="90"/>
        <v>0</v>
      </c>
      <c r="AG338" s="5">
        <f t="shared" si="91"/>
        <v>0</v>
      </c>
      <c r="AH338" s="5">
        <f>IF(CreditAmort3BEST[[#This Row],[Month]]=AJ$8,AF$7,0)</f>
        <v>0</v>
      </c>
      <c r="AI338" s="13">
        <f t="shared" si="92"/>
        <v>0</v>
      </c>
      <c r="AJ338" s="6" t="str">
        <f t="shared" si="93"/>
        <v xml:space="preserve"> </v>
      </c>
      <c r="AK338" s="21" t="str">
        <f t="shared" si="94"/>
        <v xml:space="preserve"> </v>
      </c>
      <c r="AM338" s="20">
        <f t="shared" si="95"/>
        <v>327</v>
      </c>
      <c r="AN338" s="5">
        <f t="shared" si="96"/>
        <v>0</v>
      </c>
      <c r="AO338" s="5">
        <f t="shared" si="97"/>
        <v>0</v>
      </c>
      <c r="AP338" s="5">
        <f t="shared" si="98"/>
        <v>0</v>
      </c>
      <c r="AQ338" s="5">
        <f>IF(CreditAmort4BEST[[#This Row],[Month]]=AS$8,AO$7,0)</f>
        <v>0</v>
      </c>
      <c r="AR338" s="13">
        <f t="shared" si="99"/>
        <v>0</v>
      </c>
      <c r="AS338" s="6" t="str">
        <f t="shared" si="100"/>
        <v xml:space="preserve"> </v>
      </c>
      <c r="AT338" s="21" t="str">
        <f t="shared" si="101"/>
        <v xml:space="preserve"> </v>
      </c>
    </row>
    <row r="339" spans="3:46">
      <c r="C339" s="22">
        <f t="shared" si="86"/>
        <v>328</v>
      </c>
      <c r="D339" s="23">
        <f>IF(AND(C339&gt;='Amort. Sched.-BEST'!$I$8, C339&lt;= ($I$7+$I$8)), PMT('Amort. Sched.-BEST'!$E$8/12, 'Amort. Sched.-BEST'!$I$7, 'Amort. Sched.-BEST'!$E$7), 0)</f>
        <v>0</v>
      </c>
      <c r="E339" s="5">
        <f>IF(AND(C339&gt;='Amort. Sched.-BEST'!$I$8, C339&lt;= ($I$7+$I$8)), (IPMT($E$8/12, (C339-$I$8), $I$7, $E$7)), 0)</f>
        <v>0</v>
      </c>
      <c r="F339" s="23">
        <f>IF(AND(C339&gt;='Amort. Sched.-BEST'!$I$8, C339&lt;= ($I$7+$I$8)), (PPMT($E$8/12, (C339-$I$8), $I$7, $E$7)), 0)</f>
        <v>0</v>
      </c>
      <c r="G339" s="5">
        <f>IF(MortgageAmortBEST[[#This Row],[Month]]=I$8,E$7,0)</f>
        <v>0</v>
      </c>
      <c r="H339" s="13">
        <f>IF(AND(C339&gt;='Amort. Sched.-BEST'!$I$8, C339&lt;= ($I$7+$I$8)), H338+F339, 0)</f>
        <v>0</v>
      </c>
      <c r="I339" s="24" t="str">
        <f>IF(AND(C339&gt;='Amort. Sched.-BEST'!$I$8, C339&lt;= ($I$7+$I$8)), E339/D339, " ")</f>
        <v xml:space="preserve"> </v>
      </c>
      <c r="J339" s="25" t="str">
        <f>IF(AND(C339&gt;='Amort. Sched.-BEST'!$I$8, C339&lt;= ($I$7+$I$8)), F339/D339, " ")</f>
        <v xml:space="preserve"> </v>
      </c>
      <c r="L339" s="20">
        <f t="shared" si="85"/>
        <v>328</v>
      </c>
      <c r="M339" s="5">
        <f>IF(AND(L339&gt;='Amort. Sched.-BEST'!$R$8, L339&lt;= ($R$7+$R$8)), PMT('Amort. Sched.-BEST'!$N$8/12, 'Amort. Sched.-BEST'!$R$7, 'Amort. Sched.-BEST'!$N$7), 0)</f>
        <v>0</v>
      </c>
      <c r="N339" s="5">
        <f>IF(AND(L339&gt;='Amort. Sched.-BEST'!$R$8, L339&lt;= ($R$7+$R$8)), (IPMT($N$8/12, (L339-$R$8), $R$7, $N$7)), 0)</f>
        <v>0</v>
      </c>
      <c r="O339" s="5">
        <f>IF(AND(L339&gt;='Amort. Sched.-BEST'!$R$8, L339&lt;= ($R$7+$R$8)), (PPMT($N$8/12, (L339-$R$8), $R$7, $N$7)), 0)</f>
        <v>0</v>
      </c>
      <c r="P339" s="5">
        <f>IF(CreditAmort1BEST[[#This Row],[Month]]=R$8,N$7,0)</f>
        <v>0</v>
      </c>
      <c r="Q339" s="13">
        <f>IF(AND(L339&gt;='Amort. Sched.-BEST'!$R$8, L339&lt;= ($R$7+$R$8)), Q338+O339, 0)</f>
        <v>0</v>
      </c>
      <c r="R339" s="6" t="str">
        <f>IF(AND(L339&gt;='Amort. Sched.-BEST'!$R$8, L339&lt;= ($R$7+$R$8)), N339/M339, " ")</f>
        <v xml:space="preserve"> </v>
      </c>
      <c r="S339" s="21" t="str">
        <f>IF(AND(L339&gt;='Amort. Sched.-BEST'!$R$8, L339&lt;= ($R$7+$R$8)), O339/M339, " ")</f>
        <v xml:space="preserve"> </v>
      </c>
      <c r="U339" s="22">
        <f t="shared" si="87"/>
        <v>328</v>
      </c>
      <c r="V339" s="23">
        <f>IF(AND(U339&gt;='Amort. Sched.-BEST'!$AA$8, U339&lt;= ($AA$7+$AA$8)), PMT('Amort. Sched.-BEST'!$W$8/12, 'Amort. Sched.-BEST'!$AA$7, 'Amort. Sched.-BEST'!$W$7), 0)</f>
        <v>0</v>
      </c>
      <c r="W339" s="5">
        <f>IF(AND(U339&gt;='Amort. Sched.-BEST'!$AA$8, U339&lt;= ($AA$7+$AA$8)), (IPMT($W$8/12, (U339-$AA$8), $AA$7, $W$7)), 0)</f>
        <v>0</v>
      </c>
      <c r="X339" s="23">
        <f>IF(AND(U339&gt;='Amort. Sched.-BEST'!$AA$8, U339&lt;= ($AA$7+$AA$8)), (PPMT($W$8/12, (U339-$AA$8), $AA$7, $W$7)), 0)</f>
        <v>0</v>
      </c>
      <c r="Y339" s="5">
        <f>IF(CreditAmort2BEST[[#This Row],[Month]]=AA$8,W$7,0)</f>
        <v>0</v>
      </c>
      <c r="Z339" s="13">
        <f>IF(AND(U339&gt;='Amort. Sched.-BEST'!$AA$8, U339&lt;= ($AA$7+$AA$8)), Z338+X339, 0)</f>
        <v>0</v>
      </c>
      <c r="AA339" s="24" t="str">
        <f>IF(AND(U339&gt;='Amort. Sched.-BEST'!$AA$8, U339&lt;= ($AA$7+$AA$8)), W339/V339, " ")</f>
        <v xml:space="preserve"> </v>
      </c>
      <c r="AB339" s="25" t="str">
        <f>IF(AND(U339&gt;='Amort. Sched.-BEST'!$AA$8, U339&lt;= ($AA$7+$AA$8)), X339/V339, " ")</f>
        <v xml:space="preserve"> </v>
      </c>
      <c r="AD339" s="22">
        <f t="shared" si="88"/>
        <v>328</v>
      </c>
      <c r="AE339" s="5">
        <f t="shared" si="89"/>
        <v>0</v>
      </c>
      <c r="AF339" s="5">
        <f t="shared" si="90"/>
        <v>0</v>
      </c>
      <c r="AG339" s="5">
        <f t="shared" si="91"/>
        <v>0</v>
      </c>
      <c r="AH339" s="5">
        <f>IF(CreditAmort3BEST[[#This Row],[Month]]=AJ$8,AF$7,0)</f>
        <v>0</v>
      </c>
      <c r="AI339" s="13">
        <f t="shared" si="92"/>
        <v>0</v>
      </c>
      <c r="AJ339" s="6" t="str">
        <f t="shared" si="93"/>
        <v xml:space="preserve"> </v>
      </c>
      <c r="AK339" s="21" t="str">
        <f t="shared" si="94"/>
        <v xml:space="preserve"> </v>
      </c>
      <c r="AM339" s="20">
        <f t="shared" si="95"/>
        <v>328</v>
      </c>
      <c r="AN339" s="5">
        <f t="shared" si="96"/>
        <v>0</v>
      </c>
      <c r="AO339" s="5">
        <f t="shared" si="97"/>
        <v>0</v>
      </c>
      <c r="AP339" s="5">
        <f t="shared" si="98"/>
        <v>0</v>
      </c>
      <c r="AQ339" s="5">
        <f>IF(CreditAmort4BEST[[#This Row],[Month]]=AS$8,AO$7,0)</f>
        <v>0</v>
      </c>
      <c r="AR339" s="13">
        <f t="shared" si="99"/>
        <v>0</v>
      </c>
      <c r="AS339" s="6" t="str">
        <f t="shared" si="100"/>
        <v xml:space="preserve"> </v>
      </c>
      <c r="AT339" s="21" t="str">
        <f t="shared" si="101"/>
        <v xml:space="preserve"> </v>
      </c>
    </row>
    <row r="340" spans="3:46">
      <c r="C340" s="22">
        <f t="shared" si="86"/>
        <v>329</v>
      </c>
      <c r="D340" s="23">
        <f>IF(AND(C340&gt;='Amort. Sched.-BEST'!$I$8, C340&lt;= ($I$7+$I$8)), PMT('Amort. Sched.-BEST'!$E$8/12, 'Amort. Sched.-BEST'!$I$7, 'Amort. Sched.-BEST'!$E$7), 0)</f>
        <v>0</v>
      </c>
      <c r="E340" s="5">
        <f>IF(AND(C340&gt;='Amort. Sched.-BEST'!$I$8, C340&lt;= ($I$7+$I$8)), (IPMT($E$8/12, (C340-$I$8), $I$7, $E$7)), 0)</f>
        <v>0</v>
      </c>
      <c r="F340" s="23">
        <f>IF(AND(C340&gt;='Amort. Sched.-BEST'!$I$8, C340&lt;= ($I$7+$I$8)), (PPMT($E$8/12, (C340-$I$8), $I$7, $E$7)), 0)</f>
        <v>0</v>
      </c>
      <c r="G340" s="5">
        <f>IF(MortgageAmortBEST[[#This Row],[Month]]=I$8,E$7,0)</f>
        <v>0</v>
      </c>
      <c r="H340" s="13">
        <f>IF(AND(C340&gt;='Amort. Sched.-BEST'!$I$8, C340&lt;= ($I$7+$I$8)), H339+F340, 0)</f>
        <v>0</v>
      </c>
      <c r="I340" s="24" t="str">
        <f>IF(AND(C340&gt;='Amort. Sched.-BEST'!$I$8, C340&lt;= ($I$7+$I$8)), E340/D340, " ")</f>
        <v xml:space="preserve"> </v>
      </c>
      <c r="J340" s="25" t="str">
        <f>IF(AND(C340&gt;='Amort. Sched.-BEST'!$I$8, C340&lt;= ($I$7+$I$8)), F340/D340, " ")</f>
        <v xml:space="preserve"> </v>
      </c>
      <c r="L340" s="20">
        <f t="shared" si="85"/>
        <v>329</v>
      </c>
      <c r="M340" s="5">
        <f>IF(AND(L340&gt;='Amort. Sched.-BEST'!$R$8, L340&lt;= ($R$7+$R$8)), PMT('Amort. Sched.-BEST'!$N$8/12, 'Amort. Sched.-BEST'!$R$7, 'Amort. Sched.-BEST'!$N$7), 0)</f>
        <v>0</v>
      </c>
      <c r="N340" s="5">
        <f>IF(AND(L340&gt;='Amort. Sched.-BEST'!$R$8, L340&lt;= ($R$7+$R$8)), (IPMT($N$8/12, (L340-$R$8), $R$7, $N$7)), 0)</f>
        <v>0</v>
      </c>
      <c r="O340" s="5">
        <f>IF(AND(L340&gt;='Amort. Sched.-BEST'!$R$8, L340&lt;= ($R$7+$R$8)), (PPMT($N$8/12, (L340-$R$8), $R$7, $N$7)), 0)</f>
        <v>0</v>
      </c>
      <c r="P340" s="5">
        <f>IF(CreditAmort1BEST[[#This Row],[Month]]=R$8,N$7,0)</f>
        <v>0</v>
      </c>
      <c r="Q340" s="13">
        <f>IF(AND(L340&gt;='Amort. Sched.-BEST'!$R$8, L340&lt;= ($R$7+$R$8)), Q339+O340, 0)</f>
        <v>0</v>
      </c>
      <c r="R340" s="6" t="str">
        <f>IF(AND(L340&gt;='Amort. Sched.-BEST'!$R$8, L340&lt;= ($R$7+$R$8)), N340/M340, " ")</f>
        <v xml:space="preserve"> </v>
      </c>
      <c r="S340" s="21" t="str">
        <f>IF(AND(L340&gt;='Amort. Sched.-BEST'!$R$8, L340&lt;= ($R$7+$R$8)), O340/M340, " ")</f>
        <v xml:space="preserve"> </v>
      </c>
      <c r="U340" s="22">
        <f t="shared" si="87"/>
        <v>329</v>
      </c>
      <c r="V340" s="23">
        <f>IF(AND(U340&gt;='Amort. Sched.-BEST'!$AA$8, U340&lt;= ($AA$7+$AA$8)), PMT('Amort. Sched.-BEST'!$W$8/12, 'Amort. Sched.-BEST'!$AA$7, 'Amort. Sched.-BEST'!$W$7), 0)</f>
        <v>0</v>
      </c>
      <c r="W340" s="5">
        <f>IF(AND(U340&gt;='Amort. Sched.-BEST'!$AA$8, U340&lt;= ($AA$7+$AA$8)), (IPMT($W$8/12, (U340-$AA$8), $AA$7, $W$7)), 0)</f>
        <v>0</v>
      </c>
      <c r="X340" s="23">
        <f>IF(AND(U340&gt;='Amort. Sched.-BEST'!$AA$8, U340&lt;= ($AA$7+$AA$8)), (PPMT($W$8/12, (U340-$AA$8), $AA$7, $W$7)), 0)</f>
        <v>0</v>
      </c>
      <c r="Y340" s="5">
        <f>IF(CreditAmort2BEST[[#This Row],[Month]]=AA$8,W$7,0)</f>
        <v>0</v>
      </c>
      <c r="Z340" s="13">
        <f>IF(AND(U340&gt;='Amort. Sched.-BEST'!$AA$8, U340&lt;= ($AA$7+$AA$8)), Z339+X340, 0)</f>
        <v>0</v>
      </c>
      <c r="AA340" s="24" t="str">
        <f>IF(AND(U340&gt;='Amort. Sched.-BEST'!$AA$8, U340&lt;= ($AA$7+$AA$8)), W340/V340, " ")</f>
        <v xml:space="preserve"> </v>
      </c>
      <c r="AB340" s="25" t="str">
        <f>IF(AND(U340&gt;='Amort. Sched.-BEST'!$AA$8, U340&lt;= ($AA$7+$AA$8)), X340/V340, " ")</f>
        <v xml:space="preserve"> </v>
      </c>
      <c r="AD340" s="22">
        <f t="shared" si="88"/>
        <v>329</v>
      </c>
      <c r="AE340" s="5">
        <f t="shared" si="89"/>
        <v>0</v>
      </c>
      <c r="AF340" s="5">
        <f t="shared" si="90"/>
        <v>0</v>
      </c>
      <c r="AG340" s="5">
        <f t="shared" si="91"/>
        <v>0</v>
      </c>
      <c r="AH340" s="5">
        <f>IF(CreditAmort3BEST[[#This Row],[Month]]=AJ$8,AF$7,0)</f>
        <v>0</v>
      </c>
      <c r="AI340" s="13">
        <f t="shared" si="92"/>
        <v>0</v>
      </c>
      <c r="AJ340" s="6" t="str">
        <f t="shared" si="93"/>
        <v xml:space="preserve"> </v>
      </c>
      <c r="AK340" s="21" t="str">
        <f t="shared" si="94"/>
        <v xml:space="preserve"> </v>
      </c>
      <c r="AM340" s="20">
        <f t="shared" si="95"/>
        <v>329</v>
      </c>
      <c r="AN340" s="5">
        <f t="shared" si="96"/>
        <v>0</v>
      </c>
      <c r="AO340" s="5">
        <f t="shared" si="97"/>
        <v>0</v>
      </c>
      <c r="AP340" s="5">
        <f t="shared" si="98"/>
        <v>0</v>
      </c>
      <c r="AQ340" s="5">
        <f>IF(CreditAmort4BEST[[#This Row],[Month]]=AS$8,AO$7,0)</f>
        <v>0</v>
      </c>
      <c r="AR340" s="13">
        <f t="shared" si="99"/>
        <v>0</v>
      </c>
      <c r="AS340" s="6" t="str">
        <f t="shared" si="100"/>
        <v xml:space="preserve"> </v>
      </c>
      <c r="AT340" s="21" t="str">
        <f t="shared" si="101"/>
        <v xml:space="preserve"> </v>
      </c>
    </row>
    <row r="341" spans="3:46">
      <c r="C341" s="22">
        <f t="shared" si="86"/>
        <v>330</v>
      </c>
      <c r="D341" s="23">
        <f>IF(AND(C341&gt;='Amort. Sched.-BEST'!$I$8, C341&lt;= ($I$7+$I$8)), PMT('Amort. Sched.-BEST'!$E$8/12, 'Amort. Sched.-BEST'!$I$7, 'Amort. Sched.-BEST'!$E$7), 0)</f>
        <v>0</v>
      </c>
      <c r="E341" s="5">
        <f>IF(AND(C341&gt;='Amort. Sched.-BEST'!$I$8, C341&lt;= ($I$7+$I$8)), (IPMT($E$8/12, (C341-$I$8), $I$7, $E$7)), 0)</f>
        <v>0</v>
      </c>
      <c r="F341" s="23">
        <f>IF(AND(C341&gt;='Amort. Sched.-BEST'!$I$8, C341&lt;= ($I$7+$I$8)), (PPMT($E$8/12, (C341-$I$8), $I$7, $E$7)), 0)</f>
        <v>0</v>
      </c>
      <c r="G341" s="5">
        <f>IF(MortgageAmortBEST[[#This Row],[Month]]=I$8,E$7,0)</f>
        <v>0</v>
      </c>
      <c r="H341" s="13">
        <f>IF(AND(C341&gt;='Amort. Sched.-BEST'!$I$8, C341&lt;= ($I$7+$I$8)), H340+F341, 0)</f>
        <v>0</v>
      </c>
      <c r="I341" s="24" t="str">
        <f>IF(AND(C341&gt;='Amort. Sched.-BEST'!$I$8, C341&lt;= ($I$7+$I$8)), E341/D341, " ")</f>
        <v xml:space="preserve"> </v>
      </c>
      <c r="J341" s="25" t="str">
        <f>IF(AND(C341&gt;='Amort. Sched.-BEST'!$I$8, C341&lt;= ($I$7+$I$8)), F341/D341, " ")</f>
        <v xml:space="preserve"> </v>
      </c>
      <c r="L341" s="20">
        <f t="shared" si="85"/>
        <v>330</v>
      </c>
      <c r="M341" s="5">
        <f>IF(AND(L341&gt;='Amort. Sched.-BEST'!$R$8, L341&lt;= ($R$7+$R$8)), PMT('Amort. Sched.-BEST'!$N$8/12, 'Amort. Sched.-BEST'!$R$7, 'Amort. Sched.-BEST'!$N$7), 0)</f>
        <v>0</v>
      </c>
      <c r="N341" s="5">
        <f>IF(AND(L341&gt;='Amort. Sched.-BEST'!$R$8, L341&lt;= ($R$7+$R$8)), (IPMT($N$8/12, (L341-$R$8), $R$7, $N$7)), 0)</f>
        <v>0</v>
      </c>
      <c r="O341" s="5">
        <f>IF(AND(L341&gt;='Amort. Sched.-BEST'!$R$8, L341&lt;= ($R$7+$R$8)), (PPMT($N$8/12, (L341-$R$8), $R$7, $N$7)), 0)</f>
        <v>0</v>
      </c>
      <c r="P341" s="5">
        <f>IF(CreditAmort1BEST[[#This Row],[Month]]=R$8,N$7,0)</f>
        <v>0</v>
      </c>
      <c r="Q341" s="13">
        <f>IF(AND(L341&gt;='Amort. Sched.-BEST'!$R$8, L341&lt;= ($R$7+$R$8)), Q340+O341, 0)</f>
        <v>0</v>
      </c>
      <c r="R341" s="6" t="str">
        <f>IF(AND(L341&gt;='Amort. Sched.-BEST'!$R$8, L341&lt;= ($R$7+$R$8)), N341/M341, " ")</f>
        <v xml:space="preserve"> </v>
      </c>
      <c r="S341" s="21" t="str">
        <f>IF(AND(L341&gt;='Amort. Sched.-BEST'!$R$8, L341&lt;= ($R$7+$R$8)), O341/M341, " ")</f>
        <v xml:space="preserve"> </v>
      </c>
      <c r="U341" s="22">
        <f t="shared" si="87"/>
        <v>330</v>
      </c>
      <c r="V341" s="23">
        <f>IF(AND(U341&gt;='Amort. Sched.-BEST'!$AA$8, U341&lt;= ($AA$7+$AA$8)), PMT('Amort. Sched.-BEST'!$W$8/12, 'Amort. Sched.-BEST'!$AA$7, 'Amort. Sched.-BEST'!$W$7), 0)</f>
        <v>0</v>
      </c>
      <c r="W341" s="5">
        <f>IF(AND(U341&gt;='Amort. Sched.-BEST'!$AA$8, U341&lt;= ($AA$7+$AA$8)), (IPMT($W$8/12, (U341-$AA$8), $AA$7, $W$7)), 0)</f>
        <v>0</v>
      </c>
      <c r="X341" s="23">
        <f>IF(AND(U341&gt;='Amort. Sched.-BEST'!$AA$8, U341&lt;= ($AA$7+$AA$8)), (PPMT($W$8/12, (U341-$AA$8), $AA$7, $W$7)), 0)</f>
        <v>0</v>
      </c>
      <c r="Y341" s="5">
        <f>IF(CreditAmort2BEST[[#This Row],[Month]]=AA$8,W$7,0)</f>
        <v>0</v>
      </c>
      <c r="Z341" s="13">
        <f>IF(AND(U341&gt;='Amort. Sched.-BEST'!$AA$8, U341&lt;= ($AA$7+$AA$8)), Z340+X341, 0)</f>
        <v>0</v>
      </c>
      <c r="AA341" s="24" t="str">
        <f>IF(AND(U341&gt;='Amort. Sched.-BEST'!$AA$8, U341&lt;= ($AA$7+$AA$8)), W341/V341, " ")</f>
        <v xml:space="preserve"> </v>
      </c>
      <c r="AB341" s="25" t="str">
        <f>IF(AND(U341&gt;='Amort. Sched.-BEST'!$AA$8, U341&lt;= ($AA$7+$AA$8)), X341/V341, " ")</f>
        <v xml:space="preserve"> </v>
      </c>
      <c r="AD341" s="22">
        <f t="shared" si="88"/>
        <v>330</v>
      </c>
      <c r="AE341" s="5">
        <f t="shared" si="89"/>
        <v>0</v>
      </c>
      <c r="AF341" s="5">
        <f t="shared" si="90"/>
        <v>0</v>
      </c>
      <c r="AG341" s="5">
        <f t="shared" si="91"/>
        <v>0</v>
      </c>
      <c r="AH341" s="5">
        <f>IF(CreditAmort3BEST[[#This Row],[Month]]=AJ$8,AF$7,0)</f>
        <v>0</v>
      </c>
      <c r="AI341" s="13">
        <f t="shared" si="92"/>
        <v>0</v>
      </c>
      <c r="AJ341" s="6" t="str">
        <f t="shared" si="93"/>
        <v xml:space="preserve"> </v>
      </c>
      <c r="AK341" s="21" t="str">
        <f t="shared" si="94"/>
        <v xml:space="preserve"> </v>
      </c>
      <c r="AM341" s="20">
        <f t="shared" si="95"/>
        <v>330</v>
      </c>
      <c r="AN341" s="5">
        <f t="shared" si="96"/>
        <v>0</v>
      </c>
      <c r="AO341" s="5">
        <f t="shared" si="97"/>
        <v>0</v>
      </c>
      <c r="AP341" s="5">
        <f t="shared" si="98"/>
        <v>0</v>
      </c>
      <c r="AQ341" s="5">
        <f>IF(CreditAmort4BEST[[#This Row],[Month]]=AS$8,AO$7,0)</f>
        <v>0</v>
      </c>
      <c r="AR341" s="13">
        <f t="shared" si="99"/>
        <v>0</v>
      </c>
      <c r="AS341" s="6" t="str">
        <f t="shared" si="100"/>
        <v xml:space="preserve"> </v>
      </c>
      <c r="AT341" s="21" t="str">
        <f t="shared" si="101"/>
        <v xml:space="preserve"> </v>
      </c>
    </row>
    <row r="342" spans="3:46">
      <c r="C342" s="22">
        <f t="shared" si="86"/>
        <v>331</v>
      </c>
      <c r="D342" s="23">
        <f>IF(AND(C342&gt;='Amort. Sched.-BEST'!$I$8, C342&lt;= ($I$7+$I$8)), PMT('Amort. Sched.-BEST'!$E$8/12, 'Amort. Sched.-BEST'!$I$7, 'Amort. Sched.-BEST'!$E$7), 0)</f>
        <v>0</v>
      </c>
      <c r="E342" s="5">
        <f>IF(AND(C342&gt;='Amort. Sched.-BEST'!$I$8, C342&lt;= ($I$7+$I$8)), (IPMT($E$8/12, (C342-$I$8), $I$7, $E$7)), 0)</f>
        <v>0</v>
      </c>
      <c r="F342" s="23">
        <f>IF(AND(C342&gt;='Amort. Sched.-BEST'!$I$8, C342&lt;= ($I$7+$I$8)), (PPMT($E$8/12, (C342-$I$8), $I$7, $E$7)), 0)</f>
        <v>0</v>
      </c>
      <c r="G342" s="5">
        <f>IF(MortgageAmortBEST[[#This Row],[Month]]=I$8,E$7,0)</f>
        <v>0</v>
      </c>
      <c r="H342" s="13">
        <f>IF(AND(C342&gt;='Amort. Sched.-BEST'!$I$8, C342&lt;= ($I$7+$I$8)), H341+F342, 0)</f>
        <v>0</v>
      </c>
      <c r="I342" s="24" t="str">
        <f>IF(AND(C342&gt;='Amort. Sched.-BEST'!$I$8, C342&lt;= ($I$7+$I$8)), E342/D342, " ")</f>
        <v xml:space="preserve"> </v>
      </c>
      <c r="J342" s="25" t="str">
        <f>IF(AND(C342&gt;='Amort. Sched.-BEST'!$I$8, C342&lt;= ($I$7+$I$8)), F342/D342, " ")</f>
        <v xml:space="preserve"> </v>
      </c>
      <c r="L342" s="20">
        <f t="shared" si="85"/>
        <v>331</v>
      </c>
      <c r="M342" s="5">
        <f>IF(AND(L342&gt;='Amort. Sched.-BEST'!$R$8, L342&lt;= ($R$7+$R$8)), PMT('Amort. Sched.-BEST'!$N$8/12, 'Amort. Sched.-BEST'!$R$7, 'Amort. Sched.-BEST'!$N$7), 0)</f>
        <v>0</v>
      </c>
      <c r="N342" s="5">
        <f>IF(AND(L342&gt;='Amort. Sched.-BEST'!$R$8, L342&lt;= ($R$7+$R$8)), (IPMT($N$8/12, (L342-$R$8), $R$7, $N$7)), 0)</f>
        <v>0</v>
      </c>
      <c r="O342" s="5">
        <f>IF(AND(L342&gt;='Amort. Sched.-BEST'!$R$8, L342&lt;= ($R$7+$R$8)), (PPMT($N$8/12, (L342-$R$8), $R$7, $N$7)), 0)</f>
        <v>0</v>
      </c>
      <c r="P342" s="5">
        <f>IF(CreditAmort1BEST[[#This Row],[Month]]=R$8,N$7,0)</f>
        <v>0</v>
      </c>
      <c r="Q342" s="13">
        <f>IF(AND(L342&gt;='Amort. Sched.-BEST'!$R$8, L342&lt;= ($R$7+$R$8)), Q341+O342, 0)</f>
        <v>0</v>
      </c>
      <c r="R342" s="6" t="str">
        <f>IF(AND(L342&gt;='Amort. Sched.-BEST'!$R$8, L342&lt;= ($R$7+$R$8)), N342/M342, " ")</f>
        <v xml:space="preserve"> </v>
      </c>
      <c r="S342" s="21" t="str">
        <f>IF(AND(L342&gt;='Amort. Sched.-BEST'!$R$8, L342&lt;= ($R$7+$R$8)), O342/M342, " ")</f>
        <v xml:space="preserve"> </v>
      </c>
      <c r="U342" s="22">
        <f t="shared" si="87"/>
        <v>331</v>
      </c>
      <c r="V342" s="23">
        <f>IF(AND(U342&gt;='Amort. Sched.-BEST'!$AA$8, U342&lt;= ($AA$7+$AA$8)), PMT('Amort. Sched.-BEST'!$W$8/12, 'Amort. Sched.-BEST'!$AA$7, 'Amort. Sched.-BEST'!$W$7), 0)</f>
        <v>0</v>
      </c>
      <c r="W342" s="5">
        <f>IF(AND(U342&gt;='Amort. Sched.-BEST'!$AA$8, U342&lt;= ($AA$7+$AA$8)), (IPMT($W$8/12, (U342-$AA$8), $AA$7, $W$7)), 0)</f>
        <v>0</v>
      </c>
      <c r="X342" s="23">
        <f>IF(AND(U342&gt;='Amort. Sched.-BEST'!$AA$8, U342&lt;= ($AA$7+$AA$8)), (PPMT($W$8/12, (U342-$AA$8), $AA$7, $W$7)), 0)</f>
        <v>0</v>
      </c>
      <c r="Y342" s="5">
        <f>IF(CreditAmort2BEST[[#This Row],[Month]]=AA$8,W$7,0)</f>
        <v>0</v>
      </c>
      <c r="Z342" s="13">
        <f>IF(AND(U342&gt;='Amort. Sched.-BEST'!$AA$8, U342&lt;= ($AA$7+$AA$8)), Z341+X342, 0)</f>
        <v>0</v>
      </c>
      <c r="AA342" s="24" t="str">
        <f>IF(AND(U342&gt;='Amort. Sched.-BEST'!$AA$8, U342&lt;= ($AA$7+$AA$8)), W342/V342, " ")</f>
        <v xml:space="preserve"> </v>
      </c>
      <c r="AB342" s="25" t="str">
        <f>IF(AND(U342&gt;='Amort. Sched.-BEST'!$AA$8, U342&lt;= ($AA$7+$AA$8)), X342/V342, " ")</f>
        <v xml:space="preserve"> </v>
      </c>
      <c r="AD342" s="22">
        <f t="shared" si="88"/>
        <v>331</v>
      </c>
      <c r="AE342" s="5">
        <f t="shared" si="89"/>
        <v>0</v>
      </c>
      <c r="AF342" s="5">
        <f t="shared" si="90"/>
        <v>0</v>
      </c>
      <c r="AG342" s="5">
        <f t="shared" si="91"/>
        <v>0</v>
      </c>
      <c r="AH342" s="5">
        <f>IF(CreditAmort3BEST[[#This Row],[Month]]=AJ$8,AF$7,0)</f>
        <v>0</v>
      </c>
      <c r="AI342" s="13">
        <f t="shared" si="92"/>
        <v>0</v>
      </c>
      <c r="AJ342" s="6" t="str">
        <f t="shared" si="93"/>
        <v xml:space="preserve"> </v>
      </c>
      <c r="AK342" s="21" t="str">
        <f t="shared" si="94"/>
        <v xml:space="preserve"> </v>
      </c>
      <c r="AM342" s="20">
        <f t="shared" si="95"/>
        <v>331</v>
      </c>
      <c r="AN342" s="5">
        <f t="shared" si="96"/>
        <v>0</v>
      </c>
      <c r="AO342" s="5">
        <f t="shared" si="97"/>
        <v>0</v>
      </c>
      <c r="AP342" s="5">
        <f t="shared" si="98"/>
        <v>0</v>
      </c>
      <c r="AQ342" s="5">
        <f>IF(CreditAmort4BEST[[#This Row],[Month]]=AS$8,AO$7,0)</f>
        <v>0</v>
      </c>
      <c r="AR342" s="13">
        <f t="shared" si="99"/>
        <v>0</v>
      </c>
      <c r="AS342" s="6" t="str">
        <f t="shared" si="100"/>
        <v xml:space="preserve"> </v>
      </c>
      <c r="AT342" s="21" t="str">
        <f t="shared" si="101"/>
        <v xml:space="preserve"> </v>
      </c>
    </row>
    <row r="343" spans="3:46">
      <c r="C343" s="22">
        <f t="shared" si="86"/>
        <v>332</v>
      </c>
      <c r="D343" s="23">
        <f>IF(AND(C343&gt;='Amort. Sched.-BEST'!$I$8, C343&lt;= ($I$7+$I$8)), PMT('Amort. Sched.-BEST'!$E$8/12, 'Amort. Sched.-BEST'!$I$7, 'Amort. Sched.-BEST'!$E$7), 0)</f>
        <v>0</v>
      </c>
      <c r="E343" s="5">
        <f>IF(AND(C343&gt;='Amort. Sched.-BEST'!$I$8, C343&lt;= ($I$7+$I$8)), (IPMT($E$8/12, (C343-$I$8), $I$7, $E$7)), 0)</f>
        <v>0</v>
      </c>
      <c r="F343" s="23">
        <f>IF(AND(C343&gt;='Amort. Sched.-BEST'!$I$8, C343&lt;= ($I$7+$I$8)), (PPMT($E$8/12, (C343-$I$8), $I$7, $E$7)), 0)</f>
        <v>0</v>
      </c>
      <c r="G343" s="5">
        <f>IF(MortgageAmortBEST[[#This Row],[Month]]=I$8,E$7,0)</f>
        <v>0</v>
      </c>
      <c r="H343" s="13">
        <f>IF(AND(C343&gt;='Amort. Sched.-BEST'!$I$8, C343&lt;= ($I$7+$I$8)), H342+F343, 0)</f>
        <v>0</v>
      </c>
      <c r="I343" s="24" t="str">
        <f>IF(AND(C343&gt;='Amort. Sched.-BEST'!$I$8, C343&lt;= ($I$7+$I$8)), E343/D343, " ")</f>
        <v xml:space="preserve"> </v>
      </c>
      <c r="J343" s="25" t="str">
        <f>IF(AND(C343&gt;='Amort. Sched.-BEST'!$I$8, C343&lt;= ($I$7+$I$8)), F343/D343, " ")</f>
        <v xml:space="preserve"> </v>
      </c>
      <c r="L343" s="20">
        <f t="shared" si="85"/>
        <v>332</v>
      </c>
      <c r="M343" s="5">
        <f>IF(AND(L343&gt;='Amort. Sched.-BEST'!$R$8, L343&lt;= ($R$7+$R$8)), PMT('Amort. Sched.-BEST'!$N$8/12, 'Amort. Sched.-BEST'!$R$7, 'Amort. Sched.-BEST'!$N$7), 0)</f>
        <v>0</v>
      </c>
      <c r="N343" s="5">
        <f>IF(AND(L343&gt;='Amort. Sched.-BEST'!$R$8, L343&lt;= ($R$7+$R$8)), (IPMT($N$8/12, (L343-$R$8), $R$7, $N$7)), 0)</f>
        <v>0</v>
      </c>
      <c r="O343" s="5">
        <f>IF(AND(L343&gt;='Amort. Sched.-BEST'!$R$8, L343&lt;= ($R$7+$R$8)), (PPMT($N$8/12, (L343-$R$8), $R$7, $N$7)), 0)</f>
        <v>0</v>
      </c>
      <c r="P343" s="5">
        <f>IF(CreditAmort1BEST[[#This Row],[Month]]=R$8,N$7,0)</f>
        <v>0</v>
      </c>
      <c r="Q343" s="13">
        <f>IF(AND(L343&gt;='Amort. Sched.-BEST'!$R$8, L343&lt;= ($R$7+$R$8)), Q342+O343, 0)</f>
        <v>0</v>
      </c>
      <c r="R343" s="6" t="str">
        <f>IF(AND(L343&gt;='Amort. Sched.-BEST'!$R$8, L343&lt;= ($R$7+$R$8)), N343/M343, " ")</f>
        <v xml:space="preserve"> </v>
      </c>
      <c r="S343" s="21" t="str">
        <f>IF(AND(L343&gt;='Amort. Sched.-BEST'!$R$8, L343&lt;= ($R$7+$R$8)), O343/M343, " ")</f>
        <v xml:space="preserve"> </v>
      </c>
      <c r="U343" s="22">
        <f t="shared" si="87"/>
        <v>332</v>
      </c>
      <c r="V343" s="23">
        <f>IF(AND(U343&gt;='Amort. Sched.-BEST'!$AA$8, U343&lt;= ($AA$7+$AA$8)), PMT('Amort. Sched.-BEST'!$W$8/12, 'Amort. Sched.-BEST'!$AA$7, 'Amort. Sched.-BEST'!$W$7), 0)</f>
        <v>0</v>
      </c>
      <c r="W343" s="5">
        <f>IF(AND(U343&gt;='Amort. Sched.-BEST'!$AA$8, U343&lt;= ($AA$7+$AA$8)), (IPMT($W$8/12, (U343-$AA$8), $AA$7, $W$7)), 0)</f>
        <v>0</v>
      </c>
      <c r="X343" s="23">
        <f>IF(AND(U343&gt;='Amort. Sched.-BEST'!$AA$8, U343&lt;= ($AA$7+$AA$8)), (PPMT($W$8/12, (U343-$AA$8), $AA$7, $W$7)), 0)</f>
        <v>0</v>
      </c>
      <c r="Y343" s="5">
        <f>IF(CreditAmort2BEST[[#This Row],[Month]]=AA$8,W$7,0)</f>
        <v>0</v>
      </c>
      <c r="Z343" s="13">
        <f>IF(AND(U343&gt;='Amort. Sched.-BEST'!$AA$8, U343&lt;= ($AA$7+$AA$8)), Z342+X343, 0)</f>
        <v>0</v>
      </c>
      <c r="AA343" s="24" t="str">
        <f>IF(AND(U343&gt;='Amort. Sched.-BEST'!$AA$8, U343&lt;= ($AA$7+$AA$8)), W343/V343, " ")</f>
        <v xml:space="preserve"> </v>
      </c>
      <c r="AB343" s="25" t="str">
        <f>IF(AND(U343&gt;='Amort. Sched.-BEST'!$AA$8, U343&lt;= ($AA$7+$AA$8)), X343/V343, " ")</f>
        <v xml:space="preserve"> </v>
      </c>
      <c r="AD343" s="22">
        <f t="shared" si="88"/>
        <v>332</v>
      </c>
      <c r="AE343" s="5">
        <f t="shared" si="89"/>
        <v>0</v>
      </c>
      <c r="AF343" s="5">
        <f t="shared" si="90"/>
        <v>0</v>
      </c>
      <c r="AG343" s="5">
        <f t="shared" si="91"/>
        <v>0</v>
      </c>
      <c r="AH343" s="5">
        <f>IF(CreditAmort3BEST[[#This Row],[Month]]=AJ$8,AF$7,0)</f>
        <v>0</v>
      </c>
      <c r="AI343" s="13">
        <f t="shared" si="92"/>
        <v>0</v>
      </c>
      <c r="AJ343" s="6" t="str">
        <f t="shared" si="93"/>
        <v xml:space="preserve"> </v>
      </c>
      <c r="AK343" s="21" t="str">
        <f t="shared" si="94"/>
        <v xml:space="preserve"> </v>
      </c>
      <c r="AM343" s="20">
        <f t="shared" si="95"/>
        <v>332</v>
      </c>
      <c r="AN343" s="5">
        <f t="shared" si="96"/>
        <v>0</v>
      </c>
      <c r="AO343" s="5">
        <f t="shared" si="97"/>
        <v>0</v>
      </c>
      <c r="AP343" s="5">
        <f t="shared" si="98"/>
        <v>0</v>
      </c>
      <c r="AQ343" s="5">
        <f>IF(CreditAmort4BEST[[#This Row],[Month]]=AS$8,AO$7,0)</f>
        <v>0</v>
      </c>
      <c r="AR343" s="13">
        <f t="shared" si="99"/>
        <v>0</v>
      </c>
      <c r="AS343" s="6" t="str">
        <f t="shared" si="100"/>
        <v xml:space="preserve"> </v>
      </c>
      <c r="AT343" s="21" t="str">
        <f t="shared" si="101"/>
        <v xml:space="preserve"> </v>
      </c>
    </row>
    <row r="344" spans="3:46">
      <c r="C344" s="22">
        <f t="shared" si="86"/>
        <v>333</v>
      </c>
      <c r="D344" s="23">
        <f>IF(AND(C344&gt;='Amort. Sched.-BEST'!$I$8, C344&lt;= ($I$7+$I$8)), PMT('Amort. Sched.-BEST'!$E$8/12, 'Amort. Sched.-BEST'!$I$7, 'Amort. Sched.-BEST'!$E$7), 0)</f>
        <v>0</v>
      </c>
      <c r="E344" s="5">
        <f>IF(AND(C344&gt;='Amort. Sched.-BEST'!$I$8, C344&lt;= ($I$7+$I$8)), (IPMT($E$8/12, (C344-$I$8), $I$7, $E$7)), 0)</f>
        <v>0</v>
      </c>
      <c r="F344" s="23">
        <f>IF(AND(C344&gt;='Amort. Sched.-BEST'!$I$8, C344&lt;= ($I$7+$I$8)), (PPMT($E$8/12, (C344-$I$8), $I$7, $E$7)), 0)</f>
        <v>0</v>
      </c>
      <c r="G344" s="5">
        <f>IF(MortgageAmortBEST[[#This Row],[Month]]=I$8,E$7,0)</f>
        <v>0</v>
      </c>
      <c r="H344" s="13">
        <f>IF(AND(C344&gt;='Amort. Sched.-BEST'!$I$8, C344&lt;= ($I$7+$I$8)), H343+F344, 0)</f>
        <v>0</v>
      </c>
      <c r="I344" s="24" t="str">
        <f>IF(AND(C344&gt;='Amort. Sched.-BEST'!$I$8, C344&lt;= ($I$7+$I$8)), E344/D344, " ")</f>
        <v xml:space="preserve"> </v>
      </c>
      <c r="J344" s="25" t="str">
        <f>IF(AND(C344&gt;='Amort. Sched.-BEST'!$I$8, C344&lt;= ($I$7+$I$8)), F344/D344, " ")</f>
        <v xml:space="preserve"> </v>
      </c>
      <c r="L344" s="20">
        <f t="shared" si="85"/>
        <v>333</v>
      </c>
      <c r="M344" s="5">
        <f>IF(AND(L344&gt;='Amort. Sched.-BEST'!$R$8, L344&lt;= ($R$7+$R$8)), PMT('Amort. Sched.-BEST'!$N$8/12, 'Amort. Sched.-BEST'!$R$7, 'Amort. Sched.-BEST'!$N$7), 0)</f>
        <v>0</v>
      </c>
      <c r="N344" s="5">
        <f>IF(AND(L344&gt;='Amort. Sched.-BEST'!$R$8, L344&lt;= ($R$7+$R$8)), (IPMT($N$8/12, (L344-$R$8), $R$7, $N$7)), 0)</f>
        <v>0</v>
      </c>
      <c r="O344" s="5">
        <f>IF(AND(L344&gt;='Amort. Sched.-BEST'!$R$8, L344&lt;= ($R$7+$R$8)), (PPMT($N$8/12, (L344-$R$8), $R$7, $N$7)), 0)</f>
        <v>0</v>
      </c>
      <c r="P344" s="5">
        <f>IF(CreditAmort1BEST[[#This Row],[Month]]=R$8,N$7,0)</f>
        <v>0</v>
      </c>
      <c r="Q344" s="13">
        <f>IF(AND(L344&gt;='Amort. Sched.-BEST'!$R$8, L344&lt;= ($R$7+$R$8)), Q343+O344, 0)</f>
        <v>0</v>
      </c>
      <c r="R344" s="6" t="str">
        <f>IF(AND(L344&gt;='Amort. Sched.-BEST'!$R$8, L344&lt;= ($R$7+$R$8)), N344/M344, " ")</f>
        <v xml:space="preserve"> </v>
      </c>
      <c r="S344" s="21" t="str">
        <f>IF(AND(L344&gt;='Amort. Sched.-BEST'!$R$8, L344&lt;= ($R$7+$R$8)), O344/M344, " ")</f>
        <v xml:space="preserve"> </v>
      </c>
      <c r="U344" s="22">
        <f t="shared" si="87"/>
        <v>333</v>
      </c>
      <c r="V344" s="23">
        <f>IF(AND(U344&gt;='Amort. Sched.-BEST'!$AA$8, U344&lt;= ($AA$7+$AA$8)), PMT('Amort. Sched.-BEST'!$W$8/12, 'Amort. Sched.-BEST'!$AA$7, 'Amort. Sched.-BEST'!$W$7), 0)</f>
        <v>0</v>
      </c>
      <c r="W344" s="5">
        <f>IF(AND(U344&gt;='Amort. Sched.-BEST'!$AA$8, U344&lt;= ($AA$7+$AA$8)), (IPMT($W$8/12, (U344-$AA$8), $AA$7, $W$7)), 0)</f>
        <v>0</v>
      </c>
      <c r="X344" s="23">
        <f>IF(AND(U344&gt;='Amort. Sched.-BEST'!$AA$8, U344&lt;= ($AA$7+$AA$8)), (PPMT($W$8/12, (U344-$AA$8), $AA$7, $W$7)), 0)</f>
        <v>0</v>
      </c>
      <c r="Y344" s="5">
        <f>IF(CreditAmort2BEST[[#This Row],[Month]]=AA$8,W$7,0)</f>
        <v>0</v>
      </c>
      <c r="Z344" s="13">
        <f>IF(AND(U344&gt;='Amort. Sched.-BEST'!$AA$8, U344&lt;= ($AA$7+$AA$8)), Z343+X344, 0)</f>
        <v>0</v>
      </c>
      <c r="AA344" s="24" t="str">
        <f>IF(AND(U344&gt;='Amort. Sched.-BEST'!$AA$8, U344&lt;= ($AA$7+$AA$8)), W344/V344, " ")</f>
        <v xml:space="preserve"> </v>
      </c>
      <c r="AB344" s="25" t="str">
        <f>IF(AND(U344&gt;='Amort. Sched.-BEST'!$AA$8, U344&lt;= ($AA$7+$AA$8)), X344/V344, " ")</f>
        <v xml:space="preserve"> </v>
      </c>
      <c r="AD344" s="22">
        <f t="shared" si="88"/>
        <v>333</v>
      </c>
      <c r="AE344" s="5">
        <f t="shared" si="89"/>
        <v>0</v>
      </c>
      <c r="AF344" s="5">
        <f t="shared" si="90"/>
        <v>0</v>
      </c>
      <c r="AG344" s="5">
        <f t="shared" si="91"/>
        <v>0</v>
      </c>
      <c r="AH344" s="5">
        <f>IF(CreditAmort3BEST[[#This Row],[Month]]=AJ$8,AF$7,0)</f>
        <v>0</v>
      </c>
      <c r="AI344" s="13">
        <f t="shared" si="92"/>
        <v>0</v>
      </c>
      <c r="AJ344" s="6" t="str">
        <f t="shared" si="93"/>
        <v xml:space="preserve"> </v>
      </c>
      <c r="AK344" s="21" t="str">
        <f t="shared" si="94"/>
        <v xml:space="preserve"> </v>
      </c>
      <c r="AM344" s="20">
        <f t="shared" si="95"/>
        <v>333</v>
      </c>
      <c r="AN344" s="5">
        <f t="shared" si="96"/>
        <v>0</v>
      </c>
      <c r="AO344" s="5">
        <f t="shared" si="97"/>
        <v>0</v>
      </c>
      <c r="AP344" s="5">
        <f t="shared" si="98"/>
        <v>0</v>
      </c>
      <c r="AQ344" s="5">
        <f>IF(CreditAmort4BEST[[#This Row],[Month]]=AS$8,AO$7,0)</f>
        <v>0</v>
      </c>
      <c r="AR344" s="13">
        <f t="shared" si="99"/>
        <v>0</v>
      </c>
      <c r="AS344" s="6" t="str">
        <f t="shared" si="100"/>
        <v xml:space="preserve"> </v>
      </c>
      <c r="AT344" s="21" t="str">
        <f t="shared" si="101"/>
        <v xml:space="preserve"> </v>
      </c>
    </row>
    <row r="345" spans="3:46">
      <c r="C345" s="22">
        <f t="shared" si="86"/>
        <v>334</v>
      </c>
      <c r="D345" s="23">
        <f>IF(AND(C345&gt;='Amort. Sched.-BEST'!$I$8, C345&lt;= ($I$7+$I$8)), PMT('Amort. Sched.-BEST'!$E$8/12, 'Amort. Sched.-BEST'!$I$7, 'Amort. Sched.-BEST'!$E$7), 0)</f>
        <v>0</v>
      </c>
      <c r="E345" s="5">
        <f>IF(AND(C345&gt;='Amort. Sched.-BEST'!$I$8, C345&lt;= ($I$7+$I$8)), (IPMT($E$8/12, (C345-$I$8), $I$7, $E$7)), 0)</f>
        <v>0</v>
      </c>
      <c r="F345" s="23">
        <f>IF(AND(C345&gt;='Amort. Sched.-BEST'!$I$8, C345&lt;= ($I$7+$I$8)), (PPMT($E$8/12, (C345-$I$8), $I$7, $E$7)), 0)</f>
        <v>0</v>
      </c>
      <c r="G345" s="5">
        <f>IF(MortgageAmortBEST[[#This Row],[Month]]=I$8,E$7,0)</f>
        <v>0</v>
      </c>
      <c r="H345" s="13">
        <f>IF(AND(C345&gt;='Amort. Sched.-BEST'!$I$8, C345&lt;= ($I$7+$I$8)), H344+F345, 0)</f>
        <v>0</v>
      </c>
      <c r="I345" s="24" t="str">
        <f>IF(AND(C345&gt;='Amort. Sched.-BEST'!$I$8, C345&lt;= ($I$7+$I$8)), E345/D345, " ")</f>
        <v xml:space="preserve"> </v>
      </c>
      <c r="J345" s="25" t="str">
        <f>IF(AND(C345&gt;='Amort. Sched.-BEST'!$I$8, C345&lt;= ($I$7+$I$8)), F345/D345, " ")</f>
        <v xml:space="preserve"> </v>
      </c>
      <c r="L345" s="20">
        <f t="shared" si="85"/>
        <v>334</v>
      </c>
      <c r="M345" s="5">
        <f>IF(AND(L345&gt;='Amort. Sched.-BEST'!$R$8, L345&lt;= ($R$7+$R$8)), PMT('Amort. Sched.-BEST'!$N$8/12, 'Amort. Sched.-BEST'!$R$7, 'Amort. Sched.-BEST'!$N$7), 0)</f>
        <v>0</v>
      </c>
      <c r="N345" s="5">
        <f>IF(AND(L345&gt;='Amort. Sched.-BEST'!$R$8, L345&lt;= ($R$7+$R$8)), (IPMT($N$8/12, (L345-$R$8), $R$7, $N$7)), 0)</f>
        <v>0</v>
      </c>
      <c r="O345" s="5">
        <f>IF(AND(L345&gt;='Amort. Sched.-BEST'!$R$8, L345&lt;= ($R$7+$R$8)), (PPMT($N$8/12, (L345-$R$8), $R$7, $N$7)), 0)</f>
        <v>0</v>
      </c>
      <c r="P345" s="5">
        <f>IF(CreditAmort1BEST[[#This Row],[Month]]=R$8,N$7,0)</f>
        <v>0</v>
      </c>
      <c r="Q345" s="13">
        <f>IF(AND(L345&gt;='Amort. Sched.-BEST'!$R$8, L345&lt;= ($R$7+$R$8)), Q344+O345, 0)</f>
        <v>0</v>
      </c>
      <c r="R345" s="6" t="str">
        <f>IF(AND(L345&gt;='Amort. Sched.-BEST'!$R$8, L345&lt;= ($R$7+$R$8)), N345/M345, " ")</f>
        <v xml:space="preserve"> </v>
      </c>
      <c r="S345" s="21" t="str">
        <f>IF(AND(L345&gt;='Amort. Sched.-BEST'!$R$8, L345&lt;= ($R$7+$R$8)), O345/M345, " ")</f>
        <v xml:space="preserve"> </v>
      </c>
      <c r="U345" s="22">
        <f t="shared" si="87"/>
        <v>334</v>
      </c>
      <c r="V345" s="23">
        <f>IF(AND(U345&gt;='Amort. Sched.-BEST'!$AA$8, U345&lt;= ($AA$7+$AA$8)), PMT('Amort. Sched.-BEST'!$W$8/12, 'Amort. Sched.-BEST'!$AA$7, 'Amort. Sched.-BEST'!$W$7), 0)</f>
        <v>0</v>
      </c>
      <c r="W345" s="5">
        <f>IF(AND(U345&gt;='Amort. Sched.-BEST'!$AA$8, U345&lt;= ($AA$7+$AA$8)), (IPMT($W$8/12, (U345-$AA$8), $AA$7, $W$7)), 0)</f>
        <v>0</v>
      </c>
      <c r="X345" s="23">
        <f>IF(AND(U345&gt;='Amort. Sched.-BEST'!$AA$8, U345&lt;= ($AA$7+$AA$8)), (PPMT($W$8/12, (U345-$AA$8), $AA$7, $W$7)), 0)</f>
        <v>0</v>
      </c>
      <c r="Y345" s="5">
        <f>IF(CreditAmort2BEST[[#This Row],[Month]]=AA$8,W$7,0)</f>
        <v>0</v>
      </c>
      <c r="Z345" s="13">
        <f>IF(AND(U345&gt;='Amort. Sched.-BEST'!$AA$8, U345&lt;= ($AA$7+$AA$8)), Z344+X345, 0)</f>
        <v>0</v>
      </c>
      <c r="AA345" s="24" t="str">
        <f>IF(AND(U345&gt;='Amort. Sched.-BEST'!$AA$8, U345&lt;= ($AA$7+$AA$8)), W345/V345, " ")</f>
        <v xml:space="preserve"> </v>
      </c>
      <c r="AB345" s="25" t="str">
        <f>IF(AND(U345&gt;='Amort. Sched.-BEST'!$AA$8, U345&lt;= ($AA$7+$AA$8)), X345/V345, " ")</f>
        <v xml:space="preserve"> </v>
      </c>
      <c r="AD345" s="22">
        <f t="shared" si="88"/>
        <v>334</v>
      </c>
      <c r="AE345" s="5">
        <f t="shared" si="89"/>
        <v>0</v>
      </c>
      <c r="AF345" s="5">
        <f t="shared" si="90"/>
        <v>0</v>
      </c>
      <c r="AG345" s="5">
        <f t="shared" si="91"/>
        <v>0</v>
      </c>
      <c r="AH345" s="5">
        <f>IF(CreditAmort3BEST[[#This Row],[Month]]=AJ$8,AF$7,0)</f>
        <v>0</v>
      </c>
      <c r="AI345" s="13">
        <f t="shared" si="92"/>
        <v>0</v>
      </c>
      <c r="AJ345" s="6" t="str">
        <f t="shared" si="93"/>
        <v xml:space="preserve"> </v>
      </c>
      <c r="AK345" s="21" t="str">
        <f t="shared" si="94"/>
        <v xml:space="preserve"> </v>
      </c>
      <c r="AM345" s="20">
        <f t="shared" si="95"/>
        <v>334</v>
      </c>
      <c r="AN345" s="5">
        <f t="shared" si="96"/>
        <v>0</v>
      </c>
      <c r="AO345" s="5">
        <f t="shared" si="97"/>
        <v>0</v>
      </c>
      <c r="AP345" s="5">
        <f t="shared" si="98"/>
        <v>0</v>
      </c>
      <c r="AQ345" s="5">
        <f>IF(CreditAmort4BEST[[#This Row],[Month]]=AS$8,AO$7,0)</f>
        <v>0</v>
      </c>
      <c r="AR345" s="13">
        <f t="shared" si="99"/>
        <v>0</v>
      </c>
      <c r="AS345" s="6" t="str">
        <f t="shared" si="100"/>
        <v xml:space="preserve"> </v>
      </c>
      <c r="AT345" s="21" t="str">
        <f t="shared" si="101"/>
        <v xml:space="preserve"> </v>
      </c>
    </row>
    <row r="346" spans="3:46">
      <c r="C346" s="22">
        <f t="shared" si="86"/>
        <v>335</v>
      </c>
      <c r="D346" s="23">
        <f>IF(AND(C346&gt;='Amort. Sched.-BEST'!$I$8, C346&lt;= ($I$7+$I$8)), PMT('Amort. Sched.-BEST'!$E$8/12, 'Amort. Sched.-BEST'!$I$7, 'Amort. Sched.-BEST'!$E$7), 0)</f>
        <v>0</v>
      </c>
      <c r="E346" s="5">
        <f>IF(AND(C346&gt;='Amort. Sched.-BEST'!$I$8, C346&lt;= ($I$7+$I$8)), (IPMT($E$8/12, (C346-$I$8), $I$7, $E$7)), 0)</f>
        <v>0</v>
      </c>
      <c r="F346" s="23">
        <f>IF(AND(C346&gt;='Amort. Sched.-BEST'!$I$8, C346&lt;= ($I$7+$I$8)), (PPMT($E$8/12, (C346-$I$8), $I$7, $E$7)), 0)</f>
        <v>0</v>
      </c>
      <c r="G346" s="5">
        <f>IF(MortgageAmortBEST[[#This Row],[Month]]=I$8,E$7,0)</f>
        <v>0</v>
      </c>
      <c r="H346" s="13">
        <f>IF(AND(C346&gt;='Amort. Sched.-BEST'!$I$8, C346&lt;= ($I$7+$I$8)), H345+F346, 0)</f>
        <v>0</v>
      </c>
      <c r="I346" s="24" t="str">
        <f>IF(AND(C346&gt;='Amort. Sched.-BEST'!$I$8, C346&lt;= ($I$7+$I$8)), E346/D346, " ")</f>
        <v xml:space="preserve"> </v>
      </c>
      <c r="J346" s="25" t="str">
        <f>IF(AND(C346&gt;='Amort. Sched.-BEST'!$I$8, C346&lt;= ($I$7+$I$8)), F346/D346, " ")</f>
        <v xml:space="preserve"> </v>
      </c>
      <c r="L346" s="20">
        <f t="shared" si="85"/>
        <v>335</v>
      </c>
      <c r="M346" s="5">
        <f>IF(AND(L346&gt;='Amort. Sched.-BEST'!$R$8, L346&lt;= ($R$7+$R$8)), PMT('Amort. Sched.-BEST'!$N$8/12, 'Amort. Sched.-BEST'!$R$7, 'Amort. Sched.-BEST'!$N$7), 0)</f>
        <v>0</v>
      </c>
      <c r="N346" s="5">
        <f>IF(AND(L346&gt;='Amort. Sched.-BEST'!$R$8, L346&lt;= ($R$7+$R$8)), (IPMT($N$8/12, (L346-$R$8), $R$7, $N$7)), 0)</f>
        <v>0</v>
      </c>
      <c r="O346" s="5">
        <f>IF(AND(L346&gt;='Amort. Sched.-BEST'!$R$8, L346&lt;= ($R$7+$R$8)), (PPMT($N$8/12, (L346-$R$8), $R$7, $N$7)), 0)</f>
        <v>0</v>
      </c>
      <c r="P346" s="5">
        <f>IF(CreditAmort1BEST[[#This Row],[Month]]=R$8,N$7,0)</f>
        <v>0</v>
      </c>
      <c r="Q346" s="13">
        <f>IF(AND(L346&gt;='Amort. Sched.-BEST'!$R$8, L346&lt;= ($R$7+$R$8)), Q345+O346, 0)</f>
        <v>0</v>
      </c>
      <c r="R346" s="6" t="str">
        <f>IF(AND(L346&gt;='Amort. Sched.-BEST'!$R$8, L346&lt;= ($R$7+$R$8)), N346/M346, " ")</f>
        <v xml:space="preserve"> </v>
      </c>
      <c r="S346" s="21" t="str">
        <f>IF(AND(L346&gt;='Amort. Sched.-BEST'!$R$8, L346&lt;= ($R$7+$R$8)), O346/M346, " ")</f>
        <v xml:space="preserve"> </v>
      </c>
      <c r="U346" s="22">
        <f t="shared" si="87"/>
        <v>335</v>
      </c>
      <c r="V346" s="23">
        <f>IF(AND(U346&gt;='Amort. Sched.-BEST'!$AA$8, U346&lt;= ($AA$7+$AA$8)), PMT('Amort. Sched.-BEST'!$W$8/12, 'Amort. Sched.-BEST'!$AA$7, 'Amort. Sched.-BEST'!$W$7), 0)</f>
        <v>0</v>
      </c>
      <c r="W346" s="5">
        <f>IF(AND(U346&gt;='Amort. Sched.-BEST'!$AA$8, U346&lt;= ($AA$7+$AA$8)), (IPMT($W$8/12, (U346-$AA$8), $AA$7, $W$7)), 0)</f>
        <v>0</v>
      </c>
      <c r="X346" s="23">
        <f>IF(AND(U346&gt;='Amort. Sched.-BEST'!$AA$8, U346&lt;= ($AA$7+$AA$8)), (PPMT($W$8/12, (U346-$AA$8), $AA$7, $W$7)), 0)</f>
        <v>0</v>
      </c>
      <c r="Y346" s="5">
        <f>IF(CreditAmort2BEST[[#This Row],[Month]]=AA$8,W$7,0)</f>
        <v>0</v>
      </c>
      <c r="Z346" s="13">
        <f>IF(AND(U346&gt;='Amort. Sched.-BEST'!$AA$8, U346&lt;= ($AA$7+$AA$8)), Z345+X346, 0)</f>
        <v>0</v>
      </c>
      <c r="AA346" s="24" t="str">
        <f>IF(AND(U346&gt;='Amort. Sched.-BEST'!$AA$8, U346&lt;= ($AA$7+$AA$8)), W346/V346, " ")</f>
        <v xml:space="preserve"> </v>
      </c>
      <c r="AB346" s="25" t="str">
        <f>IF(AND(U346&gt;='Amort. Sched.-BEST'!$AA$8, U346&lt;= ($AA$7+$AA$8)), X346/V346, " ")</f>
        <v xml:space="preserve"> </v>
      </c>
      <c r="AD346" s="22">
        <f t="shared" si="88"/>
        <v>335</v>
      </c>
      <c r="AE346" s="5">
        <f t="shared" si="89"/>
        <v>0</v>
      </c>
      <c r="AF346" s="5">
        <f t="shared" si="90"/>
        <v>0</v>
      </c>
      <c r="AG346" s="5">
        <f t="shared" si="91"/>
        <v>0</v>
      </c>
      <c r="AH346" s="5">
        <f>IF(CreditAmort3BEST[[#This Row],[Month]]=AJ$8,AF$7,0)</f>
        <v>0</v>
      </c>
      <c r="AI346" s="13">
        <f t="shared" si="92"/>
        <v>0</v>
      </c>
      <c r="AJ346" s="6" t="str">
        <f t="shared" si="93"/>
        <v xml:space="preserve"> </v>
      </c>
      <c r="AK346" s="21" t="str">
        <f t="shared" si="94"/>
        <v xml:space="preserve"> </v>
      </c>
      <c r="AM346" s="20">
        <f t="shared" si="95"/>
        <v>335</v>
      </c>
      <c r="AN346" s="5">
        <f t="shared" si="96"/>
        <v>0</v>
      </c>
      <c r="AO346" s="5">
        <f t="shared" si="97"/>
        <v>0</v>
      </c>
      <c r="AP346" s="5">
        <f t="shared" si="98"/>
        <v>0</v>
      </c>
      <c r="AQ346" s="5">
        <f>IF(CreditAmort4BEST[[#This Row],[Month]]=AS$8,AO$7,0)</f>
        <v>0</v>
      </c>
      <c r="AR346" s="13">
        <f t="shared" si="99"/>
        <v>0</v>
      </c>
      <c r="AS346" s="6" t="str">
        <f t="shared" si="100"/>
        <v xml:space="preserve"> </v>
      </c>
      <c r="AT346" s="21" t="str">
        <f t="shared" si="101"/>
        <v xml:space="preserve"> </v>
      </c>
    </row>
    <row r="347" spans="3:46">
      <c r="C347" s="22">
        <f t="shared" si="86"/>
        <v>336</v>
      </c>
      <c r="D347" s="23">
        <f>IF(AND(C347&gt;='Amort. Sched.-BEST'!$I$8, C347&lt;= ($I$7+$I$8)), PMT('Amort. Sched.-BEST'!$E$8/12, 'Amort. Sched.-BEST'!$I$7, 'Amort. Sched.-BEST'!$E$7), 0)</f>
        <v>0</v>
      </c>
      <c r="E347" s="5">
        <f>IF(AND(C347&gt;='Amort. Sched.-BEST'!$I$8, C347&lt;= ($I$7+$I$8)), (IPMT($E$8/12, (C347-$I$8), $I$7, $E$7)), 0)</f>
        <v>0</v>
      </c>
      <c r="F347" s="23">
        <f>IF(AND(C347&gt;='Amort. Sched.-BEST'!$I$8, C347&lt;= ($I$7+$I$8)), (PPMT($E$8/12, (C347-$I$8), $I$7, $E$7)), 0)</f>
        <v>0</v>
      </c>
      <c r="G347" s="5">
        <f>IF(MortgageAmortBEST[[#This Row],[Month]]=I$8,E$7,0)</f>
        <v>0</v>
      </c>
      <c r="H347" s="13">
        <f>IF(AND(C347&gt;='Amort. Sched.-BEST'!$I$8, C347&lt;= ($I$7+$I$8)), H346+F347, 0)</f>
        <v>0</v>
      </c>
      <c r="I347" s="24" t="str">
        <f>IF(AND(C347&gt;='Amort. Sched.-BEST'!$I$8, C347&lt;= ($I$7+$I$8)), E347/D347, " ")</f>
        <v xml:space="preserve"> </v>
      </c>
      <c r="J347" s="25" t="str">
        <f>IF(AND(C347&gt;='Amort. Sched.-BEST'!$I$8, C347&lt;= ($I$7+$I$8)), F347/D347, " ")</f>
        <v xml:space="preserve"> </v>
      </c>
      <c r="L347" s="20">
        <f t="shared" si="85"/>
        <v>336</v>
      </c>
      <c r="M347" s="5">
        <f>IF(AND(L347&gt;='Amort. Sched.-BEST'!$R$8, L347&lt;= ($R$7+$R$8)), PMT('Amort. Sched.-BEST'!$N$8/12, 'Amort. Sched.-BEST'!$R$7, 'Amort. Sched.-BEST'!$N$7), 0)</f>
        <v>0</v>
      </c>
      <c r="N347" s="5">
        <f>IF(AND(L347&gt;='Amort. Sched.-BEST'!$R$8, L347&lt;= ($R$7+$R$8)), (IPMT($N$8/12, (L347-$R$8), $R$7, $N$7)), 0)</f>
        <v>0</v>
      </c>
      <c r="O347" s="5">
        <f>IF(AND(L347&gt;='Amort. Sched.-BEST'!$R$8, L347&lt;= ($R$7+$R$8)), (PPMT($N$8/12, (L347-$R$8), $R$7, $N$7)), 0)</f>
        <v>0</v>
      </c>
      <c r="P347" s="5">
        <f>IF(CreditAmort1BEST[[#This Row],[Month]]=R$8,N$7,0)</f>
        <v>0</v>
      </c>
      <c r="Q347" s="13">
        <f>IF(AND(L347&gt;='Amort. Sched.-BEST'!$R$8, L347&lt;= ($R$7+$R$8)), Q346+O347, 0)</f>
        <v>0</v>
      </c>
      <c r="R347" s="6" t="str">
        <f>IF(AND(L347&gt;='Amort. Sched.-BEST'!$R$8, L347&lt;= ($R$7+$R$8)), N347/M347, " ")</f>
        <v xml:space="preserve"> </v>
      </c>
      <c r="S347" s="21" t="str">
        <f>IF(AND(L347&gt;='Amort. Sched.-BEST'!$R$8, L347&lt;= ($R$7+$R$8)), O347/M347, " ")</f>
        <v xml:space="preserve"> </v>
      </c>
      <c r="U347" s="22">
        <f t="shared" si="87"/>
        <v>336</v>
      </c>
      <c r="V347" s="23">
        <f>IF(AND(U347&gt;='Amort. Sched.-BEST'!$AA$8, U347&lt;= ($AA$7+$AA$8)), PMT('Amort. Sched.-BEST'!$W$8/12, 'Amort. Sched.-BEST'!$AA$7, 'Amort. Sched.-BEST'!$W$7), 0)</f>
        <v>0</v>
      </c>
      <c r="W347" s="5">
        <f>IF(AND(U347&gt;='Amort. Sched.-BEST'!$AA$8, U347&lt;= ($AA$7+$AA$8)), (IPMT($W$8/12, (U347-$AA$8), $AA$7, $W$7)), 0)</f>
        <v>0</v>
      </c>
      <c r="X347" s="23">
        <f>IF(AND(U347&gt;='Amort. Sched.-BEST'!$AA$8, U347&lt;= ($AA$7+$AA$8)), (PPMT($W$8/12, (U347-$AA$8), $AA$7, $W$7)), 0)</f>
        <v>0</v>
      </c>
      <c r="Y347" s="5">
        <f>IF(CreditAmort2BEST[[#This Row],[Month]]=AA$8,W$7,0)</f>
        <v>0</v>
      </c>
      <c r="Z347" s="13">
        <f>IF(AND(U347&gt;='Amort. Sched.-BEST'!$AA$8, U347&lt;= ($AA$7+$AA$8)), Z346+X347, 0)</f>
        <v>0</v>
      </c>
      <c r="AA347" s="24" t="str">
        <f>IF(AND(U347&gt;='Amort. Sched.-BEST'!$AA$8, U347&lt;= ($AA$7+$AA$8)), W347/V347, " ")</f>
        <v xml:space="preserve"> </v>
      </c>
      <c r="AB347" s="25" t="str">
        <f>IF(AND(U347&gt;='Amort. Sched.-BEST'!$AA$8, U347&lt;= ($AA$7+$AA$8)), X347/V347, " ")</f>
        <v xml:space="preserve"> </v>
      </c>
      <c r="AD347" s="22">
        <f t="shared" si="88"/>
        <v>336</v>
      </c>
      <c r="AE347" s="5">
        <f t="shared" si="89"/>
        <v>0</v>
      </c>
      <c r="AF347" s="5">
        <f t="shared" si="90"/>
        <v>0</v>
      </c>
      <c r="AG347" s="5">
        <f t="shared" si="91"/>
        <v>0</v>
      </c>
      <c r="AH347" s="5">
        <f>IF(CreditAmort3BEST[[#This Row],[Month]]=AJ$8,AF$7,0)</f>
        <v>0</v>
      </c>
      <c r="AI347" s="13">
        <f t="shared" si="92"/>
        <v>0</v>
      </c>
      <c r="AJ347" s="6" t="str">
        <f t="shared" si="93"/>
        <v xml:space="preserve"> </v>
      </c>
      <c r="AK347" s="21" t="str">
        <f t="shared" si="94"/>
        <v xml:space="preserve"> </v>
      </c>
      <c r="AM347" s="20">
        <f t="shared" si="95"/>
        <v>336</v>
      </c>
      <c r="AN347" s="5">
        <f t="shared" si="96"/>
        <v>0</v>
      </c>
      <c r="AO347" s="5">
        <f t="shared" si="97"/>
        <v>0</v>
      </c>
      <c r="AP347" s="5">
        <f t="shared" si="98"/>
        <v>0</v>
      </c>
      <c r="AQ347" s="5">
        <f>IF(CreditAmort4BEST[[#This Row],[Month]]=AS$8,AO$7,0)</f>
        <v>0</v>
      </c>
      <c r="AR347" s="13">
        <f t="shared" si="99"/>
        <v>0</v>
      </c>
      <c r="AS347" s="6" t="str">
        <f t="shared" si="100"/>
        <v xml:space="preserve"> </v>
      </c>
      <c r="AT347" s="21" t="str">
        <f t="shared" si="101"/>
        <v xml:space="preserve"> </v>
      </c>
    </row>
    <row r="348" spans="3:46">
      <c r="C348" s="22">
        <f t="shared" si="86"/>
        <v>337</v>
      </c>
      <c r="D348" s="23">
        <f>IF(AND(C348&gt;='Amort. Sched.-BEST'!$I$8, C348&lt;= ($I$7+$I$8)), PMT('Amort. Sched.-BEST'!$E$8/12, 'Amort. Sched.-BEST'!$I$7, 'Amort. Sched.-BEST'!$E$7), 0)</f>
        <v>0</v>
      </c>
      <c r="E348" s="5">
        <f>IF(AND(C348&gt;='Amort. Sched.-BEST'!$I$8, C348&lt;= ($I$7+$I$8)), (IPMT($E$8/12, (C348-$I$8), $I$7, $E$7)), 0)</f>
        <v>0</v>
      </c>
      <c r="F348" s="23">
        <f>IF(AND(C348&gt;='Amort. Sched.-BEST'!$I$8, C348&lt;= ($I$7+$I$8)), (PPMT($E$8/12, (C348-$I$8), $I$7, $E$7)), 0)</f>
        <v>0</v>
      </c>
      <c r="G348" s="5">
        <f>IF(MortgageAmortBEST[[#This Row],[Month]]=I$8,E$7,0)</f>
        <v>0</v>
      </c>
      <c r="H348" s="13">
        <f>IF(AND(C348&gt;='Amort. Sched.-BEST'!$I$8, C348&lt;= ($I$7+$I$8)), H347+F348, 0)</f>
        <v>0</v>
      </c>
      <c r="I348" s="24" t="str">
        <f>IF(AND(C348&gt;='Amort. Sched.-BEST'!$I$8, C348&lt;= ($I$7+$I$8)), E348/D348, " ")</f>
        <v xml:space="preserve"> </v>
      </c>
      <c r="J348" s="25" t="str">
        <f>IF(AND(C348&gt;='Amort. Sched.-BEST'!$I$8, C348&lt;= ($I$7+$I$8)), F348/D348, " ")</f>
        <v xml:space="preserve"> </v>
      </c>
      <c r="L348" s="20">
        <f t="shared" si="85"/>
        <v>337</v>
      </c>
      <c r="M348" s="5">
        <f>IF(AND(L348&gt;='Amort. Sched.-BEST'!$R$8, L348&lt;= ($R$7+$R$8)), PMT('Amort. Sched.-BEST'!$N$8/12, 'Amort. Sched.-BEST'!$R$7, 'Amort. Sched.-BEST'!$N$7), 0)</f>
        <v>0</v>
      </c>
      <c r="N348" s="5">
        <f>IF(AND(L348&gt;='Amort. Sched.-BEST'!$R$8, L348&lt;= ($R$7+$R$8)), (IPMT($N$8/12, (L348-$R$8), $R$7, $N$7)), 0)</f>
        <v>0</v>
      </c>
      <c r="O348" s="5">
        <f>IF(AND(L348&gt;='Amort. Sched.-BEST'!$R$8, L348&lt;= ($R$7+$R$8)), (PPMT($N$8/12, (L348-$R$8), $R$7, $N$7)), 0)</f>
        <v>0</v>
      </c>
      <c r="P348" s="5">
        <f>IF(CreditAmort1BEST[[#This Row],[Month]]=R$8,N$7,0)</f>
        <v>0</v>
      </c>
      <c r="Q348" s="13">
        <f>IF(AND(L348&gt;='Amort. Sched.-BEST'!$R$8, L348&lt;= ($R$7+$R$8)), Q347+O348, 0)</f>
        <v>0</v>
      </c>
      <c r="R348" s="6" t="str">
        <f>IF(AND(L348&gt;='Amort. Sched.-BEST'!$R$8, L348&lt;= ($R$7+$R$8)), N348/M348, " ")</f>
        <v xml:space="preserve"> </v>
      </c>
      <c r="S348" s="21" t="str">
        <f>IF(AND(L348&gt;='Amort. Sched.-BEST'!$R$8, L348&lt;= ($R$7+$R$8)), O348/M348, " ")</f>
        <v xml:space="preserve"> </v>
      </c>
      <c r="U348" s="22">
        <f t="shared" si="87"/>
        <v>337</v>
      </c>
      <c r="V348" s="23">
        <f>IF(AND(U348&gt;='Amort. Sched.-BEST'!$AA$8, U348&lt;= ($AA$7+$AA$8)), PMT('Amort. Sched.-BEST'!$W$8/12, 'Amort. Sched.-BEST'!$AA$7, 'Amort. Sched.-BEST'!$W$7), 0)</f>
        <v>0</v>
      </c>
      <c r="W348" s="5">
        <f>IF(AND(U348&gt;='Amort. Sched.-BEST'!$AA$8, U348&lt;= ($AA$7+$AA$8)), (IPMT($W$8/12, (U348-$AA$8), $AA$7, $W$7)), 0)</f>
        <v>0</v>
      </c>
      <c r="X348" s="23">
        <f>IF(AND(U348&gt;='Amort. Sched.-BEST'!$AA$8, U348&lt;= ($AA$7+$AA$8)), (PPMT($W$8/12, (U348-$AA$8), $AA$7, $W$7)), 0)</f>
        <v>0</v>
      </c>
      <c r="Y348" s="5">
        <f>IF(CreditAmort2BEST[[#This Row],[Month]]=AA$8,W$7,0)</f>
        <v>0</v>
      </c>
      <c r="Z348" s="13">
        <f>IF(AND(U348&gt;='Amort. Sched.-BEST'!$AA$8, U348&lt;= ($AA$7+$AA$8)), Z347+X348, 0)</f>
        <v>0</v>
      </c>
      <c r="AA348" s="24" t="str">
        <f>IF(AND(U348&gt;='Amort. Sched.-BEST'!$AA$8, U348&lt;= ($AA$7+$AA$8)), W348/V348, " ")</f>
        <v xml:space="preserve"> </v>
      </c>
      <c r="AB348" s="25" t="str">
        <f>IF(AND(U348&gt;='Amort. Sched.-BEST'!$AA$8, U348&lt;= ($AA$7+$AA$8)), X348/V348, " ")</f>
        <v xml:space="preserve"> </v>
      </c>
      <c r="AD348" s="22">
        <f t="shared" si="88"/>
        <v>337</v>
      </c>
      <c r="AE348" s="5">
        <f t="shared" si="89"/>
        <v>0</v>
      </c>
      <c r="AF348" s="5">
        <f t="shared" si="90"/>
        <v>0</v>
      </c>
      <c r="AG348" s="5">
        <f t="shared" si="91"/>
        <v>0</v>
      </c>
      <c r="AH348" s="5">
        <f>IF(CreditAmort3BEST[[#This Row],[Month]]=AJ$8,AF$7,0)</f>
        <v>0</v>
      </c>
      <c r="AI348" s="13">
        <f t="shared" si="92"/>
        <v>0</v>
      </c>
      <c r="AJ348" s="6" t="str">
        <f t="shared" si="93"/>
        <v xml:space="preserve"> </v>
      </c>
      <c r="AK348" s="21" t="str">
        <f t="shared" si="94"/>
        <v xml:space="preserve"> </v>
      </c>
      <c r="AM348" s="20">
        <f t="shared" si="95"/>
        <v>337</v>
      </c>
      <c r="AN348" s="5">
        <f t="shared" si="96"/>
        <v>0</v>
      </c>
      <c r="AO348" s="5">
        <f t="shared" si="97"/>
        <v>0</v>
      </c>
      <c r="AP348" s="5">
        <f t="shared" si="98"/>
        <v>0</v>
      </c>
      <c r="AQ348" s="5">
        <f>IF(CreditAmort4BEST[[#This Row],[Month]]=AS$8,AO$7,0)</f>
        <v>0</v>
      </c>
      <c r="AR348" s="13">
        <f t="shared" si="99"/>
        <v>0</v>
      </c>
      <c r="AS348" s="6" t="str">
        <f t="shared" si="100"/>
        <v xml:space="preserve"> </v>
      </c>
      <c r="AT348" s="21" t="str">
        <f t="shared" si="101"/>
        <v xml:space="preserve"> </v>
      </c>
    </row>
    <row r="349" spans="3:46">
      <c r="C349" s="22">
        <f t="shared" si="86"/>
        <v>338</v>
      </c>
      <c r="D349" s="23">
        <f>IF(AND(C349&gt;='Amort. Sched.-BEST'!$I$8, C349&lt;= ($I$7+$I$8)), PMT('Amort. Sched.-BEST'!$E$8/12, 'Amort. Sched.-BEST'!$I$7, 'Amort. Sched.-BEST'!$E$7), 0)</f>
        <v>0</v>
      </c>
      <c r="E349" s="5">
        <f>IF(AND(C349&gt;='Amort. Sched.-BEST'!$I$8, C349&lt;= ($I$7+$I$8)), (IPMT($E$8/12, (C349-$I$8), $I$7, $E$7)), 0)</f>
        <v>0</v>
      </c>
      <c r="F349" s="23">
        <f>IF(AND(C349&gt;='Amort. Sched.-BEST'!$I$8, C349&lt;= ($I$7+$I$8)), (PPMT($E$8/12, (C349-$I$8), $I$7, $E$7)), 0)</f>
        <v>0</v>
      </c>
      <c r="G349" s="5">
        <f>IF(MortgageAmortBEST[[#This Row],[Month]]=I$8,E$7,0)</f>
        <v>0</v>
      </c>
      <c r="H349" s="13">
        <f>IF(AND(C349&gt;='Amort. Sched.-BEST'!$I$8, C349&lt;= ($I$7+$I$8)), H348+F349, 0)</f>
        <v>0</v>
      </c>
      <c r="I349" s="24" t="str">
        <f>IF(AND(C349&gt;='Amort. Sched.-BEST'!$I$8, C349&lt;= ($I$7+$I$8)), E349/D349, " ")</f>
        <v xml:space="preserve"> </v>
      </c>
      <c r="J349" s="25" t="str">
        <f>IF(AND(C349&gt;='Amort. Sched.-BEST'!$I$8, C349&lt;= ($I$7+$I$8)), F349/D349, " ")</f>
        <v xml:space="preserve"> </v>
      </c>
      <c r="L349" s="20">
        <f t="shared" si="85"/>
        <v>338</v>
      </c>
      <c r="M349" s="5">
        <f>IF(AND(L349&gt;='Amort. Sched.-BEST'!$R$8, L349&lt;= ($R$7+$R$8)), PMT('Amort. Sched.-BEST'!$N$8/12, 'Amort. Sched.-BEST'!$R$7, 'Amort. Sched.-BEST'!$N$7), 0)</f>
        <v>0</v>
      </c>
      <c r="N349" s="5">
        <f>IF(AND(L349&gt;='Amort. Sched.-BEST'!$R$8, L349&lt;= ($R$7+$R$8)), (IPMT($N$8/12, (L349-$R$8), $R$7, $N$7)), 0)</f>
        <v>0</v>
      </c>
      <c r="O349" s="5">
        <f>IF(AND(L349&gt;='Amort. Sched.-BEST'!$R$8, L349&lt;= ($R$7+$R$8)), (PPMT($N$8/12, (L349-$R$8), $R$7, $N$7)), 0)</f>
        <v>0</v>
      </c>
      <c r="P349" s="5">
        <f>IF(CreditAmort1BEST[[#This Row],[Month]]=R$8,N$7,0)</f>
        <v>0</v>
      </c>
      <c r="Q349" s="13">
        <f>IF(AND(L349&gt;='Amort. Sched.-BEST'!$R$8, L349&lt;= ($R$7+$R$8)), Q348+O349, 0)</f>
        <v>0</v>
      </c>
      <c r="R349" s="6" t="str">
        <f>IF(AND(L349&gt;='Amort. Sched.-BEST'!$R$8, L349&lt;= ($R$7+$R$8)), N349/M349, " ")</f>
        <v xml:space="preserve"> </v>
      </c>
      <c r="S349" s="21" t="str">
        <f>IF(AND(L349&gt;='Amort. Sched.-BEST'!$R$8, L349&lt;= ($R$7+$R$8)), O349/M349, " ")</f>
        <v xml:space="preserve"> </v>
      </c>
      <c r="U349" s="22">
        <f t="shared" si="87"/>
        <v>338</v>
      </c>
      <c r="V349" s="23">
        <f>IF(AND(U349&gt;='Amort. Sched.-BEST'!$AA$8, U349&lt;= ($AA$7+$AA$8)), PMT('Amort. Sched.-BEST'!$W$8/12, 'Amort. Sched.-BEST'!$AA$7, 'Amort. Sched.-BEST'!$W$7), 0)</f>
        <v>0</v>
      </c>
      <c r="W349" s="5">
        <f>IF(AND(U349&gt;='Amort. Sched.-BEST'!$AA$8, U349&lt;= ($AA$7+$AA$8)), (IPMT($W$8/12, (U349-$AA$8), $AA$7, $W$7)), 0)</f>
        <v>0</v>
      </c>
      <c r="X349" s="23">
        <f>IF(AND(U349&gt;='Amort. Sched.-BEST'!$AA$8, U349&lt;= ($AA$7+$AA$8)), (PPMT($W$8/12, (U349-$AA$8), $AA$7, $W$7)), 0)</f>
        <v>0</v>
      </c>
      <c r="Y349" s="5">
        <f>IF(CreditAmort2BEST[[#This Row],[Month]]=AA$8,W$7,0)</f>
        <v>0</v>
      </c>
      <c r="Z349" s="13">
        <f>IF(AND(U349&gt;='Amort. Sched.-BEST'!$AA$8, U349&lt;= ($AA$7+$AA$8)), Z348+X349, 0)</f>
        <v>0</v>
      </c>
      <c r="AA349" s="24" t="str">
        <f>IF(AND(U349&gt;='Amort. Sched.-BEST'!$AA$8, U349&lt;= ($AA$7+$AA$8)), W349/V349, " ")</f>
        <v xml:space="preserve"> </v>
      </c>
      <c r="AB349" s="25" t="str">
        <f>IF(AND(U349&gt;='Amort. Sched.-BEST'!$AA$8, U349&lt;= ($AA$7+$AA$8)), X349/V349, " ")</f>
        <v xml:space="preserve"> </v>
      </c>
      <c r="AD349" s="22">
        <f t="shared" si="88"/>
        <v>338</v>
      </c>
      <c r="AE349" s="5">
        <f t="shared" si="89"/>
        <v>0</v>
      </c>
      <c r="AF349" s="5">
        <f t="shared" si="90"/>
        <v>0</v>
      </c>
      <c r="AG349" s="5">
        <f t="shared" si="91"/>
        <v>0</v>
      </c>
      <c r="AH349" s="5">
        <f>IF(CreditAmort3BEST[[#This Row],[Month]]=AJ$8,AF$7,0)</f>
        <v>0</v>
      </c>
      <c r="AI349" s="13">
        <f t="shared" si="92"/>
        <v>0</v>
      </c>
      <c r="AJ349" s="6" t="str">
        <f t="shared" si="93"/>
        <v xml:space="preserve"> </v>
      </c>
      <c r="AK349" s="21" t="str">
        <f t="shared" si="94"/>
        <v xml:space="preserve"> </v>
      </c>
      <c r="AM349" s="20">
        <f t="shared" si="95"/>
        <v>338</v>
      </c>
      <c r="AN349" s="5">
        <f t="shared" si="96"/>
        <v>0</v>
      </c>
      <c r="AO349" s="5">
        <f t="shared" si="97"/>
        <v>0</v>
      </c>
      <c r="AP349" s="5">
        <f t="shared" si="98"/>
        <v>0</v>
      </c>
      <c r="AQ349" s="5">
        <f>IF(CreditAmort4BEST[[#This Row],[Month]]=AS$8,AO$7,0)</f>
        <v>0</v>
      </c>
      <c r="AR349" s="13">
        <f t="shared" si="99"/>
        <v>0</v>
      </c>
      <c r="AS349" s="6" t="str">
        <f t="shared" si="100"/>
        <v xml:space="preserve"> </v>
      </c>
      <c r="AT349" s="21" t="str">
        <f t="shared" si="101"/>
        <v xml:space="preserve"> </v>
      </c>
    </row>
    <row r="350" spans="3:46">
      <c r="C350" s="22">
        <f t="shared" si="86"/>
        <v>339</v>
      </c>
      <c r="D350" s="23">
        <f>IF(AND(C350&gt;='Amort. Sched.-BEST'!$I$8, C350&lt;= ($I$7+$I$8)), PMT('Amort. Sched.-BEST'!$E$8/12, 'Amort. Sched.-BEST'!$I$7, 'Amort. Sched.-BEST'!$E$7), 0)</f>
        <v>0</v>
      </c>
      <c r="E350" s="5">
        <f>IF(AND(C350&gt;='Amort. Sched.-BEST'!$I$8, C350&lt;= ($I$7+$I$8)), (IPMT($E$8/12, (C350-$I$8), $I$7, $E$7)), 0)</f>
        <v>0</v>
      </c>
      <c r="F350" s="23">
        <f>IF(AND(C350&gt;='Amort. Sched.-BEST'!$I$8, C350&lt;= ($I$7+$I$8)), (PPMT($E$8/12, (C350-$I$8), $I$7, $E$7)), 0)</f>
        <v>0</v>
      </c>
      <c r="G350" s="5">
        <f>IF(MortgageAmortBEST[[#This Row],[Month]]=I$8,E$7,0)</f>
        <v>0</v>
      </c>
      <c r="H350" s="13">
        <f>IF(AND(C350&gt;='Amort. Sched.-BEST'!$I$8, C350&lt;= ($I$7+$I$8)), H349+F350, 0)</f>
        <v>0</v>
      </c>
      <c r="I350" s="24" t="str">
        <f>IF(AND(C350&gt;='Amort. Sched.-BEST'!$I$8, C350&lt;= ($I$7+$I$8)), E350/D350, " ")</f>
        <v xml:space="preserve"> </v>
      </c>
      <c r="J350" s="25" t="str">
        <f>IF(AND(C350&gt;='Amort. Sched.-BEST'!$I$8, C350&lt;= ($I$7+$I$8)), F350/D350, " ")</f>
        <v xml:space="preserve"> </v>
      </c>
      <c r="L350" s="20">
        <f t="shared" si="85"/>
        <v>339</v>
      </c>
      <c r="M350" s="5">
        <f>IF(AND(L350&gt;='Amort. Sched.-BEST'!$R$8, L350&lt;= ($R$7+$R$8)), PMT('Amort. Sched.-BEST'!$N$8/12, 'Amort. Sched.-BEST'!$R$7, 'Amort. Sched.-BEST'!$N$7), 0)</f>
        <v>0</v>
      </c>
      <c r="N350" s="5">
        <f>IF(AND(L350&gt;='Amort. Sched.-BEST'!$R$8, L350&lt;= ($R$7+$R$8)), (IPMT($N$8/12, (L350-$R$8), $R$7, $N$7)), 0)</f>
        <v>0</v>
      </c>
      <c r="O350" s="5">
        <f>IF(AND(L350&gt;='Amort. Sched.-BEST'!$R$8, L350&lt;= ($R$7+$R$8)), (PPMT($N$8/12, (L350-$R$8), $R$7, $N$7)), 0)</f>
        <v>0</v>
      </c>
      <c r="P350" s="5">
        <f>IF(CreditAmort1BEST[[#This Row],[Month]]=R$8,N$7,0)</f>
        <v>0</v>
      </c>
      <c r="Q350" s="13">
        <f>IF(AND(L350&gt;='Amort. Sched.-BEST'!$R$8, L350&lt;= ($R$7+$R$8)), Q349+O350, 0)</f>
        <v>0</v>
      </c>
      <c r="R350" s="6" t="str">
        <f>IF(AND(L350&gt;='Amort. Sched.-BEST'!$R$8, L350&lt;= ($R$7+$R$8)), N350/M350, " ")</f>
        <v xml:space="preserve"> </v>
      </c>
      <c r="S350" s="21" t="str">
        <f>IF(AND(L350&gt;='Amort. Sched.-BEST'!$R$8, L350&lt;= ($R$7+$R$8)), O350/M350, " ")</f>
        <v xml:space="preserve"> </v>
      </c>
      <c r="U350" s="22">
        <f t="shared" si="87"/>
        <v>339</v>
      </c>
      <c r="V350" s="23">
        <f>IF(AND(U350&gt;='Amort. Sched.-BEST'!$AA$8, U350&lt;= ($AA$7+$AA$8)), PMT('Amort. Sched.-BEST'!$W$8/12, 'Amort. Sched.-BEST'!$AA$7, 'Amort. Sched.-BEST'!$W$7), 0)</f>
        <v>0</v>
      </c>
      <c r="W350" s="5">
        <f>IF(AND(U350&gt;='Amort. Sched.-BEST'!$AA$8, U350&lt;= ($AA$7+$AA$8)), (IPMT($W$8/12, (U350-$AA$8), $AA$7, $W$7)), 0)</f>
        <v>0</v>
      </c>
      <c r="X350" s="23">
        <f>IF(AND(U350&gt;='Amort. Sched.-BEST'!$AA$8, U350&lt;= ($AA$7+$AA$8)), (PPMT($W$8/12, (U350-$AA$8), $AA$7, $W$7)), 0)</f>
        <v>0</v>
      </c>
      <c r="Y350" s="5">
        <f>IF(CreditAmort2BEST[[#This Row],[Month]]=AA$8,W$7,0)</f>
        <v>0</v>
      </c>
      <c r="Z350" s="13">
        <f>IF(AND(U350&gt;='Amort. Sched.-BEST'!$AA$8, U350&lt;= ($AA$7+$AA$8)), Z349+X350, 0)</f>
        <v>0</v>
      </c>
      <c r="AA350" s="24" t="str">
        <f>IF(AND(U350&gt;='Amort. Sched.-BEST'!$AA$8, U350&lt;= ($AA$7+$AA$8)), W350/V350, " ")</f>
        <v xml:space="preserve"> </v>
      </c>
      <c r="AB350" s="25" t="str">
        <f>IF(AND(U350&gt;='Amort. Sched.-BEST'!$AA$8, U350&lt;= ($AA$7+$AA$8)), X350/V350, " ")</f>
        <v xml:space="preserve"> </v>
      </c>
      <c r="AD350" s="22">
        <f t="shared" si="88"/>
        <v>339</v>
      </c>
      <c r="AE350" s="5">
        <f t="shared" si="89"/>
        <v>0</v>
      </c>
      <c r="AF350" s="5">
        <f t="shared" si="90"/>
        <v>0</v>
      </c>
      <c r="AG350" s="5">
        <f t="shared" si="91"/>
        <v>0</v>
      </c>
      <c r="AH350" s="5">
        <f>IF(CreditAmort3BEST[[#This Row],[Month]]=AJ$8,AF$7,0)</f>
        <v>0</v>
      </c>
      <c r="AI350" s="13">
        <f t="shared" si="92"/>
        <v>0</v>
      </c>
      <c r="AJ350" s="6" t="str">
        <f t="shared" si="93"/>
        <v xml:space="preserve"> </v>
      </c>
      <c r="AK350" s="21" t="str">
        <f t="shared" si="94"/>
        <v xml:space="preserve"> </v>
      </c>
      <c r="AM350" s="20">
        <f t="shared" si="95"/>
        <v>339</v>
      </c>
      <c r="AN350" s="5">
        <f t="shared" si="96"/>
        <v>0</v>
      </c>
      <c r="AO350" s="5">
        <f t="shared" si="97"/>
        <v>0</v>
      </c>
      <c r="AP350" s="5">
        <f t="shared" si="98"/>
        <v>0</v>
      </c>
      <c r="AQ350" s="5">
        <f>IF(CreditAmort4BEST[[#This Row],[Month]]=AS$8,AO$7,0)</f>
        <v>0</v>
      </c>
      <c r="AR350" s="13">
        <f t="shared" si="99"/>
        <v>0</v>
      </c>
      <c r="AS350" s="6" t="str">
        <f t="shared" si="100"/>
        <v xml:space="preserve"> </v>
      </c>
      <c r="AT350" s="21" t="str">
        <f t="shared" si="101"/>
        <v xml:space="preserve"> </v>
      </c>
    </row>
    <row r="351" spans="3:46">
      <c r="C351" s="22">
        <f t="shared" si="86"/>
        <v>340</v>
      </c>
      <c r="D351" s="23">
        <f>IF(AND(C351&gt;='Amort. Sched.-BEST'!$I$8, C351&lt;= ($I$7+$I$8)), PMT('Amort. Sched.-BEST'!$E$8/12, 'Amort. Sched.-BEST'!$I$7, 'Amort. Sched.-BEST'!$E$7), 0)</f>
        <v>0</v>
      </c>
      <c r="E351" s="5">
        <f>IF(AND(C351&gt;='Amort. Sched.-BEST'!$I$8, C351&lt;= ($I$7+$I$8)), (IPMT($E$8/12, (C351-$I$8), $I$7, $E$7)), 0)</f>
        <v>0</v>
      </c>
      <c r="F351" s="23">
        <f>IF(AND(C351&gt;='Amort. Sched.-BEST'!$I$8, C351&lt;= ($I$7+$I$8)), (PPMT($E$8/12, (C351-$I$8), $I$7, $E$7)), 0)</f>
        <v>0</v>
      </c>
      <c r="G351" s="5">
        <f>IF(MortgageAmortBEST[[#This Row],[Month]]=I$8,E$7,0)</f>
        <v>0</v>
      </c>
      <c r="H351" s="13">
        <f>IF(AND(C351&gt;='Amort. Sched.-BEST'!$I$8, C351&lt;= ($I$7+$I$8)), H350+F351, 0)</f>
        <v>0</v>
      </c>
      <c r="I351" s="24" t="str">
        <f>IF(AND(C351&gt;='Amort. Sched.-BEST'!$I$8, C351&lt;= ($I$7+$I$8)), E351/D351, " ")</f>
        <v xml:space="preserve"> </v>
      </c>
      <c r="J351" s="25" t="str">
        <f>IF(AND(C351&gt;='Amort. Sched.-BEST'!$I$8, C351&lt;= ($I$7+$I$8)), F351/D351, " ")</f>
        <v xml:space="preserve"> </v>
      </c>
      <c r="L351" s="20">
        <f t="shared" si="85"/>
        <v>340</v>
      </c>
      <c r="M351" s="5">
        <f>IF(AND(L351&gt;='Amort. Sched.-BEST'!$R$8, L351&lt;= ($R$7+$R$8)), PMT('Amort. Sched.-BEST'!$N$8/12, 'Amort. Sched.-BEST'!$R$7, 'Amort. Sched.-BEST'!$N$7), 0)</f>
        <v>0</v>
      </c>
      <c r="N351" s="5">
        <f>IF(AND(L351&gt;='Amort. Sched.-BEST'!$R$8, L351&lt;= ($R$7+$R$8)), (IPMT($N$8/12, (L351-$R$8), $R$7, $N$7)), 0)</f>
        <v>0</v>
      </c>
      <c r="O351" s="5">
        <f>IF(AND(L351&gt;='Amort. Sched.-BEST'!$R$8, L351&lt;= ($R$7+$R$8)), (PPMT($N$8/12, (L351-$R$8), $R$7, $N$7)), 0)</f>
        <v>0</v>
      </c>
      <c r="P351" s="5">
        <f>IF(CreditAmort1BEST[[#This Row],[Month]]=R$8,N$7,0)</f>
        <v>0</v>
      </c>
      <c r="Q351" s="13">
        <f>IF(AND(L351&gt;='Amort. Sched.-BEST'!$R$8, L351&lt;= ($R$7+$R$8)), Q350+O351, 0)</f>
        <v>0</v>
      </c>
      <c r="R351" s="6" t="str">
        <f>IF(AND(L351&gt;='Amort. Sched.-BEST'!$R$8, L351&lt;= ($R$7+$R$8)), N351/M351, " ")</f>
        <v xml:space="preserve"> </v>
      </c>
      <c r="S351" s="21" t="str">
        <f>IF(AND(L351&gt;='Amort. Sched.-BEST'!$R$8, L351&lt;= ($R$7+$R$8)), O351/M351, " ")</f>
        <v xml:space="preserve"> </v>
      </c>
      <c r="U351" s="22">
        <f t="shared" si="87"/>
        <v>340</v>
      </c>
      <c r="V351" s="23">
        <f>IF(AND(U351&gt;='Amort. Sched.-BEST'!$AA$8, U351&lt;= ($AA$7+$AA$8)), PMT('Amort. Sched.-BEST'!$W$8/12, 'Amort. Sched.-BEST'!$AA$7, 'Amort. Sched.-BEST'!$W$7), 0)</f>
        <v>0</v>
      </c>
      <c r="W351" s="5">
        <f>IF(AND(U351&gt;='Amort. Sched.-BEST'!$AA$8, U351&lt;= ($AA$7+$AA$8)), (IPMT($W$8/12, (U351-$AA$8), $AA$7, $W$7)), 0)</f>
        <v>0</v>
      </c>
      <c r="X351" s="23">
        <f>IF(AND(U351&gt;='Amort. Sched.-BEST'!$AA$8, U351&lt;= ($AA$7+$AA$8)), (PPMT($W$8/12, (U351-$AA$8), $AA$7, $W$7)), 0)</f>
        <v>0</v>
      </c>
      <c r="Y351" s="5">
        <f>IF(CreditAmort2BEST[[#This Row],[Month]]=AA$8,W$7,0)</f>
        <v>0</v>
      </c>
      <c r="Z351" s="13">
        <f>IF(AND(U351&gt;='Amort. Sched.-BEST'!$AA$8, U351&lt;= ($AA$7+$AA$8)), Z350+X351, 0)</f>
        <v>0</v>
      </c>
      <c r="AA351" s="24" t="str">
        <f>IF(AND(U351&gt;='Amort. Sched.-BEST'!$AA$8, U351&lt;= ($AA$7+$AA$8)), W351/V351, " ")</f>
        <v xml:space="preserve"> </v>
      </c>
      <c r="AB351" s="25" t="str">
        <f>IF(AND(U351&gt;='Amort. Sched.-BEST'!$AA$8, U351&lt;= ($AA$7+$AA$8)), X351/V351, " ")</f>
        <v xml:space="preserve"> </v>
      </c>
      <c r="AD351" s="22">
        <f t="shared" si="88"/>
        <v>340</v>
      </c>
      <c r="AE351" s="5">
        <f t="shared" si="89"/>
        <v>0</v>
      </c>
      <c r="AF351" s="5">
        <f t="shared" si="90"/>
        <v>0</v>
      </c>
      <c r="AG351" s="5">
        <f t="shared" si="91"/>
        <v>0</v>
      </c>
      <c r="AH351" s="5">
        <f>IF(CreditAmort3BEST[[#This Row],[Month]]=AJ$8,AF$7,0)</f>
        <v>0</v>
      </c>
      <c r="AI351" s="13">
        <f t="shared" si="92"/>
        <v>0</v>
      </c>
      <c r="AJ351" s="6" t="str">
        <f t="shared" si="93"/>
        <v xml:space="preserve"> </v>
      </c>
      <c r="AK351" s="21" t="str">
        <f t="shared" si="94"/>
        <v xml:space="preserve"> </v>
      </c>
      <c r="AM351" s="20">
        <f t="shared" si="95"/>
        <v>340</v>
      </c>
      <c r="AN351" s="5">
        <f t="shared" si="96"/>
        <v>0</v>
      </c>
      <c r="AO351" s="5">
        <f t="shared" si="97"/>
        <v>0</v>
      </c>
      <c r="AP351" s="5">
        <f t="shared" si="98"/>
        <v>0</v>
      </c>
      <c r="AQ351" s="5">
        <f>IF(CreditAmort4BEST[[#This Row],[Month]]=AS$8,AO$7,0)</f>
        <v>0</v>
      </c>
      <c r="AR351" s="13">
        <f t="shared" si="99"/>
        <v>0</v>
      </c>
      <c r="AS351" s="6" t="str">
        <f t="shared" si="100"/>
        <v xml:space="preserve"> </v>
      </c>
      <c r="AT351" s="21" t="str">
        <f t="shared" si="101"/>
        <v xml:space="preserve"> </v>
      </c>
    </row>
    <row r="352" spans="3:46">
      <c r="C352" s="22">
        <f t="shared" si="86"/>
        <v>341</v>
      </c>
      <c r="D352" s="23">
        <f>IF(AND(C352&gt;='Amort. Sched.-BEST'!$I$8, C352&lt;= ($I$7+$I$8)), PMT('Amort. Sched.-BEST'!$E$8/12, 'Amort. Sched.-BEST'!$I$7, 'Amort. Sched.-BEST'!$E$7), 0)</f>
        <v>0</v>
      </c>
      <c r="E352" s="5">
        <f>IF(AND(C352&gt;='Amort. Sched.-BEST'!$I$8, C352&lt;= ($I$7+$I$8)), (IPMT($E$8/12, (C352-$I$8), $I$7, $E$7)), 0)</f>
        <v>0</v>
      </c>
      <c r="F352" s="23">
        <f>IF(AND(C352&gt;='Amort. Sched.-BEST'!$I$8, C352&lt;= ($I$7+$I$8)), (PPMT($E$8/12, (C352-$I$8), $I$7, $E$7)), 0)</f>
        <v>0</v>
      </c>
      <c r="G352" s="5">
        <f>IF(MortgageAmortBEST[[#This Row],[Month]]=I$8,E$7,0)</f>
        <v>0</v>
      </c>
      <c r="H352" s="13">
        <f>IF(AND(C352&gt;='Amort. Sched.-BEST'!$I$8, C352&lt;= ($I$7+$I$8)), H351+F352, 0)</f>
        <v>0</v>
      </c>
      <c r="I352" s="24" t="str">
        <f>IF(AND(C352&gt;='Amort. Sched.-BEST'!$I$8, C352&lt;= ($I$7+$I$8)), E352/D352, " ")</f>
        <v xml:space="preserve"> </v>
      </c>
      <c r="J352" s="25" t="str">
        <f>IF(AND(C352&gt;='Amort. Sched.-BEST'!$I$8, C352&lt;= ($I$7+$I$8)), F352/D352, " ")</f>
        <v xml:space="preserve"> </v>
      </c>
      <c r="L352" s="20">
        <f t="shared" si="85"/>
        <v>341</v>
      </c>
      <c r="M352" s="5">
        <f>IF(AND(L352&gt;='Amort. Sched.-BEST'!$R$8, L352&lt;= ($R$7+$R$8)), PMT('Amort. Sched.-BEST'!$N$8/12, 'Amort. Sched.-BEST'!$R$7, 'Amort. Sched.-BEST'!$N$7), 0)</f>
        <v>0</v>
      </c>
      <c r="N352" s="5">
        <f>IF(AND(L352&gt;='Amort. Sched.-BEST'!$R$8, L352&lt;= ($R$7+$R$8)), (IPMT($N$8/12, (L352-$R$8), $R$7, $N$7)), 0)</f>
        <v>0</v>
      </c>
      <c r="O352" s="5">
        <f>IF(AND(L352&gt;='Amort. Sched.-BEST'!$R$8, L352&lt;= ($R$7+$R$8)), (PPMT($N$8/12, (L352-$R$8), $R$7, $N$7)), 0)</f>
        <v>0</v>
      </c>
      <c r="P352" s="5">
        <f>IF(CreditAmort1BEST[[#This Row],[Month]]=R$8,N$7,0)</f>
        <v>0</v>
      </c>
      <c r="Q352" s="13">
        <f>IF(AND(L352&gt;='Amort. Sched.-BEST'!$R$8, L352&lt;= ($R$7+$R$8)), Q351+O352, 0)</f>
        <v>0</v>
      </c>
      <c r="R352" s="6" t="str">
        <f>IF(AND(L352&gt;='Amort. Sched.-BEST'!$R$8, L352&lt;= ($R$7+$R$8)), N352/M352, " ")</f>
        <v xml:space="preserve"> </v>
      </c>
      <c r="S352" s="21" t="str">
        <f>IF(AND(L352&gt;='Amort. Sched.-BEST'!$R$8, L352&lt;= ($R$7+$R$8)), O352/M352, " ")</f>
        <v xml:space="preserve"> </v>
      </c>
      <c r="U352" s="22">
        <f t="shared" si="87"/>
        <v>341</v>
      </c>
      <c r="V352" s="23">
        <f>IF(AND(U352&gt;='Amort. Sched.-BEST'!$AA$8, U352&lt;= ($AA$7+$AA$8)), PMT('Amort. Sched.-BEST'!$W$8/12, 'Amort. Sched.-BEST'!$AA$7, 'Amort. Sched.-BEST'!$W$7), 0)</f>
        <v>0</v>
      </c>
      <c r="W352" s="5">
        <f>IF(AND(U352&gt;='Amort. Sched.-BEST'!$AA$8, U352&lt;= ($AA$7+$AA$8)), (IPMT($W$8/12, (U352-$AA$8), $AA$7, $W$7)), 0)</f>
        <v>0</v>
      </c>
      <c r="X352" s="23">
        <f>IF(AND(U352&gt;='Amort. Sched.-BEST'!$AA$8, U352&lt;= ($AA$7+$AA$8)), (PPMT($W$8/12, (U352-$AA$8), $AA$7, $W$7)), 0)</f>
        <v>0</v>
      </c>
      <c r="Y352" s="5">
        <f>IF(CreditAmort2BEST[[#This Row],[Month]]=AA$8,W$7,0)</f>
        <v>0</v>
      </c>
      <c r="Z352" s="13">
        <f>IF(AND(U352&gt;='Amort. Sched.-BEST'!$AA$8, U352&lt;= ($AA$7+$AA$8)), Z351+X352, 0)</f>
        <v>0</v>
      </c>
      <c r="AA352" s="24" t="str">
        <f>IF(AND(U352&gt;='Amort. Sched.-BEST'!$AA$8, U352&lt;= ($AA$7+$AA$8)), W352/V352, " ")</f>
        <v xml:space="preserve"> </v>
      </c>
      <c r="AB352" s="25" t="str">
        <f>IF(AND(U352&gt;='Amort. Sched.-BEST'!$AA$8, U352&lt;= ($AA$7+$AA$8)), X352/V352, " ")</f>
        <v xml:space="preserve"> </v>
      </c>
      <c r="AD352" s="22">
        <f t="shared" si="88"/>
        <v>341</v>
      </c>
      <c r="AE352" s="5">
        <f t="shared" si="89"/>
        <v>0</v>
      </c>
      <c r="AF352" s="5">
        <f t="shared" si="90"/>
        <v>0</v>
      </c>
      <c r="AG352" s="5">
        <f t="shared" si="91"/>
        <v>0</v>
      </c>
      <c r="AH352" s="5">
        <f>IF(CreditAmort3BEST[[#This Row],[Month]]=AJ$8,AF$7,0)</f>
        <v>0</v>
      </c>
      <c r="AI352" s="13">
        <f t="shared" si="92"/>
        <v>0</v>
      </c>
      <c r="AJ352" s="6" t="str">
        <f t="shared" si="93"/>
        <v xml:space="preserve"> </v>
      </c>
      <c r="AK352" s="21" t="str">
        <f t="shared" si="94"/>
        <v xml:space="preserve"> </v>
      </c>
      <c r="AM352" s="20">
        <f t="shared" si="95"/>
        <v>341</v>
      </c>
      <c r="AN352" s="5">
        <f t="shared" si="96"/>
        <v>0</v>
      </c>
      <c r="AO352" s="5">
        <f t="shared" si="97"/>
        <v>0</v>
      </c>
      <c r="AP352" s="5">
        <f t="shared" si="98"/>
        <v>0</v>
      </c>
      <c r="AQ352" s="5">
        <f>IF(CreditAmort4BEST[[#This Row],[Month]]=AS$8,AO$7,0)</f>
        <v>0</v>
      </c>
      <c r="AR352" s="13">
        <f t="shared" si="99"/>
        <v>0</v>
      </c>
      <c r="AS352" s="6" t="str">
        <f t="shared" si="100"/>
        <v xml:space="preserve"> </v>
      </c>
      <c r="AT352" s="21" t="str">
        <f t="shared" si="101"/>
        <v xml:space="preserve"> </v>
      </c>
    </row>
    <row r="353" spans="3:46">
      <c r="C353" s="22">
        <f t="shared" si="86"/>
        <v>342</v>
      </c>
      <c r="D353" s="23">
        <f>IF(AND(C353&gt;='Amort. Sched.-BEST'!$I$8, C353&lt;= ($I$7+$I$8)), PMT('Amort. Sched.-BEST'!$E$8/12, 'Amort. Sched.-BEST'!$I$7, 'Amort. Sched.-BEST'!$E$7), 0)</f>
        <v>0</v>
      </c>
      <c r="E353" s="5">
        <f>IF(AND(C353&gt;='Amort. Sched.-BEST'!$I$8, C353&lt;= ($I$7+$I$8)), (IPMT($E$8/12, (C353-$I$8), $I$7, $E$7)), 0)</f>
        <v>0</v>
      </c>
      <c r="F353" s="23">
        <f>IF(AND(C353&gt;='Amort. Sched.-BEST'!$I$8, C353&lt;= ($I$7+$I$8)), (PPMT($E$8/12, (C353-$I$8), $I$7, $E$7)), 0)</f>
        <v>0</v>
      </c>
      <c r="G353" s="5">
        <f>IF(MortgageAmortBEST[[#This Row],[Month]]=I$8,E$7,0)</f>
        <v>0</v>
      </c>
      <c r="H353" s="13">
        <f>IF(AND(C353&gt;='Amort. Sched.-BEST'!$I$8, C353&lt;= ($I$7+$I$8)), H352+F353, 0)</f>
        <v>0</v>
      </c>
      <c r="I353" s="24" t="str">
        <f>IF(AND(C353&gt;='Amort. Sched.-BEST'!$I$8, C353&lt;= ($I$7+$I$8)), E353/D353, " ")</f>
        <v xml:space="preserve"> </v>
      </c>
      <c r="J353" s="25" t="str">
        <f>IF(AND(C353&gt;='Amort. Sched.-BEST'!$I$8, C353&lt;= ($I$7+$I$8)), F353/D353, " ")</f>
        <v xml:space="preserve"> </v>
      </c>
      <c r="L353" s="20">
        <f t="shared" si="85"/>
        <v>342</v>
      </c>
      <c r="M353" s="5">
        <f>IF(AND(L353&gt;='Amort. Sched.-BEST'!$R$8, L353&lt;= ($R$7+$R$8)), PMT('Amort. Sched.-BEST'!$N$8/12, 'Amort. Sched.-BEST'!$R$7, 'Amort. Sched.-BEST'!$N$7), 0)</f>
        <v>0</v>
      </c>
      <c r="N353" s="5">
        <f>IF(AND(L353&gt;='Amort. Sched.-BEST'!$R$8, L353&lt;= ($R$7+$R$8)), (IPMT($N$8/12, (L353-$R$8), $R$7, $N$7)), 0)</f>
        <v>0</v>
      </c>
      <c r="O353" s="5">
        <f>IF(AND(L353&gt;='Amort. Sched.-BEST'!$R$8, L353&lt;= ($R$7+$R$8)), (PPMT($N$8/12, (L353-$R$8), $R$7, $N$7)), 0)</f>
        <v>0</v>
      </c>
      <c r="P353" s="5">
        <f>IF(CreditAmort1BEST[[#This Row],[Month]]=R$8,N$7,0)</f>
        <v>0</v>
      </c>
      <c r="Q353" s="13">
        <f>IF(AND(L353&gt;='Amort. Sched.-BEST'!$R$8, L353&lt;= ($R$7+$R$8)), Q352+O353, 0)</f>
        <v>0</v>
      </c>
      <c r="R353" s="6" t="str">
        <f>IF(AND(L353&gt;='Amort. Sched.-BEST'!$R$8, L353&lt;= ($R$7+$R$8)), N353/M353, " ")</f>
        <v xml:space="preserve"> </v>
      </c>
      <c r="S353" s="21" t="str">
        <f>IF(AND(L353&gt;='Amort. Sched.-BEST'!$R$8, L353&lt;= ($R$7+$R$8)), O353/M353, " ")</f>
        <v xml:space="preserve"> </v>
      </c>
      <c r="U353" s="22">
        <f t="shared" si="87"/>
        <v>342</v>
      </c>
      <c r="V353" s="23">
        <f>IF(AND(U353&gt;='Amort. Sched.-BEST'!$AA$8, U353&lt;= ($AA$7+$AA$8)), PMT('Amort. Sched.-BEST'!$W$8/12, 'Amort. Sched.-BEST'!$AA$7, 'Amort. Sched.-BEST'!$W$7), 0)</f>
        <v>0</v>
      </c>
      <c r="W353" s="5">
        <f>IF(AND(U353&gt;='Amort. Sched.-BEST'!$AA$8, U353&lt;= ($AA$7+$AA$8)), (IPMT($W$8/12, (U353-$AA$8), $AA$7, $W$7)), 0)</f>
        <v>0</v>
      </c>
      <c r="X353" s="23">
        <f>IF(AND(U353&gt;='Amort. Sched.-BEST'!$AA$8, U353&lt;= ($AA$7+$AA$8)), (PPMT($W$8/12, (U353-$AA$8), $AA$7, $W$7)), 0)</f>
        <v>0</v>
      </c>
      <c r="Y353" s="5">
        <f>IF(CreditAmort2BEST[[#This Row],[Month]]=AA$8,W$7,0)</f>
        <v>0</v>
      </c>
      <c r="Z353" s="13">
        <f>IF(AND(U353&gt;='Amort. Sched.-BEST'!$AA$8, U353&lt;= ($AA$7+$AA$8)), Z352+X353, 0)</f>
        <v>0</v>
      </c>
      <c r="AA353" s="24" t="str">
        <f>IF(AND(U353&gt;='Amort. Sched.-BEST'!$AA$8, U353&lt;= ($AA$7+$AA$8)), W353/V353, " ")</f>
        <v xml:space="preserve"> </v>
      </c>
      <c r="AB353" s="25" t="str">
        <f>IF(AND(U353&gt;='Amort. Sched.-BEST'!$AA$8, U353&lt;= ($AA$7+$AA$8)), X353/V353, " ")</f>
        <v xml:space="preserve"> </v>
      </c>
      <c r="AD353" s="22">
        <f t="shared" si="88"/>
        <v>342</v>
      </c>
      <c r="AE353" s="5">
        <f t="shared" si="89"/>
        <v>0</v>
      </c>
      <c r="AF353" s="5">
        <f t="shared" si="90"/>
        <v>0</v>
      </c>
      <c r="AG353" s="5">
        <f t="shared" si="91"/>
        <v>0</v>
      </c>
      <c r="AH353" s="5">
        <f>IF(CreditAmort3BEST[[#This Row],[Month]]=AJ$8,AF$7,0)</f>
        <v>0</v>
      </c>
      <c r="AI353" s="13">
        <f t="shared" si="92"/>
        <v>0</v>
      </c>
      <c r="AJ353" s="6" t="str">
        <f t="shared" si="93"/>
        <v xml:space="preserve"> </v>
      </c>
      <c r="AK353" s="21" t="str">
        <f t="shared" si="94"/>
        <v xml:space="preserve"> </v>
      </c>
      <c r="AM353" s="20">
        <f t="shared" si="95"/>
        <v>342</v>
      </c>
      <c r="AN353" s="5">
        <f t="shared" si="96"/>
        <v>0</v>
      </c>
      <c r="AO353" s="5">
        <f t="shared" si="97"/>
        <v>0</v>
      </c>
      <c r="AP353" s="5">
        <f t="shared" si="98"/>
        <v>0</v>
      </c>
      <c r="AQ353" s="5">
        <f>IF(CreditAmort4BEST[[#This Row],[Month]]=AS$8,AO$7,0)</f>
        <v>0</v>
      </c>
      <c r="AR353" s="13">
        <f t="shared" si="99"/>
        <v>0</v>
      </c>
      <c r="AS353" s="6" t="str">
        <f t="shared" si="100"/>
        <v xml:space="preserve"> </v>
      </c>
      <c r="AT353" s="21" t="str">
        <f t="shared" si="101"/>
        <v xml:space="preserve"> </v>
      </c>
    </row>
    <row r="354" spans="3:46">
      <c r="C354" s="22">
        <f t="shared" si="86"/>
        <v>343</v>
      </c>
      <c r="D354" s="23">
        <f>IF(AND(C354&gt;='Amort. Sched.-BEST'!$I$8, C354&lt;= ($I$7+$I$8)), PMT('Amort. Sched.-BEST'!$E$8/12, 'Amort. Sched.-BEST'!$I$7, 'Amort. Sched.-BEST'!$E$7), 0)</f>
        <v>0</v>
      </c>
      <c r="E354" s="5">
        <f>IF(AND(C354&gt;='Amort. Sched.-BEST'!$I$8, C354&lt;= ($I$7+$I$8)), (IPMT($E$8/12, (C354-$I$8), $I$7, $E$7)), 0)</f>
        <v>0</v>
      </c>
      <c r="F354" s="23">
        <f>IF(AND(C354&gt;='Amort. Sched.-BEST'!$I$8, C354&lt;= ($I$7+$I$8)), (PPMT($E$8/12, (C354-$I$8), $I$7, $E$7)), 0)</f>
        <v>0</v>
      </c>
      <c r="G354" s="5">
        <f>IF(MortgageAmortBEST[[#This Row],[Month]]=I$8,E$7,0)</f>
        <v>0</v>
      </c>
      <c r="H354" s="13">
        <f>IF(AND(C354&gt;='Amort. Sched.-BEST'!$I$8, C354&lt;= ($I$7+$I$8)), H353+F354, 0)</f>
        <v>0</v>
      </c>
      <c r="I354" s="24" t="str">
        <f>IF(AND(C354&gt;='Amort. Sched.-BEST'!$I$8, C354&lt;= ($I$7+$I$8)), E354/D354, " ")</f>
        <v xml:space="preserve"> </v>
      </c>
      <c r="J354" s="25" t="str">
        <f>IF(AND(C354&gt;='Amort. Sched.-BEST'!$I$8, C354&lt;= ($I$7+$I$8)), F354/D354, " ")</f>
        <v xml:space="preserve"> </v>
      </c>
      <c r="L354" s="20">
        <f t="shared" si="85"/>
        <v>343</v>
      </c>
      <c r="M354" s="5">
        <f>IF(AND(L354&gt;='Amort. Sched.-BEST'!$R$8, L354&lt;= ($R$7+$R$8)), PMT('Amort. Sched.-BEST'!$N$8/12, 'Amort. Sched.-BEST'!$R$7, 'Amort. Sched.-BEST'!$N$7), 0)</f>
        <v>0</v>
      </c>
      <c r="N354" s="5">
        <f>IF(AND(L354&gt;='Amort. Sched.-BEST'!$R$8, L354&lt;= ($R$7+$R$8)), (IPMT($N$8/12, (L354-$R$8), $R$7, $N$7)), 0)</f>
        <v>0</v>
      </c>
      <c r="O354" s="5">
        <f>IF(AND(L354&gt;='Amort. Sched.-BEST'!$R$8, L354&lt;= ($R$7+$R$8)), (PPMT($N$8/12, (L354-$R$8), $R$7, $N$7)), 0)</f>
        <v>0</v>
      </c>
      <c r="P354" s="5">
        <f>IF(CreditAmort1BEST[[#This Row],[Month]]=R$8,N$7,0)</f>
        <v>0</v>
      </c>
      <c r="Q354" s="13">
        <f>IF(AND(L354&gt;='Amort. Sched.-BEST'!$R$8, L354&lt;= ($R$7+$R$8)), Q353+O354, 0)</f>
        <v>0</v>
      </c>
      <c r="R354" s="6" t="str">
        <f>IF(AND(L354&gt;='Amort. Sched.-BEST'!$R$8, L354&lt;= ($R$7+$R$8)), N354/M354, " ")</f>
        <v xml:space="preserve"> </v>
      </c>
      <c r="S354" s="21" t="str">
        <f>IF(AND(L354&gt;='Amort. Sched.-BEST'!$R$8, L354&lt;= ($R$7+$R$8)), O354/M354, " ")</f>
        <v xml:space="preserve"> </v>
      </c>
      <c r="U354" s="22">
        <f t="shared" si="87"/>
        <v>343</v>
      </c>
      <c r="V354" s="23">
        <f>IF(AND(U354&gt;='Amort. Sched.-BEST'!$AA$8, U354&lt;= ($AA$7+$AA$8)), PMT('Amort. Sched.-BEST'!$W$8/12, 'Amort. Sched.-BEST'!$AA$7, 'Amort. Sched.-BEST'!$W$7), 0)</f>
        <v>0</v>
      </c>
      <c r="W354" s="5">
        <f>IF(AND(U354&gt;='Amort. Sched.-BEST'!$AA$8, U354&lt;= ($AA$7+$AA$8)), (IPMT($W$8/12, (U354-$AA$8), $AA$7, $W$7)), 0)</f>
        <v>0</v>
      </c>
      <c r="X354" s="23">
        <f>IF(AND(U354&gt;='Amort. Sched.-BEST'!$AA$8, U354&lt;= ($AA$7+$AA$8)), (PPMT($W$8/12, (U354-$AA$8), $AA$7, $W$7)), 0)</f>
        <v>0</v>
      </c>
      <c r="Y354" s="5">
        <f>IF(CreditAmort2BEST[[#This Row],[Month]]=AA$8,W$7,0)</f>
        <v>0</v>
      </c>
      <c r="Z354" s="13">
        <f>IF(AND(U354&gt;='Amort. Sched.-BEST'!$AA$8, U354&lt;= ($AA$7+$AA$8)), Z353+X354, 0)</f>
        <v>0</v>
      </c>
      <c r="AA354" s="24" t="str">
        <f>IF(AND(U354&gt;='Amort. Sched.-BEST'!$AA$8, U354&lt;= ($AA$7+$AA$8)), W354/V354, " ")</f>
        <v xml:space="preserve"> </v>
      </c>
      <c r="AB354" s="25" t="str">
        <f>IF(AND(U354&gt;='Amort. Sched.-BEST'!$AA$8, U354&lt;= ($AA$7+$AA$8)), X354/V354, " ")</f>
        <v xml:space="preserve"> </v>
      </c>
      <c r="AD354" s="22">
        <f t="shared" si="88"/>
        <v>343</v>
      </c>
      <c r="AE354" s="5">
        <f t="shared" si="89"/>
        <v>0</v>
      </c>
      <c r="AF354" s="5">
        <f t="shared" si="90"/>
        <v>0</v>
      </c>
      <c r="AG354" s="5">
        <f t="shared" si="91"/>
        <v>0</v>
      </c>
      <c r="AH354" s="5">
        <f>IF(CreditAmort3BEST[[#This Row],[Month]]=AJ$8,AF$7,0)</f>
        <v>0</v>
      </c>
      <c r="AI354" s="13">
        <f t="shared" si="92"/>
        <v>0</v>
      </c>
      <c r="AJ354" s="6" t="str">
        <f t="shared" si="93"/>
        <v xml:space="preserve"> </v>
      </c>
      <c r="AK354" s="21" t="str">
        <f t="shared" si="94"/>
        <v xml:space="preserve"> </v>
      </c>
      <c r="AM354" s="20">
        <f t="shared" si="95"/>
        <v>343</v>
      </c>
      <c r="AN354" s="5">
        <f t="shared" si="96"/>
        <v>0</v>
      </c>
      <c r="AO354" s="5">
        <f t="shared" si="97"/>
        <v>0</v>
      </c>
      <c r="AP354" s="5">
        <f t="shared" si="98"/>
        <v>0</v>
      </c>
      <c r="AQ354" s="5">
        <f>IF(CreditAmort4BEST[[#This Row],[Month]]=AS$8,AO$7,0)</f>
        <v>0</v>
      </c>
      <c r="AR354" s="13">
        <f t="shared" si="99"/>
        <v>0</v>
      </c>
      <c r="AS354" s="6" t="str">
        <f t="shared" si="100"/>
        <v xml:space="preserve"> </v>
      </c>
      <c r="AT354" s="21" t="str">
        <f t="shared" si="101"/>
        <v xml:space="preserve"> </v>
      </c>
    </row>
    <row r="355" spans="3:46">
      <c r="C355" s="22">
        <f t="shared" si="86"/>
        <v>344</v>
      </c>
      <c r="D355" s="23">
        <f>IF(AND(C355&gt;='Amort. Sched.-BEST'!$I$8, C355&lt;= ($I$7+$I$8)), PMT('Amort. Sched.-BEST'!$E$8/12, 'Amort. Sched.-BEST'!$I$7, 'Amort. Sched.-BEST'!$E$7), 0)</f>
        <v>0</v>
      </c>
      <c r="E355" s="5">
        <f>IF(AND(C355&gt;='Amort. Sched.-BEST'!$I$8, C355&lt;= ($I$7+$I$8)), (IPMT($E$8/12, (C355-$I$8), $I$7, $E$7)), 0)</f>
        <v>0</v>
      </c>
      <c r="F355" s="23">
        <f>IF(AND(C355&gt;='Amort. Sched.-BEST'!$I$8, C355&lt;= ($I$7+$I$8)), (PPMT($E$8/12, (C355-$I$8), $I$7, $E$7)), 0)</f>
        <v>0</v>
      </c>
      <c r="G355" s="5">
        <f>IF(MortgageAmortBEST[[#This Row],[Month]]=I$8,E$7,0)</f>
        <v>0</v>
      </c>
      <c r="H355" s="13">
        <f>IF(AND(C355&gt;='Amort. Sched.-BEST'!$I$8, C355&lt;= ($I$7+$I$8)), H354+F355, 0)</f>
        <v>0</v>
      </c>
      <c r="I355" s="24" t="str">
        <f>IF(AND(C355&gt;='Amort. Sched.-BEST'!$I$8, C355&lt;= ($I$7+$I$8)), E355/D355, " ")</f>
        <v xml:space="preserve"> </v>
      </c>
      <c r="J355" s="25" t="str">
        <f>IF(AND(C355&gt;='Amort. Sched.-BEST'!$I$8, C355&lt;= ($I$7+$I$8)), F355/D355, " ")</f>
        <v xml:space="preserve"> </v>
      </c>
      <c r="L355" s="20">
        <f t="shared" si="85"/>
        <v>344</v>
      </c>
      <c r="M355" s="5">
        <f>IF(AND(L355&gt;='Amort. Sched.-BEST'!$R$8, L355&lt;= ($R$7+$R$8)), PMT('Amort. Sched.-BEST'!$N$8/12, 'Amort. Sched.-BEST'!$R$7, 'Amort. Sched.-BEST'!$N$7), 0)</f>
        <v>0</v>
      </c>
      <c r="N355" s="5">
        <f>IF(AND(L355&gt;='Amort. Sched.-BEST'!$R$8, L355&lt;= ($R$7+$R$8)), (IPMT($N$8/12, (L355-$R$8), $R$7, $N$7)), 0)</f>
        <v>0</v>
      </c>
      <c r="O355" s="5">
        <f>IF(AND(L355&gt;='Amort. Sched.-BEST'!$R$8, L355&lt;= ($R$7+$R$8)), (PPMT($N$8/12, (L355-$R$8), $R$7, $N$7)), 0)</f>
        <v>0</v>
      </c>
      <c r="P355" s="5">
        <f>IF(CreditAmort1BEST[[#This Row],[Month]]=R$8,N$7,0)</f>
        <v>0</v>
      </c>
      <c r="Q355" s="13">
        <f>IF(AND(L355&gt;='Amort. Sched.-BEST'!$R$8, L355&lt;= ($R$7+$R$8)), Q354+O355, 0)</f>
        <v>0</v>
      </c>
      <c r="R355" s="6" t="str">
        <f>IF(AND(L355&gt;='Amort. Sched.-BEST'!$R$8, L355&lt;= ($R$7+$R$8)), N355/M355, " ")</f>
        <v xml:space="preserve"> </v>
      </c>
      <c r="S355" s="21" t="str">
        <f>IF(AND(L355&gt;='Amort. Sched.-BEST'!$R$8, L355&lt;= ($R$7+$R$8)), O355/M355, " ")</f>
        <v xml:space="preserve"> </v>
      </c>
      <c r="U355" s="22">
        <f t="shared" si="87"/>
        <v>344</v>
      </c>
      <c r="V355" s="23">
        <f>IF(AND(U355&gt;='Amort. Sched.-BEST'!$AA$8, U355&lt;= ($AA$7+$AA$8)), PMT('Amort. Sched.-BEST'!$W$8/12, 'Amort. Sched.-BEST'!$AA$7, 'Amort. Sched.-BEST'!$W$7), 0)</f>
        <v>0</v>
      </c>
      <c r="W355" s="5">
        <f>IF(AND(U355&gt;='Amort. Sched.-BEST'!$AA$8, U355&lt;= ($AA$7+$AA$8)), (IPMT($W$8/12, (U355-$AA$8), $AA$7, $W$7)), 0)</f>
        <v>0</v>
      </c>
      <c r="X355" s="23">
        <f>IF(AND(U355&gt;='Amort. Sched.-BEST'!$AA$8, U355&lt;= ($AA$7+$AA$8)), (PPMT($W$8/12, (U355-$AA$8), $AA$7, $W$7)), 0)</f>
        <v>0</v>
      </c>
      <c r="Y355" s="5">
        <f>IF(CreditAmort2BEST[[#This Row],[Month]]=AA$8,W$7,0)</f>
        <v>0</v>
      </c>
      <c r="Z355" s="13">
        <f>IF(AND(U355&gt;='Amort. Sched.-BEST'!$AA$8, U355&lt;= ($AA$7+$AA$8)), Z354+X355, 0)</f>
        <v>0</v>
      </c>
      <c r="AA355" s="24" t="str">
        <f>IF(AND(U355&gt;='Amort. Sched.-BEST'!$AA$8, U355&lt;= ($AA$7+$AA$8)), W355/V355, " ")</f>
        <v xml:space="preserve"> </v>
      </c>
      <c r="AB355" s="25" t="str">
        <f>IF(AND(U355&gt;='Amort. Sched.-BEST'!$AA$8, U355&lt;= ($AA$7+$AA$8)), X355/V355, " ")</f>
        <v xml:space="preserve"> </v>
      </c>
      <c r="AD355" s="22">
        <f t="shared" si="88"/>
        <v>344</v>
      </c>
      <c r="AE355" s="5">
        <f t="shared" si="89"/>
        <v>0</v>
      </c>
      <c r="AF355" s="5">
        <f t="shared" si="90"/>
        <v>0</v>
      </c>
      <c r="AG355" s="5">
        <f t="shared" si="91"/>
        <v>0</v>
      </c>
      <c r="AH355" s="5">
        <f>IF(CreditAmort3BEST[[#This Row],[Month]]=AJ$8,AF$7,0)</f>
        <v>0</v>
      </c>
      <c r="AI355" s="13">
        <f t="shared" si="92"/>
        <v>0</v>
      </c>
      <c r="AJ355" s="6" t="str">
        <f t="shared" si="93"/>
        <v xml:space="preserve"> </v>
      </c>
      <c r="AK355" s="21" t="str">
        <f t="shared" si="94"/>
        <v xml:space="preserve"> </v>
      </c>
      <c r="AM355" s="20">
        <f t="shared" si="95"/>
        <v>344</v>
      </c>
      <c r="AN355" s="5">
        <f t="shared" si="96"/>
        <v>0</v>
      </c>
      <c r="AO355" s="5">
        <f t="shared" si="97"/>
        <v>0</v>
      </c>
      <c r="AP355" s="5">
        <f t="shared" si="98"/>
        <v>0</v>
      </c>
      <c r="AQ355" s="5">
        <f>IF(CreditAmort4BEST[[#This Row],[Month]]=AS$8,AO$7,0)</f>
        <v>0</v>
      </c>
      <c r="AR355" s="13">
        <f t="shared" si="99"/>
        <v>0</v>
      </c>
      <c r="AS355" s="6" t="str">
        <f t="shared" si="100"/>
        <v xml:space="preserve"> </v>
      </c>
      <c r="AT355" s="21" t="str">
        <f t="shared" si="101"/>
        <v xml:space="preserve"> </v>
      </c>
    </row>
    <row r="356" spans="3:46">
      <c r="C356" s="22">
        <f t="shared" si="86"/>
        <v>345</v>
      </c>
      <c r="D356" s="23">
        <f>IF(AND(C356&gt;='Amort. Sched.-BEST'!$I$8, C356&lt;= ($I$7+$I$8)), PMT('Amort. Sched.-BEST'!$E$8/12, 'Amort. Sched.-BEST'!$I$7, 'Amort. Sched.-BEST'!$E$7), 0)</f>
        <v>0</v>
      </c>
      <c r="E356" s="5">
        <f>IF(AND(C356&gt;='Amort. Sched.-BEST'!$I$8, C356&lt;= ($I$7+$I$8)), (IPMT($E$8/12, (C356-$I$8), $I$7, $E$7)), 0)</f>
        <v>0</v>
      </c>
      <c r="F356" s="23">
        <f>IF(AND(C356&gt;='Amort. Sched.-BEST'!$I$8, C356&lt;= ($I$7+$I$8)), (PPMT($E$8/12, (C356-$I$8), $I$7, $E$7)), 0)</f>
        <v>0</v>
      </c>
      <c r="G356" s="5">
        <f>IF(MortgageAmortBEST[[#This Row],[Month]]=I$8,E$7,0)</f>
        <v>0</v>
      </c>
      <c r="H356" s="13">
        <f>IF(AND(C356&gt;='Amort. Sched.-BEST'!$I$8, C356&lt;= ($I$7+$I$8)), H355+F356, 0)</f>
        <v>0</v>
      </c>
      <c r="I356" s="24" t="str">
        <f>IF(AND(C356&gt;='Amort. Sched.-BEST'!$I$8, C356&lt;= ($I$7+$I$8)), E356/D356, " ")</f>
        <v xml:space="preserve"> </v>
      </c>
      <c r="J356" s="25" t="str">
        <f>IF(AND(C356&gt;='Amort. Sched.-BEST'!$I$8, C356&lt;= ($I$7+$I$8)), F356/D356, " ")</f>
        <v xml:space="preserve"> </v>
      </c>
      <c r="L356" s="20">
        <f t="shared" si="85"/>
        <v>345</v>
      </c>
      <c r="M356" s="5">
        <f>IF(AND(L356&gt;='Amort. Sched.-BEST'!$R$8, L356&lt;= ($R$7+$R$8)), PMT('Amort. Sched.-BEST'!$N$8/12, 'Amort. Sched.-BEST'!$R$7, 'Amort. Sched.-BEST'!$N$7), 0)</f>
        <v>0</v>
      </c>
      <c r="N356" s="5">
        <f>IF(AND(L356&gt;='Amort. Sched.-BEST'!$R$8, L356&lt;= ($R$7+$R$8)), (IPMT($N$8/12, (L356-$R$8), $R$7, $N$7)), 0)</f>
        <v>0</v>
      </c>
      <c r="O356" s="5">
        <f>IF(AND(L356&gt;='Amort. Sched.-BEST'!$R$8, L356&lt;= ($R$7+$R$8)), (PPMT($N$8/12, (L356-$R$8), $R$7, $N$7)), 0)</f>
        <v>0</v>
      </c>
      <c r="P356" s="5">
        <f>IF(CreditAmort1BEST[[#This Row],[Month]]=R$8,N$7,0)</f>
        <v>0</v>
      </c>
      <c r="Q356" s="13">
        <f>IF(AND(L356&gt;='Amort. Sched.-BEST'!$R$8, L356&lt;= ($R$7+$R$8)), Q355+O356, 0)</f>
        <v>0</v>
      </c>
      <c r="R356" s="6" t="str">
        <f>IF(AND(L356&gt;='Amort. Sched.-BEST'!$R$8, L356&lt;= ($R$7+$R$8)), N356/M356, " ")</f>
        <v xml:space="preserve"> </v>
      </c>
      <c r="S356" s="21" t="str">
        <f>IF(AND(L356&gt;='Amort. Sched.-BEST'!$R$8, L356&lt;= ($R$7+$R$8)), O356/M356, " ")</f>
        <v xml:space="preserve"> </v>
      </c>
      <c r="U356" s="22">
        <f t="shared" si="87"/>
        <v>345</v>
      </c>
      <c r="V356" s="23">
        <f>IF(AND(U356&gt;='Amort. Sched.-BEST'!$AA$8, U356&lt;= ($AA$7+$AA$8)), PMT('Amort. Sched.-BEST'!$W$8/12, 'Amort. Sched.-BEST'!$AA$7, 'Amort. Sched.-BEST'!$W$7), 0)</f>
        <v>0</v>
      </c>
      <c r="W356" s="5">
        <f>IF(AND(U356&gt;='Amort. Sched.-BEST'!$AA$8, U356&lt;= ($AA$7+$AA$8)), (IPMT($W$8/12, (U356-$AA$8), $AA$7, $W$7)), 0)</f>
        <v>0</v>
      </c>
      <c r="X356" s="23">
        <f>IF(AND(U356&gt;='Amort. Sched.-BEST'!$AA$8, U356&lt;= ($AA$7+$AA$8)), (PPMT($W$8/12, (U356-$AA$8), $AA$7, $W$7)), 0)</f>
        <v>0</v>
      </c>
      <c r="Y356" s="5">
        <f>IF(CreditAmort2BEST[[#This Row],[Month]]=AA$8,W$7,0)</f>
        <v>0</v>
      </c>
      <c r="Z356" s="13">
        <f>IF(AND(U356&gt;='Amort. Sched.-BEST'!$AA$8, U356&lt;= ($AA$7+$AA$8)), Z355+X356, 0)</f>
        <v>0</v>
      </c>
      <c r="AA356" s="24" t="str">
        <f>IF(AND(U356&gt;='Amort. Sched.-BEST'!$AA$8, U356&lt;= ($AA$7+$AA$8)), W356/V356, " ")</f>
        <v xml:space="preserve"> </v>
      </c>
      <c r="AB356" s="25" t="str">
        <f>IF(AND(U356&gt;='Amort. Sched.-BEST'!$AA$8, U356&lt;= ($AA$7+$AA$8)), X356/V356, " ")</f>
        <v xml:space="preserve"> </v>
      </c>
      <c r="AD356" s="22">
        <f t="shared" si="88"/>
        <v>345</v>
      </c>
      <c r="AE356" s="5">
        <f t="shared" si="89"/>
        <v>0</v>
      </c>
      <c r="AF356" s="5">
        <f t="shared" si="90"/>
        <v>0</v>
      </c>
      <c r="AG356" s="5">
        <f t="shared" si="91"/>
        <v>0</v>
      </c>
      <c r="AH356" s="5">
        <f>IF(CreditAmort3BEST[[#This Row],[Month]]=AJ$8,AF$7,0)</f>
        <v>0</v>
      </c>
      <c r="AI356" s="13">
        <f t="shared" si="92"/>
        <v>0</v>
      </c>
      <c r="AJ356" s="6" t="str">
        <f t="shared" si="93"/>
        <v xml:space="preserve"> </v>
      </c>
      <c r="AK356" s="21" t="str">
        <f t="shared" si="94"/>
        <v xml:space="preserve"> </v>
      </c>
      <c r="AM356" s="20">
        <f t="shared" si="95"/>
        <v>345</v>
      </c>
      <c r="AN356" s="5">
        <f t="shared" si="96"/>
        <v>0</v>
      </c>
      <c r="AO356" s="5">
        <f t="shared" si="97"/>
        <v>0</v>
      </c>
      <c r="AP356" s="5">
        <f t="shared" si="98"/>
        <v>0</v>
      </c>
      <c r="AQ356" s="5">
        <f>IF(CreditAmort4BEST[[#This Row],[Month]]=AS$8,AO$7,0)</f>
        <v>0</v>
      </c>
      <c r="AR356" s="13">
        <f t="shared" si="99"/>
        <v>0</v>
      </c>
      <c r="AS356" s="6" t="str">
        <f t="shared" si="100"/>
        <v xml:space="preserve"> </v>
      </c>
      <c r="AT356" s="21" t="str">
        <f t="shared" si="101"/>
        <v xml:space="preserve"> </v>
      </c>
    </row>
    <row r="357" spans="3:46">
      <c r="C357" s="22">
        <f t="shared" si="86"/>
        <v>346</v>
      </c>
      <c r="D357" s="23">
        <f>IF(AND(C357&gt;='Amort. Sched.-BEST'!$I$8, C357&lt;= ($I$7+$I$8)), PMT('Amort. Sched.-BEST'!$E$8/12, 'Amort. Sched.-BEST'!$I$7, 'Amort. Sched.-BEST'!$E$7), 0)</f>
        <v>0</v>
      </c>
      <c r="E357" s="5">
        <f>IF(AND(C357&gt;='Amort. Sched.-BEST'!$I$8, C357&lt;= ($I$7+$I$8)), (IPMT($E$8/12, (C357-$I$8), $I$7, $E$7)), 0)</f>
        <v>0</v>
      </c>
      <c r="F357" s="23">
        <f>IF(AND(C357&gt;='Amort. Sched.-BEST'!$I$8, C357&lt;= ($I$7+$I$8)), (PPMT($E$8/12, (C357-$I$8), $I$7, $E$7)), 0)</f>
        <v>0</v>
      </c>
      <c r="G357" s="5">
        <f>IF(MortgageAmortBEST[[#This Row],[Month]]=I$8,E$7,0)</f>
        <v>0</v>
      </c>
      <c r="H357" s="13">
        <f>IF(AND(C357&gt;='Amort. Sched.-BEST'!$I$8, C357&lt;= ($I$7+$I$8)), H356+F357, 0)</f>
        <v>0</v>
      </c>
      <c r="I357" s="24" t="str">
        <f>IF(AND(C357&gt;='Amort. Sched.-BEST'!$I$8, C357&lt;= ($I$7+$I$8)), E357/D357, " ")</f>
        <v xml:space="preserve"> </v>
      </c>
      <c r="J357" s="25" t="str">
        <f>IF(AND(C357&gt;='Amort. Sched.-BEST'!$I$8, C357&lt;= ($I$7+$I$8)), F357/D357, " ")</f>
        <v xml:space="preserve"> </v>
      </c>
      <c r="L357" s="20">
        <f t="shared" si="85"/>
        <v>346</v>
      </c>
      <c r="M357" s="5">
        <f>IF(AND(L357&gt;='Amort. Sched.-BEST'!$R$8, L357&lt;= ($R$7+$R$8)), PMT('Amort. Sched.-BEST'!$N$8/12, 'Amort. Sched.-BEST'!$R$7, 'Amort. Sched.-BEST'!$N$7), 0)</f>
        <v>0</v>
      </c>
      <c r="N357" s="5">
        <f>IF(AND(L357&gt;='Amort. Sched.-BEST'!$R$8, L357&lt;= ($R$7+$R$8)), (IPMT($N$8/12, (L357-$R$8), $R$7, $N$7)), 0)</f>
        <v>0</v>
      </c>
      <c r="O357" s="5">
        <f>IF(AND(L357&gt;='Amort. Sched.-BEST'!$R$8, L357&lt;= ($R$7+$R$8)), (PPMT($N$8/12, (L357-$R$8), $R$7, $N$7)), 0)</f>
        <v>0</v>
      </c>
      <c r="P357" s="5">
        <f>IF(CreditAmort1BEST[[#This Row],[Month]]=R$8,N$7,0)</f>
        <v>0</v>
      </c>
      <c r="Q357" s="13">
        <f>IF(AND(L357&gt;='Amort. Sched.-BEST'!$R$8, L357&lt;= ($R$7+$R$8)), Q356+O357, 0)</f>
        <v>0</v>
      </c>
      <c r="R357" s="6" t="str">
        <f>IF(AND(L357&gt;='Amort. Sched.-BEST'!$R$8, L357&lt;= ($R$7+$R$8)), N357/M357, " ")</f>
        <v xml:space="preserve"> </v>
      </c>
      <c r="S357" s="21" t="str">
        <f>IF(AND(L357&gt;='Amort. Sched.-BEST'!$R$8, L357&lt;= ($R$7+$R$8)), O357/M357, " ")</f>
        <v xml:space="preserve"> </v>
      </c>
      <c r="U357" s="22">
        <f t="shared" si="87"/>
        <v>346</v>
      </c>
      <c r="V357" s="23">
        <f>IF(AND(U357&gt;='Amort. Sched.-BEST'!$AA$8, U357&lt;= ($AA$7+$AA$8)), PMT('Amort. Sched.-BEST'!$W$8/12, 'Amort. Sched.-BEST'!$AA$7, 'Amort. Sched.-BEST'!$W$7), 0)</f>
        <v>0</v>
      </c>
      <c r="W357" s="5">
        <f>IF(AND(U357&gt;='Amort. Sched.-BEST'!$AA$8, U357&lt;= ($AA$7+$AA$8)), (IPMT($W$8/12, (U357-$AA$8), $AA$7, $W$7)), 0)</f>
        <v>0</v>
      </c>
      <c r="X357" s="23">
        <f>IF(AND(U357&gt;='Amort. Sched.-BEST'!$AA$8, U357&lt;= ($AA$7+$AA$8)), (PPMT($W$8/12, (U357-$AA$8), $AA$7, $W$7)), 0)</f>
        <v>0</v>
      </c>
      <c r="Y357" s="5">
        <f>IF(CreditAmort2BEST[[#This Row],[Month]]=AA$8,W$7,0)</f>
        <v>0</v>
      </c>
      <c r="Z357" s="13">
        <f>IF(AND(U357&gt;='Amort. Sched.-BEST'!$AA$8, U357&lt;= ($AA$7+$AA$8)), Z356+X357, 0)</f>
        <v>0</v>
      </c>
      <c r="AA357" s="24" t="str">
        <f>IF(AND(U357&gt;='Amort. Sched.-BEST'!$AA$8, U357&lt;= ($AA$7+$AA$8)), W357/V357, " ")</f>
        <v xml:space="preserve"> </v>
      </c>
      <c r="AB357" s="25" t="str">
        <f>IF(AND(U357&gt;='Amort. Sched.-BEST'!$AA$8, U357&lt;= ($AA$7+$AA$8)), X357/V357, " ")</f>
        <v xml:space="preserve"> </v>
      </c>
      <c r="AD357" s="22">
        <f t="shared" si="88"/>
        <v>346</v>
      </c>
      <c r="AE357" s="5">
        <f t="shared" si="89"/>
        <v>0</v>
      </c>
      <c r="AF357" s="5">
        <f t="shared" si="90"/>
        <v>0</v>
      </c>
      <c r="AG357" s="5">
        <f t="shared" si="91"/>
        <v>0</v>
      </c>
      <c r="AH357" s="5">
        <f>IF(CreditAmort3BEST[[#This Row],[Month]]=AJ$8,AF$7,0)</f>
        <v>0</v>
      </c>
      <c r="AI357" s="13">
        <f t="shared" si="92"/>
        <v>0</v>
      </c>
      <c r="AJ357" s="6" t="str">
        <f t="shared" si="93"/>
        <v xml:space="preserve"> </v>
      </c>
      <c r="AK357" s="21" t="str">
        <f t="shared" si="94"/>
        <v xml:space="preserve"> </v>
      </c>
      <c r="AM357" s="20">
        <f t="shared" si="95"/>
        <v>346</v>
      </c>
      <c r="AN357" s="5">
        <f t="shared" si="96"/>
        <v>0</v>
      </c>
      <c r="AO357" s="5">
        <f t="shared" si="97"/>
        <v>0</v>
      </c>
      <c r="AP357" s="5">
        <f t="shared" si="98"/>
        <v>0</v>
      </c>
      <c r="AQ357" s="5">
        <f>IF(CreditAmort4BEST[[#This Row],[Month]]=AS$8,AO$7,0)</f>
        <v>0</v>
      </c>
      <c r="AR357" s="13">
        <f t="shared" si="99"/>
        <v>0</v>
      </c>
      <c r="AS357" s="6" t="str">
        <f t="shared" si="100"/>
        <v xml:space="preserve"> </v>
      </c>
      <c r="AT357" s="21" t="str">
        <f t="shared" si="101"/>
        <v xml:space="preserve"> </v>
      </c>
    </row>
    <row r="358" spans="3:46">
      <c r="C358" s="22">
        <f t="shared" si="86"/>
        <v>347</v>
      </c>
      <c r="D358" s="23">
        <f>IF(AND(C358&gt;='Amort. Sched.-BEST'!$I$8, C358&lt;= ($I$7+$I$8)), PMT('Amort. Sched.-BEST'!$E$8/12, 'Amort. Sched.-BEST'!$I$7, 'Amort. Sched.-BEST'!$E$7), 0)</f>
        <v>0</v>
      </c>
      <c r="E358" s="5">
        <f>IF(AND(C358&gt;='Amort. Sched.-BEST'!$I$8, C358&lt;= ($I$7+$I$8)), (IPMT($E$8/12, (C358-$I$8), $I$7, $E$7)), 0)</f>
        <v>0</v>
      </c>
      <c r="F358" s="23">
        <f>IF(AND(C358&gt;='Amort. Sched.-BEST'!$I$8, C358&lt;= ($I$7+$I$8)), (PPMT($E$8/12, (C358-$I$8), $I$7, $E$7)), 0)</f>
        <v>0</v>
      </c>
      <c r="G358" s="5">
        <f>IF(MortgageAmortBEST[[#This Row],[Month]]=I$8,E$7,0)</f>
        <v>0</v>
      </c>
      <c r="H358" s="13">
        <f>IF(AND(C358&gt;='Amort. Sched.-BEST'!$I$8, C358&lt;= ($I$7+$I$8)), H357+F358, 0)</f>
        <v>0</v>
      </c>
      <c r="I358" s="24" t="str">
        <f>IF(AND(C358&gt;='Amort. Sched.-BEST'!$I$8, C358&lt;= ($I$7+$I$8)), E358/D358, " ")</f>
        <v xml:space="preserve"> </v>
      </c>
      <c r="J358" s="25" t="str">
        <f>IF(AND(C358&gt;='Amort. Sched.-BEST'!$I$8, C358&lt;= ($I$7+$I$8)), F358/D358, " ")</f>
        <v xml:space="preserve"> </v>
      </c>
      <c r="L358" s="20">
        <f t="shared" si="85"/>
        <v>347</v>
      </c>
      <c r="M358" s="5">
        <f>IF(AND(L358&gt;='Amort. Sched.-BEST'!$R$8, L358&lt;= ($R$7+$R$8)), PMT('Amort. Sched.-BEST'!$N$8/12, 'Amort. Sched.-BEST'!$R$7, 'Amort. Sched.-BEST'!$N$7), 0)</f>
        <v>0</v>
      </c>
      <c r="N358" s="5">
        <f>IF(AND(L358&gt;='Amort. Sched.-BEST'!$R$8, L358&lt;= ($R$7+$R$8)), (IPMT($N$8/12, (L358-$R$8), $R$7, $N$7)), 0)</f>
        <v>0</v>
      </c>
      <c r="O358" s="5">
        <f>IF(AND(L358&gt;='Amort. Sched.-BEST'!$R$8, L358&lt;= ($R$7+$R$8)), (PPMT($N$8/12, (L358-$R$8), $R$7, $N$7)), 0)</f>
        <v>0</v>
      </c>
      <c r="P358" s="5">
        <f>IF(CreditAmort1BEST[[#This Row],[Month]]=R$8,N$7,0)</f>
        <v>0</v>
      </c>
      <c r="Q358" s="13">
        <f>IF(AND(L358&gt;='Amort. Sched.-BEST'!$R$8, L358&lt;= ($R$7+$R$8)), Q357+O358, 0)</f>
        <v>0</v>
      </c>
      <c r="R358" s="6" t="str">
        <f>IF(AND(L358&gt;='Amort. Sched.-BEST'!$R$8, L358&lt;= ($R$7+$R$8)), N358/M358, " ")</f>
        <v xml:space="preserve"> </v>
      </c>
      <c r="S358" s="21" t="str">
        <f>IF(AND(L358&gt;='Amort. Sched.-BEST'!$R$8, L358&lt;= ($R$7+$R$8)), O358/M358, " ")</f>
        <v xml:space="preserve"> </v>
      </c>
      <c r="U358" s="22">
        <f t="shared" si="87"/>
        <v>347</v>
      </c>
      <c r="V358" s="23">
        <f>IF(AND(U358&gt;='Amort. Sched.-BEST'!$AA$8, U358&lt;= ($AA$7+$AA$8)), PMT('Amort. Sched.-BEST'!$W$8/12, 'Amort. Sched.-BEST'!$AA$7, 'Amort. Sched.-BEST'!$W$7), 0)</f>
        <v>0</v>
      </c>
      <c r="W358" s="5">
        <f>IF(AND(U358&gt;='Amort. Sched.-BEST'!$AA$8, U358&lt;= ($AA$7+$AA$8)), (IPMT($W$8/12, (U358-$AA$8), $AA$7, $W$7)), 0)</f>
        <v>0</v>
      </c>
      <c r="X358" s="23">
        <f>IF(AND(U358&gt;='Amort. Sched.-BEST'!$AA$8, U358&lt;= ($AA$7+$AA$8)), (PPMT($W$8/12, (U358-$AA$8), $AA$7, $W$7)), 0)</f>
        <v>0</v>
      </c>
      <c r="Y358" s="5">
        <f>IF(CreditAmort2BEST[[#This Row],[Month]]=AA$8,W$7,0)</f>
        <v>0</v>
      </c>
      <c r="Z358" s="13">
        <f>IF(AND(U358&gt;='Amort. Sched.-BEST'!$AA$8, U358&lt;= ($AA$7+$AA$8)), Z357+X358, 0)</f>
        <v>0</v>
      </c>
      <c r="AA358" s="24" t="str">
        <f>IF(AND(U358&gt;='Amort. Sched.-BEST'!$AA$8, U358&lt;= ($AA$7+$AA$8)), W358/V358, " ")</f>
        <v xml:space="preserve"> </v>
      </c>
      <c r="AB358" s="25" t="str">
        <f>IF(AND(U358&gt;='Amort. Sched.-BEST'!$AA$8, U358&lt;= ($AA$7+$AA$8)), X358/V358, " ")</f>
        <v xml:space="preserve"> </v>
      </c>
      <c r="AD358" s="22">
        <f t="shared" si="88"/>
        <v>347</v>
      </c>
      <c r="AE358" s="5">
        <f t="shared" si="89"/>
        <v>0</v>
      </c>
      <c r="AF358" s="5">
        <f t="shared" si="90"/>
        <v>0</v>
      </c>
      <c r="AG358" s="5">
        <f t="shared" si="91"/>
        <v>0</v>
      </c>
      <c r="AH358" s="5">
        <f>IF(CreditAmort3BEST[[#This Row],[Month]]=AJ$8,AF$7,0)</f>
        <v>0</v>
      </c>
      <c r="AI358" s="13">
        <f t="shared" si="92"/>
        <v>0</v>
      </c>
      <c r="AJ358" s="6" t="str">
        <f t="shared" si="93"/>
        <v xml:space="preserve"> </v>
      </c>
      <c r="AK358" s="21" t="str">
        <f t="shared" si="94"/>
        <v xml:space="preserve"> </v>
      </c>
      <c r="AM358" s="20">
        <f t="shared" si="95"/>
        <v>347</v>
      </c>
      <c r="AN358" s="5">
        <f t="shared" si="96"/>
        <v>0</v>
      </c>
      <c r="AO358" s="5">
        <f t="shared" si="97"/>
        <v>0</v>
      </c>
      <c r="AP358" s="5">
        <f t="shared" si="98"/>
        <v>0</v>
      </c>
      <c r="AQ358" s="5">
        <f>IF(CreditAmort4BEST[[#This Row],[Month]]=AS$8,AO$7,0)</f>
        <v>0</v>
      </c>
      <c r="AR358" s="13">
        <f t="shared" si="99"/>
        <v>0</v>
      </c>
      <c r="AS358" s="6" t="str">
        <f t="shared" si="100"/>
        <v xml:space="preserve"> </v>
      </c>
      <c r="AT358" s="21" t="str">
        <f t="shared" si="101"/>
        <v xml:space="preserve"> </v>
      </c>
    </row>
    <row r="359" spans="3:46">
      <c r="C359" s="22">
        <f t="shared" si="86"/>
        <v>348</v>
      </c>
      <c r="D359" s="23">
        <f>IF(AND(C359&gt;='Amort. Sched.-BEST'!$I$8, C359&lt;= ($I$7+$I$8)), PMT('Amort. Sched.-BEST'!$E$8/12, 'Amort. Sched.-BEST'!$I$7, 'Amort. Sched.-BEST'!$E$7), 0)</f>
        <v>0</v>
      </c>
      <c r="E359" s="5">
        <f>IF(AND(C359&gt;='Amort. Sched.-BEST'!$I$8, C359&lt;= ($I$7+$I$8)), (IPMT($E$8/12, (C359-$I$8), $I$7, $E$7)), 0)</f>
        <v>0</v>
      </c>
      <c r="F359" s="23">
        <f>IF(AND(C359&gt;='Amort. Sched.-BEST'!$I$8, C359&lt;= ($I$7+$I$8)), (PPMT($E$8/12, (C359-$I$8), $I$7, $E$7)), 0)</f>
        <v>0</v>
      </c>
      <c r="G359" s="5">
        <f>IF(MortgageAmortBEST[[#This Row],[Month]]=I$8,E$7,0)</f>
        <v>0</v>
      </c>
      <c r="H359" s="13">
        <f>IF(AND(C359&gt;='Amort. Sched.-BEST'!$I$8, C359&lt;= ($I$7+$I$8)), H358+F359, 0)</f>
        <v>0</v>
      </c>
      <c r="I359" s="24" t="str">
        <f>IF(AND(C359&gt;='Amort. Sched.-BEST'!$I$8, C359&lt;= ($I$7+$I$8)), E359/D359, " ")</f>
        <v xml:space="preserve"> </v>
      </c>
      <c r="J359" s="25" t="str">
        <f>IF(AND(C359&gt;='Amort. Sched.-BEST'!$I$8, C359&lt;= ($I$7+$I$8)), F359/D359, " ")</f>
        <v xml:space="preserve"> </v>
      </c>
      <c r="L359" s="20">
        <f t="shared" si="85"/>
        <v>348</v>
      </c>
      <c r="M359" s="5">
        <f>IF(AND(L359&gt;='Amort. Sched.-BEST'!$R$8, L359&lt;= ($R$7+$R$8)), PMT('Amort. Sched.-BEST'!$N$8/12, 'Amort. Sched.-BEST'!$R$7, 'Amort. Sched.-BEST'!$N$7), 0)</f>
        <v>0</v>
      </c>
      <c r="N359" s="5">
        <f>IF(AND(L359&gt;='Amort. Sched.-BEST'!$R$8, L359&lt;= ($R$7+$R$8)), (IPMT($N$8/12, (L359-$R$8), $R$7, $N$7)), 0)</f>
        <v>0</v>
      </c>
      <c r="O359" s="5">
        <f>IF(AND(L359&gt;='Amort. Sched.-BEST'!$R$8, L359&lt;= ($R$7+$R$8)), (PPMT($N$8/12, (L359-$R$8), $R$7, $N$7)), 0)</f>
        <v>0</v>
      </c>
      <c r="P359" s="5">
        <f>IF(CreditAmort1BEST[[#This Row],[Month]]=R$8,N$7,0)</f>
        <v>0</v>
      </c>
      <c r="Q359" s="13">
        <f>IF(AND(L359&gt;='Amort. Sched.-BEST'!$R$8, L359&lt;= ($R$7+$R$8)), Q358+O359, 0)</f>
        <v>0</v>
      </c>
      <c r="R359" s="6" t="str">
        <f>IF(AND(L359&gt;='Amort. Sched.-BEST'!$R$8, L359&lt;= ($R$7+$R$8)), N359/M359, " ")</f>
        <v xml:space="preserve"> </v>
      </c>
      <c r="S359" s="21" t="str">
        <f>IF(AND(L359&gt;='Amort. Sched.-BEST'!$R$8, L359&lt;= ($R$7+$R$8)), O359/M359, " ")</f>
        <v xml:space="preserve"> </v>
      </c>
      <c r="U359" s="22">
        <f t="shared" si="87"/>
        <v>348</v>
      </c>
      <c r="V359" s="23">
        <f>IF(AND(U359&gt;='Amort. Sched.-BEST'!$AA$8, U359&lt;= ($AA$7+$AA$8)), PMT('Amort. Sched.-BEST'!$W$8/12, 'Amort. Sched.-BEST'!$AA$7, 'Amort. Sched.-BEST'!$W$7), 0)</f>
        <v>0</v>
      </c>
      <c r="W359" s="5">
        <f>IF(AND(U359&gt;='Amort. Sched.-BEST'!$AA$8, U359&lt;= ($AA$7+$AA$8)), (IPMT($W$8/12, (U359-$AA$8), $AA$7, $W$7)), 0)</f>
        <v>0</v>
      </c>
      <c r="X359" s="23">
        <f>IF(AND(U359&gt;='Amort. Sched.-BEST'!$AA$8, U359&lt;= ($AA$7+$AA$8)), (PPMT($W$8/12, (U359-$AA$8), $AA$7, $W$7)), 0)</f>
        <v>0</v>
      </c>
      <c r="Y359" s="5">
        <f>IF(CreditAmort2BEST[[#This Row],[Month]]=AA$8,W$7,0)</f>
        <v>0</v>
      </c>
      <c r="Z359" s="13">
        <f>IF(AND(U359&gt;='Amort. Sched.-BEST'!$AA$8, U359&lt;= ($AA$7+$AA$8)), Z358+X359, 0)</f>
        <v>0</v>
      </c>
      <c r="AA359" s="24" t="str">
        <f>IF(AND(U359&gt;='Amort. Sched.-BEST'!$AA$8, U359&lt;= ($AA$7+$AA$8)), W359/V359, " ")</f>
        <v xml:space="preserve"> </v>
      </c>
      <c r="AB359" s="25" t="str">
        <f>IF(AND(U359&gt;='Amort. Sched.-BEST'!$AA$8, U359&lt;= ($AA$7+$AA$8)), X359/V359, " ")</f>
        <v xml:space="preserve"> </v>
      </c>
      <c r="AD359" s="22">
        <f t="shared" si="88"/>
        <v>348</v>
      </c>
      <c r="AE359" s="5">
        <f t="shared" si="89"/>
        <v>0</v>
      </c>
      <c r="AF359" s="5">
        <f t="shared" si="90"/>
        <v>0</v>
      </c>
      <c r="AG359" s="5">
        <f t="shared" si="91"/>
        <v>0</v>
      </c>
      <c r="AH359" s="5">
        <f>IF(CreditAmort3BEST[[#This Row],[Month]]=AJ$8,AF$7,0)</f>
        <v>0</v>
      </c>
      <c r="AI359" s="13">
        <f t="shared" si="92"/>
        <v>0</v>
      </c>
      <c r="AJ359" s="6" t="str">
        <f t="shared" si="93"/>
        <v xml:space="preserve"> </v>
      </c>
      <c r="AK359" s="21" t="str">
        <f t="shared" si="94"/>
        <v xml:space="preserve"> </v>
      </c>
      <c r="AM359" s="20">
        <f t="shared" si="95"/>
        <v>348</v>
      </c>
      <c r="AN359" s="5">
        <f t="shared" si="96"/>
        <v>0</v>
      </c>
      <c r="AO359" s="5">
        <f t="shared" si="97"/>
        <v>0</v>
      </c>
      <c r="AP359" s="5">
        <f t="shared" si="98"/>
        <v>0</v>
      </c>
      <c r="AQ359" s="5">
        <f>IF(CreditAmort4BEST[[#This Row],[Month]]=AS$8,AO$7,0)</f>
        <v>0</v>
      </c>
      <c r="AR359" s="13">
        <f t="shared" si="99"/>
        <v>0</v>
      </c>
      <c r="AS359" s="6" t="str">
        <f t="shared" si="100"/>
        <v xml:space="preserve"> </v>
      </c>
      <c r="AT359" s="21" t="str">
        <f t="shared" si="101"/>
        <v xml:space="preserve"> </v>
      </c>
    </row>
    <row r="360" spans="3:46">
      <c r="C360" s="22">
        <f t="shared" si="86"/>
        <v>349</v>
      </c>
      <c r="D360" s="23">
        <f>IF(AND(C360&gt;='Amort. Sched.-BEST'!$I$8, C360&lt;= ($I$7+$I$8)), PMT('Amort. Sched.-BEST'!$E$8/12, 'Amort. Sched.-BEST'!$I$7, 'Amort. Sched.-BEST'!$E$7), 0)</f>
        <v>0</v>
      </c>
      <c r="E360" s="5">
        <f>IF(AND(C360&gt;='Amort. Sched.-BEST'!$I$8, C360&lt;= ($I$7+$I$8)), (IPMT($E$8/12, (C360-$I$8), $I$7, $E$7)), 0)</f>
        <v>0</v>
      </c>
      <c r="F360" s="23">
        <f>IF(AND(C360&gt;='Amort. Sched.-BEST'!$I$8, C360&lt;= ($I$7+$I$8)), (PPMT($E$8/12, (C360-$I$8), $I$7, $E$7)), 0)</f>
        <v>0</v>
      </c>
      <c r="G360" s="5">
        <f>IF(MortgageAmortBEST[[#This Row],[Month]]=I$8,E$7,0)</f>
        <v>0</v>
      </c>
      <c r="H360" s="13">
        <f>IF(AND(C360&gt;='Amort. Sched.-BEST'!$I$8, C360&lt;= ($I$7+$I$8)), H359+F360, 0)</f>
        <v>0</v>
      </c>
      <c r="I360" s="24" t="str">
        <f>IF(AND(C360&gt;='Amort. Sched.-BEST'!$I$8, C360&lt;= ($I$7+$I$8)), E360/D360, " ")</f>
        <v xml:space="preserve"> </v>
      </c>
      <c r="J360" s="25" t="str">
        <f>IF(AND(C360&gt;='Amort. Sched.-BEST'!$I$8, C360&lt;= ($I$7+$I$8)), F360/D360, " ")</f>
        <v xml:space="preserve"> </v>
      </c>
      <c r="L360" s="20">
        <f t="shared" si="85"/>
        <v>349</v>
      </c>
      <c r="M360" s="5">
        <f>IF(AND(L360&gt;='Amort. Sched.-BEST'!$R$8, L360&lt;= ($R$7+$R$8)), PMT('Amort. Sched.-BEST'!$N$8/12, 'Amort. Sched.-BEST'!$R$7, 'Amort. Sched.-BEST'!$N$7), 0)</f>
        <v>0</v>
      </c>
      <c r="N360" s="5">
        <f>IF(AND(L360&gt;='Amort. Sched.-BEST'!$R$8, L360&lt;= ($R$7+$R$8)), (IPMT($N$8/12, (L360-$R$8), $R$7, $N$7)), 0)</f>
        <v>0</v>
      </c>
      <c r="O360" s="5">
        <f>IF(AND(L360&gt;='Amort. Sched.-BEST'!$R$8, L360&lt;= ($R$7+$R$8)), (PPMT($N$8/12, (L360-$R$8), $R$7, $N$7)), 0)</f>
        <v>0</v>
      </c>
      <c r="P360" s="5">
        <f>IF(CreditAmort1BEST[[#This Row],[Month]]=R$8,N$7,0)</f>
        <v>0</v>
      </c>
      <c r="Q360" s="13">
        <f>IF(AND(L360&gt;='Amort. Sched.-BEST'!$R$8, L360&lt;= ($R$7+$R$8)), Q359+O360, 0)</f>
        <v>0</v>
      </c>
      <c r="R360" s="6" t="str">
        <f>IF(AND(L360&gt;='Amort. Sched.-BEST'!$R$8, L360&lt;= ($R$7+$R$8)), N360/M360, " ")</f>
        <v xml:space="preserve"> </v>
      </c>
      <c r="S360" s="21" t="str">
        <f>IF(AND(L360&gt;='Amort. Sched.-BEST'!$R$8, L360&lt;= ($R$7+$R$8)), O360/M360, " ")</f>
        <v xml:space="preserve"> </v>
      </c>
      <c r="U360" s="22">
        <f t="shared" si="87"/>
        <v>349</v>
      </c>
      <c r="V360" s="23">
        <f>IF(AND(U360&gt;='Amort. Sched.-BEST'!$AA$8, U360&lt;= ($AA$7+$AA$8)), PMT('Amort. Sched.-BEST'!$W$8/12, 'Amort. Sched.-BEST'!$AA$7, 'Amort. Sched.-BEST'!$W$7), 0)</f>
        <v>0</v>
      </c>
      <c r="W360" s="5">
        <f>IF(AND(U360&gt;='Amort. Sched.-BEST'!$AA$8, U360&lt;= ($AA$7+$AA$8)), (IPMT($W$8/12, (U360-$AA$8), $AA$7, $W$7)), 0)</f>
        <v>0</v>
      </c>
      <c r="X360" s="23">
        <f>IF(AND(U360&gt;='Amort. Sched.-BEST'!$AA$8, U360&lt;= ($AA$7+$AA$8)), (PPMT($W$8/12, (U360-$AA$8), $AA$7, $W$7)), 0)</f>
        <v>0</v>
      </c>
      <c r="Y360" s="5">
        <f>IF(CreditAmort2BEST[[#This Row],[Month]]=AA$8,W$7,0)</f>
        <v>0</v>
      </c>
      <c r="Z360" s="13">
        <f>IF(AND(U360&gt;='Amort. Sched.-BEST'!$AA$8, U360&lt;= ($AA$7+$AA$8)), Z359+X360, 0)</f>
        <v>0</v>
      </c>
      <c r="AA360" s="24" t="str">
        <f>IF(AND(U360&gt;='Amort. Sched.-BEST'!$AA$8, U360&lt;= ($AA$7+$AA$8)), W360/V360, " ")</f>
        <v xml:space="preserve"> </v>
      </c>
      <c r="AB360" s="25" t="str">
        <f>IF(AND(U360&gt;='Amort. Sched.-BEST'!$AA$8, U360&lt;= ($AA$7+$AA$8)), X360/V360, " ")</f>
        <v xml:space="preserve"> </v>
      </c>
      <c r="AD360" s="22">
        <f t="shared" si="88"/>
        <v>349</v>
      </c>
      <c r="AE360" s="5">
        <f t="shared" si="89"/>
        <v>0</v>
      </c>
      <c r="AF360" s="5">
        <f t="shared" si="90"/>
        <v>0</v>
      </c>
      <c r="AG360" s="5">
        <f t="shared" si="91"/>
        <v>0</v>
      </c>
      <c r="AH360" s="5">
        <f>IF(CreditAmort3BEST[[#This Row],[Month]]=AJ$8,AF$7,0)</f>
        <v>0</v>
      </c>
      <c r="AI360" s="13">
        <f t="shared" si="92"/>
        <v>0</v>
      </c>
      <c r="AJ360" s="6" t="str">
        <f t="shared" si="93"/>
        <v xml:space="preserve"> </v>
      </c>
      <c r="AK360" s="21" t="str">
        <f t="shared" si="94"/>
        <v xml:space="preserve"> </v>
      </c>
      <c r="AM360" s="20">
        <f t="shared" si="95"/>
        <v>349</v>
      </c>
      <c r="AN360" s="5">
        <f t="shared" si="96"/>
        <v>0</v>
      </c>
      <c r="AO360" s="5">
        <f t="shared" si="97"/>
        <v>0</v>
      </c>
      <c r="AP360" s="5">
        <f t="shared" si="98"/>
        <v>0</v>
      </c>
      <c r="AQ360" s="5">
        <f>IF(CreditAmort4BEST[[#This Row],[Month]]=AS$8,AO$7,0)</f>
        <v>0</v>
      </c>
      <c r="AR360" s="13">
        <f t="shared" si="99"/>
        <v>0</v>
      </c>
      <c r="AS360" s="6" t="str">
        <f t="shared" si="100"/>
        <v xml:space="preserve"> </v>
      </c>
      <c r="AT360" s="21" t="str">
        <f t="shared" si="101"/>
        <v xml:space="preserve"> </v>
      </c>
    </row>
    <row r="361" spans="3:46">
      <c r="C361" s="22">
        <f t="shared" si="86"/>
        <v>350</v>
      </c>
      <c r="D361" s="23">
        <f>IF(AND(C361&gt;='Amort. Sched.-BEST'!$I$8, C361&lt;= ($I$7+$I$8)), PMT('Amort. Sched.-BEST'!$E$8/12, 'Amort. Sched.-BEST'!$I$7, 'Amort. Sched.-BEST'!$E$7), 0)</f>
        <v>0</v>
      </c>
      <c r="E361" s="5">
        <f>IF(AND(C361&gt;='Amort. Sched.-BEST'!$I$8, C361&lt;= ($I$7+$I$8)), (IPMT($E$8/12, (C361-$I$8), $I$7, $E$7)), 0)</f>
        <v>0</v>
      </c>
      <c r="F361" s="23">
        <f>IF(AND(C361&gt;='Amort. Sched.-BEST'!$I$8, C361&lt;= ($I$7+$I$8)), (PPMT($E$8/12, (C361-$I$8), $I$7, $E$7)), 0)</f>
        <v>0</v>
      </c>
      <c r="G361" s="5">
        <f>IF(MortgageAmortBEST[[#This Row],[Month]]=I$8,E$7,0)</f>
        <v>0</v>
      </c>
      <c r="H361" s="13">
        <f>IF(AND(C361&gt;='Amort. Sched.-BEST'!$I$8, C361&lt;= ($I$7+$I$8)), H360+F361, 0)</f>
        <v>0</v>
      </c>
      <c r="I361" s="24" t="str">
        <f>IF(AND(C361&gt;='Amort. Sched.-BEST'!$I$8, C361&lt;= ($I$7+$I$8)), E361/D361, " ")</f>
        <v xml:space="preserve"> </v>
      </c>
      <c r="J361" s="25" t="str">
        <f>IF(AND(C361&gt;='Amort. Sched.-BEST'!$I$8, C361&lt;= ($I$7+$I$8)), F361/D361, " ")</f>
        <v xml:space="preserve"> </v>
      </c>
      <c r="L361" s="20">
        <f t="shared" si="85"/>
        <v>350</v>
      </c>
      <c r="M361" s="5">
        <f>IF(AND(L361&gt;='Amort. Sched.-BEST'!$R$8, L361&lt;= ($R$7+$R$8)), PMT('Amort. Sched.-BEST'!$N$8/12, 'Amort. Sched.-BEST'!$R$7, 'Amort. Sched.-BEST'!$N$7), 0)</f>
        <v>0</v>
      </c>
      <c r="N361" s="5">
        <f>IF(AND(L361&gt;='Amort. Sched.-BEST'!$R$8, L361&lt;= ($R$7+$R$8)), (IPMT($N$8/12, (L361-$R$8), $R$7, $N$7)), 0)</f>
        <v>0</v>
      </c>
      <c r="O361" s="5">
        <f>IF(AND(L361&gt;='Amort. Sched.-BEST'!$R$8, L361&lt;= ($R$7+$R$8)), (PPMT($N$8/12, (L361-$R$8), $R$7, $N$7)), 0)</f>
        <v>0</v>
      </c>
      <c r="P361" s="5">
        <f>IF(CreditAmort1BEST[[#This Row],[Month]]=R$8,N$7,0)</f>
        <v>0</v>
      </c>
      <c r="Q361" s="13">
        <f>IF(AND(L361&gt;='Amort. Sched.-BEST'!$R$8, L361&lt;= ($R$7+$R$8)), Q360+O361, 0)</f>
        <v>0</v>
      </c>
      <c r="R361" s="6" t="str">
        <f>IF(AND(L361&gt;='Amort. Sched.-BEST'!$R$8, L361&lt;= ($R$7+$R$8)), N361/M361, " ")</f>
        <v xml:space="preserve"> </v>
      </c>
      <c r="S361" s="21" t="str">
        <f>IF(AND(L361&gt;='Amort. Sched.-BEST'!$R$8, L361&lt;= ($R$7+$R$8)), O361/M361, " ")</f>
        <v xml:space="preserve"> </v>
      </c>
      <c r="U361" s="22">
        <f t="shared" si="87"/>
        <v>350</v>
      </c>
      <c r="V361" s="23">
        <f>IF(AND(U361&gt;='Amort. Sched.-BEST'!$AA$8, U361&lt;= ($AA$7+$AA$8)), PMT('Amort. Sched.-BEST'!$W$8/12, 'Amort. Sched.-BEST'!$AA$7, 'Amort. Sched.-BEST'!$W$7), 0)</f>
        <v>0</v>
      </c>
      <c r="W361" s="5">
        <f>IF(AND(U361&gt;='Amort. Sched.-BEST'!$AA$8, U361&lt;= ($AA$7+$AA$8)), (IPMT($W$8/12, (U361-$AA$8), $AA$7, $W$7)), 0)</f>
        <v>0</v>
      </c>
      <c r="X361" s="23">
        <f>IF(AND(U361&gt;='Amort. Sched.-BEST'!$AA$8, U361&lt;= ($AA$7+$AA$8)), (PPMT($W$8/12, (U361-$AA$8), $AA$7, $W$7)), 0)</f>
        <v>0</v>
      </c>
      <c r="Y361" s="5">
        <f>IF(CreditAmort2BEST[[#This Row],[Month]]=AA$8,W$7,0)</f>
        <v>0</v>
      </c>
      <c r="Z361" s="13">
        <f>IF(AND(U361&gt;='Amort. Sched.-BEST'!$AA$8, U361&lt;= ($AA$7+$AA$8)), Z360+X361, 0)</f>
        <v>0</v>
      </c>
      <c r="AA361" s="24" t="str">
        <f>IF(AND(U361&gt;='Amort. Sched.-BEST'!$AA$8, U361&lt;= ($AA$7+$AA$8)), W361/V361, " ")</f>
        <v xml:space="preserve"> </v>
      </c>
      <c r="AB361" s="25" t="str">
        <f>IF(AND(U361&gt;='Amort. Sched.-BEST'!$AA$8, U361&lt;= ($AA$7+$AA$8)), X361/V361, " ")</f>
        <v xml:space="preserve"> </v>
      </c>
      <c r="AD361" s="22">
        <f t="shared" si="88"/>
        <v>350</v>
      </c>
      <c r="AE361" s="5">
        <f t="shared" si="89"/>
        <v>0</v>
      </c>
      <c r="AF361" s="5">
        <f t="shared" si="90"/>
        <v>0</v>
      </c>
      <c r="AG361" s="5">
        <f t="shared" si="91"/>
        <v>0</v>
      </c>
      <c r="AH361" s="5">
        <f>IF(CreditAmort3BEST[[#This Row],[Month]]=AJ$8,AF$7,0)</f>
        <v>0</v>
      </c>
      <c r="AI361" s="13">
        <f t="shared" si="92"/>
        <v>0</v>
      </c>
      <c r="AJ361" s="6" t="str">
        <f t="shared" si="93"/>
        <v xml:space="preserve"> </v>
      </c>
      <c r="AK361" s="21" t="str">
        <f t="shared" si="94"/>
        <v xml:space="preserve"> </v>
      </c>
      <c r="AM361" s="20">
        <f t="shared" si="95"/>
        <v>350</v>
      </c>
      <c r="AN361" s="5">
        <f t="shared" si="96"/>
        <v>0</v>
      </c>
      <c r="AO361" s="5">
        <f t="shared" si="97"/>
        <v>0</v>
      </c>
      <c r="AP361" s="5">
        <f t="shared" si="98"/>
        <v>0</v>
      </c>
      <c r="AQ361" s="5">
        <f>IF(CreditAmort4BEST[[#This Row],[Month]]=AS$8,AO$7,0)</f>
        <v>0</v>
      </c>
      <c r="AR361" s="13">
        <f t="shared" si="99"/>
        <v>0</v>
      </c>
      <c r="AS361" s="6" t="str">
        <f t="shared" si="100"/>
        <v xml:space="preserve"> </v>
      </c>
      <c r="AT361" s="21" t="str">
        <f t="shared" si="101"/>
        <v xml:space="preserve"> </v>
      </c>
    </row>
    <row r="362" spans="3:46">
      <c r="C362" s="22">
        <f t="shared" si="86"/>
        <v>351</v>
      </c>
      <c r="D362" s="23">
        <f>IF(AND(C362&gt;='Amort. Sched.-BEST'!$I$8, C362&lt;= ($I$7+$I$8)), PMT('Amort. Sched.-BEST'!$E$8/12, 'Amort. Sched.-BEST'!$I$7, 'Amort. Sched.-BEST'!$E$7), 0)</f>
        <v>0</v>
      </c>
      <c r="E362" s="5">
        <f>IF(AND(C362&gt;='Amort. Sched.-BEST'!$I$8, C362&lt;= ($I$7+$I$8)), (IPMT($E$8/12, (C362-$I$8), $I$7, $E$7)), 0)</f>
        <v>0</v>
      </c>
      <c r="F362" s="23">
        <f>IF(AND(C362&gt;='Amort. Sched.-BEST'!$I$8, C362&lt;= ($I$7+$I$8)), (PPMT($E$8/12, (C362-$I$8), $I$7, $E$7)), 0)</f>
        <v>0</v>
      </c>
      <c r="G362" s="5">
        <f>IF(MortgageAmortBEST[[#This Row],[Month]]=I$8,E$7,0)</f>
        <v>0</v>
      </c>
      <c r="H362" s="13">
        <f>IF(AND(C362&gt;='Amort. Sched.-BEST'!$I$8, C362&lt;= ($I$7+$I$8)), H361+F362, 0)</f>
        <v>0</v>
      </c>
      <c r="I362" s="24" t="str">
        <f>IF(AND(C362&gt;='Amort. Sched.-BEST'!$I$8, C362&lt;= ($I$7+$I$8)), E362/D362, " ")</f>
        <v xml:space="preserve"> </v>
      </c>
      <c r="J362" s="25" t="str">
        <f>IF(AND(C362&gt;='Amort. Sched.-BEST'!$I$8, C362&lt;= ($I$7+$I$8)), F362/D362, " ")</f>
        <v xml:space="preserve"> </v>
      </c>
      <c r="L362" s="20">
        <f t="shared" si="85"/>
        <v>351</v>
      </c>
      <c r="M362" s="5">
        <f>IF(AND(L362&gt;='Amort. Sched.-BEST'!$R$8, L362&lt;= ($R$7+$R$8)), PMT('Amort. Sched.-BEST'!$N$8/12, 'Amort. Sched.-BEST'!$R$7, 'Amort. Sched.-BEST'!$N$7), 0)</f>
        <v>0</v>
      </c>
      <c r="N362" s="5">
        <f>IF(AND(L362&gt;='Amort. Sched.-BEST'!$R$8, L362&lt;= ($R$7+$R$8)), (IPMT($N$8/12, (L362-$R$8), $R$7, $N$7)), 0)</f>
        <v>0</v>
      </c>
      <c r="O362" s="5">
        <f>IF(AND(L362&gt;='Amort. Sched.-BEST'!$R$8, L362&lt;= ($R$7+$R$8)), (PPMT($N$8/12, (L362-$R$8), $R$7, $N$7)), 0)</f>
        <v>0</v>
      </c>
      <c r="P362" s="5">
        <f>IF(CreditAmort1BEST[[#This Row],[Month]]=R$8,N$7,0)</f>
        <v>0</v>
      </c>
      <c r="Q362" s="13">
        <f>IF(AND(L362&gt;='Amort. Sched.-BEST'!$R$8, L362&lt;= ($R$7+$R$8)), Q361+O362, 0)</f>
        <v>0</v>
      </c>
      <c r="R362" s="6" t="str">
        <f>IF(AND(L362&gt;='Amort. Sched.-BEST'!$R$8, L362&lt;= ($R$7+$R$8)), N362/M362, " ")</f>
        <v xml:space="preserve"> </v>
      </c>
      <c r="S362" s="21" t="str">
        <f>IF(AND(L362&gt;='Amort. Sched.-BEST'!$R$8, L362&lt;= ($R$7+$R$8)), O362/M362, " ")</f>
        <v xml:space="preserve"> </v>
      </c>
      <c r="U362" s="22">
        <f t="shared" si="87"/>
        <v>351</v>
      </c>
      <c r="V362" s="23">
        <f>IF(AND(U362&gt;='Amort. Sched.-BEST'!$AA$8, U362&lt;= ($AA$7+$AA$8)), PMT('Amort. Sched.-BEST'!$W$8/12, 'Amort. Sched.-BEST'!$AA$7, 'Amort. Sched.-BEST'!$W$7), 0)</f>
        <v>0</v>
      </c>
      <c r="W362" s="5">
        <f>IF(AND(U362&gt;='Amort. Sched.-BEST'!$AA$8, U362&lt;= ($AA$7+$AA$8)), (IPMT($W$8/12, (U362-$AA$8), $AA$7, $W$7)), 0)</f>
        <v>0</v>
      </c>
      <c r="X362" s="23">
        <f>IF(AND(U362&gt;='Amort. Sched.-BEST'!$AA$8, U362&lt;= ($AA$7+$AA$8)), (PPMT($W$8/12, (U362-$AA$8), $AA$7, $W$7)), 0)</f>
        <v>0</v>
      </c>
      <c r="Y362" s="5">
        <f>IF(CreditAmort2BEST[[#This Row],[Month]]=AA$8,W$7,0)</f>
        <v>0</v>
      </c>
      <c r="Z362" s="13">
        <f>IF(AND(U362&gt;='Amort. Sched.-BEST'!$AA$8, U362&lt;= ($AA$7+$AA$8)), Z361+X362, 0)</f>
        <v>0</v>
      </c>
      <c r="AA362" s="24" t="str">
        <f>IF(AND(U362&gt;='Amort. Sched.-BEST'!$AA$8, U362&lt;= ($AA$7+$AA$8)), W362/V362, " ")</f>
        <v xml:space="preserve"> </v>
      </c>
      <c r="AB362" s="25" t="str">
        <f>IF(AND(U362&gt;='Amort. Sched.-BEST'!$AA$8, U362&lt;= ($AA$7+$AA$8)), X362/V362, " ")</f>
        <v xml:space="preserve"> </v>
      </c>
      <c r="AD362" s="22">
        <f t="shared" si="88"/>
        <v>351</v>
      </c>
      <c r="AE362" s="5">
        <f t="shared" si="89"/>
        <v>0</v>
      </c>
      <c r="AF362" s="5">
        <f t="shared" si="90"/>
        <v>0</v>
      </c>
      <c r="AG362" s="5">
        <f t="shared" si="91"/>
        <v>0</v>
      </c>
      <c r="AH362" s="5">
        <f>IF(CreditAmort3BEST[[#This Row],[Month]]=AJ$8,AF$7,0)</f>
        <v>0</v>
      </c>
      <c r="AI362" s="13">
        <f t="shared" si="92"/>
        <v>0</v>
      </c>
      <c r="AJ362" s="6" t="str">
        <f t="shared" si="93"/>
        <v xml:space="preserve"> </v>
      </c>
      <c r="AK362" s="21" t="str">
        <f t="shared" si="94"/>
        <v xml:space="preserve"> </v>
      </c>
      <c r="AM362" s="20">
        <f t="shared" si="95"/>
        <v>351</v>
      </c>
      <c r="AN362" s="5">
        <f t="shared" si="96"/>
        <v>0</v>
      </c>
      <c r="AO362" s="5">
        <f t="shared" si="97"/>
        <v>0</v>
      </c>
      <c r="AP362" s="5">
        <f t="shared" si="98"/>
        <v>0</v>
      </c>
      <c r="AQ362" s="5">
        <f>IF(CreditAmort4BEST[[#This Row],[Month]]=AS$8,AO$7,0)</f>
        <v>0</v>
      </c>
      <c r="AR362" s="13">
        <f t="shared" si="99"/>
        <v>0</v>
      </c>
      <c r="AS362" s="6" t="str">
        <f t="shared" si="100"/>
        <v xml:space="preserve"> </v>
      </c>
      <c r="AT362" s="21" t="str">
        <f t="shared" si="101"/>
        <v xml:space="preserve"> </v>
      </c>
    </row>
    <row r="363" spans="3:46">
      <c r="C363" s="22">
        <f t="shared" si="86"/>
        <v>352</v>
      </c>
      <c r="D363" s="23">
        <f>IF(AND(C363&gt;='Amort. Sched.-BEST'!$I$8, C363&lt;= ($I$7+$I$8)), PMT('Amort. Sched.-BEST'!$E$8/12, 'Amort. Sched.-BEST'!$I$7, 'Amort. Sched.-BEST'!$E$7), 0)</f>
        <v>0</v>
      </c>
      <c r="E363" s="5">
        <f>IF(AND(C363&gt;='Amort. Sched.-BEST'!$I$8, C363&lt;= ($I$7+$I$8)), (IPMT($E$8/12, (C363-$I$8), $I$7, $E$7)), 0)</f>
        <v>0</v>
      </c>
      <c r="F363" s="23">
        <f>IF(AND(C363&gt;='Amort. Sched.-BEST'!$I$8, C363&lt;= ($I$7+$I$8)), (PPMT($E$8/12, (C363-$I$8), $I$7, $E$7)), 0)</f>
        <v>0</v>
      </c>
      <c r="G363" s="5">
        <f>IF(MortgageAmortBEST[[#This Row],[Month]]=I$8,E$7,0)</f>
        <v>0</v>
      </c>
      <c r="H363" s="13">
        <f>IF(AND(C363&gt;='Amort. Sched.-BEST'!$I$8, C363&lt;= ($I$7+$I$8)), H362+F363, 0)</f>
        <v>0</v>
      </c>
      <c r="I363" s="24" t="str">
        <f>IF(AND(C363&gt;='Amort. Sched.-BEST'!$I$8, C363&lt;= ($I$7+$I$8)), E363/D363, " ")</f>
        <v xml:space="preserve"> </v>
      </c>
      <c r="J363" s="25" t="str">
        <f>IF(AND(C363&gt;='Amort. Sched.-BEST'!$I$8, C363&lt;= ($I$7+$I$8)), F363/D363, " ")</f>
        <v xml:space="preserve"> </v>
      </c>
      <c r="L363" s="20">
        <f t="shared" si="85"/>
        <v>352</v>
      </c>
      <c r="M363" s="5">
        <f>IF(AND(L363&gt;='Amort. Sched.-BEST'!$R$8, L363&lt;= ($R$7+$R$8)), PMT('Amort. Sched.-BEST'!$N$8/12, 'Amort. Sched.-BEST'!$R$7, 'Amort. Sched.-BEST'!$N$7), 0)</f>
        <v>0</v>
      </c>
      <c r="N363" s="5">
        <f>IF(AND(L363&gt;='Amort. Sched.-BEST'!$R$8, L363&lt;= ($R$7+$R$8)), (IPMT($N$8/12, (L363-$R$8), $R$7, $N$7)), 0)</f>
        <v>0</v>
      </c>
      <c r="O363" s="5">
        <f>IF(AND(L363&gt;='Amort. Sched.-BEST'!$R$8, L363&lt;= ($R$7+$R$8)), (PPMT($N$8/12, (L363-$R$8), $R$7, $N$7)), 0)</f>
        <v>0</v>
      </c>
      <c r="P363" s="5">
        <f>IF(CreditAmort1BEST[[#This Row],[Month]]=R$8,N$7,0)</f>
        <v>0</v>
      </c>
      <c r="Q363" s="13">
        <f>IF(AND(L363&gt;='Amort. Sched.-BEST'!$R$8, L363&lt;= ($R$7+$R$8)), Q362+O363, 0)</f>
        <v>0</v>
      </c>
      <c r="R363" s="6" t="str">
        <f>IF(AND(L363&gt;='Amort. Sched.-BEST'!$R$8, L363&lt;= ($R$7+$R$8)), N363/M363, " ")</f>
        <v xml:space="preserve"> </v>
      </c>
      <c r="S363" s="21" t="str">
        <f>IF(AND(L363&gt;='Amort. Sched.-BEST'!$R$8, L363&lt;= ($R$7+$R$8)), O363/M363, " ")</f>
        <v xml:space="preserve"> </v>
      </c>
      <c r="U363" s="22">
        <f t="shared" si="87"/>
        <v>352</v>
      </c>
      <c r="V363" s="23">
        <f>IF(AND(U363&gt;='Amort. Sched.-BEST'!$AA$8, U363&lt;= ($AA$7+$AA$8)), PMT('Amort. Sched.-BEST'!$W$8/12, 'Amort. Sched.-BEST'!$AA$7, 'Amort. Sched.-BEST'!$W$7), 0)</f>
        <v>0</v>
      </c>
      <c r="W363" s="5">
        <f>IF(AND(U363&gt;='Amort. Sched.-BEST'!$AA$8, U363&lt;= ($AA$7+$AA$8)), (IPMT($W$8/12, (U363-$AA$8), $AA$7, $W$7)), 0)</f>
        <v>0</v>
      </c>
      <c r="X363" s="23">
        <f>IF(AND(U363&gt;='Amort. Sched.-BEST'!$AA$8, U363&lt;= ($AA$7+$AA$8)), (PPMT($W$8/12, (U363-$AA$8), $AA$7, $W$7)), 0)</f>
        <v>0</v>
      </c>
      <c r="Y363" s="5">
        <f>IF(CreditAmort2BEST[[#This Row],[Month]]=AA$8,W$7,0)</f>
        <v>0</v>
      </c>
      <c r="Z363" s="13">
        <f>IF(AND(U363&gt;='Amort. Sched.-BEST'!$AA$8, U363&lt;= ($AA$7+$AA$8)), Z362+X363, 0)</f>
        <v>0</v>
      </c>
      <c r="AA363" s="24" t="str">
        <f>IF(AND(U363&gt;='Amort. Sched.-BEST'!$AA$8, U363&lt;= ($AA$7+$AA$8)), W363/V363, " ")</f>
        <v xml:space="preserve"> </v>
      </c>
      <c r="AB363" s="25" t="str">
        <f>IF(AND(U363&gt;='Amort. Sched.-BEST'!$AA$8, U363&lt;= ($AA$7+$AA$8)), X363/V363, " ")</f>
        <v xml:space="preserve"> </v>
      </c>
      <c r="AD363" s="22">
        <f t="shared" si="88"/>
        <v>352</v>
      </c>
      <c r="AE363" s="5">
        <f t="shared" si="89"/>
        <v>0</v>
      </c>
      <c r="AF363" s="5">
        <f t="shared" si="90"/>
        <v>0</v>
      </c>
      <c r="AG363" s="5">
        <f t="shared" si="91"/>
        <v>0</v>
      </c>
      <c r="AH363" s="5">
        <f>IF(CreditAmort3BEST[[#This Row],[Month]]=AJ$8,AF$7,0)</f>
        <v>0</v>
      </c>
      <c r="AI363" s="13">
        <f t="shared" si="92"/>
        <v>0</v>
      </c>
      <c r="AJ363" s="6" t="str">
        <f t="shared" si="93"/>
        <v xml:space="preserve"> </v>
      </c>
      <c r="AK363" s="21" t="str">
        <f t="shared" si="94"/>
        <v xml:space="preserve"> </v>
      </c>
      <c r="AM363" s="20">
        <f t="shared" si="95"/>
        <v>352</v>
      </c>
      <c r="AN363" s="5">
        <f t="shared" si="96"/>
        <v>0</v>
      </c>
      <c r="AO363" s="5">
        <f t="shared" si="97"/>
        <v>0</v>
      </c>
      <c r="AP363" s="5">
        <f t="shared" si="98"/>
        <v>0</v>
      </c>
      <c r="AQ363" s="5">
        <f>IF(CreditAmort4BEST[[#This Row],[Month]]=AS$8,AO$7,0)</f>
        <v>0</v>
      </c>
      <c r="AR363" s="13">
        <f t="shared" si="99"/>
        <v>0</v>
      </c>
      <c r="AS363" s="6" t="str">
        <f t="shared" si="100"/>
        <v xml:space="preserve"> </v>
      </c>
      <c r="AT363" s="21" t="str">
        <f t="shared" si="101"/>
        <v xml:space="preserve"> </v>
      </c>
    </row>
    <row r="364" spans="3:46">
      <c r="C364" s="22">
        <f t="shared" si="86"/>
        <v>353</v>
      </c>
      <c r="D364" s="23">
        <f>IF(AND(C364&gt;='Amort. Sched.-BEST'!$I$8, C364&lt;= ($I$7+$I$8)), PMT('Amort. Sched.-BEST'!$E$8/12, 'Amort. Sched.-BEST'!$I$7, 'Amort. Sched.-BEST'!$E$7), 0)</f>
        <v>0</v>
      </c>
      <c r="E364" s="5">
        <f>IF(AND(C364&gt;='Amort. Sched.-BEST'!$I$8, C364&lt;= ($I$7+$I$8)), (IPMT($E$8/12, (C364-$I$8), $I$7, $E$7)), 0)</f>
        <v>0</v>
      </c>
      <c r="F364" s="23">
        <f>IF(AND(C364&gt;='Amort. Sched.-BEST'!$I$8, C364&lt;= ($I$7+$I$8)), (PPMT($E$8/12, (C364-$I$8), $I$7, $E$7)), 0)</f>
        <v>0</v>
      </c>
      <c r="G364" s="5">
        <f>IF(MortgageAmortBEST[[#This Row],[Month]]=I$8,E$7,0)</f>
        <v>0</v>
      </c>
      <c r="H364" s="13">
        <f>IF(AND(C364&gt;='Amort. Sched.-BEST'!$I$8, C364&lt;= ($I$7+$I$8)), H363+F364, 0)</f>
        <v>0</v>
      </c>
      <c r="I364" s="24" t="str">
        <f>IF(AND(C364&gt;='Amort. Sched.-BEST'!$I$8, C364&lt;= ($I$7+$I$8)), E364/D364, " ")</f>
        <v xml:space="preserve"> </v>
      </c>
      <c r="J364" s="25" t="str">
        <f>IF(AND(C364&gt;='Amort. Sched.-BEST'!$I$8, C364&lt;= ($I$7+$I$8)), F364/D364, " ")</f>
        <v xml:space="preserve"> </v>
      </c>
      <c r="L364" s="20">
        <f t="shared" si="85"/>
        <v>353</v>
      </c>
      <c r="M364" s="5">
        <f>IF(AND(L364&gt;='Amort. Sched.-BEST'!$R$8, L364&lt;= ($R$7+$R$8)), PMT('Amort. Sched.-BEST'!$N$8/12, 'Amort. Sched.-BEST'!$R$7, 'Amort. Sched.-BEST'!$N$7), 0)</f>
        <v>0</v>
      </c>
      <c r="N364" s="5">
        <f>IF(AND(L364&gt;='Amort. Sched.-BEST'!$R$8, L364&lt;= ($R$7+$R$8)), (IPMT($N$8/12, (L364-$R$8), $R$7, $N$7)), 0)</f>
        <v>0</v>
      </c>
      <c r="O364" s="5">
        <f>IF(AND(L364&gt;='Amort. Sched.-BEST'!$R$8, L364&lt;= ($R$7+$R$8)), (PPMT($N$8/12, (L364-$R$8), $R$7, $N$7)), 0)</f>
        <v>0</v>
      </c>
      <c r="P364" s="5">
        <f>IF(CreditAmort1BEST[[#This Row],[Month]]=R$8,N$7,0)</f>
        <v>0</v>
      </c>
      <c r="Q364" s="13">
        <f>IF(AND(L364&gt;='Amort. Sched.-BEST'!$R$8, L364&lt;= ($R$7+$R$8)), Q363+O364, 0)</f>
        <v>0</v>
      </c>
      <c r="R364" s="6" t="str">
        <f>IF(AND(L364&gt;='Amort. Sched.-BEST'!$R$8, L364&lt;= ($R$7+$R$8)), N364/M364, " ")</f>
        <v xml:space="preserve"> </v>
      </c>
      <c r="S364" s="21" t="str">
        <f>IF(AND(L364&gt;='Amort. Sched.-BEST'!$R$8, L364&lt;= ($R$7+$R$8)), O364/M364, " ")</f>
        <v xml:space="preserve"> </v>
      </c>
      <c r="U364" s="22">
        <f t="shared" si="87"/>
        <v>353</v>
      </c>
      <c r="V364" s="23">
        <f>IF(AND(U364&gt;='Amort. Sched.-BEST'!$AA$8, U364&lt;= ($AA$7+$AA$8)), PMT('Amort. Sched.-BEST'!$W$8/12, 'Amort. Sched.-BEST'!$AA$7, 'Amort. Sched.-BEST'!$W$7), 0)</f>
        <v>0</v>
      </c>
      <c r="W364" s="5">
        <f>IF(AND(U364&gt;='Amort. Sched.-BEST'!$AA$8, U364&lt;= ($AA$7+$AA$8)), (IPMT($W$8/12, (U364-$AA$8), $AA$7, $W$7)), 0)</f>
        <v>0</v>
      </c>
      <c r="X364" s="23">
        <f>IF(AND(U364&gt;='Amort. Sched.-BEST'!$AA$8, U364&lt;= ($AA$7+$AA$8)), (PPMT($W$8/12, (U364-$AA$8), $AA$7, $W$7)), 0)</f>
        <v>0</v>
      </c>
      <c r="Y364" s="5">
        <f>IF(CreditAmort2BEST[[#This Row],[Month]]=AA$8,W$7,0)</f>
        <v>0</v>
      </c>
      <c r="Z364" s="13">
        <f>IF(AND(U364&gt;='Amort. Sched.-BEST'!$AA$8, U364&lt;= ($AA$7+$AA$8)), Z363+X364, 0)</f>
        <v>0</v>
      </c>
      <c r="AA364" s="24" t="str">
        <f>IF(AND(U364&gt;='Amort. Sched.-BEST'!$AA$8, U364&lt;= ($AA$7+$AA$8)), W364/V364, " ")</f>
        <v xml:space="preserve"> </v>
      </c>
      <c r="AB364" s="25" t="str">
        <f>IF(AND(U364&gt;='Amort. Sched.-BEST'!$AA$8, U364&lt;= ($AA$7+$AA$8)), X364/V364, " ")</f>
        <v xml:space="preserve"> </v>
      </c>
      <c r="AD364" s="22">
        <f t="shared" si="88"/>
        <v>353</v>
      </c>
      <c r="AE364" s="5">
        <f t="shared" si="89"/>
        <v>0</v>
      </c>
      <c r="AF364" s="5">
        <f t="shared" si="90"/>
        <v>0</v>
      </c>
      <c r="AG364" s="5">
        <f t="shared" si="91"/>
        <v>0</v>
      </c>
      <c r="AH364" s="5">
        <f>IF(CreditAmort3BEST[[#This Row],[Month]]=AJ$8,AF$7,0)</f>
        <v>0</v>
      </c>
      <c r="AI364" s="13">
        <f t="shared" si="92"/>
        <v>0</v>
      </c>
      <c r="AJ364" s="6" t="str">
        <f t="shared" si="93"/>
        <v xml:space="preserve"> </v>
      </c>
      <c r="AK364" s="21" t="str">
        <f t="shared" si="94"/>
        <v xml:space="preserve"> </v>
      </c>
      <c r="AM364" s="20">
        <f t="shared" si="95"/>
        <v>353</v>
      </c>
      <c r="AN364" s="5">
        <f t="shared" si="96"/>
        <v>0</v>
      </c>
      <c r="AO364" s="5">
        <f t="shared" si="97"/>
        <v>0</v>
      </c>
      <c r="AP364" s="5">
        <f t="shared" si="98"/>
        <v>0</v>
      </c>
      <c r="AQ364" s="5">
        <f>IF(CreditAmort4BEST[[#This Row],[Month]]=AS$8,AO$7,0)</f>
        <v>0</v>
      </c>
      <c r="AR364" s="13">
        <f t="shared" si="99"/>
        <v>0</v>
      </c>
      <c r="AS364" s="6" t="str">
        <f t="shared" si="100"/>
        <v xml:space="preserve"> </v>
      </c>
      <c r="AT364" s="21" t="str">
        <f t="shared" si="101"/>
        <v xml:space="preserve"> </v>
      </c>
    </row>
    <row r="365" spans="3:46">
      <c r="C365" s="22">
        <f t="shared" si="86"/>
        <v>354</v>
      </c>
      <c r="D365" s="23">
        <f>IF(AND(C365&gt;='Amort. Sched.-BEST'!$I$8, C365&lt;= ($I$7+$I$8)), PMT('Amort. Sched.-BEST'!$E$8/12, 'Amort. Sched.-BEST'!$I$7, 'Amort. Sched.-BEST'!$E$7), 0)</f>
        <v>0</v>
      </c>
      <c r="E365" s="5">
        <f>IF(AND(C365&gt;='Amort. Sched.-BEST'!$I$8, C365&lt;= ($I$7+$I$8)), (IPMT($E$8/12, (C365-$I$8), $I$7, $E$7)), 0)</f>
        <v>0</v>
      </c>
      <c r="F365" s="23">
        <f>IF(AND(C365&gt;='Amort. Sched.-BEST'!$I$8, C365&lt;= ($I$7+$I$8)), (PPMT($E$8/12, (C365-$I$8), $I$7, $E$7)), 0)</f>
        <v>0</v>
      </c>
      <c r="G365" s="5">
        <f>IF(MortgageAmortBEST[[#This Row],[Month]]=I$8,E$7,0)</f>
        <v>0</v>
      </c>
      <c r="H365" s="13">
        <f>IF(AND(C365&gt;='Amort. Sched.-BEST'!$I$8, C365&lt;= ($I$7+$I$8)), H364+F365, 0)</f>
        <v>0</v>
      </c>
      <c r="I365" s="24" t="str">
        <f>IF(AND(C365&gt;='Amort. Sched.-BEST'!$I$8, C365&lt;= ($I$7+$I$8)), E365/D365, " ")</f>
        <v xml:space="preserve"> </v>
      </c>
      <c r="J365" s="25" t="str">
        <f>IF(AND(C365&gt;='Amort. Sched.-BEST'!$I$8, C365&lt;= ($I$7+$I$8)), F365/D365, " ")</f>
        <v xml:space="preserve"> </v>
      </c>
      <c r="L365" s="20">
        <f t="shared" si="85"/>
        <v>354</v>
      </c>
      <c r="M365" s="5">
        <f>IF(AND(L365&gt;='Amort. Sched.-BEST'!$R$8, L365&lt;= ($R$7+$R$8)), PMT('Amort. Sched.-BEST'!$N$8/12, 'Amort. Sched.-BEST'!$R$7, 'Amort. Sched.-BEST'!$N$7), 0)</f>
        <v>0</v>
      </c>
      <c r="N365" s="5">
        <f>IF(AND(L365&gt;='Amort. Sched.-BEST'!$R$8, L365&lt;= ($R$7+$R$8)), (IPMT($N$8/12, (L365-$R$8), $R$7, $N$7)), 0)</f>
        <v>0</v>
      </c>
      <c r="O365" s="5">
        <f>IF(AND(L365&gt;='Amort. Sched.-BEST'!$R$8, L365&lt;= ($R$7+$R$8)), (PPMT($N$8/12, (L365-$R$8), $R$7, $N$7)), 0)</f>
        <v>0</v>
      </c>
      <c r="P365" s="5">
        <f>IF(CreditAmort1BEST[[#This Row],[Month]]=R$8,N$7,0)</f>
        <v>0</v>
      </c>
      <c r="Q365" s="13">
        <f>IF(AND(L365&gt;='Amort. Sched.-BEST'!$R$8, L365&lt;= ($R$7+$R$8)), Q364+O365, 0)</f>
        <v>0</v>
      </c>
      <c r="R365" s="6" t="str">
        <f>IF(AND(L365&gt;='Amort. Sched.-BEST'!$R$8, L365&lt;= ($R$7+$R$8)), N365/M365, " ")</f>
        <v xml:space="preserve"> </v>
      </c>
      <c r="S365" s="21" t="str">
        <f>IF(AND(L365&gt;='Amort. Sched.-BEST'!$R$8, L365&lt;= ($R$7+$R$8)), O365/M365, " ")</f>
        <v xml:space="preserve"> </v>
      </c>
      <c r="U365" s="22">
        <f t="shared" si="87"/>
        <v>354</v>
      </c>
      <c r="V365" s="23">
        <f>IF(AND(U365&gt;='Amort. Sched.-BEST'!$AA$8, U365&lt;= ($AA$7+$AA$8)), PMT('Amort. Sched.-BEST'!$W$8/12, 'Amort. Sched.-BEST'!$AA$7, 'Amort. Sched.-BEST'!$W$7), 0)</f>
        <v>0</v>
      </c>
      <c r="W365" s="5">
        <f>IF(AND(U365&gt;='Amort. Sched.-BEST'!$AA$8, U365&lt;= ($AA$7+$AA$8)), (IPMT($W$8/12, (U365-$AA$8), $AA$7, $W$7)), 0)</f>
        <v>0</v>
      </c>
      <c r="X365" s="23">
        <f>IF(AND(U365&gt;='Amort. Sched.-BEST'!$AA$8, U365&lt;= ($AA$7+$AA$8)), (PPMT($W$8/12, (U365-$AA$8), $AA$7, $W$7)), 0)</f>
        <v>0</v>
      </c>
      <c r="Y365" s="5">
        <f>IF(CreditAmort2BEST[[#This Row],[Month]]=AA$8,W$7,0)</f>
        <v>0</v>
      </c>
      <c r="Z365" s="13">
        <f>IF(AND(U365&gt;='Amort. Sched.-BEST'!$AA$8, U365&lt;= ($AA$7+$AA$8)), Z364+X365, 0)</f>
        <v>0</v>
      </c>
      <c r="AA365" s="24" t="str">
        <f>IF(AND(U365&gt;='Amort. Sched.-BEST'!$AA$8, U365&lt;= ($AA$7+$AA$8)), W365/V365, " ")</f>
        <v xml:space="preserve"> </v>
      </c>
      <c r="AB365" s="25" t="str">
        <f>IF(AND(U365&gt;='Amort. Sched.-BEST'!$AA$8, U365&lt;= ($AA$7+$AA$8)), X365/V365, " ")</f>
        <v xml:space="preserve"> </v>
      </c>
      <c r="AD365" s="22">
        <f t="shared" si="88"/>
        <v>354</v>
      </c>
      <c r="AE365" s="5">
        <f t="shared" si="89"/>
        <v>0</v>
      </c>
      <c r="AF365" s="5">
        <f t="shared" si="90"/>
        <v>0</v>
      </c>
      <c r="AG365" s="5">
        <f t="shared" si="91"/>
        <v>0</v>
      </c>
      <c r="AH365" s="5">
        <f>IF(CreditAmort3BEST[[#This Row],[Month]]=AJ$8,AF$7,0)</f>
        <v>0</v>
      </c>
      <c r="AI365" s="13">
        <f t="shared" si="92"/>
        <v>0</v>
      </c>
      <c r="AJ365" s="6" t="str">
        <f t="shared" si="93"/>
        <v xml:space="preserve"> </v>
      </c>
      <c r="AK365" s="21" t="str">
        <f t="shared" si="94"/>
        <v xml:space="preserve"> </v>
      </c>
      <c r="AM365" s="20">
        <f t="shared" si="95"/>
        <v>354</v>
      </c>
      <c r="AN365" s="5">
        <f t="shared" si="96"/>
        <v>0</v>
      </c>
      <c r="AO365" s="5">
        <f t="shared" si="97"/>
        <v>0</v>
      </c>
      <c r="AP365" s="5">
        <f t="shared" si="98"/>
        <v>0</v>
      </c>
      <c r="AQ365" s="5">
        <f>IF(CreditAmort4BEST[[#This Row],[Month]]=AS$8,AO$7,0)</f>
        <v>0</v>
      </c>
      <c r="AR365" s="13">
        <f t="shared" si="99"/>
        <v>0</v>
      </c>
      <c r="AS365" s="6" t="str">
        <f t="shared" si="100"/>
        <v xml:space="preserve"> </v>
      </c>
      <c r="AT365" s="21" t="str">
        <f t="shared" si="101"/>
        <v xml:space="preserve"> </v>
      </c>
    </row>
    <row r="366" spans="3:46">
      <c r="C366" s="22">
        <f t="shared" si="86"/>
        <v>355</v>
      </c>
      <c r="D366" s="23">
        <f>IF(AND(C366&gt;='Amort. Sched.-BEST'!$I$8, C366&lt;= ($I$7+$I$8)), PMT('Amort. Sched.-BEST'!$E$8/12, 'Amort. Sched.-BEST'!$I$7, 'Amort. Sched.-BEST'!$E$7), 0)</f>
        <v>0</v>
      </c>
      <c r="E366" s="5">
        <f>IF(AND(C366&gt;='Amort. Sched.-BEST'!$I$8, C366&lt;= ($I$7+$I$8)), (IPMT($E$8/12, (C366-$I$8), $I$7, $E$7)), 0)</f>
        <v>0</v>
      </c>
      <c r="F366" s="23">
        <f>IF(AND(C366&gt;='Amort. Sched.-BEST'!$I$8, C366&lt;= ($I$7+$I$8)), (PPMT($E$8/12, (C366-$I$8), $I$7, $E$7)), 0)</f>
        <v>0</v>
      </c>
      <c r="G366" s="5">
        <f>IF(MortgageAmortBEST[[#This Row],[Month]]=I$8,E$7,0)</f>
        <v>0</v>
      </c>
      <c r="H366" s="13">
        <f>IF(AND(C366&gt;='Amort. Sched.-BEST'!$I$8, C366&lt;= ($I$7+$I$8)), H365+F366, 0)</f>
        <v>0</v>
      </c>
      <c r="I366" s="24" t="str">
        <f>IF(AND(C366&gt;='Amort. Sched.-BEST'!$I$8, C366&lt;= ($I$7+$I$8)), E366/D366, " ")</f>
        <v xml:space="preserve"> </v>
      </c>
      <c r="J366" s="25" t="str">
        <f>IF(AND(C366&gt;='Amort. Sched.-BEST'!$I$8, C366&lt;= ($I$7+$I$8)), F366/D366, " ")</f>
        <v xml:space="preserve"> </v>
      </c>
      <c r="L366" s="20">
        <f t="shared" si="85"/>
        <v>355</v>
      </c>
      <c r="M366" s="5">
        <f>IF(AND(L366&gt;='Amort. Sched.-BEST'!$R$8, L366&lt;= ($R$7+$R$8)), PMT('Amort. Sched.-BEST'!$N$8/12, 'Amort. Sched.-BEST'!$R$7, 'Amort. Sched.-BEST'!$N$7), 0)</f>
        <v>0</v>
      </c>
      <c r="N366" s="5">
        <f>IF(AND(L366&gt;='Amort. Sched.-BEST'!$R$8, L366&lt;= ($R$7+$R$8)), (IPMT($N$8/12, (L366-$R$8), $R$7, $N$7)), 0)</f>
        <v>0</v>
      </c>
      <c r="O366" s="5">
        <f>IF(AND(L366&gt;='Amort. Sched.-BEST'!$R$8, L366&lt;= ($R$7+$R$8)), (PPMT($N$8/12, (L366-$R$8), $R$7, $N$7)), 0)</f>
        <v>0</v>
      </c>
      <c r="P366" s="5">
        <f>IF(CreditAmort1BEST[[#This Row],[Month]]=R$8,N$7,0)</f>
        <v>0</v>
      </c>
      <c r="Q366" s="13">
        <f>IF(AND(L366&gt;='Amort. Sched.-BEST'!$R$8, L366&lt;= ($R$7+$R$8)), Q365+O366, 0)</f>
        <v>0</v>
      </c>
      <c r="R366" s="6" t="str">
        <f>IF(AND(L366&gt;='Amort. Sched.-BEST'!$R$8, L366&lt;= ($R$7+$R$8)), N366/M366, " ")</f>
        <v xml:space="preserve"> </v>
      </c>
      <c r="S366" s="21" t="str">
        <f>IF(AND(L366&gt;='Amort. Sched.-BEST'!$R$8, L366&lt;= ($R$7+$R$8)), O366/M366, " ")</f>
        <v xml:space="preserve"> </v>
      </c>
      <c r="U366" s="22">
        <f t="shared" si="87"/>
        <v>355</v>
      </c>
      <c r="V366" s="23">
        <f>IF(AND(U366&gt;='Amort. Sched.-BEST'!$AA$8, U366&lt;= ($AA$7+$AA$8)), PMT('Amort. Sched.-BEST'!$W$8/12, 'Amort. Sched.-BEST'!$AA$7, 'Amort. Sched.-BEST'!$W$7), 0)</f>
        <v>0</v>
      </c>
      <c r="W366" s="5">
        <f>IF(AND(U366&gt;='Amort. Sched.-BEST'!$AA$8, U366&lt;= ($AA$7+$AA$8)), (IPMT($W$8/12, (U366-$AA$8), $AA$7, $W$7)), 0)</f>
        <v>0</v>
      </c>
      <c r="X366" s="23">
        <f>IF(AND(U366&gt;='Amort. Sched.-BEST'!$AA$8, U366&lt;= ($AA$7+$AA$8)), (PPMT($W$8/12, (U366-$AA$8), $AA$7, $W$7)), 0)</f>
        <v>0</v>
      </c>
      <c r="Y366" s="5">
        <f>IF(CreditAmort2BEST[[#This Row],[Month]]=AA$8,W$7,0)</f>
        <v>0</v>
      </c>
      <c r="Z366" s="13">
        <f>IF(AND(U366&gt;='Amort. Sched.-BEST'!$AA$8, U366&lt;= ($AA$7+$AA$8)), Z365+X366, 0)</f>
        <v>0</v>
      </c>
      <c r="AA366" s="24" t="str">
        <f>IF(AND(U366&gt;='Amort. Sched.-BEST'!$AA$8, U366&lt;= ($AA$7+$AA$8)), W366/V366, " ")</f>
        <v xml:space="preserve"> </v>
      </c>
      <c r="AB366" s="25" t="str">
        <f>IF(AND(U366&gt;='Amort. Sched.-BEST'!$AA$8, U366&lt;= ($AA$7+$AA$8)), X366/V366, " ")</f>
        <v xml:space="preserve"> </v>
      </c>
      <c r="AD366" s="22">
        <f t="shared" si="88"/>
        <v>355</v>
      </c>
      <c r="AE366" s="5">
        <f t="shared" si="89"/>
        <v>0</v>
      </c>
      <c r="AF366" s="5">
        <f t="shared" si="90"/>
        <v>0</v>
      </c>
      <c r="AG366" s="5">
        <f t="shared" si="91"/>
        <v>0</v>
      </c>
      <c r="AH366" s="5">
        <f>IF(CreditAmort3BEST[[#This Row],[Month]]=AJ$8,AF$7,0)</f>
        <v>0</v>
      </c>
      <c r="AI366" s="13">
        <f t="shared" si="92"/>
        <v>0</v>
      </c>
      <c r="AJ366" s="6" t="str">
        <f t="shared" si="93"/>
        <v xml:space="preserve"> </v>
      </c>
      <c r="AK366" s="21" t="str">
        <f t="shared" si="94"/>
        <v xml:space="preserve"> </v>
      </c>
      <c r="AM366" s="20">
        <f t="shared" si="95"/>
        <v>355</v>
      </c>
      <c r="AN366" s="5">
        <f t="shared" si="96"/>
        <v>0</v>
      </c>
      <c r="AO366" s="5">
        <f t="shared" si="97"/>
        <v>0</v>
      </c>
      <c r="AP366" s="5">
        <f t="shared" si="98"/>
        <v>0</v>
      </c>
      <c r="AQ366" s="5">
        <f>IF(CreditAmort4BEST[[#This Row],[Month]]=AS$8,AO$7,0)</f>
        <v>0</v>
      </c>
      <c r="AR366" s="13">
        <f t="shared" si="99"/>
        <v>0</v>
      </c>
      <c r="AS366" s="6" t="str">
        <f t="shared" si="100"/>
        <v xml:space="preserve"> </v>
      </c>
      <c r="AT366" s="21" t="str">
        <f t="shared" si="101"/>
        <v xml:space="preserve"> </v>
      </c>
    </row>
    <row r="367" spans="3:46">
      <c r="C367" s="22">
        <f t="shared" si="86"/>
        <v>356</v>
      </c>
      <c r="D367" s="23">
        <f>IF(AND(C367&gt;='Amort. Sched.-BEST'!$I$8, C367&lt;= ($I$7+$I$8)), PMT('Amort. Sched.-BEST'!$E$8/12, 'Amort. Sched.-BEST'!$I$7, 'Amort. Sched.-BEST'!$E$7), 0)</f>
        <v>0</v>
      </c>
      <c r="E367" s="5">
        <f>IF(AND(C367&gt;='Amort. Sched.-BEST'!$I$8, C367&lt;= ($I$7+$I$8)), (IPMT($E$8/12, (C367-$I$8), $I$7, $E$7)), 0)</f>
        <v>0</v>
      </c>
      <c r="F367" s="23">
        <f>IF(AND(C367&gt;='Amort. Sched.-BEST'!$I$8, C367&lt;= ($I$7+$I$8)), (PPMT($E$8/12, (C367-$I$8), $I$7, $E$7)), 0)</f>
        <v>0</v>
      </c>
      <c r="G367" s="5">
        <f>IF(MortgageAmortBEST[[#This Row],[Month]]=I$8,E$7,0)</f>
        <v>0</v>
      </c>
      <c r="H367" s="13">
        <f>IF(AND(C367&gt;='Amort. Sched.-BEST'!$I$8, C367&lt;= ($I$7+$I$8)), H366+F367, 0)</f>
        <v>0</v>
      </c>
      <c r="I367" s="24" t="str">
        <f>IF(AND(C367&gt;='Amort. Sched.-BEST'!$I$8, C367&lt;= ($I$7+$I$8)), E367/D367, " ")</f>
        <v xml:space="preserve"> </v>
      </c>
      <c r="J367" s="25" t="str">
        <f>IF(AND(C367&gt;='Amort. Sched.-BEST'!$I$8, C367&lt;= ($I$7+$I$8)), F367/D367, " ")</f>
        <v xml:space="preserve"> </v>
      </c>
      <c r="L367" s="20">
        <f t="shared" si="85"/>
        <v>356</v>
      </c>
      <c r="M367" s="5">
        <f>IF(AND(L367&gt;='Amort. Sched.-BEST'!$R$8, L367&lt;= ($R$7+$R$8)), PMT('Amort. Sched.-BEST'!$N$8/12, 'Amort. Sched.-BEST'!$R$7, 'Amort. Sched.-BEST'!$N$7), 0)</f>
        <v>0</v>
      </c>
      <c r="N367" s="5">
        <f>IF(AND(L367&gt;='Amort. Sched.-BEST'!$R$8, L367&lt;= ($R$7+$R$8)), (IPMT($N$8/12, (L367-$R$8), $R$7, $N$7)), 0)</f>
        <v>0</v>
      </c>
      <c r="O367" s="5">
        <f>IF(AND(L367&gt;='Amort. Sched.-BEST'!$R$8, L367&lt;= ($R$7+$R$8)), (PPMT($N$8/12, (L367-$R$8), $R$7, $N$7)), 0)</f>
        <v>0</v>
      </c>
      <c r="P367" s="5">
        <f>IF(CreditAmort1BEST[[#This Row],[Month]]=R$8,N$7,0)</f>
        <v>0</v>
      </c>
      <c r="Q367" s="13">
        <f>IF(AND(L367&gt;='Amort. Sched.-BEST'!$R$8, L367&lt;= ($R$7+$R$8)), Q366+O367, 0)</f>
        <v>0</v>
      </c>
      <c r="R367" s="6" t="str">
        <f>IF(AND(L367&gt;='Amort. Sched.-BEST'!$R$8, L367&lt;= ($R$7+$R$8)), N367/M367, " ")</f>
        <v xml:space="preserve"> </v>
      </c>
      <c r="S367" s="21" t="str">
        <f>IF(AND(L367&gt;='Amort. Sched.-BEST'!$R$8, L367&lt;= ($R$7+$R$8)), O367/M367, " ")</f>
        <v xml:space="preserve"> </v>
      </c>
      <c r="U367" s="22">
        <f t="shared" si="87"/>
        <v>356</v>
      </c>
      <c r="V367" s="23">
        <f>IF(AND(U367&gt;='Amort. Sched.-BEST'!$AA$8, U367&lt;= ($AA$7+$AA$8)), PMT('Amort. Sched.-BEST'!$W$8/12, 'Amort. Sched.-BEST'!$AA$7, 'Amort. Sched.-BEST'!$W$7), 0)</f>
        <v>0</v>
      </c>
      <c r="W367" s="5">
        <f>IF(AND(U367&gt;='Amort. Sched.-BEST'!$AA$8, U367&lt;= ($AA$7+$AA$8)), (IPMT($W$8/12, (U367-$AA$8), $AA$7, $W$7)), 0)</f>
        <v>0</v>
      </c>
      <c r="X367" s="23">
        <f>IF(AND(U367&gt;='Amort. Sched.-BEST'!$AA$8, U367&lt;= ($AA$7+$AA$8)), (PPMT($W$8/12, (U367-$AA$8), $AA$7, $W$7)), 0)</f>
        <v>0</v>
      </c>
      <c r="Y367" s="5">
        <f>IF(CreditAmort2BEST[[#This Row],[Month]]=AA$8,W$7,0)</f>
        <v>0</v>
      </c>
      <c r="Z367" s="13">
        <f>IF(AND(U367&gt;='Amort. Sched.-BEST'!$AA$8, U367&lt;= ($AA$7+$AA$8)), Z366+X367, 0)</f>
        <v>0</v>
      </c>
      <c r="AA367" s="24" t="str">
        <f>IF(AND(U367&gt;='Amort. Sched.-BEST'!$AA$8, U367&lt;= ($AA$7+$AA$8)), W367/V367, " ")</f>
        <v xml:space="preserve"> </v>
      </c>
      <c r="AB367" s="25" t="str">
        <f>IF(AND(U367&gt;='Amort. Sched.-BEST'!$AA$8, U367&lt;= ($AA$7+$AA$8)), X367/V367, " ")</f>
        <v xml:space="preserve"> </v>
      </c>
      <c r="AD367" s="22">
        <f t="shared" si="88"/>
        <v>356</v>
      </c>
      <c r="AE367" s="5">
        <f t="shared" si="89"/>
        <v>0</v>
      </c>
      <c r="AF367" s="5">
        <f t="shared" si="90"/>
        <v>0</v>
      </c>
      <c r="AG367" s="5">
        <f t="shared" si="91"/>
        <v>0</v>
      </c>
      <c r="AH367" s="5">
        <f>IF(CreditAmort3BEST[[#This Row],[Month]]=AJ$8,AF$7,0)</f>
        <v>0</v>
      </c>
      <c r="AI367" s="13">
        <f t="shared" si="92"/>
        <v>0</v>
      </c>
      <c r="AJ367" s="6" t="str">
        <f t="shared" si="93"/>
        <v xml:space="preserve"> </v>
      </c>
      <c r="AK367" s="21" t="str">
        <f t="shared" si="94"/>
        <v xml:space="preserve"> </v>
      </c>
      <c r="AM367" s="20">
        <f t="shared" si="95"/>
        <v>356</v>
      </c>
      <c r="AN367" s="5">
        <f t="shared" si="96"/>
        <v>0</v>
      </c>
      <c r="AO367" s="5">
        <f t="shared" si="97"/>
        <v>0</v>
      </c>
      <c r="AP367" s="5">
        <f t="shared" si="98"/>
        <v>0</v>
      </c>
      <c r="AQ367" s="5">
        <f>IF(CreditAmort4BEST[[#This Row],[Month]]=AS$8,AO$7,0)</f>
        <v>0</v>
      </c>
      <c r="AR367" s="13">
        <f t="shared" si="99"/>
        <v>0</v>
      </c>
      <c r="AS367" s="6" t="str">
        <f t="shared" si="100"/>
        <v xml:space="preserve"> </v>
      </c>
      <c r="AT367" s="21" t="str">
        <f t="shared" si="101"/>
        <v xml:space="preserve"> </v>
      </c>
    </row>
    <row r="368" spans="3:46">
      <c r="C368" s="22">
        <f t="shared" si="86"/>
        <v>357</v>
      </c>
      <c r="D368" s="23">
        <f>IF(AND(C368&gt;='Amort. Sched.-BEST'!$I$8, C368&lt;= ($I$7+$I$8)), PMT('Amort. Sched.-BEST'!$E$8/12, 'Amort. Sched.-BEST'!$I$7, 'Amort. Sched.-BEST'!$E$7), 0)</f>
        <v>0</v>
      </c>
      <c r="E368" s="5">
        <f>IF(AND(C368&gt;='Amort. Sched.-BEST'!$I$8, C368&lt;= ($I$7+$I$8)), (IPMT($E$8/12, (C368-$I$8), $I$7, $E$7)), 0)</f>
        <v>0</v>
      </c>
      <c r="F368" s="23">
        <f>IF(AND(C368&gt;='Amort. Sched.-BEST'!$I$8, C368&lt;= ($I$7+$I$8)), (PPMT($E$8/12, (C368-$I$8), $I$7, $E$7)), 0)</f>
        <v>0</v>
      </c>
      <c r="G368" s="5">
        <f>IF(MortgageAmortBEST[[#This Row],[Month]]=I$8,E$7,0)</f>
        <v>0</v>
      </c>
      <c r="H368" s="13">
        <f>IF(AND(C368&gt;='Amort. Sched.-BEST'!$I$8, C368&lt;= ($I$7+$I$8)), H367+F368, 0)</f>
        <v>0</v>
      </c>
      <c r="I368" s="24" t="str">
        <f>IF(AND(C368&gt;='Amort. Sched.-BEST'!$I$8, C368&lt;= ($I$7+$I$8)), E368/D368, " ")</f>
        <v xml:space="preserve"> </v>
      </c>
      <c r="J368" s="25" t="str">
        <f>IF(AND(C368&gt;='Amort. Sched.-BEST'!$I$8, C368&lt;= ($I$7+$I$8)), F368/D368, " ")</f>
        <v xml:space="preserve"> </v>
      </c>
      <c r="L368" s="20">
        <f t="shared" si="85"/>
        <v>357</v>
      </c>
      <c r="M368" s="5">
        <f>IF(AND(L368&gt;='Amort. Sched.-BEST'!$R$8, L368&lt;= ($R$7+$R$8)), PMT('Amort. Sched.-BEST'!$N$8/12, 'Amort. Sched.-BEST'!$R$7, 'Amort. Sched.-BEST'!$N$7), 0)</f>
        <v>0</v>
      </c>
      <c r="N368" s="5">
        <f>IF(AND(L368&gt;='Amort. Sched.-BEST'!$R$8, L368&lt;= ($R$7+$R$8)), (IPMT($N$8/12, (L368-$R$8), $R$7, $N$7)), 0)</f>
        <v>0</v>
      </c>
      <c r="O368" s="5">
        <f>IF(AND(L368&gt;='Amort. Sched.-BEST'!$R$8, L368&lt;= ($R$7+$R$8)), (PPMT($N$8/12, (L368-$R$8), $R$7, $N$7)), 0)</f>
        <v>0</v>
      </c>
      <c r="P368" s="5">
        <f>IF(CreditAmort1BEST[[#This Row],[Month]]=R$8,N$7,0)</f>
        <v>0</v>
      </c>
      <c r="Q368" s="13">
        <f>IF(AND(L368&gt;='Amort. Sched.-BEST'!$R$8, L368&lt;= ($R$7+$R$8)), Q367+O368, 0)</f>
        <v>0</v>
      </c>
      <c r="R368" s="6" t="str">
        <f>IF(AND(L368&gt;='Amort. Sched.-BEST'!$R$8, L368&lt;= ($R$7+$R$8)), N368/M368, " ")</f>
        <v xml:space="preserve"> </v>
      </c>
      <c r="S368" s="21" t="str">
        <f>IF(AND(L368&gt;='Amort. Sched.-BEST'!$R$8, L368&lt;= ($R$7+$R$8)), O368/M368, " ")</f>
        <v xml:space="preserve"> </v>
      </c>
      <c r="U368" s="22">
        <f t="shared" si="87"/>
        <v>357</v>
      </c>
      <c r="V368" s="23">
        <f>IF(AND(U368&gt;='Amort. Sched.-BEST'!$AA$8, U368&lt;= ($AA$7+$AA$8)), PMT('Amort. Sched.-BEST'!$W$8/12, 'Amort. Sched.-BEST'!$AA$7, 'Amort. Sched.-BEST'!$W$7), 0)</f>
        <v>0</v>
      </c>
      <c r="W368" s="5">
        <f>IF(AND(U368&gt;='Amort. Sched.-BEST'!$AA$8, U368&lt;= ($AA$7+$AA$8)), (IPMT($W$8/12, (U368-$AA$8), $AA$7, $W$7)), 0)</f>
        <v>0</v>
      </c>
      <c r="X368" s="23">
        <f>IF(AND(U368&gt;='Amort. Sched.-BEST'!$AA$8, U368&lt;= ($AA$7+$AA$8)), (PPMT($W$8/12, (U368-$AA$8), $AA$7, $W$7)), 0)</f>
        <v>0</v>
      </c>
      <c r="Y368" s="5">
        <f>IF(CreditAmort2BEST[[#This Row],[Month]]=AA$8,W$7,0)</f>
        <v>0</v>
      </c>
      <c r="Z368" s="13">
        <f>IF(AND(U368&gt;='Amort. Sched.-BEST'!$AA$8, U368&lt;= ($AA$7+$AA$8)), Z367+X368, 0)</f>
        <v>0</v>
      </c>
      <c r="AA368" s="24" t="str">
        <f>IF(AND(U368&gt;='Amort. Sched.-BEST'!$AA$8, U368&lt;= ($AA$7+$AA$8)), W368/V368, " ")</f>
        <v xml:space="preserve"> </v>
      </c>
      <c r="AB368" s="25" t="str">
        <f>IF(AND(U368&gt;='Amort. Sched.-BEST'!$AA$8, U368&lt;= ($AA$7+$AA$8)), X368/V368, " ")</f>
        <v xml:space="preserve"> </v>
      </c>
      <c r="AD368" s="22">
        <f t="shared" si="88"/>
        <v>357</v>
      </c>
      <c r="AE368" s="5">
        <f t="shared" si="89"/>
        <v>0</v>
      </c>
      <c r="AF368" s="5">
        <f t="shared" si="90"/>
        <v>0</v>
      </c>
      <c r="AG368" s="5">
        <f t="shared" si="91"/>
        <v>0</v>
      </c>
      <c r="AH368" s="5">
        <f>IF(CreditAmort3BEST[[#This Row],[Month]]=AJ$8,AF$7,0)</f>
        <v>0</v>
      </c>
      <c r="AI368" s="13">
        <f t="shared" si="92"/>
        <v>0</v>
      </c>
      <c r="AJ368" s="6" t="str">
        <f t="shared" si="93"/>
        <v xml:space="preserve"> </v>
      </c>
      <c r="AK368" s="21" t="str">
        <f t="shared" si="94"/>
        <v xml:space="preserve"> </v>
      </c>
      <c r="AM368" s="20">
        <f t="shared" si="95"/>
        <v>357</v>
      </c>
      <c r="AN368" s="5">
        <f t="shared" si="96"/>
        <v>0</v>
      </c>
      <c r="AO368" s="5">
        <f t="shared" si="97"/>
        <v>0</v>
      </c>
      <c r="AP368" s="5">
        <f t="shared" si="98"/>
        <v>0</v>
      </c>
      <c r="AQ368" s="5">
        <f>IF(CreditAmort4BEST[[#This Row],[Month]]=AS$8,AO$7,0)</f>
        <v>0</v>
      </c>
      <c r="AR368" s="13">
        <f t="shared" si="99"/>
        <v>0</v>
      </c>
      <c r="AS368" s="6" t="str">
        <f t="shared" si="100"/>
        <v xml:space="preserve"> </v>
      </c>
      <c r="AT368" s="21" t="str">
        <f t="shared" si="101"/>
        <v xml:space="preserve"> </v>
      </c>
    </row>
    <row r="369" spans="3:46">
      <c r="C369" s="22">
        <f t="shared" si="86"/>
        <v>358</v>
      </c>
      <c r="D369" s="23">
        <f>IF(AND(C369&gt;='Amort. Sched.-BEST'!$I$8, C369&lt;= ($I$7+$I$8)), PMT('Amort. Sched.-BEST'!$E$8/12, 'Amort. Sched.-BEST'!$I$7, 'Amort. Sched.-BEST'!$E$7), 0)</f>
        <v>0</v>
      </c>
      <c r="E369" s="5">
        <f>IF(AND(C369&gt;='Amort. Sched.-BEST'!$I$8, C369&lt;= ($I$7+$I$8)), (IPMT($E$8/12, (C369-$I$8), $I$7, $E$7)), 0)</f>
        <v>0</v>
      </c>
      <c r="F369" s="23">
        <f>IF(AND(C369&gt;='Amort. Sched.-BEST'!$I$8, C369&lt;= ($I$7+$I$8)), (PPMT($E$8/12, (C369-$I$8), $I$7, $E$7)), 0)</f>
        <v>0</v>
      </c>
      <c r="G369" s="5">
        <f>IF(MortgageAmortBEST[[#This Row],[Month]]=I$8,E$7,0)</f>
        <v>0</v>
      </c>
      <c r="H369" s="13">
        <f>IF(AND(C369&gt;='Amort. Sched.-BEST'!$I$8, C369&lt;= ($I$7+$I$8)), H368+F369, 0)</f>
        <v>0</v>
      </c>
      <c r="I369" s="24" t="str">
        <f>IF(AND(C369&gt;='Amort. Sched.-BEST'!$I$8, C369&lt;= ($I$7+$I$8)), E369/D369, " ")</f>
        <v xml:space="preserve"> </v>
      </c>
      <c r="J369" s="25" t="str">
        <f>IF(AND(C369&gt;='Amort. Sched.-BEST'!$I$8, C369&lt;= ($I$7+$I$8)), F369/D369, " ")</f>
        <v xml:space="preserve"> </v>
      </c>
      <c r="L369" s="20">
        <f t="shared" si="85"/>
        <v>358</v>
      </c>
      <c r="M369" s="5">
        <f>IF(AND(L369&gt;='Amort. Sched.-BEST'!$R$8, L369&lt;= ($R$7+$R$8)), PMT('Amort. Sched.-BEST'!$N$8/12, 'Amort. Sched.-BEST'!$R$7, 'Amort. Sched.-BEST'!$N$7), 0)</f>
        <v>0</v>
      </c>
      <c r="N369" s="5">
        <f>IF(AND(L369&gt;='Amort. Sched.-BEST'!$R$8, L369&lt;= ($R$7+$R$8)), (IPMT($N$8/12, (L369-$R$8), $R$7, $N$7)), 0)</f>
        <v>0</v>
      </c>
      <c r="O369" s="5">
        <f>IF(AND(L369&gt;='Amort. Sched.-BEST'!$R$8, L369&lt;= ($R$7+$R$8)), (PPMT($N$8/12, (L369-$R$8), $R$7, $N$7)), 0)</f>
        <v>0</v>
      </c>
      <c r="P369" s="5">
        <f>IF(CreditAmort1BEST[[#This Row],[Month]]=R$8,N$7,0)</f>
        <v>0</v>
      </c>
      <c r="Q369" s="13">
        <f>IF(AND(L369&gt;='Amort. Sched.-BEST'!$R$8, L369&lt;= ($R$7+$R$8)), Q368+O369, 0)</f>
        <v>0</v>
      </c>
      <c r="R369" s="6" t="str">
        <f>IF(AND(L369&gt;='Amort. Sched.-BEST'!$R$8, L369&lt;= ($R$7+$R$8)), N369/M369, " ")</f>
        <v xml:space="preserve"> </v>
      </c>
      <c r="S369" s="21" t="str">
        <f>IF(AND(L369&gt;='Amort. Sched.-BEST'!$R$8, L369&lt;= ($R$7+$R$8)), O369/M369, " ")</f>
        <v xml:space="preserve"> </v>
      </c>
      <c r="U369" s="22">
        <f t="shared" si="87"/>
        <v>358</v>
      </c>
      <c r="V369" s="23">
        <f>IF(AND(U369&gt;='Amort. Sched.-BEST'!$AA$8, U369&lt;= ($AA$7+$AA$8)), PMT('Amort. Sched.-BEST'!$W$8/12, 'Amort. Sched.-BEST'!$AA$7, 'Amort. Sched.-BEST'!$W$7), 0)</f>
        <v>0</v>
      </c>
      <c r="W369" s="5">
        <f>IF(AND(U369&gt;='Amort. Sched.-BEST'!$AA$8, U369&lt;= ($AA$7+$AA$8)), (IPMT($W$8/12, (U369-$AA$8), $AA$7, $W$7)), 0)</f>
        <v>0</v>
      </c>
      <c r="X369" s="23">
        <f>IF(AND(U369&gt;='Amort. Sched.-BEST'!$AA$8, U369&lt;= ($AA$7+$AA$8)), (PPMT($W$8/12, (U369-$AA$8), $AA$7, $W$7)), 0)</f>
        <v>0</v>
      </c>
      <c r="Y369" s="5">
        <f>IF(CreditAmort2BEST[[#This Row],[Month]]=AA$8,W$7,0)</f>
        <v>0</v>
      </c>
      <c r="Z369" s="13">
        <f>IF(AND(U369&gt;='Amort. Sched.-BEST'!$AA$8, U369&lt;= ($AA$7+$AA$8)), Z368+X369, 0)</f>
        <v>0</v>
      </c>
      <c r="AA369" s="24" t="str">
        <f>IF(AND(U369&gt;='Amort. Sched.-BEST'!$AA$8, U369&lt;= ($AA$7+$AA$8)), W369/V369, " ")</f>
        <v xml:space="preserve"> </v>
      </c>
      <c r="AB369" s="25" t="str">
        <f>IF(AND(U369&gt;='Amort. Sched.-BEST'!$AA$8, U369&lt;= ($AA$7+$AA$8)), X369/V369, " ")</f>
        <v xml:space="preserve"> </v>
      </c>
      <c r="AD369" s="22">
        <f t="shared" si="88"/>
        <v>358</v>
      </c>
      <c r="AE369" s="5">
        <f t="shared" si="89"/>
        <v>0</v>
      </c>
      <c r="AF369" s="5">
        <f t="shared" si="90"/>
        <v>0</v>
      </c>
      <c r="AG369" s="5">
        <f t="shared" si="91"/>
        <v>0</v>
      </c>
      <c r="AH369" s="5">
        <f>IF(CreditAmort3BEST[[#This Row],[Month]]=AJ$8,AF$7,0)</f>
        <v>0</v>
      </c>
      <c r="AI369" s="13">
        <f t="shared" si="92"/>
        <v>0</v>
      </c>
      <c r="AJ369" s="6" t="str">
        <f t="shared" si="93"/>
        <v xml:space="preserve"> </v>
      </c>
      <c r="AK369" s="21" t="str">
        <f t="shared" si="94"/>
        <v xml:space="preserve"> </v>
      </c>
      <c r="AM369" s="20">
        <f t="shared" si="95"/>
        <v>358</v>
      </c>
      <c r="AN369" s="5">
        <f t="shared" si="96"/>
        <v>0</v>
      </c>
      <c r="AO369" s="5">
        <f t="shared" si="97"/>
        <v>0</v>
      </c>
      <c r="AP369" s="5">
        <f t="shared" si="98"/>
        <v>0</v>
      </c>
      <c r="AQ369" s="5">
        <f>IF(CreditAmort4BEST[[#This Row],[Month]]=AS$8,AO$7,0)</f>
        <v>0</v>
      </c>
      <c r="AR369" s="13">
        <f t="shared" si="99"/>
        <v>0</v>
      </c>
      <c r="AS369" s="6" t="str">
        <f t="shared" si="100"/>
        <v xml:space="preserve"> </v>
      </c>
      <c r="AT369" s="21" t="str">
        <f t="shared" si="101"/>
        <v xml:space="preserve"> </v>
      </c>
    </row>
    <row r="370" spans="3:46">
      <c r="C370" s="22">
        <f t="shared" si="86"/>
        <v>359</v>
      </c>
      <c r="D370" s="23">
        <f>IF(AND(C370&gt;='Amort. Sched.-BEST'!$I$8, C370&lt;= ($I$7+$I$8)), PMT('Amort. Sched.-BEST'!$E$8/12, 'Amort. Sched.-BEST'!$I$7, 'Amort. Sched.-BEST'!$E$7), 0)</f>
        <v>0</v>
      </c>
      <c r="E370" s="5">
        <f>IF(AND(C370&gt;='Amort. Sched.-BEST'!$I$8, C370&lt;= ($I$7+$I$8)), (IPMT($E$8/12, (C370-$I$8), $I$7, $E$7)), 0)</f>
        <v>0</v>
      </c>
      <c r="F370" s="23">
        <f>IF(AND(C370&gt;='Amort. Sched.-BEST'!$I$8, C370&lt;= ($I$7+$I$8)), (PPMT($E$8/12, (C370-$I$8), $I$7, $E$7)), 0)</f>
        <v>0</v>
      </c>
      <c r="G370" s="5">
        <f>IF(MortgageAmortBEST[[#This Row],[Month]]=I$8,E$7,0)</f>
        <v>0</v>
      </c>
      <c r="H370" s="13">
        <f>IF(AND(C370&gt;='Amort. Sched.-BEST'!$I$8, C370&lt;= ($I$7+$I$8)), H369+F370, 0)</f>
        <v>0</v>
      </c>
      <c r="I370" s="24" t="str">
        <f>IF(AND(C370&gt;='Amort. Sched.-BEST'!$I$8, C370&lt;= ($I$7+$I$8)), E370/D370, " ")</f>
        <v xml:space="preserve"> </v>
      </c>
      <c r="J370" s="25" t="str">
        <f>IF(AND(C370&gt;='Amort. Sched.-BEST'!$I$8, C370&lt;= ($I$7+$I$8)), F370/D370, " ")</f>
        <v xml:space="preserve"> </v>
      </c>
      <c r="L370" s="20">
        <f t="shared" si="85"/>
        <v>359</v>
      </c>
      <c r="M370" s="5">
        <f>IF(AND(L370&gt;='Amort. Sched.-BEST'!$R$8, L370&lt;= ($R$7+$R$8)), PMT('Amort. Sched.-BEST'!$N$8/12, 'Amort. Sched.-BEST'!$R$7, 'Amort. Sched.-BEST'!$N$7), 0)</f>
        <v>0</v>
      </c>
      <c r="N370" s="5">
        <f>IF(AND(L370&gt;='Amort. Sched.-BEST'!$R$8, L370&lt;= ($R$7+$R$8)), (IPMT($N$8/12, (L370-$R$8), $R$7, $N$7)), 0)</f>
        <v>0</v>
      </c>
      <c r="O370" s="5">
        <f>IF(AND(L370&gt;='Amort. Sched.-BEST'!$R$8, L370&lt;= ($R$7+$R$8)), (PPMT($N$8/12, (L370-$R$8), $R$7, $N$7)), 0)</f>
        <v>0</v>
      </c>
      <c r="P370" s="5">
        <f>IF(CreditAmort1BEST[[#This Row],[Month]]=R$8,N$7,0)</f>
        <v>0</v>
      </c>
      <c r="Q370" s="13">
        <f>IF(AND(L370&gt;='Amort. Sched.-BEST'!$R$8, L370&lt;= ($R$7+$R$8)), Q369+O370, 0)</f>
        <v>0</v>
      </c>
      <c r="R370" s="6" t="str">
        <f>IF(AND(L370&gt;='Amort. Sched.-BEST'!$R$8, L370&lt;= ($R$7+$R$8)), N370/M370, " ")</f>
        <v xml:space="preserve"> </v>
      </c>
      <c r="S370" s="21" t="str">
        <f>IF(AND(L370&gt;='Amort. Sched.-BEST'!$R$8, L370&lt;= ($R$7+$R$8)), O370/M370, " ")</f>
        <v xml:space="preserve"> </v>
      </c>
      <c r="U370" s="22">
        <f t="shared" si="87"/>
        <v>359</v>
      </c>
      <c r="V370" s="23">
        <f>IF(AND(U370&gt;='Amort. Sched.-BEST'!$AA$8, U370&lt;= ($AA$7+$AA$8)), PMT('Amort. Sched.-BEST'!$W$8/12, 'Amort. Sched.-BEST'!$AA$7, 'Amort. Sched.-BEST'!$W$7), 0)</f>
        <v>0</v>
      </c>
      <c r="W370" s="5">
        <f>IF(AND(U370&gt;='Amort. Sched.-BEST'!$AA$8, U370&lt;= ($AA$7+$AA$8)), (IPMT($W$8/12, (U370-$AA$8), $AA$7, $W$7)), 0)</f>
        <v>0</v>
      </c>
      <c r="X370" s="23">
        <f>IF(AND(U370&gt;='Amort. Sched.-BEST'!$AA$8, U370&lt;= ($AA$7+$AA$8)), (PPMT($W$8/12, (U370-$AA$8), $AA$7, $W$7)), 0)</f>
        <v>0</v>
      </c>
      <c r="Y370" s="5">
        <f>IF(CreditAmort2BEST[[#This Row],[Month]]=AA$8,W$7,0)</f>
        <v>0</v>
      </c>
      <c r="Z370" s="13">
        <f>IF(AND(U370&gt;='Amort. Sched.-BEST'!$AA$8, U370&lt;= ($AA$7+$AA$8)), Z369+X370, 0)</f>
        <v>0</v>
      </c>
      <c r="AA370" s="24" t="str">
        <f>IF(AND(U370&gt;='Amort. Sched.-BEST'!$AA$8, U370&lt;= ($AA$7+$AA$8)), W370/V370, " ")</f>
        <v xml:space="preserve"> </v>
      </c>
      <c r="AB370" s="25" t="str">
        <f>IF(AND(U370&gt;='Amort. Sched.-BEST'!$AA$8, U370&lt;= ($AA$7+$AA$8)), X370/V370, " ")</f>
        <v xml:space="preserve"> </v>
      </c>
      <c r="AD370" s="22">
        <f t="shared" si="88"/>
        <v>359</v>
      </c>
      <c r="AE370" s="5">
        <f t="shared" si="89"/>
        <v>0</v>
      </c>
      <c r="AF370" s="5">
        <f t="shared" si="90"/>
        <v>0</v>
      </c>
      <c r="AG370" s="5">
        <f t="shared" si="91"/>
        <v>0</v>
      </c>
      <c r="AH370" s="5">
        <f>IF(CreditAmort3BEST[[#This Row],[Month]]=AJ$8,AF$7,0)</f>
        <v>0</v>
      </c>
      <c r="AI370" s="13">
        <f t="shared" si="92"/>
        <v>0</v>
      </c>
      <c r="AJ370" s="6" t="str">
        <f t="shared" si="93"/>
        <v xml:space="preserve"> </v>
      </c>
      <c r="AK370" s="21" t="str">
        <f t="shared" si="94"/>
        <v xml:space="preserve"> </v>
      </c>
      <c r="AM370" s="20">
        <f t="shared" si="95"/>
        <v>359</v>
      </c>
      <c r="AN370" s="5">
        <f t="shared" si="96"/>
        <v>0</v>
      </c>
      <c r="AO370" s="5">
        <f t="shared" si="97"/>
        <v>0</v>
      </c>
      <c r="AP370" s="5">
        <f t="shared" si="98"/>
        <v>0</v>
      </c>
      <c r="AQ370" s="5">
        <f>IF(CreditAmort4BEST[[#This Row],[Month]]=AS$8,AO$7,0)</f>
        <v>0</v>
      </c>
      <c r="AR370" s="13">
        <f t="shared" si="99"/>
        <v>0</v>
      </c>
      <c r="AS370" s="6" t="str">
        <f t="shared" si="100"/>
        <v xml:space="preserve"> </v>
      </c>
      <c r="AT370" s="21" t="str">
        <f t="shared" si="101"/>
        <v xml:space="preserve"> </v>
      </c>
    </row>
    <row r="371" spans="3:46">
      <c r="C371" s="22">
        <f t="shared" si="86"/>
        <v>360</v>
      </c>
      <c r="D371" s="23">
        <f>IF(AND(C371&gt;='Amort. Sched.-BEST'!$I$8, C371&lt;= ($I$7+$I$8)), PMT('Amort. Sched.-BEST'!$E$8/12, 'Amort. Sched.-BEST'!$I$7, 'Amort. Sched.-BEST'!$E$7), 0)</f>
        <v>0</v>
      </c>
      <c r="E371" s="5">
        <f>IF(AND(C371&gt;='Amort. Sched.-BEST'!$I$8, C371&lt;= ($I$7+$I$8)), (IPMT($E$8/12, (C371-$I$8), $I$7, $E$7)), 0)</f>
        <v>0</v>
      </c>
      <c r="F371" s="23">
        <f>IF(AND(C371&gt;='Amort. Sched.-BEST'!$I$8, C371&lt;= ($I$7+$I$8)), (PPMT($E$8/12, (C371-$I$8), $I$7, $E$7)), 0)</f>
        <v>0</v>
      </c>
      <c r="G371" s="5">
        <f>IF(MortgageAmortBEST[[#This Row],[Month]]=I$8,E$7,0)</f>
        <v>0</v>
      </c>
      <c r="H371" s="13">
        <f>IF(AND(C371&gt;='Amort. Sched.-BEST'!$I$8, C371&lt;= ($I$7+$I$8)), H370+F371, 0)</f>
        <v>0</v>
      </c>
      <c r="I371" s="24" t="str">
        <f>IF(AND(C371&gt;='Amort. Sched.-BEST'!$I$8, C371&lt;= ($I$7+$I$8)), E371/D371, " ")</f>
        <v xml:space="preserve"> </v>
      </c>
      <c r="J371" s="25" t="str">
        <f>IF(AND(C371&gt;='Amort. Sched.-BEST'!$I$8, C371&lt;= ($I$7+$I$8)), F371/D371, " ")</f>
        <v xml:space="preserve"> </v>
      </c>
      <c r="L371" s="20">
        <f t="shared" si="85"/>
        <v>360</v>
      </c>
      <c r="M371" s="5">
        <f>IF(AND(L371&gt;='Amort. Sched.-BEST'!$R$8, L371&lt;= ($R$7+$R$8)), PMT('Amort. Sched.-BEST'!$N$8/12, 'Amort. Sched.-BEST'!$R$7, 'Amort. Sched.-BEST'!$N$7), 0)</f>
        <v>0</v>
      </c>
      <c r="N371" s="5">
        <f>IF(AND(L371&gt;='Amort. Sched.-BEST'!$R$8, L371&lt;= ($R$7+$R$8)), (IPMT($N$8/12, (L371-$R$8), $R$7, $N$7)), 0)</f>
        <v>0</v>
      </c>
      <c r="O371" s="5">
        <f>IF(AND(L371&gt;='Amort. Sched.-BEST'!$R$8, L371&lt;= ($R$7+$R$8)), (PPMT($N$8/12, (L371-$R$8), $R$7, $N$7)), 0)</f>
        <v>0</v>
      </c>
      <c r="P371" s="5">
        <f>IF(CreditAmort1BEST[[#This Row],[Month]]=R$8,N$7,0)</f>
        <v>0</v>
      </c>
      <c r="Q371" s="13">
        <f>IF(AND(L371&gt;='Amort. Sched.-BEST'!$R$8, L371&lt;= ($R$7+$R$8)), Q370+O371, 0)</f>
        <v>0</v>
      </c>
      <c r="R371" s="6" t="str">
        <f>IF(AND(L371&gt;='Amort. Sched.-BEST'!$R$8, L371&lt;= ($R$7+$R$8)), N371/M371, " ")</f>
        <v xml:space="preserve"> </v>
      </c>
      <c r="S371" s="21" t="str">
        <f>IF(AND(L371&gt;='Amort. Sched.-BEST'!$R$8, L371&lt;= ($R$7+$R$8)), O371/M371, " ")</f>
        <v xml:space="preserve"> </v>
      </c>
      <c r="U371" s="22">
        <f t="shared" si="87"/>
        <v>360</v>
      </c>
      <c r="V371" s="23">
        <f>IF(AND(U371&gt;='Amort. Sched.-BEST'!$AA$8, U371&lt;= ($AA$7+$AA$8)), PMT('Amort. Sched.-BEST'!$W$8/12, 'Amort. Sched.-BEST'!$AA$7, 'Amort. Sched.-BEST'!$W$7), 0)</f>
        <v>0</v>
      </c>
      <c r="W371" s="5">
        <f>IF(AND(U371&gt;='Amort. Sched.-BEST'!$AA$8, U371&lt;= ($AA$7+$AA$8)), (IPMT($W$8/12, (U371-$AA$8), $AA$7, $W$7)), 0)</f>
        <v>0</v>
      </c>
      <c r="X371" s="23">
        <f>IF(AND(U371&gt;='Amort. Sched.-BEST'!$AA$8, U371&lt;= ($AA$7+$AA$8)), (PPMT($W$8/12, (U371-$AA$8), $AA$7, $W$7)), 0)</f>
        <v>0</v>
      </c>
      <c r="Y371" s="5">
        <f>IF(CreditAmort2BEST[[#This Row],[Month]]=AA$8,W$7,0)</f>
        <v>0</v>
      </c>
      <c r="Z371" s="13">
        <f>IF(AND(U371&gt;='Amort. Sched.-BEST'!$AA$8, U371&lt;= ($AA$7+$AA$8)), Z370+X371, 0)</f>
        <v>0</v>
      </c>
      <c r="AA371" s="24" t="str">
        <f>IF(AND(U371&gt;='Amort. Sched.-BEST'!$AA$8, U371&lt;= ($AA$7+$AA$8)), W371/V371, " ")</f>
        <v xml:space="preserve"> </v>
      </c>
      <c r="AB371" s="25" t="str">
        <f>IF(AND(U371&gt;='Amort. Sched.-BEST'!$AA$8, U371&lt;= ($AA$7+$AA$8)), X371/V371, " ")</f>
        <v xml:space="preserve"> </v>
      </c>
      <c r="AD371" s="22">
        <f t="shared" si="88"/>
        <v>360</v>
      </c>
      <c r="AE371" s="5">
        <f t="shared" si="89"/>
        <v>0</v>
      </c>
      <c r="AF371" s="5">
        <f t="shared" si="90"/>
        <v>0</v>
      </c>
      <c r="AG371" s="5">
        <f t="shared" si="91"/>
        <v>0</v>
      </c>
      <c r="AH371" s="5">
        <f>IF(CreditAmort3BEST[[#This Row],[Month]]=AJ$8,AF$7,0)</f>
        <v>0</v>
      </c>
      <c r="AI371" s="13">
        <f t="shared" si="92"/>
        <v>0</v>
      </c>
      <c r="AJ371" s="6" t="str">
        <f t="shared" si="93"/>
        <v xml:space="preserve"> </v>
      </c>
      <c r="AK371" s="21" t="str">
        <f t="shared" si="94"/>
        <v xml:space="preserve"> </v>
      </c>
      <c r="AM371" s="20">
        <f t="shared" si="95"/>
        <v>360</v>
      </c>
      <c r="AN371" s="5">
        <f t="shared" si="96"/>
        <v>0</v>
      </c>
      <c r="AO371" s="5">
        <f t="shared" si="97"/>
        <v>0</v>
      </c>
      <c r="AP371" s="5">
        <f t="shared" si="98"/>
        <v>0</v>
      </c>
      <c r="AQ371" s="5">
        <f>IF(CreditAmort4BEST[[#This Row],[Month]]=AS$8,AO$7,0)</f>
        <v>0</v>
      </c>
      <c r="AR371" s="13">
        <f t="shared" si="99"/>
        <v>0</v>
      </c>
      <c r="AS371" s="6" t="str">
        <f t="shared" si="100"/>
        <v xml:space="preserve"> </v>
      </c>
      <c r="AT371" s="21" t="str">
        <f t="shared" si="101"/>
        <v xml:space="preserve"> </v>
      </c>
    </row>
  </sheetData>
  <sheetProtection algorithmName="SHA-512" hashValue="egHYTqWpI7Yw5z1xbf133y9ilr40ZUtdy3L8jyUwIrjPBgHb4I6ev03BAiI3EqSJ+5IWhb+wMHyhwYZL80EIbQ==" saltValue="U0xz5PF+wu8rzsM4/Nk55A==" spinCount="100000" sheet="1" objects="1" scenarios="1"/>
  <mergeCells count="5">
    <mergeCell ref="C6:J6"/>
    <mergeCell ref="L6:S6"/>
    <mergeCell ref="U6:AB6"/>
    <mergeCell ref="AD6:AK6"/>
    <mergeCell ref="AM6:AT6"/>
  </mergeCells>
  <pageMargins left="0.7" right="0.7" top="0.75" bottom="0.75" header="0.3" footer="0.3"/>
  <pageSetup orientation="portrait" r:id="rId1"/>
  <tableParts count="5">
    <tablePart r:id="rId2"/>
    <tablePart r:id="rId3"/>
    <tablePart r:id="rId4"/>
    <tablePart r:id="rId5"/>
    <tablePart r:id="rId6"/>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BADB3-8898-4486-9837-5CCDC2B9F10D}">
  <sheetPr>
    <tabColor theme="1"/>
  </sheetPr>
  <dimension ref="A1:AT371"/>
  <sheetViews>
    <sheetView showGridLines="0" zoomScaleNormal="100" workbookViewId="0">
      <selection activeCell="G3" sqref="G3"/>
    </sheetView>
  </sheetViews>
  <sheetFormatPr defaultColWidth="8.86328125" defaultRowHeight="12.4"/>
  <cols>
    <col min="1" max="1" width="2.6640625" style="1" customWidth="1"/>
    <col min="2" max="3" width="8.86328125" style="1"/>
    <col min="4" max="4" width="17.6640625" style="1" customWidth="1"/>
    <col min="5" max="5" width="16.46484375" style="1" bestFit="1" customWidth="1"/>
    <col min="6" max="7" width="16.33203125" style="1" customWidth="1"/>
    <col min="8" max="8" width="17.6640625" style="1" customWidth="1"/>
    <col min="9" max="9" width="12.6640625" style="1" customWidth="1"/>
    <col min="10" max="10" width="12.86328125" style="1" customWidth="1"/>
    <col min="11" max="11" width="4.33203125" style="1" customWidth="1"/>
    <col min="12" max="12" width="8.86328125" style="1"/>
    <col min="13" max="13" width="14.33203125" style="1" customWidth="1"/>
    <col min="14" max="14" width="11.6640625" style="1" customWidth="1"/>
    <col min="15" max="16" width="14.33203125" style="1" customWidth="1"/>
    <col min="17" max="17" width="13.1328125" style="1" bestFit="1" customWidth="1"/>
    <col min="18" max="18" width="12.6640625" style="1" customWidth="1"/>
    <col min="19" max="19" width="12.86328125" style="1" customWidth="1"/>
    <col min="20" max="20" width="5.53125" style="1" customWidth="1"/>
    <col min="21" max="21" width="8.86328125" style="1"/>
    <col min="22" max="22" width="14.6640625" style="1" customWidth="1"/>
    <col min="23" max="23" width="10.6640625" style="1" bestFit="1" customWidth="1"/>
    <col min="24" max="25" width="11.6640625" style="1" customWidth="1"/>
    <col min="26" max="27" width="12.6640625" style="1" customWidth="1"/>
    <col min="28" max="28" width="12.86328125" style="1" customWidth="1"/>
    <col min="29" max="29" width="8.86328125" style="1"/>
    <col min="30" max="30" width="0" style="1" hidden="1" customWidth="1"/>
    <col min="31" max="31" width="14.6640625" style="1" hidden="1" customWidth="1"/>
    <col min="32" max="32" width="10.6640625" style="1" hidden="1" customWidth="1"/>
    <col min="33" max="34" width="11.6640625" style="1" hidden="1" customWidth="1"/>
    <col min="35" max="36" width="12.6640625" style="1" hidden="1" customWidth="1"/>
    <col min="37" max="37" width="12.86328125" style="1" hidden="1" customWidth="1"/>
    <col min="38" max="38" width="0" style="1" hidden="1" customWidth="1"/>
    <col min="39" max="39" width="8.86328125" style="1"/>
    <col min="40" max="40" width="14.6640625" style="1" customWidth="1"/>
    <col min="41" max="41" width="10.6640625" style="1" bestFit="1" customWidth="1"/>
    <col min="42" max="43" width="11.6640625" style="1" customWidth="1"/>
    <col min="44" max="45" width="12.6640625" style="1" customWidth="1"/>
    <col min="46" max="46" width="12.86328125" style="1" customWidth="1"/>
    <col min="47" max="16384" width="8.86328125" style="1"/>
  </cols>
  <sheetData>
    <row r="1" spans="1:46" s="242" customFormat="1" ht="18.75" customHeight="1">
      <c r="A1" s="238" t="s">
        <v>321</v>
      </c>
    </row>
    <row r="2" spans="1:46" s="242" customFormat="1" ht="18.75" customHeight="1"/>
    <row r="3" spans="1:46">
      <c r="C3" s="3"/>
    </row>
    <row r="4" spans="1:46">
      <c r="B4" s="2" t="s">
        <v>257</v>
      </c>
      <c r="C4" s="3"/>
    </row>
    <row r="5" spans="1:46">
      <c r="B5" s="1" t="s">
        <v>258</v>
      </c>
      <c r="C5" s="3"/>
    </row>
    <row r="6" spans="1:46">
      <c r="C6" s="278" t="s">
        <v>51</v>
      </c>
      <c r="D6" s="279"/>
      <c r="E6" s="279"/>
      <c r="F6" s="279"/>
      <c r="G6" s="279"/>
      <c r="H6" s="279"/>
      <c r="I6" s="279"/>
      <c r="J6" s="280"/>
      <c r="L6" s="278" t="s">
        <v>266</v>
      </c>
      <c r="M6" s="279"/>
      <c r="N6" s="279"/>
      <c r="O6" s="279"/>
      <c r="P6" s="279"/>
      <c r="Q6" s="279"/>
      <c r="R6" s="279"/>
      <c r="S6" s="280"/>
      <c r="U6" s="278" t="s">
        <v>267</v>
      </c>
      <c r="V6" s="279"/>
      <c r="W6" s="279"/>
      <c r="X6" s="279"/>
      <c r="Y6" s="279"/>
      <c r="Z6" s="279"/>
      <c r="AA6" s="279"/>
      <c r="AB6" s="280"/>
      <c r="AD6" s="278" t="s">
        <v>268</v>
      </c>
      <c r="AE6" s="279"/>
      <c r="AF6" s="279"/>
      <c r="AG6" s="279"/>
      <c r="AH6" s="279"/>
      <c r="AI6" s="279"/>
      <c r="AJ6" s="279"/>
      <c r="AK6" s="280"/>
      <c r="AM6" s="278" t="s">
        <v>269</v>
      </c>
      <c r="AN6" s="279"/>
      <c r="AO6" s="279"/>
      <c r="AP6" s="279"/>
      <c r="AQ6" s="279"/>
      <c r="AR6" s="279"/>
      <c r="AS6" s="279"/>
      <c r="AT6" s="280"/>
    </row>
    <row r="7" spans="1:46">
      <c r="C7" s="8" t="s">
        <v>14</v>
      </c>
      <c r="D7" s="10"/>
      <c r="E7" s="12">
        <f>Inputs!F163*(1-Inputs!F164)</f>
        <v>262500</v>
      </c>
      <c r="F7" s="9" t="s">
        <v>16</v>
      </c>
      <c r="G7" s="9"/>
      <c r="H7" s="10"/>
      <c r="I7" s="10">
        <f>Inputs!F167*12</f>
        <v>300</v>
      </c>
      <c r="J7" s="11"/>
      <c r="L7" s="8" t="s">
        <v>14</v>
      </c>
      <c r="M7" s="10"/>
      <c r="N7" s="12">
        <f>Inputs!$F$170</f>
        <v>0</v>
      </c>
      <c r="O7" s="9" t="s">
        <v>16</v>
      </c>
      <c r="P7" s="9"/>
      <c r="Q7" s="10"/>
      <c r="R7" s="10">
        <f>Inputs!$F$173*12</f>
        <v>0</v>
      </c>
      <c r="S7" s="11"/>
      <c r="U7" s="8" t="s">
        <v>14</v>
      </c>
      <c r="V7" s="10"/>
      <c r="W7" s="12">
        <f>Inputs!$F$176</f>
        <v>0</v>
      </c>
      <c r="X7" s="9" t="s">
        <v>16</v>
      </c>
      <c r="Y7" s="9"/>
      <c r="Z7" s="10"/>
      <c r="AA7" s="10">
        <f>Inputs!$F$179*12</f>
        <v>0</v>
      </c>
      <c r="AB7" s="11"/>
      <c r="AD7" s="8" t="s">
        <v>14</v>
      </c>
      <c r="AE7" s="10"/>
      <c r="AF7" s="12">
        <f>Inputs!$F$182</f>
        <v>0</v>
      </c>
      <c r="AG7" s="9" t="s">
        <v>16</v>
      </c>
      <c r="AH7" s="9"/>
      <c r="AI7" s="10"/>
      <c r="AJ7" s="10">
        <f>Inputs!$F$185*12</f>
        <v>0</v>
      </c>
      <c r="AK7" s="11"/>
      <c r="AM7" s="8" t="s">
        <v>14</v>
      </c>
      <c r="AN7" s="10"/>
      <c r="AO7" s="12">
        <f>Inputs!$F$188</f>
        <v>0</v>
      </c>
      <c r="AP7" s="9" t="s">
        <v>16</v>
      </c>
      <c r="AQ7" s="9"/>
      <c r="AR7" s="10"/>
      <c r="AS7" s="10">
        <f>Inputs!$F$191*12</f>
        <v>0</v>
      </c>
      <c r="AT7" s="11"/>
    </row>
    <row r="8" spans="1:46">
      <c r="C8" s="8" t="s">
        <v>15</v>
      </c>
      <c r="D8" s="10"/>
      <c r="E8" s="27">
        <f>Inputs!F166</f>
        <v>0.08</v>
      </c>
      <c r="F8" s="9" t="s">
        <v>17</v>
      </c>
      <c r="G8" s="9"/>
      <c r="H8" s="10"/>
      <c r="I8" s="10">
        <f>IF(Inputs!F18&lt;&gt;Inputs!F15,IF(AND(Inputs!F13="Existing Business",Inputs!F14="Purchase"),-DATEDIF(Inputs!F18,DATE(Inputs!F15,1,1),"M"),0),0)</f>
        <v>0</v>
      </c>
      <c r="J8" s="11"/>
      <c r="L8" s="8" t="s">
        <v>15</v>
      </c>
      <c r="M8" s="10"/>
      <c r="N8" s="27">
        <f>Inputs!$F$172</f>
        <v>0</v>
      </c>
      <c r="O8" s="9" t="s">
        <v>17</v>
      </c>
      <c r="P8" s="9"/>
      <c r="Q8" s="10"/>
      <c r="R8" s="53">
        <f>Inputs!$F$171</f>
        <v>0</v>
      </c>
      <c r="S8" s="11"/>
      <c r="U8" s="8" t="s">
        <v>15</v>
      </c>
      <c r="V8" s="10"/>
      <c r="W8" s="27">
        <f>Inputs!$F$178</f>
        <v>0</v>
      </c>
      <c r="X8" s="9" t="s">
        <v>17</v>
      </c>
      <c r="Y8" s="9"/>
      <c r="Z8" s="10"/>
      <c r="AA8" s="53">
        <f>Inputs!$F$177</f>
        <v>0</v>
      </c>
      <c r="AB8" s="11"/>
      <c r="AD8" s="8" t="s">
        <v>15</v>
      </c>
      <c r="AE8" s="10"/>
      <c r="AF8" s="27">
        <f>Inputs!$F$184</f>
        <v>0</v>
      </c>
      <c r="AG8" s="9" t="s">
        <v>17</v>
      </c>
      <c r="AH8" s="9"/>
      <c r="AI8" s="10"/>
      <c r="AJ8" s="53">
        <f>Inputs!$F$183</f>
        <v>0</v>
      </c>
      <c r="AK8" s="11"/>
      <c r="AM8" s="8" t="s">
        <v>15</v>
      </c>
      <c r="AN8" s="10"/>
      <c r="AO8" s="27">
        <f>Inputs!$F$190</f>
        <v>0</v>
      </c>
      <c r="AP8" s="9" t="s">
        <v>17</v>
      </c>
      <c r="AQ8" s="9"/>
      <c r="AR8" s="10"/>
      <c r="AS8" s="53">
        <f>Inputs!$F$189</f>
        <v>0</v>
      </c>
      <c r="AT8" s="11"/>
    </row>
    <row r="9" spans="1:46">
      <c r="C9" s="7"/>
      <c r="D9" s="10"/>
      <c r="E9" s="10"/>
      <c r="F9" s="10"/>
      <c r="G9" s="10"/>
      <c r="H9" s="10"/>
      <c r="I9" s="10"/>
      <c r="J9" s="11"/>
      <c r="L9" s="7"/>
      <c r="M9" s="10"/>
      <c r="N9" s="10"/>
      <c r="O9" s="10"/>
      <c r="P9" s="10"/>
      <c r="Q9" s="10"/>
      <c r="R9" s="10"/>
      <c r="S9" s="11"/>
      <c r="U9" s="7"/>
      <c r="V9" s="10"/>
      <c r="W9" s="10"/>
      <c r="X9" s="10"/>
      <c r="Y9" s="10"/>
      <c r="Z9" s="10"/>
      <c r="AA9" s="10"/>
      <c r="AB9" s="11"/>
      <c r="AD9" s="7"/>
      <c r="AE9" s="10"/>
      <c r="AF9" s="10"/>
      <c r="AG9" s="10"/>
      <c r="AH9" s="10"/>
      <c r="AI9" s="10"/>
      <c r="AJ9" s="10"/>
      <c r="AK9" s="11"/>
      <c r="AM9" s="7"/>
      <c r="AN9" s="10"/>
      <c r="AO9" s="10"/>
      <c r="AP9" s="10"/>
      <c r="AQ9" s="10"/>
      <c r="AR9" s="10"/>
      <c r="AS9" s="10"/>
      <c r="AT9" s="11"/>
    </row>
    <row r="10" spans="1:46">
      <c r="C10" s="4" t="s">
        <v>2</v>
      </c>
      <c r="D10" s="4" t="s">
        <v>3</v>
      </c>
      <c r="E10" s="4" t="s">
        <v>4</v>
      </c>
      <c r="F10" s="4" t="s">
        <v>5</v>
      </c>
      <c r="G10" s="4" t="s">
        <v>26</v>
      </c>
      <c r="H10" s="4" t="s">
        <v>6</v>
      </c>
      <c r="I10" s="4" t="s">
        <v>7</v>
      </c>
      <c r="J10" s="4" t="s">
        <v>8</v>
      </c>
      <c r="L10" s="4" t="s">
        <v>2</v>
      </c>
      <c r="M10" s="4" t="s">
        <v>3</v>
      </c>
      <c r="N10" s="4" t="s">
        <v>4</v>
      </c>
      <c r="O10" s="4" t="s">
        <v>5</v>
      </c>
      <c r="P10" s="4" t="s">
        <v>26</v>
      </c>
      <c r="Q10" s="4" t="s">
        <v>6</v>
      </c>
      <c r="R10" s="4" t="s">
        <v>7</v>
      </c>
      <c r="S10" s="4" t="s">
        <v>8</v>
      </c>
      <c r="U10" s="4" t="s">
        <v>2</v>
      </c>
      <c r="V10" s="4" t="s">
        <v>3</v>
      </c>
      <c r="W10" s="4" t="s">
        <v>4</v>
      </c>
      <c r="X10" s="4" t="s">
        <v>5</v>
      </c>
      <c r="Y10" s="4" t="s">
        <v>26</v>
      </c>
      <c r="Z10" s="4" t="s">
        <v>6</v>
      </c>
      <c r="AA10" s="4" t="s">
        <v>7</v>
      </c>
      <c r="AB10" s="4" t="s">
        <v>8</v>
      </c>
      <c r="AD10" s="4" t="s">
        <v>2</v>
      </c>
      <c r="AE10" s="4" t="s">
        <v>3</v>
      </c>
      <c r="AF10" s="4" t="s">
        <v>4</v>
      </c>
      <c r="AG10" s="4" t="s">
        <v>5</v>
      </c>
      <c r="AH10" s="4" t="s">
        <v>26</v>
      </c>
      <c r="AI10" s="4" t="s">
        <v>6</v>
      </c>
      <c r="AJ10" s="4" t="s">
        <v>7</v>
      </c>
      <c r="AK10" s="4" t="s">
        <v>8</v>
      </c>
      <c r="AM10" s="4" t="s">
        <v>2</v>
      </c>
      <c r="AN10" s="4" t="s">
        <v>3</v>
      </c>
      <c r="AO10" s="4" t="s">
        <v>4</v>
      </c>
      <c r="AP10" s="4" t="s">
        <v>5</v>
      </c>
      <c r="AQ10" s="4" t="s">
        <v>26</v>
      </c>
      <c r="AR10" s="4" t="s">
        <v>6</v>
      </c>
      <c r="AS10" s="4" t="s">
        <v>7</v>
      </c>
      <c r="AT10" s="4" t="s">
        <v>8</v>
      </c>
    </row>
    <row r="11" spans="1:46">
      <c r="C11" s="22">
        <f>I8</f>
        <v>0</v>
      </c>
      <c r="D11" s="23"/>
      <c r="E11" s="5"/>
      <c r="F11" s="23"/>
      <c r="G11" s="5">
        <f>IF(MortgageAmortWORST[[#This Row],[Month]]=I$8,E$7,0)</f>
        <v>262500</v>
      </c>
      <c r="H11" s="13">
        <f>E7</f>
        <v>262500</v>
      </c>
      <c r="I11" s="24"/>
      <c r="J11" s="25"/>
      <c r="L11" s="20">
        <f>R8</f>
        <v>0</v>
      </c>
      <c r="M11" s="5"/>
      <c r="N11" s="5"/>
      <c r="O11" s="5"/>
      <c r="P11" s="5">
        <f>IF(CreditAmort1WORST[[#This Row],[Month]]=R$8,N$7,0)</f>
        <v>0</v>
      </c>
      <c r="Q11" s="28">
        <f>N7</f>
        <v>0</v>
      </c>
      <c r="R11" s="6"/>
      <c r="S11" s="21"/>
      <c r="U11" s="20">
        <f>AA8</f>
        <v>0</v>
      </c>
      <c r="V11" s="5"/>
      <c r="W11" s="5"/>
      <c r="X11" s="5"/>
      <c r="Y11" s="5">
        <f>IF(CreditAmort2WORST[[#This Row],[Month]]=AA$8,W$7,0)</f>
        <v>0</v>
      </c>
      <c r="Z11" s="28">
        <f>W7</f>
        <v>0</v>
      </c>
      <c r="AA11" s="6"/>
      <c r="AB11" s="21"/>
      <c r="AD11" s="20">
        <f>AJ8</f>
        <v>0</v>
      </c>
      <c r="AE11" s="5"/>
      <c r="AF11" s="5"/>
      <c r="AG11" s="5"/>
      <c r="AH11" s="5">
        <f>IF(CreditAmort3WORST[[#This Row],[Month]]=AJ$8,AF$7,0)</f>
        <v>0</v>
      </c>
      <c r="AI11" s="28">
        <f>AF7</f>
        <v>0</v>
      </c>
      <c r="AJ11" s="6"/>
      <c r="AK11" s="21"/>
      <c r="AM11" s="20">
        <f>AS8</f>
        <v>0</v>
      </c>
      <c r="AN11" s="5"/>
      <c r="AO11" s="5"/>
      <c r="AP11" s="5"/>
      <c r="AQ11" s="5">
        <f>IF(CreditAmort4WORST[[#This Row],[Month]]=AS$8,AO$7,0)</f>
        <v>0</v>
      </c>
      <c r="AR11" s="28">
        <f>AO7</f>
        <v>0</v>
      </c>
      <c r="AS11" s="6"/>
      <c r="AT11" s="21"/>
    </row>
    <row r="12" spans="1:46">
      <c r="C12" s="22">
        <f>C11+1</f>
        <v>1</v>
      </c>
      <c r="D12" s="23">
        <f>IF(AND(C12&gt;='Amort. Sched.-WORST'!$I$8, C12&lt;= ($I$7+$I$8)),PMT('Amort. Sched.-WORST'!$E$8/12, 'Amort. Sched.-WORST'!$I$7, 'Amort. Sched.-WORST'!$E$7), 0)</f>
        <v>-2026.0175758541329</v>
      </c>
      <c r="E12" s="5">
        <f>IF(AND(C12&gt;='Amort. Sched.-WORST'!$I$8, C12&lt;= ($I$7+$I$8)), (IPMT($E$8/12, (C12-$I$8), $I$7, $E$7)), 0)</f>
        <v>-1750</v>
      </c>
      <c r="F12" s="23">
        <f>IF(AND(C12&gt;='Amort. Sched.-WORST'!$I$8, C12&lt;= ($I$7+$I$8)), (PPMT($E$8/12, (C12-$I$8), $I$7, $E$7)), 0)</f>
        <v>-276.01757585413287</v>
      </c>
      <c r="G12" s="5">
        <f>IF(MortgageAmortWORST[[#This Row],[Month]]=I$8,E$7,0)</f>
        <v>0</v>
      </c>
      <c r="H12" s="13">
        <f>IF(AND(C12&gt;='Amort. Sched.-WORST'!$I$8, C12&lt;= ($I$7+$I$8)), H11+F12, 0)</f>
        <v>262223.98242414586</v>
      </c>
      <c r="I12" s="24">
        <f>IF(AND(C12&gt;='Amort. Sched.-WORST'!$I$8, C12&lt;= ($I$7+$I$8)), E12/D12, " ")</f>
        <v>0.86376348401727521</v>
      </c>
      <c r="J12" s="25">
        <f>IF(AND(C12&gt;='Amort. Sched.-WORST'!$I$8, C12&lt;= ($I$7+$I$8)), F12/D12, " ")</f>
        <v>0.13623651598272477</v>
      </c>
      <c r="L12" s="20">
        <f t="shared" ref="L12:L75" si="0">L11+1</f>
        <v>1</v>
      </c>
      <c r="M12" s="5">
        <f>IF(AND(L12&gt;='Amort. Sched.-WORST'!$R$8, L12&lt;= ($R$7+$R$8)), PMT('Amort. Sched.-WORST'!$N$8/12, 'Amort. Sched.-WORST'!$R$7, 'Amort. Sched.-WORST'!$N$7), 0)</f>
        <v>0</v>
      </c>
      <c r="N12" s="5">
        <f>IF(AND(L12&gt;='Amort. Sched.-WORST'!$R$8, L12&lt;= ($R$7+$R$8)), (IPMT($N$8/12, (L12-$R$8), $R$7, $N$7)), 0)</f>
        <v>0</v>
      </c>
      <c r="O12" s="5">
        <f>IF(AND(L12&gt;='Amort. Sched.-WORST'!$R$8, L12&lt;= ($R$7+$R$8)), (PPMT($N$8/12, (L12-$R$8), $R$7, $N$7)), 0)</f>
        <v>0</v>
      </c>
      <c r="P12" s="5">
        <f>IF(CreditAmort1WORST[[#This Row],[Month]]=R$8,N$7,0)</f>
        <v>0</v>
      </c>
      <c r="Q12" s="13">
        <f>IF(AND(L12&gt;='Amort. Sched.-WORST'!$R$8, L12&lt;= ($R$7+$R$8)), Q11+O12, 0)</f>
        <v>0</v>
      </c>
      <c r="R12" s="6" t="str">
        <f>IF(AND(L12&gt;='Amort. Sched.-WORST'!$R$8, L12&lt;= ($R$7+$R$8)), N12/M12, " ")</f>
        <v xml:space="preserve"> </v>
      </c>
      <c r="S12" s="21" t="str">
        <f>IF(AND(L12&gt;='Amort. Sched.-WORST'!$R$8, L12&lt;= ($R$7+$R$8)), O12/M12, " ")</f>
        <v xml:space="preserve"> </v>
      </c>
      <c r="U12" s="20">
        <f>U11+1</f>
        <v>1</v>
      </c>
      <c r="V12" s="5">
        <f>IF(AND(U12&gt;='Amort. Sched.-WORST'!$AA$8, U12&lt;= ($AA$7+$AA$8)), PMT('Amort. Sched.-WORST'!$W$8/12, 'Amort. Sched.-WORST'!$AA$7, 'Amort. Sched.-WORST'!$W$7), 0)</f>
        <v>0</v>
      </c>
      <c r="W12" s="5">
        <f>IF(AND(U12&gt;='Amort. Sched.-WORST'!$AA$8, U12&lt;= ($AA$7+$AA$8)), (IPMT($W$8/12, (U12-$AA$8), $AA$7, $W$7)), 0)</f>
        <v>0</v>
      </c>
      <c r="X12" s="5">
        <f>IF(AND(U12&gt;='Amort. Sched.-WORST'!$AA$8, U12&lt;= ($AA$7+$AA$8)), (PPMT($W$8/12, (U12-$AA$8), $AA$7, $W$7)), 0)</f>
        <v>0</v>
      </c>
      <c r="Y12" s="5">
        <f>IF(CreditAmort2WORST[[#This Row],[Month]]=AA$8,W$7,0)</f>
        <v>0</v>
      </c>
      <c r="Z12" s="13">
        <f>IF(AND(U12&gt;='Amort. Sched.-WORST'!$AA$8, U12&lt;= ($AA$7+$AA$8)), Z11+X12, 0)</f>
        <v>0</v>
      </c>
      <c r="AA12" s="6" t="str">
        <f>IF(AND(U12&gt;='Amort. Sched.-WORST'!$AA$8, U12&lt;= ($AA$7+$AA$8)), W12/V12, " ")</f>
        <v xml:space="preserve"> </v>
      </c>
      <c r="AB12" s="21" t="str">
        <f>IF(AND(U12&gt;='Amort. Sched.-WORST'!$AA$8, U12&lt;= ($AA$7+$AA$8)), X12/V12, " ")</f>
        <v xml:space="preserve"> </v>
      </c>
      <c r="AD12" s="20">
        <f>AD11+1</f>
        <v>1</v>
      </c>
      <c r="AE12" s="5">
        <f>IF(AND(AD12&gt;=$AJ$8, AD12&lt;= ($AJ$7+$AJ$8)), PMT($AF$8/12, $AJ$7, $AF$7), 0)</f>
        <v>0</v>
      </c>
      <c r="AF12" s="5">
        <f>IF(AND(AD12&gt;=$AJ$8, AD12&lt;= ($AJ$7+$AJ$8)), (IPMT($AF$8/12, (AD12-$AJ$8), $AJ$7, $AF$7)), 0)</f>
        <v>0</v>
      </c>
      <c r="AG12" s="5">
        <f>IF(AND(AD12&gt;=$AJ$8, AD12&lt;= ($AJ$7+$AJ$8)), (PPMT($AF$8/12, (AD12-$AJ$8), $AJ$7, $AF$7)), 0)</f>
        <v>0</v>
      </c>
      <c r="AH12" s="5">
        <f>IF(CreditAmort3WORST[[#This Row],[Month]]=AJ$8,AF$7,0)</f>
        <v>0</v>
      </c>
      <c r="AI12" s="13">
        <f>IF(AND(AD12&gt;=$AJ$8, AD12&lt;= ($AJ$7+$AA$8)), AI11+AG12, 0)</f>
        <v>0</v>
      </c>
      <c r="AJ12" s="6" t="str">
        <f>IF(AND(AD12&gt;=$AJ$8, AD12&lt;= ($AJ$7+$AJ$8)), AF12/AE12, " ")</f>
        <v xml:space="preserve"> </v>
      </c>
      <c r="AK12" s="21" t="str">
        <f>IF(AND(AD12&gt;=$AJ$8, AD12&lt;= ($AJ$7+$AJ$8)), AG12/AE12, " ")</f>
        <v xml:space="preserve"> </v>
      </c>
      <c r="AM12" s="20">
        <f>AM11+1</f>
        <v>1</v>
      </c>
      <c r="AN12" s="5">
        <f>IF(AND(AM12&gt;=$AS$8, AM12&lt;= ($AS$7+$AS$8)), PMT($AO$8/12, $AS$7, $AO$7), 0)</f>
        <v>0</v>
      </c>
      <c r="AO12" s="5">
        <f>IF(AND(AM12&gt;=$AS$8, AM12&lt;= ($AS$7+$AS$8)), (IPMT($AO$8/12, (AM12-$AS$8), $AS$7, $AO$7)), 0)</f>
        <v>0</v>
      </c>
      <c r="AP12" s="5">
        <f>IF(AND(AM12&gt;=$AS$8, AM12&lt;= ($AS$7+$AS$8)), (PPMT($AO$8/12, (AM12-$AS$8), $AS$7, $AO$7)), 0)</f>
        <v>0</v>
      </c>
      <c r="AQ12" s="5">
        <f>IF(CreditAmort4WORST[[#This Row],[Month]]=AS$8,AO$7,0)</f>
        <v>0</v>
      </c>
      <c r="AR12" s="13">
        <f>IF(AND(AM12&gt;=$AS$8, AM12&lt;= ($AS$7+$AS$8)), AR11+AP12, 0)</f>
        <v>0</v>
      </c>
      <c r="AS12" s="6" t="str">
        <f>IF(AND(AM12&gt;=$AS$8, AM12&lt;= ($AS$7+$AS$8)), AO12/AN12, " ")</f>
        <v xml:space="preserve"> </v>
      </c>
      <c r="AT12" s="21" t="str">
        <f>IF(AND(AM12&gt;=$AS$8, AM12&lt;= ($AS$7+$AS$8)), AP12/AN12, " ")</f>
        <v xml:space="preserve"> </v>
      </c>
    </row>
    <row r="13" spans="1:46">
      <c r="C13" s="22">
        <f t="shared" ref="C13:C76" si="1">C12+1</f>
        <v>2</v>
      </c>
      <c r="D13" s="23">
        <f>IF(AND(C13&gt;='Amort. Sched.-WORST'!$I$8, C13&lt;= ($I$7+$I$8)), PMT('Amort. Sched.-WORST'!$E$8/12, 'Amort. Sched.-WORST'!$I$7, 'Amort. Sched.-WORST'!$E$7), 0)</f>
        <v>-2026.0175758541329</v>
      </c>
      <c r="E13" s="5">
        <f>IF(AND(C13&gt;='Amort. Sched.-WORST'!$I$8, C13&lt;= ($I$7+$I$8)), (IPMT($E$8/12, (C13-$I$8), $I$7, $E$7)), 0)</f>
        <v>-1748.1598828276392</v>
      </c>
      <c r="F13" s="23">
        <f>IF(AND(C13&gt;='Amort. Sched.-WORST'!$I$8, C13&lt;= ($I$7+$I$8)), (PPMT($E$8/12, (C13-$I$8), $I$7, $E$7)), 0)</f>
        <v>-277.85769302649379</v>
      </c>
      <c r="G13" s="5">
        <f>IF(MortgageAmortWORST[[#This Row],[Month]]=I$8,E$7,0)</f>
        <v>0</v>
      </c>
      <c r="H13" s="13">
        <f>IF(AND(C13&gt;='Amort. Sched.-WORST'!$I$8, C13&lt;= ($I$7+$I$8)), H12+F13, 0)</f>
        <v>261946.12473111937</v>
      </c>
      <c r="I13" s="24">
        <f>IF(AND(C13&gt;='Amort. Sched.-WORST'!$I$8, C13&lt;= ($I$7+$I$8)), E13/D13, " ")</f>
        <v>0.86285524057739038</v>
      </c>
      <c r="J13" s="25">
        <f>IF(AND(C13&gt;='Amort. Sched.-WORST'!$I$8, C13&lt;= ($I$7+$I$8)), F13/D13, " ")</f>
        <v>0.13714475942260962</v>
      </c>
      <c r="L13" s="20">
        <f t="shared" si="0"/>
        <v>2</v>
      </c>
      <c r="M13" s="5">
        <f>IF(AND(L13&gt;='Amort. Sched.-WORST'!$R$8, L13&lt;= ($R$7+$R$8)), PMT('Amort. Sched.-WORST'!$N$8/12, 'Amort. Sched.-WORST'!$R$7, 'Amort. Sched.-WORST'!$N$7), 0)</f>
        <v>0</v>
      </c>
      <c r="N13" s="5">
        <f>IF(AND(L13&gt;='Amort. Sched.-WORST'!$R$8, L13&lt;= ($R$7+$R$8)), (IPMT($N$8/12, (L13-$R$8), $R$7, $N$7)), 0)</f>
        <v>0</v>
      </c>
      <c r="O13" s="5">
        <f>IF(AND(L13&gt;='Amort. Sched.-WORST'!$R$8, L13&lt;= ($R$7+$R$8)), (PPMT($N$8/12, (L13-$R$8), $R$7, $N$7)), 0)</f>
        <v>0</v>
      </c>
      <c r="P13" s="5">
        <f>IF(CreditAmort1WORST[[#This Row],[Month]]=R$8,N$7,0)</f>
        <v>0</v>
      </c>
      <c r="Q13" s="13">
        <f>IF(AND(L13&gt;='Amort. Sched.-WORST'!$R$8, L13&lt;= ($R$7+$R$8)), Q12+O13, 0)</f>
        <v>0</v>
      </c>
      <c r="R13" s="6" t="str">
        <f>IF(AND(L13&gt;='Amort. Sched.-WORST'!$R$8, L13&lt;= ($R$7+$R$8)), N13/M13, " ")</f>
        <v xml:space="preserve"> </v>
      </c>
      <c r="S13" s="21" t="str">
        <f>IF(AND(L13&gt;='Amort. Sched.-WORST'!$R$8, L13&lt;= ($R$7+$R$8)), O13/M13, " ")</f>
        <v xml:space="preserve"> </v>
      </c>
      <c r="U13" s="20">
        <f t="shared" ref="U13:U76" si="2">U12+1</f>
        <v>2</v>
      </c>
      <c r="V13" s="5">
        <f>IF(AND(U13&gt;='Amort. Sched.-WORST'!$AA$8, U13&lt;= ($AA$7+$AA$8)), PMT('Amort. Sched.-WORST'!$W$8/12, 'Amort. Sched.-WORST'!$AA$7, 'Amort. Sched.-WORST'!$W$7), 0)</f>
        <v>0</v>
      </c>
      <c r="W13" s="5">
        <f>IF(AND(U13&gt;='Amort. Sched.-WORST'!$AA$8, U13&lt;= ($AA$7+$AA$8)), (IPMT($W$8/12, (U13-$AA$8), $AA$7, $W$7)), 0)</f>
        <v>0</v>
      </c>
      <c r="X13" s="5">
        <f>IF(AND(U13&gt;='Amort. Sched.-WORST'!$AA$8, U13&lt;= ($AA$7+$AA$8)), (PPMT($W$8/12, (U13-$AA$8), $AA$7, $W$7)), 0)</f>
        <v>0</v>
      </c>
      <c r="Y13" s="5">
        <f>IF(CreditAmort2WORST[[#This Row],[Month]]=AA$8,W$7,0)</f>
        <v>0</v>
      </c>
      <c r="Z13" s="13">
        <f>IF(AND(U13&gt;='Amort. Sched.-WORST'!$AA$8, U13&lt;= ($AA$7+$AA$8)), Z12+X13, 0)</f>
        <v>0</v>
      </c>
      <c r="AA13" s="6" t="str">
        <f>IF(AND(U13&gt;='Amort. Sched.-WORST'!$AA$8, U13&lt;= ($AA$7+$AA$8)), W13/V13, " ")</f>
        <v xml:space="preserve"> </v>
      </c>
      <c r="AB13" s="21" t="str">
        <f>IF(AND(U13&gt;='Amort. Sched.-WORST'!$AA$8, U13&lt;= ($AA$7+$AA$8)), X13/V13, " ")</f>
        <v xml:space="preserve"> </v>
      </c>
      <c r="AD13" s="20">
        <f t="shared" ref="AD13:AD76" si="3">AD12+1</f>
        <v>2</v>
      </c>
      <c r="AE13" s="5">
        <f t="shared" ref="AE13:AE76" si="4">IF(AND(AD13&gt;=$AJ$8, AD13&lt;= ($AJ$7+$AJ$8)), PMT($AF$8/12, $AJ$7, $AF$7), 0)</f>
        <v>0</v>
      </c>
      <c r="AF13" s="5">
        <f t="shared" ref="AF13:AF76" si="5">IF(AND(AD13&gt;=$AJ$8, AD13&lt;= ($AJ$7+$AJ$8)), (IPMT($AF$8/12, (AD13-$AJ$8), $AJ$7, $AF$7)), 0)</f>
        <v>0</v>
      </c>
      <c r="AG13" s="5">
        <f t="shared" ref="AG13:AG76" si="6">IF(AND(AD13&gt;=$AJ$8, AD13&lt;= ($AJ$7+$AJ$8)), (PPMT($AF$8/12, (AD13-$AJ$8), $AJ$7, $AF$7)), 0)</f>
        <v>0</v>
      </c>
      <c r="AH13" s="5">
        <f>IF(CreditAmort3WORST[[#This Row],[Month]]=AJ$8,AF$7,0)</f>
        <v>0</v>
      </c>
      <c r="AI13" s="13">
        <f t="shared" ref="AI13:AI76" si="7">IF(AND(AD13&gt;=$AJ$8, AD13&lt;= ($AJ$7+$AA$8)), AI12+AG13, 0)</f>
        <v>0</v>
      </c>
      <c r="AJ13" s="6" t="str">
        <f t="shared" ref="AJ13:AJ76" si="8">IF(AND(AD13&gt;=$AJ$8, AD13&lt;= ($AJ$7+$AJ$8)), AF13/AE13, " ")</f>
        <v xml:space="preserve"> </v>
      </c>
      <c r="AK13" s="21" t="str">
        <f t="shared" ref="AK13:AK76" si="9">IF(AND(AD13&gt;=$AJ$8, AD13&lt;= ($AJ$7+$AJ$8)), AG13/AE13, " ")</f>
        <v xml:space="preserve"> </v>
      </c>
      <c r="AM13" s="20">
        <f t="shared" ref="AM13:AM76" si="10">AM12+1</f>
        <v>2</v>
      </c>
      <c r="AN13" s="5">
        <f t="shared" ref="AN13:AN76" si="11">IF(AND(AM13&gt;=$AS$8, AM13&lt;= ($AS$7+$AS$8)), PMT($AO$8/12, $AS$7, $AO$7), 0)</f>
        <v>0</v>
      </c>
      <c r="AO13" s="5">
        <f t="shared" ref="AO13:AO76" si="12">IF(AND(AM13&gt;=$AS$8, AM13&lt;= ($AS$7+$AS$8)), (IPMT($AO$8/12, (AM13-$AS$8), $AS$7, $AO$7)), 0)</f>
        <v>0</v>
      </c>
      <c r="AP13" s="5">
        <f t="shared" ref="AP13:AP76" si="13">IF(AND(AM13&gt;=$AS$8, AM13&lt;= ($AS$7+$AS$8)), (PPMT($AO$8/12, (AM13-$AS$8), $AS$7, $AO$7)), 0)</f>
        <v>0</v>
      </c>
      <c r="AQ13" s="5">
        <f>IF(CreditAmort4WORST[[#This Row],[Month]]=AS$8,AO$7,0)</f>
        <v>0</v>
      </c>
      <c r="AR13" s="13">
        <f t="shared" ref="AR13:AR76" si="14">IF(AND(AM13&gt;=$AS$8, AM13&lt;= ($AS$7+$AS$8)), AR12+AP13, 0)</f>
        <v>0</v>
      </c>
      <c r="AS13" s="6" t="str">
        <f t="shared" ref="AS13:AS76" si="15">IF(AND(AM13&gt;=$AS$8, AM13&lt;= ($AS$7+$AS$8)), AO13/AN13, " ")</f>
        <v xml:space="preserve"> </v>
      </c>
      <c r="AT13" s="21" t="str">
        <f t="shared" ref="AT13:AT76" si="16">IF(AND(AM13&gt;=$AS$8, AM13&lt;= ($AS$7+$AS$8)), AP13/AN13, " ")</f>
        <v xml:space="preserve"> </v>
      </c>
    </row>
    <row r="14" spans="1:46">
      <c r="C14" s="22">
        <f t="shared" si="1"/>
        <v>3</v>
      </c>
      <c r="D14" s="23">
        <f>IF(AND(C14&gt;='Amort. Sched.-WORST'!$I$8, C14&lt;= ($I$7+$I$8)), PMT('Amort. Sched.-WORST'!$E$8/12, 'Amort. Sched.-WORST'!$I$7, 'Amort. Sched.-WORST'!$E$7), 0)</f>
        <v>-2026.0175758541329</v>
      </c>
      <c r="E14" s="5">
        <f>IF(AND(C14&gt;='Amort. Sched.-WORST'!$I$8, C14&lt;= ($I$7+$I$8)), (IPMT($E$8/12, (C14-$I$8), $I$7, $E$7)), 0)</f>
        <v>-1746.3074982074627</v>
      </c>
      <c r="F14" s="23">
        <f>IF(AND(C14&gt;='Amort. Sched.-WORST'!$I$8, C14&lt;= ($I$7+$I$8)), (PPMT($E$8/12, (C14-$I$8), $I$7, $E$7)), 0)</f>
        <v>-279.71007764667036</v>
      </c>
      <c r="G14" s="5">
        <f>IF(MortgageAmortWORST[[#This Row],[Month]]=I$8,E$7,0)</f>
        <v>0</v>
      </c>
      <c r="H14" s="13">
        <f>IF(AND(C14&gt;='Amort. Sched.-WORST'!$I$8, C14&lt;= ($I$7+$I$8)), H13+F14, 0)</f>
        <v>261666.41465347269</v>
      </c>
      <c r="I14" s="24">
        <f>IF(AND(C14&gt;='Amort. Sched.-WORST'!$I$8, C14&lt;= ($I$7+$I$8)), E14/D14, " ")</f>
        <v>0.86194094218123973</v>
      </c>
      <c r="J14" s="25">
        <f>IF(AND(C14&gt;='Amort. Sched.-WORST'!$I$8, C14&lt;= ($I$7+$I$8)), F14/D14, " ")</f>
        <v>0.13805905781876032</v>
      </c>
      <c r="L14" s="20">
        <f t="shared" si="0"/>
        <v>3</v>
      </c>
      <c r="M14" s="5">
        <f>IF(AND(L14&gt;='Amort. Sched.-WORST'!$R$8, L14&lt;= ($R$7+$R$8)), PMT('Amort. Sched.-WORST'!$N$8/12, 'Amort. Sched.-WORST'!$R$7, 'Amort. Sched.-WORST'!$N$7), 0)</f>
        <v>0</v>
      </c>
      <c r="N14" s="5">
        <f>IF(AND(L14&gt;='Amort. Sched.-WORST'!$R$8, L14&lt;= ($R$7+$R$8)), (IPMT($N$8/12, (L14-$R$8), $R$7, $N$7)), 0)</f>
        <v>0</v>
      </c>
      <c r="O14" s="5">
        <f>IF(AND(L14&gt;='Amort. Sched.-WORST'!$R$8, L14&lt;= ($R$7+$R$8)), (PPMT($N$8/12, (L14-$R$8), $R$7, $N$7)), 0)</f>
        <v>0</v>
      </c>
      <c r="P14" s="5">
        <f>IF(CreditAmort1WORST[[#This Row],[Month]]=R$8,N$7,0)</f>
        <v>0</v>
      </c>
      <c r="Q14" s="13">
        <f>IF(AND(L14&gt;='Amort. Sched.-WORST'!$R$8, L14&lt;= ($R$7+$R$8)), Q13+O14, 0)</f>
        <v>0</v>
      </c>
      <c r="R14" s="6" t="str">
        <f>IF(AND(L14&gt;='Amort. Sched.-WORST'!$R$8, L14&lt;= ($R$7+$R$8)), N14/M14, " ")</f>
        <v xml:space="preserve"> </v>
      </c>
      <c r="S14" s="21" t="str">
        <f>IF(AND(L14&gt;='Amort. Sched.-WORST'!$R$8, L14&lt;= ($R$7+$R$8)), O14/M14, " ")</f>
        <v xml:space="preserve"> </v>
      </c>
      <c r="U14" s="20">
        <f t="shared" si="2"/>
        <v>3</v>
      </c>
      <c r="V14" s="5">
        <f>IF(AND(U14&gt;='Amort. Sched.-WORST'!$AA$8, U14&lt;= ($AA$7+$AA$8)), PMT('Amort. Sched.-WORST'!$W$8/12, 'Amort. Sched.-WORST'!$AA$7, 'Amort. Sched.-WORST'!$W$7), 0)</f>
        <v>0</v>
      </c>
      <c r="W14" s="5">
        <f>IF(AND(U14&gt;='Amort. Sched.-WORST'!$AA$8, U14&lt;= ($AA$7+$AA$8)), (IPMT($W$8/12, (U14-$AA$8), $AA$7, $W$7)), 0)</f>
        <v>0</v>
      </c>
      <c r="X14" s="5">
        <f>IF(AND(U14&gt;='Amort. Sched.-WORST'!$AA$8, U14&lt;= ($AA$7+$AA$8)), (PPMT($W$8/12, (U14-$AA$8), $AA$7, $W$7)), 0)</f>
        <v>0</v>
      </c>
      <c r="Y14" s="5">
        <f>IF(CreditAmort2WORST[[#This Row],[Month]]=AA$8,W$7,0)</f>
        <v>0</v>
      </c>
      <c r="Z14" s="13">
        <f>IF(AND(U14&gt;='Amort. Sched.-WORST'!$AA$8, U14&lt;= ($AA$7+$AA$8)), Z13+X14, 0)</f>
        <v>0</v>
      </c>
      <c r="AA14" s="6" t="str">
        <f>IF(AND(U14&gt;='Amort. Sched.-WORST'!$AA$8, U14&lt;= ($AA$7+$AA$8)), W14/V14, " ")</f>
        <v xml:space="preserve"> </v>
      </c>
      <c r="AB14" s="21" t="str">
        <f>IF(AND(U14&gt;='Amort. Sched.-WORST'!$AA$8, U14&lt;= ($AA$7+$AA$8)), X14/V14, " ")</f>
        <v xml:space="preserve"> </v>
      </c>
      <c r="AD14" s="20">
        <f t="shared" si="3"/>
        <v>3</v>
      </c>
      <c r="AE14" s="5">
        <f t="shared" si="4"/>
        <v>0</v>
      </c>
      <c r="AF14" s="5">
        <f t="shared" si="5"/>
        <v>0</v>
      </c>
      <c r="AG14" s="5">
        <f t="shared" si="6"/>
        <v>0</v>
      </c>
      <c r="AH14" s="5">
        <f>IF(CreditAmort3WORST[[#This Row],[Month]]=AJ$8,AF$7,0)</f>
        <v>0</v>
      </c>
      <c r="AI14" s="13">
        <f t="shared" si="7"/>
        <v>0</v>
      </c>
      <c r="AJ14" s="6" t="str">
        <f t="shared" si="8"/>
        <v xml:space="preserve"> </v>
      </c>
      <c r="AK14" s="21" t="str">
        <f t="shared" si="9"/>
        <v xml:space="preserve"> </v>
      </c>
      <c r="AM14" s="20">
        <f t="shared" si="10"/>
        <v>3</v>
      </c>
      <c r="AN14" s="5">
        <f t="shared" si="11"/>
        <v>0</v>
      </c>
      <c r="AO14" s="5">
        <f t="shared" si="12"/>
        <v>0</v>
      </c>
      <c r="AP14" s="5">
        <f t="shared" si="13"/>
        <v>0</v>
      </c>
      <c r="AQ14" s="5">
        <f>IF(CreditAmort4WORST[[#This Row],[Month]]=AS$8,AO$7,0)</f>
        <v>0</v>
      </c>
      <c r="AR14" s="13">
        <f t="shared" si="14"/>
        <v>0</v>
      </c>
      <c r="AS14" s="6" t="str">
        <f t="shared" si="15"/>
        <v xml:space="preserve"> </v>
      </c>
      <c r="AT14" s="21" t="str">
        <f t="shared" si="16"/>
        <v xml:space="preserve"> </v>
      </c>
    </row>
    <row r="15" spans="1:46">
      <c r="C15" s="22">
        <f t="shared" si="1"/>
        <v>4</v>
      </c>
      <c r="D15" s="23">
        <f>IF(AND(C15&gt;='Amort. Sched.-WORST'!$I$8, C15&lt;= ($I$7+$I$8)), PMT('Amort. Sched.-WORST'!$E$8/12, 'Amort. Sched.-WORST'!$I$7, 'Amort. Sched.-WORST'!$E$7), 0)</f>
        <v>-2026.0175758541329</v>
      </c>
      <c r="E15" s="5">
        <f>IF(AND(C15&gt;='Amort. Sched.-WORST'!$I$8, C15&lt;= ($I$7+$I$8)), (IPMT($E$8/12, (C15-$I$8), $I$7, $E$7)), 0)</f>
        <v>-1744.4427643564848</v>
      </c>
      <c r="F15" s="23">
        <f>IF(AND(C15&gt;='Amort. Sched.-WORST'!$I$8, C15&lt;= ($I$7+$I$8)), (PPMT($E$8/12, (C15-$I$8), $I$7, $E$7)), 0)</f>
        <v>-281.57481149764823</v>
      </c>
      <c r="G15" s="5">
        <f>IF(MortgageAmortWORST[[#This Row],[Month]]=I$8,E$7,0)</f>
        <v>0</v>
      </c>
      <c r="H15" s="13">
        <f>IF(AND(C15&gt;='Amort. Sched.-WORST'!$I$8, C15&lt;= ($I$7+$I$8)), H14+F15, 0)</f>
        <v>261384.83984197504</v>
      </c>
      <c r="I15" s="24">
        <f>IF(AND(C15&gt;='Amort. Sched.-WORST'!$I$8, C15&lt;= ($I$7+$I$8)), E15/D15, " ")</f>
        <v>0.86102054846244791</v>
      </c>
      <c r="J15" s="25">
        <f>IF(AND(C15&gt;='Amort. Sched.-WORST'!$I$8, C15&lt;= ($I$7+$I$8)), F15/D15, " ")</f>
        <v>0.13897945153755209</v>
      </c>
      <c r="L15" s="20">
        <f t="shared" si="0"/>
        <v>4</v>
      </c>
      <c r="M15" s="5">
        <f>IF(AND(L15&gt;='Amort. Sched.-WORST'!$R$8, L15&lt;= ($R$7+$R$8)), PMT('Amort. Sched.-WORST'!$N$8/12, 'Amort. Sched.-WORST'!$R$7, 'Amort. Sched.-WORST'!$N$7), 0)</f>
        <v>0</v>
      </c>
      <c r="N15" s="5">
        <f>IF(AND(L15&gt;='Amort. Sched.-WORST'!$R$8, L15&lt;= ($R$7+$R$8)), (IPMT($N$8/12, (L15-$R$8), $R$7, $N$7)), 0)</f>
        <v>0</v>
      </c>
      <c r="O15" s="5">
        <f>IF(AND(L15&gt;='Amort. Sched.-WORST'!$R$8, L15&lt;= ($R$7+$R$8)), (PPMT($N$8/12, (L15-$R$8), $R$7, $N$7)), 0)</f>
        <v>0</v>
      </c>
      <c r="P15" s="5">
        <f>IF(CreditAmort1WORST[[#This Row],[Month]]=R$8,N$7,0)</f>
        <v>0</v>
      </c>
      <c r="Q15" s="13">
        <f>IF(AND(L15&gt;='Amort. Sched.-WORST'!$R$8, L15&lt;= ($R$7+$R$8)), Q14+O15, 0)</f>
        <v>0</v>
      </c>
      <c r="R15" s="6" t="str">
        <f>IF(AND(L15&gt;='Amort. Sched.-WORST'!$R$8, L15&lt;= ($R$7+$R$8)), N15/M15, " ")</f>
        <v xml:space="preserve"> </v>
      </c>
      <c r="S15" s="21" t="str">
        <f>IF(AND(L15&gt;='Amort. Sched.-WORST'!$R$8, L15&lt;= ($R$7+$R$8)), O15/M15, " ")</f>
        <v xml:space="preserve"> </v>
      </c>
      <c r="U15" s="20">
        <f t="shared" si="2"/>
        <v>4</v>
      </c>
      <c r="V15" s="5">
        <f>IF(AND(U15&gt;='Amort. Sched.-WORST'!$AA$8, U15&lt;= ($AA$7+$AA$8)), PMT('Amort. Sched.-WORST'!$W$8/12, 'Amort. Sched.-WORST'!$AA$7, 'Amort. Sched.-WORST'!$W$7), 0)</f>
        <v>0</v>
      </c>
      <c r="W15" s="5">
        <f>IF(AND(U15&gt;='Amort. Sched.-WORST'!$AA$8, U15&lt;= ($AA$7+$AA$8)), (IPMT($W$8/12, (U15-$AA$8), $AA$7, $W$7)), 0)</f>
        <v>0</v>
      </c>
      <c r="X15" s="5">
        <f>IF(AND(U15&gt;='Amort. Sched.-WORST'!$AA$8, U15&lt;= ($AA$7+$AA$8)), (PPMT($W$8/12, (U15-$AA$8), $AA$7, $W$7)), 0)</f>
        <v>0</v>
      </c>
      <c r="Y15" s="5">
        <f>IF(CreditAmort2WORST[[#This Row],[Month]]=AA$8,W$7,0)</f>
        <v>0</v>
      </c>
      <c r="Z15" s="13">
        <f>IF(AND(U15&gt;='Amort. Sched.-WORST'!$AA$8, U15&lt;= ($AA$7+$AA$8)), Z14+X15, 0)</f>
        <v>0</v>
      </c>
      <c r="AA15" s="6" t="str">
        <f>IF(AND(U15&gt;='Amort. Sched.-WORST'!$AA$8, U15&lt;= ($AA$7+$AA$8)), W15/V15, " ")</f>
        <v xml:space="preserve"> </v>
      </c>
      <c r="AB15" s="21" t="str">
        <f>IF(AND(U15&gt;='Amort. Sched.-WORST'!$AA$8, U15&lt;= ($AA$7+$AA$8)), X15/V15, " ")</f>
        <v xml:space="preserve"> </v>
      </c>
      <c r="AD15" s="20">
        <f t="shared" si="3"/>
        <v>4</v>
      </c>
      <c r="AE15" s="5">
        <f t="shared" si="4"/>
        <v>0</v>
      </c>
      <c r="AF15" s="5">
        <f t="shared" si="5"/>
        <v>0</v>
      </c>
      <c r="AG15" s="5">
        <f t="shared" si="6"/>
        <v>0</v>
      </c>
      <c r="AH15" s="5">
        <f>IF(CreditAmort3WORST[[#This Row],[Month]]=AJ$8,AF$7,0)</f>
        <v>0</v>
      </c>
      <c r="AI15" s="13">
        <f t="shared" si="7"/>
        <v>0</v>
      </c>
      <c r="AJ15" s="6" t="str">
        <f t="shared" si="8"/>
        <v xml:space="preserve"> </v>
      </c>
      <c r="AK15" s="21" t="str">
        <f t="shared" si="9"/>
        <v xml:space="preserve"> </v>
      </c>
      <c r="AM15" s="20">
        <f t="shared" si="10"/>
        <v>4</v>
      </c>
      <c r="AN15" s="5">
        <f t="shared" si="11"/>
        <v>0</v>
      </c>
      <c r="AO15" s="5">
        <f t="shared" si="12"/>
        <v>0</v>
      </c>
      <c r="AP15" s="5">
        <f t="shared" si="13"/>
        <v>0</v>
      </c>
      <c r="AQ15" s="5">
        <f>IF(CreditAmort4WORST[[#This Row],[Month]]=AS$8,AO$7,0)</f>
        <v>0</v>
      </c>
      <c r="AR15" s="13">
        <f t="shared" si="14"/>
        <v>0</v>
      </c>
      <c r="AS15" s="6" t="str">
        <f t="shared" si="15"/>
        <v xml:space="preserve"> </v>
      </c>
      <c r="AT15" s="21" t="str">
        <f t="shared" si="16"/>
        <v xml:space="preserve"> </v>
      </c>
    </row>
    <row r="16" spans="1:46">
      <c r="C16" s="22">
        <f t="shared" si="1"/>
        <v>5</v>
      </c>
      <c r="D16" s="23">
        <f>IF(AND(C16&gt;='Amort. Sched.-WORST'!$I$8, C16&lt;= ($I$7+$I$8)), PMT('Amort. Sched.-WORST'!$E$8/12, 'Amort. Sched.-WORST'!$I$7, 'Amort. Sched.-WORST'!$E$7), 0)</f>
        <v>-2026.0175758541329</v>
      </c>
      <c r="E16" s="5">
        <f>IF(AND(C16&gt;='Amort. Sched.-WORST'!$I$8, C16&lt;= ($I$7+$I$8)), (IPMT($E$8/12, (C16-$I$8), $I$7, $E$7)), 0)</f>
        <v>-1742.5655989465006</v>
      </c>
      <c r="F16" s="23">
        <f>IF(AND(C16&gt;='Amort. Sched.-WORST'!$I$8, C16&lt;= ($I$7+$I$8)), (PPMT($E$8/12, (C16-$I$8), $I$7, $E$7)), 0)</f>
        <v>-283.45197690763257</v>
      </c>
      <c r="G16" s="5">
        <f>IF(MortgageAmortWORST[[#This Row],[Month]]=I$8,E$7,0)</f>
        <v>0</v>
      </c>
      <c r="H16" s="13">
        <f>IF(AND(C16&gt;='Amort. Sched.-WORST'!$I$8, C16&lt;= ($I$7+$I$8)), H15+F16, 0)</f>
        <v>261101.3878650674</v>
      </c>
      <c r="I16" s="24">
        <f>IF(AND(C16&gt;='Amort. Sched.-WORST'!$I$8, C16&lt;= ($I$7+$I$8)), E16/D16, " ")</f>
        <v>0.86009401878553104</v>
      </c>
      <c r="J16" s="25">
        <f>IF(AND(C16&gt;='Amort. Sched.-WORST'!$I$8, C16&lt;= ($I$7+$I$8)), F16/D16, " ")</f>
        <v>0.13990598121446912</v>
      </c>
      <c r="L16" s="20">
        <f t="shared" si="0"/>
        <v>5</v>
      </c>
      <c r="M16" s="5">
        <f>IF(AND(L16&gt;='Amort. Sched.-WORST'!$R$8, L16&lt;= ($R$7+$R$8)), PMT('Amort. Sched.-WORST'!$N$8/12, 'Amort. Sched.-WORST'!$R$7, 'Amort. Sched.-WORST'!$N$7), 0)</f>
        <v>0</v>
      </c>
      <c r="N16" s="5">
        <f>IF(AND(L16&gt;='Amort. Sched.-WORST'!$R$8, L16&lt;= ($R$7+$R$8)), (IPMT($N$8/12, (L16-$R$8), $R$7, $N$7)), 0)</f>
        <v>0</v>
      </c>
      <c r="O16" s="5">
        <f>IF(AND(L16&gt;='Amort. Sched.-WORST'!$R$8, L16&lt;= ($R$7+$R$8)), (PPMT($N$8/12, (L16-$R$8), $R$7, $N$7)), 0)</f>
        <v>0</v>
      </c>
      <c r="P16" s="5">
        <f>IF(CreditAmort1WORST[[#This Row],[Month]]=R$8,N$7,0)</f>
        <v>0</v>
      </c>
      <c r="Q16" s="13">
        <f>IF(AND(L16&gt;='Amort. Sched.-WORST'!$R$8, L16&lt;= ($R$7+$R$8)), Q15+O16, 0)</f>
        <v>0</v>
      </c>
      <c r="R16" s="6" t="str">
        <f>IF(AND(L16&gt;='Amort. Sched.-WORST'!$R$8, L16&lt;= ($R$7+$R$8)), N16/M16, " ")</f>
        <v xml:space="preserve"> </v>
      </c>
      <c r="S16" s="21" t="str">
        <f>IF(AND(L16&gt;='Amort. Sched.-WORST'!$R$8, L16&lt;= ($R$7+$R$8)), O16/M16, " ")</f>
        <v xml:space="preserve"> </v>
      </c>
      <c r="U16" s="20">
        <f t="shared" si="2"/>
        <v>5</v>
      </c>
      <c r="V16" s="5">
        <f>IF(AND(U16&gt;='Amort. Sched.-WORST'!$AA$8, U16&lt;= ($AA$7+$AA$8)), PMT('Amort. Sched.-WORST'!$W$8/12, 'Amort. Sched.-WORST'!$AA$7, 'Amort. Sched.-WORST'!$W$7), 0)</f>
        <v>0</v>
      </c>
      <c r="W16" s="5">
        <f>IF(AND(U16&gt;='Amort. Sched.-WORST'!$AA$8, U16&lt;= ($AA$7+$AA$8)), (IPMT($W$8/12, (U16-$AA$8), $AA$7, $W$7)), 0)</f>
        <v>0</v>
      </c>
      <c r="X16" s="5">
        <f>IF(AND(U16&gt;='Amort. Sched.-WORST'!$AA$8, U16&lt;= ($AA$7+$AA$8)), (PPMT($W$8/12, (U16-$AA$8), $AA$7, $W$7)), 0)</f>
        <v>0</v>
      </c>
      <c r="Y16" s="5">
        <f>IF(CreditAmort2WORST[[#This Row],[Month]]=AA$8,W$7,0)</f>
        <v>0</v>
      </c>
      <c r="Z16" s="13">
        <f>IF(AND(U16&gt;='Amort. Sched.-WORST'!$AA$8, U16&lt;= ($AA$7+$AA$8)), Z15+X16, 0)</f>
        <v>0</v>
      </c>
      <c r="AA16" s="6" t="str">
        <f>IF(AND(U16&gt;='Amort. Sched.-WORST'!$AA$8, U16&lt;= ($AA$7+$AA$8)), W16/V16, " ")</f>
        <v xml:space="preserve"> </v>
      </c>
      <c r="AB16" s="21" t="str">
        <f>IF(AND(U16&gt;='Amort. Sched.-WORST'!$AA$8, U16&lt;= ($AA$7+$AA$8)), X16/V16, " ")</f>
        <v xml:space="preserve"> </v>
      </c>
      <c r="AD16" s="20">
        <f t="shared" si="3"/>
        <v>5</v>
      </c>
      <c r="AE16" s="5">
        <f t="shared" si="4"/>
        <v>0</v>
      </c>
      <c r="AF16" s="5">
        <f t="shared" si="5"/>
        <v>0</v>
      </c>
      <c r="AG16" s="5">
        <f t="shared" si="6"/>
        <v>0</v>
      </c>
      <c r="AH16" s="5">
        <f>IF(CreditAmort3WORST[[#This Row],[Month]]=AJ$8,AF$7,0)</f>
        <v>0</v>
      </c>
      <c r="AI16" s="13">
        <f t="shared" si="7"/>
        <v>0</v>
      </c>
      <c r="AJ16" s="6" t="str">
        <f t="shared" si="8"/>
        <v xml:space="preserve"> </v>
      </c>
      <c r="AK16" s="21" t="str">
        <f t="shared" si="9"/>
        <v xml:space="preserve"> </v>
      </c>
      <c r="AM16" s="20">
        <f t="shared" si="10"/>
        <v>5</v>
      </c>
      <c r="AN16" s="5">
        <f t="shared" si="11"/>
        <v>0</v>
      </c>
      <c r="AO16" s="5">
        <f t="shared" si="12"/>
        <v>0</v>
      </c>
      <c r="AP16" s="5">
        <f t="shared" si="13"/>
        <v>0</v>
      </c>
      <c r="AQ16" s="5">
        <f>IF(CreditAmort4WORST[[#This Row],[Month]]=AS$8,AO$7,0)</f>
        <v>0</v>
      </c>
      <c r="AR16" s="13">
        <f t="shared" si="14"/>
        <v>0</v>
      </c>
      <c r="AS16" s="6" t="str">
        <f t="shared" si="15"/>
        <v xml:space="preserve"> </v>
      </c>
      <c r="AT16" s="21" t="str">
        <f t="shared" si="16"/>
        <v xml:space="preserve"> </v>
      </c>
    </row>
    <row r="17" spans="3:46">
      <c r="C17" s="22">
        <f t="shared" si="1"/>
        <v>6</v>
      </c>
      <c r="D17" s="23">
        <f>IF(AND(C17&gt;='Amort. Sched.-WORST'!$I$8, C17&lt;= ($I$7+$I$8)), PMT('Amort. Sched.-WORST'!$E$8/12, 'Amort. Sched.-WORST'!$I$7, 'Amort. Sched.-WORST'!$E$7), 0)</f>
        <v>-2026.0175758541329</v>
      </c>
      <c r="E17" s="5">
        <f>IF(AND(C17&gt;='Amort. Sched.-WORST'!$I$8, C17&lt;= ($I$7+$I$8)), (IPMT($E$8/12, (C17-$I$8), $I$7, $E$7)), 0)</f>
        <v>-1740.6759191004494</v>
      </c>
      <c r="F17" s="23">
        <f>IF(AND(C17&gt;='Amort. Sched.-WORST'!$I$8, C17&lt;= ($I$7+$I$8)), (PPMT($E$8/12, (C17-$I$8), $I$7, $E$7)), 0)</f>
        <v>-285.34165675368342</v>
      </c>
      <c r="G17" s="5">
        <f>IF(MortgageAmortWORST[[#This Row],[Month]]=I$8,E$7,0)</f>
        <v>0</v>
      </c>
      <c r="H17" s="13">
        <f>IF(AND(C17&gt;='Amort. Sched.-WORST'!$I$8, C17&lt;= ($I$7+$I$8)), H16+F17, 0)</f>
        <v>260816.04620831372</v>
      </c>
      <c r="I17" s="24">
        <f>IF(AND(C17&gt;='Amort. Sched.-WORST'!$I$8, C17&lt;= ($I$7+$I$8)), E17/D17, " ")</f>
        <v>0.85916131224410108</v>
      </c>
      <c r="J17" s="25">
        <f>IF(AND(C17&gt;='Amort. Sched.-WORST'!$I$8, C17&lt;= ($I$7+$I$8)), F17/D17, " ")</f>
        <v>0.14083868775589889</v>
      </c>
      <c r="L17" s="20">
        <f t="shared" si="0"/>
        <v>6</v>
      </c>
      <c r="M17" s="5">
        <f>IF(AND(L17&gt;='Amort. Sched.-WORST'!$R$8, L17&lt;= ($R$7+$R$8)), PMT('Amort. Sched.-WORST'!$N$8/12, 'Amort. Sched.-WORST'!$R$7, 'Amort. Sched.-WORST'!$N$7), 0)</f>
        <v>0</v>
      </c>
      <c r="N17" s="5">
        <f>IF(AND(L17&gt;='Amort. Sched.-WORST'!$R$8, L17&lt;= ($R$7+$R$8)), (IPMT($N$8/12, (L17-$R$8), $R$7, $N$7)), 0)</f>
        <v>0</v>
      </c>
      <c r="O17" s="5">
        <f>IF(AND(L17&gt;='Amort. Sched.-WORST'!$R$8, L17&lt;= ($R$7+$R$8)), (PPMT($N$8/12, (L17-$R$8), $R$7, $N$7)), 0)</f>
        <v>0</v>
      </c>
      <c r="P17" s="5">
        <f>IF(CreditAmort1WORST[[#This Row],[Month]]=R$8,N$7,0)</f>
        <v>0</v>
      </c>
      <c r="Q17" s="13">
        <f>IF(AND(L17&gt;='Amort. Sched.-WORST'!$R$8, L17&lt;= ($R$7+$R$8)), Q16+O17, 0)</f>
        <v>0</v>
      </c>
      <c r="R17" s="6" t="str">
        <f>IF(AND(L17&gt;='Amort. Sched.-WORST'!$R$8, L17&lt;= ($R$7+$R$8)), N17/M17, " ")</f>
        <v xml:space="preserve"> </v>
      </c>
      <c r="S17" s="21" t="str">
        <f>IF(AND(L17&gt;='Amort. Sched.-WORST'!$R$8, L17&lt;= ($R$7+$R$8)), O17/M17, " ")</f>
        <v xml:space="preserve"> </v>
      </c>
      <c r="U17" s="20">
        <f t="shared" si="2"/>
        <v>6</v>
      </c>
      <c r="V17" s="5">
        <f>IF(AND(U17&gt;='Amort. Sched.-WORST'!$AA$8, U17&lt;= ($AA$7+$AA$8)), PMT('Amort. Sched.-WORST'!$W$8/12, 'Amort. Sched.-WORST'!$AA$7, 'Amort. Sched.-WORST'!$W$7), 0)</f>
        <v>0</v>
      </c>
      <c r="W17" s="5">
        <f>IF(AND(U17&gt;='Amort. Sched.-WORST'!$AA$8, U17&lt;= ($AA$7+$AA$8)), (IPMT($W$8/12, (U17-$AA$8), $AA$7, $W$7)), 0)</f>
        <v>0</v>
      </c>
      <c r="X17" s="5">
        <f>IF(AND(U17&gt;='Amort. Sched.-WORST'!$AA$8, U17&lt;= ($AA$7+$AA$8)), (PPMT($W$8/12, (U17-$AA$8), $AA$7, $W$7)), 0)</f>
        <v>0</v>
      </c>
      <c r="Y17" s="5">
        <f>IF(CreditAmort2WORST[[#This Row],[Month]]=AA$8,W$7,0)</f>
        <v>0</v>
      </c>
      <c r="Z17" s="13">
        <f>IF(AND(U17&gt;='Amort. Sched.-WORST'!$AA$8, U17&lt;= ($AA$7+$AA$8)), Z16+X17, 0)</f>
        <v>0</v>
      </c>
      <c r="AA17" s="6" t="str">
        <f>IF(AND(U17&gt;='Amort. Sched.-WORST'!$AA$8, U17&lt;= ($AA$7+$AA$8)), W17/V17, " ")</f>
        <v xml:space="preserve"> </v>
      </c>
      <c r="AB17" s="21" t="str">
        <f>IF(AND(U17&gt;='Amort. Sched.-WORST'!$AA$8, U17&lt;= ($AA$7+$AA$8)), X17/V17, " ")</f>
        <v xml:space="preserve"> </v>
      </c>
      <c r="AD17" s="20">
        <f t="shared" si="3"/>
        <v>6</v>
      </c>
      <c r="AE17" s="5">
        <f t="shared" si="4"/>
        <v>0</v>
      </c>
      <c r="AF17" s="5">
        <f t="shared" si="5"/>
        <v>0</v>
      </c>
      <c r="AG17" s="5">
        <f t="shared" si="6"/>
        <v>0</v>
      </c>
      <c r="AH17" s="5">
        <f>IF(CreditAmort3WORST[[#This Row],[Month]]=AJ$8,AF$7,0)</f>
        <v>0</v>
      </c>
      <c r="AI17" s="13">
        <f t="shared" si="7"/>
        <v>0</v>
      </c>
      <c r="AJ17" s="6" t="str">
        <f t="shared" si="8"/>
        <v xml:space="preserve"> </v>
      </c>
      <c r="AK17" s="21" t="str">
        <f t="shared" si="9"/>
        <v xml:space="preserve"> </v>
      </c>
      <c r="AM17" s="20">
        <f t="shared" si="10"/>
        <v>6</v>
      </c>
      <c r="AN17" s="5">
        <f t="shared" si="11"/>
        <v>0</v>
      </c>
      <c r="AO17" s="5">
        <f t="shared" si="12"/>
        <v>0</v>
      </c>
      <c r="AP17" s="5">
        <f t="shared" si="13"/>
        <v>0</v>
      </c>
      <c r="AQ17" s="5">
        <f>IF(CreditAmort4WORST[[#This Row],[Month]]=AS$8,AO$7,0)</f>
        <v>0</v>
      </c>
      <c r="AR17" s="13">
        <f t="shared" si="14"/>
        <v>0</v>
      </c>
      <c r="AS17" s="6" t="str">
        <f t="shared" si="15"/>
        <v xml:space="preserve"> </v>
      </c>
      <c r="AT17" s="21" t="str">
        <f t="shared" si="16"/>
        <v xml:space="preserve"> </v>
      </c>
    </row>
    <row r="18" spans="3:46">
      <c r="C18" s="22">
        <f t="shared" si="1"/>
        <v>7</v>
      </c>
      <c r="D18" s="23">
        <f>IF(AND(C18&gt;='Amort. Sched.-WORST'!$I$8, C18&lt;= ($I$7+$I$8)), PMT('Amort. Sched.-WORST'!$E$8/12, 'Amort. Sched.-WORST'!$I$7, 'Amort. Sched.-WORST'!$E$7), 0)</f>
        <v>-2026.0175758541329</v>
      </c>
      <c r="E18" s="5">
        <f>IF(AND(C18&gt;='Amort. Sched.-WORST'!$I$8, C18&lt;= ($I$7+$I$8)), (IPMT($E$8/12, (C18-$I$8), $I$7, $E$7)), 0)</f>
        <v>-1738.7736413887583</v>
      </c>
      <c r="F18" s="23">
        <f>IF(AND(C18&gt;='Amort. Sched.-WORST'!$I$8, C18&lt;= ($I$7+$I$8)), (PPMT($E$8/12, (C18-$I$8), $I$7, $E$7)), 0)</f>
        <v>-287.24393446537465</v>
      </c>
      <c r="G18" s="5">
        <f>IF(MortgageAmortWORST[[#This Row],[Month]]=I$8,E$7,0)</f>
        <v>0</v>
      </c>
      <c r="H18" s="13">
        <f>IF(AND(C18&gt;='Amort. Sched.-WORST'!$I$8, C18&lt;= ($I$7+$I$8)), H17+F18, 0)</f>
        <v>260528.80227384836</v>
      </c>
      <c r="I18" s="24">
        <f>IF(AND(C18&gt;='Amort. Sched.-WORST'!$I$8, C18&lt;= ($I$7+$I$8)), E18/D18, " ")</f>
        <v>0.85822238765906178</v>
      </c>
      <c r="J18" s="25">
        <f>IF(AND(C18&gt;='Amort. Sched.-WORST'!$I$8, C18&lt;= ($I$7+$I$8)), F18/D18, " ")</f>
        <v>0.14177761234093822</v>
      </c>
      <c r="L18" s="20">
        <f t="shared" si="0"/>
        <v>7</v>
      </c>
      <c r="M18" s="5">
        <f>IF(AND(L18&gt;='Amort. Sched.-WORST'!$R$8, L18&lt;= ($R$7+$R$8)), PMT('Amort. Sched.-WORST'!$N$8/12, 'Amort. Sched.-WORST'!$R$7, 'Amort. Sched.-WORST'!$N$7), 0)</f>
        <v>0</v>
      </c>
      <c r="N18" s="5">
        <f>IF(AND(L18&gt;='Amort. Sched.-WORST'!$R$8, L18&lt;= ($R$7+$R$8)), (IPMT($N$8/12, (L18-$R$8), $R$7, $N$7)), 0)</f>
        <v>0</v>
      </c>
      <c r="O18" s="5">
        <f>IF(AND(L18&gt;='Amort. Sched.-WORST'!$R$8, L18&lt;= ($R$7+$R$8)), (PPMT($N$8/12, (L18-$R$8), $R$7, $N$7)), 0)</f>
        <v>0</v>
      </c>
      <c r="P18" s="5">
        <f>IF(CreditAmort1WORST[[#This Row],[Month]]=R$8,N$7,0)</f>
        <v>0</v>
      </c>
      <c r="Q18" s="13">
        <f>IF(AND(L18&gt;='Amort. Sched.-WORST'!$R$8, L18&lt;= ($R$7+$R$8)), Q17+O18, 0)</f>
        <v>0</v>
      </c>
      <c r="R18" s="6" t="str">
        <f>IF(AND(L18&gt;='Amort. Sched.-WORST'!$R$8, L18&lt;= ($R$7+$R$8)), N18/M18, " ")</f>
        <v xml:space="preserve"> </v>
      </c>
      <c r="S18" s="21" t="str">
        <f>IF(AND(L18&gt;='Amort. Sched.-WORST'!$R$8, L18&lt;= ($R$7+$R$8)), O18/M18, " ")</f>
        <v xml:space="preserve"> </v>
      </c>
      <c r="U18" s="20">
        <f t="shared" si="2"/>
        <v>7</v>
      </c>
      <c r="V18" s="5">
        <f>IF(AND(U18&gt;='Amort. Sched.-WORST'!$AA$8, U18&lt;= ($AA$7+$AA$8)), PMT('Amort. Sched.-WORST'!$W$8/12, 'Amort. Sched.-WORST'!$AA$7, 'Amort. Sched.-WORST'!$W$7), 0)</f>
        <v>0</v>
      </c>
      <c r="W18" s="5">
        <f>IF(AND(U18&gt;='Amort. Sched.-WORST'!$AA$8, U18&lt;= ($AA$7+$AA$8)), (IPMT($W$8/12, (U18-$AA$8), $AA$7, $W$7)), 0)</f>
        <v>0</v>
      </c>
      <c r="X18" s="5">
        <f>IF(AND(U18&gt;='Amort. Sched.-WORST'!$AA$8, U18&lt;= ($AA$7+$AA$8)), (PPMT($W$8/12, (U18-$AA$8), $AA$7, $W$7)), 0)</f>
        <v>0</v>
      </c>
      <c r="Y18" s="5">
        <f>IF(CreditAmort2WORST[[#This Row],[Month]]=AA$8,W$7,0)</f>
        <v>0</v>
      </c>
      <c r="Z18" s="13">
        <f>IF(AND(U18&gt;='Amort. Sched.-WORST'!$AA$8, U18&lt;= ($AA$7+$AA$8)), Z17+X18, 0)</f>
        <v>0</v>
      </c>
      <c r="AA18" s="6" t="str">
        <f>IF(AND(U18&gt;='Amort. Sched.-WORST'!$AA$8, U18&lt;= ($AA$7+$AA$8)), W18/V18, " ")</f>
        <v xml:space="preserve"> </v>
      </c>
      <c r="AB18" s="21" t="str">
        <f>IF(AND(U18&gt;='Amort. Sched.-WORST'!$AA$8, U18&lt;= ($AA$7+$AA$8)), X18/V18, " ")</f>
        <v xml:space="preserve"> </v>
      </c>
      <c r="AD18" s="20">
        <f t="shared" si="3"/>
        <v>7</v>
      </c>
      <c r="AE18" s="5">
        <f t="shared" si="4"/>
        <v>0</v>
      </c>
      <c r="AF18" s="5">
        <f t="shared" si="5"/>
        <v>0</v>
      </c>
      <c r="AG18" s="5">
        <f t="shared" si="6"/>
        <v>0</v>
      </c>
      <c r="AH18" s="5">
        <f>IF(CreditAmort3WORST[[#This Row],[Month]]=AJ$8,AF$7,0)</f>
        <v>0</v>
      </c>
      <c r="AI18" s="13">
        <f t="shared" si="7"/>
        <v>0</v>
      </c>
      <c r="AJ18" s="6" t="str">
        <f t="shared" si="8"/>
        <v xml:space="preserve"> </v>
      </c>
      <c r="AK18" s="21" t="str">
        <f t="shared" si="9"/>
        <v xml:space="preserve"> </v>
      </c>
      <c r="AM18" s="20">
        <f t="shared" si="10"/>
        <v>7</v>
      </c>
      <c r="AN18" s="5">
        <f t="shared" si="11"/>
        <v>0</v>
      </c>
      <c r="AO18" s="5">
        <f t="shared" si="12"/>
        <v>0</v>
      </c>
      <c r="AP18" s="5">
        <f t="shared" si="13"/>
        <v>0</v>
      </c>
      <c r="AQ18" s="5">
        <f>IF(CreditAmort4WORST[[#This Row],[Month]]=AS$8,AO$7,0)</f>
        <v>0</v>
      </c>
      <c r="AR18" s="13">
        <f t="shared" si="14"/>
        <v>0</v>
      </c>
      <c r="AS18" s="6" t="str">
        <f t="shared" si="15"/>
        <v xml:space="preserve"> </v>
      </c>
      <c r="AT18" s="21" t="str">
        <f t="shared" si="16"/>
        <v xml:space="preserve"> </v>
      </c>
    </row>
    <row r="19" spans="3:46">
      <c r="C19" s="22">
        <f t="shared" si="1"/>
        <v>8</v>
      </c>
      <c r="D19" s="23">
        <f>IF(AND(C19&gt;='Amort. Sched.-WORST'!$I$8, C19&lt;= ($I$7+$I$8)), PMT('Amort. Sched.-WORST'!$E$8/12, 'Amort. Sched.-WORST'!$I$7, 'Amort. Sched.-WORST'!$E$7), 0)</f>
        <v>-2026.0175758541329</v>
      </c>
      <c r="E19" s="5">
        <f>IF(AND(C19&gt;='Amort. Sched.-WORST'!$I$8, C19&lt;= ($I$7+$I$8)), (IPMT($E$8/12, (C19-$I$8), $I$7, $E$7)), 0)</f>
        <v>-1736.8586818256558</v>
      </c>
      <c r="F19" s="23">
        <f>IF(AND(C19&gt;='Amort. Sched.-WORST'!$I$8, C19&lt;= ($I$7+$I$8)), (PPMT($E$8/12, (C19-$I$8), $I$7, $E$7)), 0)</f>
        <v>-289.15889402847711</v>
      </c>
      <c r="G19" s="5">
        <f>IF(MortgageAmortWORST[[#This Row],[Month]]=I$8,E$7,0)</f>
        <v>0</v>
      </c>
      <c r="H19" s="13">
        <f>IF(AND(C19&gt;='Amort. Sched.-WORST'!$I$8, C19&lt;= ($I$7+$I$8)), H18+F19, 0)</f>
        <v>260239.64337981987</v>
      </c>
      <c r="I19" s="24">
        <f>IF(AND(C19&gt;='Amort. Sched.-WORST'!$I$8, C19&lt;= ($I$7+$I$8)), E19/D19, " ")</f>
        <v>0.85727720357678883</v>
      </c>
      <c r="J19" s="25">
        <f>IF(AND(C19&gt;='Amort. Sched.-WORST'!$I$8, C19&lt;= ($I$7+$I$8)), F19/D19, " ")</f>
        <v>0.14272279642321112</v>
      </c>
      <c r="L19" s="20">
        <f t="shared" si="0"/>
        <v>8</v>
      </c>
      <c r="M19" s="5">
        <f>IF(AND(L19&gt;='Amort. Sched.-WORST'!$R$8, L19&lt;= ($R$7+$R$8)), PMT('Amort. Sched.-WORST'!$N$8/12, 'Amort. Sched.-WORST'!$R$7, 'Amort. Sched.-WORST'!$N$7), 0)</f>
        <v>0</v>
      </c>
      <c r="N19" s="5">
        <f>IF(AND(L19&gt;='Amort. Sched.-WORST'!$R$8, L19&lt;= ($R$7+$R$8)), (IPMT($N$8/12, (L19-$R$8), $R$7, $N$7)), 0)</f>
        <v>0</v>
      </c>
      <c r="O19" s="5">
        <f>IF(AND(L19&gt;='Amort. Sched.-WORST'!$R$8, L19&lt;= ($R$7+$R$8)), (PPMT($N$8/12, (L19-$R$8), $R$7, $N$7)), 0)</f>
        <v>0</v>
      </c>
      <c r="P19" s="5">
        <f>IF(CreditAmort1WORST[[#This Row],[Month]]=R$8,N$7,0)</f>
        <v>0</v>
      </c>
      <c r="Q19" s="13">
        <f>IF(AND(L19&gt;='Amort. Sched.-WORST'!$R$8, L19&lt;= ($R$7+$R$8)), Q18+O19, 0)</f>
        <v>0</v>
      </c>
      <c r="R19" s="6" t="str">
        <f>IF(AND(L19&gt;='Amort. Sched.-WORST'!$R$8, L19&lt;= ($R$7+$R$8)), N19/M19, " ")</f>
        <v xml:space="preserve"> </v>
      </c>
      <c r="S19" s="21" t="str">
        <f>IF(AND(L19&gt;='Amort. Sched.-WORST'!$R$8, L19&lt;= ($R$7+$R$8)), O19/M19, " ")</f>
        <v xml:space="preserve"> </v>
      </c>
      <c r="U19" s="20">
        <f t="shared" si="2"/>
        <v>8</v>
      </c>
      <c r="V19" s="5">
        <f>IF(AND(U19&gt;='Amort. Sched.-WORST'!$AA$8, U19&lt;= ($AA$7+$AA$8)), PMT('Amort. Sched.-WORST'!$W$8/12, 'Amort. Sched.-WORST'!$AA$7, 'Amort. Sched.-WORST'!$W$7), 0)</f>
        <v>0</v>
      </c>
      <c r="W19" s="5">
        <f>IF(AND(U19&gt;='Amort. Sched.-WORST'!$AA$8, U19&lt;= ($AA$7+$AA$8)), (IPMT($W$8/12, (U19-$AA$8), $AA$7, $W$7)), 0)</f>
        <v>0</v>
      </c>
      <c r="X19" s="5">
        <f>IF(AND(U19&gt;='Amort. Sched.-WORST'!$AA$8, U19&lt;= ($AA$7+$AA$8)), (PPMT($W$8/12, (U19-$AA$8), $AA$7, $W$7)), 0)</f>
        <v>0</v>
      </c>
      <c r="Y19" s="5">
        <f>IF(CreditAmort2WORST[[#This Row],[Month]]=AA$8,W$7,0)</f>
        <v>0</v>
      </c>
      <c r="Z19" s="13">
        <f>IF(AND(U19&gt;='Amort. Sched.-WORST'!$AA$8, U19&lt;= ($AA$7+$AA$8)), Z18+X19, 0)</f>
        <v>0</v>
      </c>
      <c r="AA19" s="6" t="str">
        <f>IF(AND(U19&gt;='Amort. Sched.-WORST'!$AA$8, U19&lt;= ($AA$7+$AA$8)), W19/V19, " ")</f>
        <v xml:space="preserve"> </v>
      </c>
      <c r="AB19" s="21" t="str">
        <f>IF(AND(U19&gt;='Amort. Sched.-WORST'!$AA$8, U19&lt;= ($AA$7+$AA$8)), X19/V19, " ")</f>
        <v xml:space="preserve"> </v>
      </c>
      <c r="AD19" s="20">
        <f t="shared" si="3"/>
        <v>8</v>
      </c>
      <c r="AE19" s="5">
        <f t="shared" si="4"/>
        <v>0</v>
      </c>
      <c r="AF19" s="5">
        <f t="shared" si="5"/>
        <v>0</v>
      </c>
      <c r="AG19" s="5">
        <f t="shared" si="6"/>
        <v>0</v>
      </c>
      <c r="AH19" s="5">
        <f>IF(CreditAmort3WORST[[#This Row],[Month]]=AJ$8,AF$7,0)</f>
        <v>0</v>
      </c>
      <c r="AI19" s="13">
        <f t="shared" si="7"/>
        <v>0</v>
      </c>
      <c r="AJ19" s="6" t="str">
        <f t="shared" si="8"/>
        <v xml:space="preserve"> </v>
      </c>
      <c r="AK19" s="21" t="str">
        <f t="shared" si="9"/>
        <v xml:space="preserve"> </v>
      </c>
      <c r="AM19" s="20">
        <f t="shared" si="10"/>
        <v>8</v>
      </c>
      <c r="AN19" s="5">
        <f t="shared" si="11"/>
        <v>0</v>
      </c>
      <c r="AO19" s="5">
        <f t="shared" si="12"/>
        <v>0</v>
      </c>
      <c r="AP19" s="5">
        <f t="shared" si="13"/>
        <v>0</v>
      </c>
      <c r="AQ19" s="5">
        <f>IF(CreditAmort4WORST[[#This Row],[Month]]=AS$8,AO$7,0)</f>
        <v>0</v>
      </c>
      <c r="AR19" s="13">
        <f t="shared" si="14"/>
        <v>0</v>
      </c>
      <c r="AS19" s="6" t="str">
        <f t="shared" si="15"/>
        <v xml:space="preserve"> </v>
      </c>
      <c r="AT19" s="21" t="str">
        <f t="shared" si="16"/>
        <v xml:space="preserve"> </v>
      </c>
    </row>
    <row r="20" spans="3:46">
      <c r="C20" s="22">
        <f t="shared" si="1"/>
        <v>9</v>
      </c>
      <c r="D20" s="23">
        <f>IF(AND(C20&gt;='Amort. Sched.-WORST'!$I$8, C20&lt;= ($I$7+$I$8)), PMT('Amort. Sched.-WORST'!$E$8/12, 'Amort. Sched.-WORST'!$I$7, 'Amort. Sched.-WORST'!$E$7), 0)</f>
        <v>-2026.0175758541329</v>
      </c>
      <c r="E20" s="5">
        <f>IF(AND(C20&gt;='Amort. Sched.-WORST'!$I$8, C20&lt;= ($I$7+$I$8)), (IPMT($E$8/12, (C20-$I$8), $I$7, $E$7)), 0)</f>
        <v>-1734.9309558654659</v>
      </c>
      <c r="F20" s="23">
        <f>IF(AND(C20&gt;='Amort. Sched.-WORST'!$I$8, C20&lt;= ($I$7+$I$8)), (PPMT($E$8/12, (C20-$I$8), $I$7, $E$7)), 0)</f>
        <v>-291.08661998866694</v>
      </c>
      <c r="G20" s="5">
        <f>IF(MortgageAmortWORST[[#This Row],[Month]]=I$8,E$7,0)</f>
        <v>0</v>
      </c>
      <c r="H20" s="13">
        <f>IF(AND(C20&gt;='Amort. Sched.-WORST'!$I$8, C20&lt;= ($I$7+$I$8)), H19+F20, 0)</f>
        <v>259948.5567598312</v>
      </c>
      <c r="I20" s="24">
        <f>IF(AND(C20&gt;='Amort. Sched.-WORST'!$I$8, C20&lt;= ($I$7+$I$8)), E20/D20, " ")</f>
        <v>0.85632571826730075</v>
      </c>
      <c r="J20" s="25">
        <f>IF(AND(C20&gt;='Amort. Sched.-WORST'!$I$8, C20&lt;= ($I$7+$I$8)), F20/D20, " ")</f>
        <v>0.14367428173269919</v>
      </c>
      <c r="L20" s="20">
        <f t="shared" si="0"/>
        <v>9</v>
      </c>
      <c r="M20" s="5">
        <f>IF(AND(L20&gt;='Amort. Sched.-WORST'!$R$8, L20&lt;= ($R$7+$R$8)), PMT('Amort. Sched.-WORST'!$N$8/12, 'Amort. Sched.-WORST'!$R$7, 'Amort. Sched.-WORST'!$N$7), 0)</f>
        <v>0</v>
      </c>
      <c r="N20" s="5">
        <f>IF(AND(L20&gt;='Amort. Sched.-WORST'!$R$8, L20&lt;= ($R$7+$R$8)), (IPMT($N$8/12, (L20-$R$8), $R$7, $N$7)), 0)</f>
        <v>0</v>
      </c>
      <c r="O20" s="5">
        <f>IF(AND(L20&gt;='Amort. Sched.-WORST'!$R$8, L20&lt;= ($R$7+$R$8)), (PPMT($N$8/12, (L20-$R$8), $R$7, $N$7)), 0)</f>
        <v>0</v>
      </c>
      <c r="P20" s="5">
        <f>IF(CreditAmort1WORST[[#This Row],[Month]]=R$8,N$7,0)</f>
        <v>0</v>
      </c>
      <c r="Q20" s="13">
        <f>IF(AND(L20&gt;='Amort. Sched.-WORST'!$R$8, L20&lt;= ($R$7+$R$8)), Q19+O20, 0)</f>
        <v>0</v>
      </c>
      <c r="R20" s="6" t="str">
        <f>IF(AND(L20&gt;='Amort. Sched.-WORST'!$R$8, L20&lt;= ($R$7+$R$8)), N20/M20, " ")</f>
        <v xml:space="preserve"> </v>
      </c>
      <c r="S20" s="21" t="str">
        <f>IF(AND(L20&gt;='Amort. Sched.-WORST'!$R$8, L20&lt;= ($R$7+$R$8)), O20/M20, " ")</f>
        <v xml:space="preserve"> </v>
      </c>
      <c r="U20" s="20">
        <f t="shared" si="2"/>
        <v>9</v>
      </c>
      <c r="V20" s="5">
        <f>IF(AND(U20&gt;='Amort. Sched.-WORST'!$AA$8, U20&lt;= ($AA$7+$AA$8)), PMT('Amort. Sched.-WORST'!$W$8/12, 'Amort. Sched.-WORST'!$AA$7, 'Amort. Sched.-WORST'!$W$7), 0)</f>
        <v>0</v>
      </c>
      <c r="W20" s="5">
        <f>IF(AND(U20&gt;='Amort. Sched.-WORST'!$AA$8, U20&lt;= ($AA$7+$AA$8)), (IPMT($W$8/12, (U20-$AA$8), $AA$7, $W$7)), 0)</f>
        <v>0</v>
      </c>
      <c r="X20" s="5">
        <f>IF(AND(U20&gt;='Amort. Sched.-WORST'!$AA$8, U20&lt;= ($AA$7+$AA$8)), (PPMT($W$8/12, (U20-$AA$8), $AA$7, $W$7)), 0)</f>
        <v>0</v>
      </c>
      <c r="Y20" s="5">
        <f>IF(CreditAmort2WORST[[#This Row],[Month]]=AA$8,W$7,0)</f>
        <v>0</v>
      </c>
      <c r="Z20" s="13">
        <f>IF(AND(U20&gt;='Amort. Sched.-WORST'!$AA$8, U20&lt;= ($AA$7+$AA$8)), Z19+X20, 0)</f>
        <v>0</v>
      </c>
      <c r="AA20" s="6" t="str">
        <f>IF(AND(U20&gt;='Amort. Sched.-WORST'!$AA$8, U20&lt;= ($AA$7+$AA$8)), W20/V20, " ")</f>
        <v xml:space="preserve"> </v>
      </c>
      <c r="AB20" s="21" t="str">
        <f>IF(AND(U20&gt;='Amort. Sched.-WORST'!$AA$8, U20&lt;= ($AA$7+$AA$8)), X20/V20, " ")</f>
        <v xml:space="preserve"> </v>
      </c>
      <c r="AD20" s="20">
        <f t="shared" si="3"/>
        <v>9</v>
      </c>
      <c r="AE20" s="5">
        <f t="shared" si="4"/>
        <v>0</v>
      </c>
      <c r="AF20" s="5">
        <f t="shared" si="5"/>
        <v>0</v>
      </c>
      <c r="AG20" s="5">
        <f t="shared" si="6"/>
        <v>0</v>
      </c>
      <c r="AH20" s="5">
        <f>IF(CreditAmort3WORST[[#This Row],[Month]]=AJ$8,AF$7,0)</f>
        <v>0</v>
      </c>
      <c r="AI20" s="13">
        <f t="shared" si="7"/>
        <v>0</v>
      </c>
      <c r="AJ20" s="6" t="str">
        <f t="shared" si="8"/>
        <v xml:space="preserve"> </v>
      </c>
      <c r="AK20" s="21" t="str">
        <f t="shared" si="9"/>
        <v xml:space="preserve"> </v>
      </c>
      <c r="AM20" s="20">
        <f t="shared" si="10"/>
        <v>9</v>
      </c>
      <c r="AN20" s="5">
        <f t="shared" si="11"/>
        <v>0</v>
      </c>
      <c r="AO20" s="5">
        <f t="shared" si="12"/>
        <v>0</v>
      </c>
      <c r="AP20" s="5">
        <f t="shared" si="13"/>
        <v>0</v>
      </c>
      <c r="AQ20" s="5">
        <f>IF(CreditAmort4WORST[[#This Row],[Month]]=AS$8,AO$7,0)</f>
        <v>0</v>
      </c>
      <c r="AR20" s="13">
        <f t="shared" si="14"/>
        <v>0</v>
      </c>
      <c r="AS20" s="6" t="str">
        <f t="shared" si="15"/>
        <v xml:space="preserve"> </v>
      </c>
      <c r="AT20" s="21" t="str">
        <f t="shared" si="16"/>
        <v xml:space="preserve"> </v>
      </c>
    </row>
    <row r="21" spans="3:46">
      <c r="C21" s="22">
        <f t="shared" si="1"/>
        <v>10</v>
      </c>
      <c r="D21" s="23">
        <f>IF(AND(C21&gt;='Amort. Sched.-WORST'!$I$8, C21&lt;= ($I$7+$I$8)), PMT('Amort. Sched.-WORST'!$E$8/12, 'Amort. Sched.-WORST'!$I$7, 'Amort. Sched.-WORST'!$E$7), 0)</f>
        <v>-2026.0175758541329</v>
      </c>
      <c r="E21" s="5">
        <f>IF(AND(C21&gt;='Amort. Sched.-WORST'!$I$8, C21&lt;= ($I$7+$I$8)), (IPMT($E$8/12, (C21-$I$8), $I$7, $E$7)), 0)</f>
        <v>-1732.990378398875</v>
      </c>
      <c r="F21" s="23">
        <f>IF(AND(C21&gt;='Amort. Sched.-WORST'!$I$8, C21&lt;= ($I$7+$I$8)), (PPMT($E$8/12, (C21-$I$8), $I$7, $E$7)), 0)</f>
        <v>-293.02719745525809</v>
      </c>
      <c r="G21" s="5">
        <f>IF(MortgageAmortWORST[[#This Row],[Month]]=I$8,E$7,0)</f>
        <v>0</v>
      </c>
      <c r="H21" s="13">
        <f>IF(AND(C21&gt;='Amort. Sched.-WORST'!$I$8, C21&lt;= ($I$7+$I$8)), H20+F21, 0)</f>
        <v>259655.52956237594</v>
      </c>
      <c r="I21" s="24">
        <f>IF(AND(C21&gt;='Amort. Sched.-WORST'!$I$8, C21&lt;= ($I$7+$I$8)), E21/D21, " ")</f>
        <v>0.85536788972241617</v>
      </c>
      <c r="J21" s="25">
        <f>IF(AND(C21&gt;='Amort. Sched.-WORST'!$I$8, C21&lt;= ($I$7+$I$8)), F21/D21, " ")</f>
        <v>0.14463211027758385</v>
      </c>
      <c r="L21" s="20">
        <f t="shared" si="0"/>
        <v>10</v>
      </c>
      <c r="M21" s="5">
        <f>IF(AND(L21&gt;='Amort. Sched.-WORST'!$R$8, L21&lt;= ($R$7+$R$8)), PMT('Amort. Sched.-WORST'!$N$8/12, 'Amort. Sched.-WORST'!$R$7, 'Amort. Sched.-WORST'!$N$7), 0)</f>
        <v>0</v>
      </c>
      <c r="N21" s="5">
        <f>IF(AND(L21&gt;='Amort. Sched.-WORST'!$R$8, L21&lt;= ($R$7+$R$8)), (IPMT($N$8/12, (L21-$R$8), $R$7, $N$7)), 0)</f>
        <v>0</v>
      </c>
      <c r="O21" s="5">
        <f>IF(AND(L21&gt;='Amort. Sched.-WORST'!$R$8, L21&lt;= ($R$7+$R$8)), (PPMT($N$8/12, (L21-$R$8), $R$7, $N$7)), 0)</f>
        <v>0</v>
      </c>
      <c r="P21" s="5">
        <f>IF(CreditAmort1WORST[[#This Row],[Month]]=R$8,N$7,0)</f>
        <v>0</v>
      </c>
      <c r="Q21" s="13">
        <f>IF(AND(L21&gt;='Amort. Sched.-WORST'!$R$8, L21&lt;= ($R$7+$R$8)), Q20+O21, 0)</f>
        <v>0</v>
      </c>
      <c r="R21" s="6" t="str">
        <f>IF(AND(L21&gt;='Amort. Sched.-WORST'!$R$8, L21&lt;= ($R$7+$R$8)), N21/M21, " ")</f>
        <v xml:space="preserve"> </v>
      </c>
      <c r="S21" s="21" t="str">
        <f>IF(AND(L21&gt;='Amort. Sched.-WORST'!$R$8, L21&lt;= ($R$7+$R$8)), O21/M21, " ")</f>
        <v xml:space="preserve"> </v>
      </c>
      <c r="U21" s="20">
        <f t="shared" si="2"/>
        <v>10</v>
      </c>
      <c r="V21" s="5">
        <f>IF(AND(U21&gt;='Amort. Sched.-WORST'!$AA$8, U21&lt;= ($AA$7+$AA$8)), PMT('Amort. Sched.-WORST'!$W$8/12, 'Amort. Sched.-WORST'!$AA$7, 'Amort. Sched.-WORST'!$W$7), 0)</f>
        <v>0</v>
      </c>
      <c r="W21" s="5">
        <f>IF(AND(U21&gt;='Amort. Sched.-WORST'!$AA$8, U21&lt;= ($AA$7+$AA$8)), (IPMT($W$8/12, (U21-$AA$8), $AA$7, $W$7)), 0)</f>
        <v>0</v>
      </c>
      <c r="X21" s="5">
        <f>IF(AND(U21&gt;='Amort. Sched.-WORST'!$AA$8, U21&lt;= ($AA$7+$AA$8)), (PPMT($W$8/12, (U21-$AA$8), $AA$7, $W$7)), 0)</f>
        <v>0</v>
      </c>
      <c r="Y21" s="5">
        <f>IF(CreditAmort2WORST[[#This Row],[Month]]=AA$8,W$7,0)</f>
        <v>0</v>
      </c>
      <c r="Z21" s="13">
        <f>IF(AND(U21&gt;='Amort. Sched.-WORST'!$AA$8, U21&lt;= ($AA$7+$AA$8)), Z20+X21, 0)</f>
        <v>0</v>
      </c>
      <c r="AA21" s="6" t="str">
        <f>IF(AND(U21&gt;='Amort. Sched.-WORST'!$AA$8, U21&lt;= ($AA$7+$AA$8)), W21/V21, " ")</f>
        <v xml:space="preserve"> </v>
      </c>
      <c r="AB21" s="21" t="str">
        <f>IF(AND(U21&gt;='Amort. Sched.-WORST'!$AA$8, U21&lt;= ($AA$7+$AA$8)), X21/V21, " ")</f>
        <v xml:space="preserve"> </v>
      </c>
      <c r="AD21" s="20">
        <f t="shared" si="3"/>
        <v>10</v>
      </c>
      <c r="AE21" s="5">
        <f t="shared" si="4"/>
        <v>0</v>
      </c>
      <c r="AF21" s="5">
        <f t="shared" si="5"/>
        <v>0</v>
      </c>
      <c r="AG21" s="5">
        <f t="shared" si="6"/>
        <v>0</v>
      </c>
      <c r="AH21" s="5">
        <f>IF(CreditAmort3WORST[[#This Row],[Month]]=AJ$8,AF$7,0)</f>
        <v>0</v>
      </c>
      <c r="AI21" s="13">
        <f t="shared" si="7"/>
        <v>0</v>
      </c>
      <c r="AJ21" s="6" t="str">
        <f t="shared" si="8"/>
        <v xml:space="preserve"> </v>
      </c>
      <c r="AK21" s="21" t="str">
        <f t="shared" si="9"/>
        <v xml:space="preserve"> </v>
      </c>
      <c r="AM21" s="20">
        <f t="shared" si="10"/>
        <v>10</v>
      </c>
      <c r="AN21" s="5">
        <f t="shared" si="11"/>
        <v>0</v>
      </c>
      <c r="AO21" s="5">
        <f t="shared" si="12"/>
        <v>0</v>
      </c>
      <c r="AP21" s="5">
        <f t="shared" si="13"/>
        <v>0</v>
      </c>
      <c r="AQ21" s="5">
        <f>IF(CreditAmort4WORST[[#This Row],[Month]]=AS$8,AO$7,0)</f>
        <v>0</v>
      </c>
      <c r="AR21" s="13">
        <f t="shared" si="14"/>
        <v>0</v>
      </c>
      <c r="AS21" s="6" t="str">
        <f t="shared" si="15"/>
        <v xml:space="preserve"> </v>
      </c>
      <c r="AT21" s="21" t="str">
        <f t="shared" si="16"/>
        <v xml:space="preserve"> </v>
      </c>
    </row>
    <row r="22" spans="3:46">
      <c r="C22" s="22">
        <f t="shared" si="1"/>
        <v>11</v>
      </c>
      <c r="D22" s="23">
        <f>IF(AND(C22&gt;='Amort. Sched.-WORST'!$I$8, C22&lt;= ($I$7+$I$8)), PMT('Amort. Sched.-WORST'!$E$8/12, 'Amort. Sched.-WORST'!$I$7, 'Amort. Sched.-WORST'!$E$7), 0)</f>
        <v>-2026.0175758541329</v>
      </c>
      <c r="E22" s="5">
        <f>IF(AND(C22&gt;='Amort. Sched.-WORST'!$I$8, C22&lt;= ($I$7+$I$8)), (IPMT($E$8/12, (C22-$I$8), $I$7, $E$7)), 0)</f>
        <v>-1731.0368637491731</v>
      </c>
      <c r="F22" s="23">
        <f>IF(AND(C22&gt;='Amort. Sched.-WORST'!$I$8, C22&lt;= ($I$7+$I$8)), (PPMT($E$8/12, (C22-$I$8), $I$7, $E$7)), 0)</f>
        <v>-294.98071210495982</v>
      </c>
      <c r="G22" s="5">
        <f>IF(MortgageAmortWORST[[#This Row],[Month]]=I$8,E$7,0)</f>
        <v>0</v>
      </c>
      <c r="H22" s="13">
        <f>IF(AND(C22&gt;='Amort. Sched.-WORST'!$I$8, C22&lt;= ($I$7+$I$8)), H21+F22, 0)</f>
        <v>259360.54885027098</v>
      </c>
      <c r="I22" s="24">
        <f>IF(AND(C22&gt;='Amort. Sched.-WORST'!$I$8, C22&lt;= ($I$7+$I$8)), E22/D22, " ")</f>
        <v>0.85440367565389885</v>
      </c>
      <c r="J22" s="25">
        <f>IF(AND(C22&gt;='Amort. Sched.-WORST'!$I$8, C22&lt;= ($I$7+$I$8)), F22/D22, " ")</f>
        <v>0.14559632434610109</v>
      </c>
      <c r="L22" s="20">
        <f t="shared" si="0"/>
        <v>11</v>
      </c>
      <c r="M22" s="5">
        <f>IF(AND(L22&gt;='Amort. Sched.-WORST'!$R$8, L22&lt;= ($R$7+$R$8)), PMT('Amort. Sched.-WORST'!$N$8/12, 'Amort. Sched.-WORST'!$R$7, 'Amort. Sched.-WORST'!$N$7), 0)</f>
        <v>0</v>
      </c>
      <c r="N22" s="5">
        <f>IF(AND(L22&gt;='Amort. Sched.-WORST'!$R$8, L22&lt;= ($R$7+$R$8)), (IPMT($N$8/12, (L22-$R$8), $R$7, $N$7)), 0)</f>
        <v>0</v>
      </c>
      <c r="O22" s="5">
        <f>IF(AND(L22&gt;='Amort. Sched.-WORST'!$R$8, L22&lt;= ($R$7+$R$8)), (PPMT($N$8/12, (L22-$R$8), $R$7, $N$7)), 0)</f>
        <v>0</v>
      </c>
      <c r="P22" s="5">
        <f>IF(CreditAmort1WORST[[#This Row],[Month]]=R$8,N$7,0)</f>
        <v>0</v>
      </c>
      <c r="Q22" s="13">
        <f>IF(AND(L22&gt;='Amort. Sched.-WORST'!$R$8, L22&lt;= ($R$7+$R$8)), Q21+O22, 0)</f>
        <v>0</v>
      </c>
      <c r="R22" s="6" t="str">
        <f>IF(AND(L22&gt;='Amort. Sched.-WORST'!$R$8, L22&lt;= ($R$7+$R$8)), N22/M22, " ")</f>
        <v xml:space="preserve"> </v>
      </c>
      <c r="S22" s="21" t="str">
        <f>IF(AND(L22&gt;='Amort. Sched.-WORST'!$R$8, L22&lt;= ($R$7+$R$8)), O22/M22, " ")</f>
        <v xml:space="preserve"> </v>
      </c>
      <c r="U22" s="20">
        <f t="shared" si="2"/>
        <v>11</v>
      </c>
      <c r="V22" s="5">
        <f>IF(AND(U22&gt;='Amort. Sched.-WORST'!$AA$8, U22&lt;= ($AA$7+$AA$8)), PMT('Amort. Sched.-WORST'!$W$8/12, 'Amort. Sched.-WORST'!$AA$7, 'Amort. Sched.-WORST'!$W$7), 0)</f>
        <v>0</v>
      </c>
      <c r="W22" s="5">
        <f>IF(AND(U22&gt;='Amort. Sched.-WORST'!$AA$8, U22&lt;= ($AA$7+$AA$8)), (IPMT($W$8/12, (U22-$AA$8), $AA$7, $W$7)), 0)</f>
        <v>0</v>
      </c>
      <c r="X22" s="5">
        <f>IF(AND(U22&gt;='Amort. Sched.-WORST'!$AA$8, U22&lt;= ($AA$7+$AA$8)), (PPMT($W$8/12, (U22-$AA$8), $AA$7, $W$7)), 0)</f>
        <v>0</v>
      </c>
      <c r="Y22" s="5">
        <f>IF(CreditAmort2WORST[[#This Row],[Month]]=AA$8,W$7,0)</f>
        <v>0</v>
      </c>
      <c r="Z22" s="13">
        <f>IF(AND(U22&gt;='Amort. Sched.-WORST'!$AA$8, U22&lt;= ($AA$7+$AA$8)), Z21+X22, 0)</f>
        <v>0</v>
      </c>
      <c r="AA22" s="6" t="str">
        <f>IF(AND(U22&gt;='Amort. Sched.-WORST'!$AA$8, U22&lt;= ($AA$7+$AA$8)), W22/V22, " ")</f>
        <v xml:space="preserve"> </v>
      </c>
      <c r="AB22" s="21" t="str">
        <f>IF(AND(U22&gt;='Amort. Sched.-WORST'!$AA$8, U22&lt;= ($AA$7+$AA$8)), X22/V22, " ")</f>
        <v xml:space="preserve"> </v>
      </c>
      <c r="AD22" s="20">
        <f t="shared" si="3"/>
        <v>11</v>
      </c>
      <c r="AE22" s="5">
        <f t="shared" si="4"/>
        <v>0</v>
      </c>
      <c r="AF22" s="5">
        <f t="shared" si="5"/>
        <v>0</v>
      </c>
      <c r="AG22" s="5">
        <f t="shared" si="6"/>
        <v>0</v>
      </c>
      <c r="AH22" s="5">
        <f>IF(CreditAmort3WORST[[#This Row],[Month]]=AJ$8,AF$7,0)</f>
        <v>0</v>
      </c>
      <c r="AI22" s="13">
        <f t="shared" si="7"/>
        <v>0</v>
      </c>
      <c r="AJ22" s="6" t="str">
        <f t="shared" si="8"/>
        <v xml:space="preserve"> </v>
      </c>
      <c r="AK22" s="21" t="str">
        <f t="shared" si="9"/>
        <v xml:space="preserve"> </v>
      </c>
      <c r="AM22" s="20">
        <f t="shared" si="10"/>
        <v>11</v>
      </c>
      <c r="AN22" s="5">
        <f t="shared" si="11"/>
        <v>0</v>
      </c>
      <c r="AO22" s="5">
        <f t="shared" si="12"/>
        <v>0</v>
      </c>
      <c r="AP22" s="5">
        <f t="shared" si="13"/>
        <v>0</v>
      </c>
      <c r="AQ22" s="5">
        <f>IF(CreditAmort4WORST[[#This Row],[Month]]=AS$8,AO$7,0)</f>
        <v>0</v>
      </c>
      <c r="AR22" s="13">
        <f t="shared" si="14"/>
        <v>0</v>
      </c>
      <c r="AS22" s="6" t="str">
        <f t="shared" si="15"/>
        <v xml:space="preserve"> </v>
      </c>
      <c r="AT22" s="21" t="str">
        <f t="shared" si="16"/>
        <v xml:space="preserve"> </v>
      </c>
    </row>
    <row r="23" spans="3:46">
      <c r="C23" s="22">
        <f t="shared" si="1"/>
        <v>12</v>
      </c>
      <c r="D23" s="23">
        <f>IF(AND(C23&gt;='Amort. Sched.-WORST'!$I$8, C23&lt;= ($I$7+$I$8)), PMT('Amort. Sched.-WORST'!$E$8/12, 'Amort. Sched.-WORST'!$I$7, 'Amort. Sched.-WORST'!$E$7), 0)</f>
        <v>-2026.0175758541329</v>
      </c>
      <c r="E23" s="5">
        <f>IF(AND(C23&gt;='Amort. Sched.-WORST'!$I$8, C23&lt;= ($I$7+$I$8)), (IPMT($E$8/12, (C23-$I$8), $I$7, $E$7)), 0)</f>
        <v>-1729.0703256684735</v>
      </c>
      <c r="F23" s="23">
        <f>IF(AND(C23&gt;='Amort. Sched.-WORST'!$I$8, C23&lt;= ($I$7+$I$8)), (PPMT($E$8/12, (C23-$I$8), $I$7, $E$7)), 0)</f>
        <v>-296.94725018565958</v>
      </c>
      <c r="G23" s="5">
        <f>IF(MortgageAmortWORST[[#This Row],[Month]]=I$8,E$7,0)</f>
        <v>0</v>
      </c>
      <c r="H23" s="13">
        <f>IF(AND(C23&gt;='Amort. Sched.-WORST'!$I$8, C23&lt;= ($I$7+$I$8)), H22+F23, 0)</f>
        <v>259063.60160008533</v>
      </c>
      <c r="I23" s="24">
        <f>IF(AND(C23&gt;='Amort. Sched.-WORST'!$I$8, C23&lt;= ($I$7+$I$8)), E23/D23, " ")</f>
        <v>0.85343303349159161</v>
      </c>
      <c r="J23" s="25">
        <f>IF(AND(C23&gt;='Amort. Sched.-WORST'!$I$8, C23&lt;= ($I$7+$I$8)), F23/D23, " ")</f>
        <v>0.14656696650840845</v>
      </c>
      <c r="L23" s="20">
        <f t="shared" si="0"/>
        <v>12</v>
      </c>
      <c r="M23" s="5">
        <f>IF(AND(L23&gt;='Amort. Sched.-WORST'!$R$8, L23&lt;= ($R$7+$R$8)), PMT('Amort. Sched.-WORST'!$N$8/12, 'Amort. Sched.-WORST'!$R$7, 'Amort. Sched.-WORST'!$N$7), 0)</f>
        <v>0</v>
      </c>
      <c r="N23" s="5">
        <f>IF(AND(L23&gt;='Amort. Sched.-WORST'!$R$8, L23&lt;= ($R$7+$R$8)), (IPMT($N$8/12, (L23-$R$8), $R$7, $N$7)), 0)</f>
        <v>0</v>
      </c>
      <c r="O23" s="5">
        <f>IF(AND(L23&gt;='Amort. Sched.-WORST'!$R$8, L23&lt;= ($R$7+$R$8)), (PPMT($N$8/12, (L23-$R$8), $R$7, $N$7)), 0)</f>
        <v>0</v>
      </c>
      <c r="P23" s="5">
        <f>IF(CreditAmort1WORST[[#This Row],[Month]]=R$8,N$7,0)</f>
        <v>0</v>
      </c>
      <c r="Q23" s="13">
        <f>IF(AND(L23&gt;='Amort. Sched.-WORST'!$R$8, L23&lt;= ($R$7+$R$8)), Q22+O23, 0)</f>
        <v>0</v>
      </c>
      <c r="R23" s="6" t="str">
        <f>IF(AND(L23&gt;='Amort. Sched.-WORST'!$R$8, L23&lt;= ($R$7+$R$8)), N23/M23, " ")</f>
        <v xml:space="preserve"> </v>
      </c>
      <c r="S23" s="21" t="str">
        <f>IF(AND(L23&gt;='Amort. Sched.-WORST'!$R$8, L23&lt;= ($R$7+$R$8)), O23/M23, " ")</f>
        <v xml:space="preserve"> </v>
      </c>
      <c r="U23" s="20">
        <f t="shared" si="2"/>
        <v>12</v>
      </c>
      <c r="V23" s="5">
        <f>IF(AND(U23&gt;='Amort. Sched.-WORST'!$AA$8, U23&lt;= ($AA$7+$AA$8)), PMT('Amort. Sched.-WORST'!$W$8/12, 'Amort. Sched.-WORST'!$AA$7, 'Amort. Sched.-WORST'!$W$7), 0)</f>
        <v>0</v>
      </c>
      <c r="W23" s="5">
        <f>IF(AND(U23&gt;='Amort. Sched.-WORST'!$AA$8, U23&lt;= ($AA$7+$AA$8)), (IPMT($W$8/12, (U23-$AA$8), $AA$7, $W$7)), 0)</f>
        <v>0</v>
      </c>
      <c r="X23" s="5">
        <f>IF(AND(U23&gt;='Amort. Sched.-WORST'!$AA$8, U23&lt;= ($AA$7+$AA$8)), (PPMT($W$8/12, (U23-$AA$8), $AA$7, $W$7)), 0)</f>
        <v>0</v>
      </c>
      <c r="Y23" s="5">
        <f>IF(CreditAmort2WORST[[#This Row],[Month]]=AA$8,W$7,0)</f>
        <v>0</v>
      </c>
      <c r="Z23" s="13">
        <f>IF(AND(U23&gt;='Amort. Sched.-WORST'!$AA$8, U23&lt;= ($AA$7+$AA$8)), Z22+X23, 0)</f>
        <v>0</v>
      </c>
      <c r="AA23" s="6" t="str">
        <f>IF(AND(U23&gt;='Amort. Sched.-WORST'!$AA$8, U23&lt;= ($AA$7+$AA$8)), W23/V23, " ")</f>
        <v xml:space="preserve"> </v>
      </c>
      <c r="AB23" s="21" t="str">
        <f>IF(AND(U23&gt;='Amort. Sched.-WORST'!$AA$8, U23&lt;= ($AA$7+$AA$8)), X23/V23, " ")</f>
        <v xml:space="preserve"> </v>
      </c>
      <c r="AD23" s="20">
        <f t="shared" si="3"/>
        <v>12</v>
      </c>
      <c r="AE23" s="5">
        <f t="shared" si="4"/>
        <v>0</v>
      </c>
      <c r="AF23" s="5">
        <f t="shared" si="5"/>
        <v>0</v>
      </c>
      <c r="AG23" s="5">
        <f t="shared" si="6"/>
        <v>0</v>
      </c>
      <c r="AH23" s="5">
        <f>IF(CreditAmort3WORST[[#This Row],[Month]]=AJ$8,AF$7,0)</f>
        <v>0</v>
      </c>
      <c r="AI23" s="13">
        <f t="shared" si="7"/>
        <v>0</v>
      </c>
      <c r="AJ23" s="6" t="str">
        <f t="shared" si="8"/>
        <v xml:space="preserve"> </v>
      </c>
      <c r="AK23" s="21" t="str">
        <f t="shared" si="9"/>
        <v xml:space="preserve"> </v>
      </c>
      <c r="AM23" s="20">
        <f t="shared" si="10"/>
        <v>12</v>
      </c>
      <c r="AN23" s="5">
        <f t="shared" si="11"/>
        <v>0</v>
      </c>
      <c r="AO23" s="5">
        <f t="shared" si="12"/>
        <v>0</v>
      </c>
      <c r="AP23" s="5">
        <f t="shared" si="13"/>
        <v>0</v>
      </c>
      <c r="AQ23" s="5">
        <f>IF(CreditAmort4WORST[[#This Row],[Month]]=AS$8,AO$7,0)</f>
        <v>0</v>
      </c>
      <c r="AR23" s="13">
        <f t="shared" si="14"/>
        <v>0</v>
      </c>
      <c r="AS23" s="6" t="str">
        <f t="shared" si="15"/>
        <v xml:space="preserve"> </v>
      </c>
      <c r="AT23" s="21" t="str">
        <f t="shared" si="16"/>
        <v xml:space="preserve"> </v>
      </c>
    </row>
    <row r="24" spans="3:46">
      <c r="C24" s="22">
        <f t="shared" si="1"/>
        <v>13</v>
      </c>
      <c r="D24" s="23">
        <f>IF(AND(C24&gt;='Amort. Sched.-WORST'!$I$8, C24&lt;= ($I$7+$I$8)), PMT('Amort. Sched.-WORST'!$E$8/12, 'Amort. Sched.-WORST'!$I$7, 'Amort. Sched.-WORST'!$E$7), 0)</f>
        <v>-2026.0175758541329</v>
      </c>
      <c r="E24" s="5">
        <f>IF(AND(C24&gt;='Amort. Sched.-WORST'!$I$8, C24&lt;= ($I$7+$I$8)), (IPMT($E$8/12, (C24-$I$8), $I$7, $E$7)), 0)</f>
        <v>-1727.0906773339022</v>
      </c>
      <c r="F24" s="23">
        <f>IF(AND(C24&gt;='Amort. Sched.-WORST'!$I$8, C24&lt;= ($I$7+$I$8)), (PPMT($E$8/12, (C24-$I$8), $I$7, $E$7)), 0)</f>
        <v>-298.92689852023062</v>
      </c>
      <c r="G24" s="5">
        <f>IF(MortgageAmortWORST[[#This Row],[Month]]=I$8,E$7,0)</f>
        <v>0</v>
      </c>
      <c r="H24" s="13">
        <f>IF(AND(C24&gt;='Amort. Sched.-WORST'!$I$8, C24&lt;= ($I$7+$I$8)), H23+F24, 0)</f>
        <v>258764.67470156509</v>
      </c>
      <c r="I24" s="24">
        <f>IF(AND(C24&gt;='Amort. Sched.-WORST'!$I$8, C24&lt;= ($I$7+$I$8)), E24/D24, " ")</f>
        <v>0.8524559203815355</v>
      </c>
      <c r="J24" s="25">
        <f>IF(AND(C24&gt;='Amort. Sched.-WORST'!$I$8, C24&lt;= ($I$7+$I$8)), F24/D24, " ")</f>
        <v>0.1475440796184645</v>
      </c>
      <c r="L24" s="20">
        <f t="shared" si="0"/>
        <v>13</v>
      </c>
      <c r="M24" s="5">
        <f>IF(AND(L24&gt;='Amort. Sched.-WORST'!$R$8, L24&lt;= ($R$7+$R$8)), PMT('Amort. Sched.-WORST'!$N$8/12, 'Amort. Sched.-WORST'!$R$7, 'Amort. Sched.-WORST'!$N$7), 0)</f>
        <v>0</v>
      </c>
      <c r="N24" s="5">
        <f>IF(AND(L24&gt;='Amort. Sched.-WORST'!$R$8, L24&lt;= ($R$7+$R$8)), (IPMT($N$8/12, (L24-$R$8), $R$7, $N$7)), 0)</f>
        <v>0</v>
      </c>
      <c r="O24" s="5">
        <f>IF(AND(L24&gt;='Amort. Sched.-WORST'!$R$8, L24&lt;= ($R$7+$R$8)), (PPMT($N$8/12, (L24-$R$8), $R$7, $N$7)), 0)</f>
        <v>0</v>
      </c>
      <c r="P24" s="5">
        <f>IF(CreditAmort1WORST[[#This Row],[Month]]=R$8,N$7,0)</f>
        <v>0</v>
      </c>
      <c r="Q24" s="13">
        <f>IF(AND(L24&gt;='Amort. Sched.-WORST'!$R$8, L24&lt;= ($R$7+$R$8)), Q23+O24, 0)</f>
        <v>0</v>
      </c>
      <c r="R24" s="6" t="str">
        <f>IF(AND(L24&gt;='Amort. Sched.-WORST'!$R$8, L24&lt;= ($R$7+$R$8)), N24/M24, " ")</f>
        <v xml:space="preserve"> </v>
      </c>
      <c r="S24" s="21" t="str">
        <f>IF(AND(L24&gt;='Amort. Sched.-WORST'!$R$8, L24&lt;= ($R$7+$R$8)), O24/M24, " ")</f>
        <v xml:space="preserve"> </v>
      </c>
      <c r="U24" s="20">
        <f t="shared" si="2"/>
        <v>13</v>
      </c>
      <c r="V24" s="5">
        <f>IF(AND(U24&gt;='Amort. Sched.-WORST'!$AA$8, U24&lt;= ($AA$7+$AA$8)), PMT('Amort. Sched.-WORST'!$W$8/12, 'Amort. Sched.-WORST'!$AA$7, 'Amort. Sched.-WORST'!$W$7), 0)</f>
        <v>0</v>
      </c>
      <c r="W24" s="5">
        <f>IF(AND(U24&gt;='Amort. Sched.-WORST'!$AA$8, U24&lt;= ($AA$7+$AA$8)), (IPMT($W$8/12, (U24-$AA$8), $AA$7, $W$7)), 0)</f>
        <v>0</v>
      </c>
      <c r="X24" s="5">
        <f>IF(AND(U24&gt;='Amort. Sched.-WORST'!$AA$8, U24&lt;= ($AA$7+$AA$8)), (PPMT($W$8/12, (U24-$AA$8), $AA$7, $W$7)), 0)</f>
        <v>0</v>
      </c>
      <c r="Y24" s="5">
        <f>IF(CreditAmort2WORST[[#This Row],[Month]]=AA$8,W$7,0)</f>
        <v>0</v>
      </c>
      <c r="Z24" s="13">
        <f>IF(AND(U24&gt;='Amort. Sched.-WORST'!$AA$8, U24&lt;= ($AA$7+$AA$8)), Z23+X24, 0)</f>
        <v>0</v>
      </c>
      <c r="AA24" s="6" t="str">
        <f>IF(AND(U24&gt;='Amort. Sched.-WORST'!$AA$8, U24&lt;= ($AA$7+$AA$8)), W24/V24, " ")</f>
        <v xml:space="preserve"> </v>
      </c>
      <c r="AB24" s="21" t="str">
        <f>IF(AND(U24&gt;='Amort. Sched.-WORST'!$AA$8, U24&lt;= ($AA$7+$AA$8)), X24/V24, " ")</f>
        <v xml:space="preserve"> </v>
      </c>
      <c r="AD24" s="20">
        <f t="shared" si="3"/>
        <v>13</v>
      </c>
      <c r="AE24" s="5">
        <f t="shared" si="4"/>
        <v>0</v>
      </c>
      <c r="AF24" s="5">
        <f t="shared" si="5"/>
        <v>0</v>
      </c>
      <c r="AG24" s="5">
        <f t="shared" si="6"/>
        <v>0</v>
      </c>
      <c r="AH24" s="5">
        <f>IF(CreditAmort3WORST[[#This Row],[Month]]=AJ$8,AF$7,0)</f>
        <v>0</v>
      </c>
      <c r="AI24" s="13">
        <f t="shared" si="7"/>
        <v>0</v>
      </c>
      <c r="AJ24" s="6" t="str">
        <f t="shared" si="8"/>
        <v xml:space="preserve"> </v>
      </c>
      <c r="AK24" s="21" t="str">
        <f t="shared" si="9"/>
        <v xml:space="preserve"> </v>
      </c>
      <c r="AM24" s="20">
        <f t="shared" si="10"/>
        <v>13</v>
      </c>
      <c r="AN24" s="5">
        <f t="shared" si="11"/>
        <v>0</v>
      </c>
      <c r="AO24" s="5">
        <f t="shared" si="12"/>
        <v>0</v>
      </c>
      <c r="AP24" s="5">
        <f t="shared" si="13"/>
        <v>0</v>
      </c>
      <c r="AQ24" s="5">
        <f>IF(CreditAmort4WORST[[#This Row],[Month]]=AS$8,AO$7,0)</f>
        <v>0</v>
      </c>
      <c r="AR24" s="13">
        <f t="shared" si="14"/>
        <v>0</v>
      </c>
      <c r="AS24" s="6" t="str">
        <f t="shared" si="15"/>
        <v xml:space="preserve"> </v>
      </c>
      <c r="AT24" s="21" t="str">
        <f t="shared" si="16"/>
        <v xml:space="preserve"> </v>
      </c>
    </row>
    <row r="25" spans="3:46">
      <c r="C25" s="22">
        <f t="shared" si="1"/>
        <v>14</v>
      </c>
      <c r="D25" s="23">
        <f>IF(AND(C25&gt;='Amort. Sched.-WORST'!$I$8, C25&lt;= ($I$7+$I$8)), PMT('Amort. Sched.-WORST'!$E$8/12, 'Amort. Sched.-WORST'!$I$7, 'Amort. Sched.-WORST'!$E$7), 0)</f>
        <v>-2026.0175758541329</v>
      </c>
      <c r="E25" s="5">
        <f>IF(AND(C25&gt;='Amort. Sched.-WORST'!$I$8, C25&lt;= ($I$7+$I$8)), (IPMT($E$8/12, (C25-$I$8), $I$7, $E$7)), 0)</f>
        <v>-1725.0978313437674</v>
      </c>
      <c r="F25" s="23">
        <f>IF(AND(C25&gt;='Amort. Sched.-WORST'!$I$8, C25&lt;= ($I$7+$I$8)), (PPMT($E$8/12, (C25-$I$8), $I$7, $E$7)), 0)</f>
        <v>-300.91974451036549</v>
      </c>
      <c r="G25" s="5">
        <f>IF(MortgageAmortWORST[[#This Row],[Month]]=I$8,E$7,0)</f>
        <v>0</v>
      </c>
      <c r="H25" s="13">
        <f>IF(AND(C25&gt;='Amort. Sched.-WORST'!$I$8, C25&lt;= ($I$7+$I$8)), H24+F25, 0)</f>
        <v>258463.75495705471</v>
      </c>
      <c r="I25" s="24">
        <f>IF(AND(C25&gt;='Amort. Sched.-WORST'!$I$8, C25&lt;= ($I$7+$I$8)), E25/D25, " ")</f>
        <v>0.85147229318407902</v>
      </c>
      <c r="J25" s="25">
        <f>IF(AND(C25&gt;='Amort. Sched.-WORST'!$I$8, C25&lt;= ($I$7+$I$8)), F25/D25, " ")</f>
        <v>0.14852770681592092</v>
      </c>
      <c r="L25" s="20">
        <f t="shared" si="0"/>
        <v>14</v>
      </c>
      <c r="M25" s="5">
        <f>IF(AND(L25&gt;='Amort. Sched.-WORST'!$R$8, L25&lt;= ($R$7+$R$8)), PMT('Amort. Sched.-WORST'!$N$8/12, 'Amort. Sched.-WORST'!$R$7, 'Amort. Sched.-WORST'!$N$7), 0)</f>
        <v>0</v>
      </c>
      <c r="N25" s="5">
        <f>IF(AND(L25&gt;='Amort. Sched.-WORST'!$R$8, L25&lt;= ($R$7+$R$8)), (IPMT($N$8/12, (L25-$R$8), $R$7, $N$7)), 0)</f>
        <v>0</v>
      </c>
      <c r="O25" s="5">
        <f>IF(AND(L25&gt;='Amort. Sched.-WORST'!$R$8, L25&lt;= ($R$7+$R$8)), (PPMT($N$8/12, (L25-$R$8), $R$7, $N$7)), 0)</f>
        <v>0</v>
      </c>
      <c r="P25" s="5">
        <f>IF(CreditAmort1WORST[[#This Row],[Month]]=R$8,N$7,0)</f>
        <v>0</v>
      </c>
      <c r="Q25" s="13">
        <f>IF(AND(L25&gt;='Amort. Sched.-WORST'!$R$8, L25&lt;= ($R$7+$R$8)), Q24+O25, 0)</f>
        <v>0</v>
      </c>
      <c r="R25" s="6" t="str">
        <f>IF(AND(L25&gt;='Amort. Sched.-WORST'!$R$8, L25&lt;= ($R$7+$R$8)), N25/M25, " ")</f>
        <v xml:space="preserve"> </v>
      </c>
      <c r="S25" s="21" t="str">
        <f>IF(AND(L25&gt;='Amort. Sched.-WORST'!$R$8, L25&lt;= ($R$7+$R$8)), O25/M25, " ")</f>
        <v xml:space="preserve"> </v>
      </c>
      <c r="U25" s="20">
        <f t="shared" si="2"/>
        <v>14</v>
      </c>
      <c r="V25" s="5">
        <f>IF(AND(U25&gt;='Amort. Sched.-WORST'!$AA$8, U25&lt;= ($AA$7+$AA$8)), PMT('Amort. Sched.-WORST'!$W$8/12, 'Amort. Sched.-WORST'!$AA$7, 'Amort. Sched.-WORST'!$W$7), 0)</f>
        <v>0</v>
      </c>
      <c r="W25" s="5">
        <f>IF(AND(U25&gt;='Amort. Sched.-WORST'!$AA$8, U25&lt;= ($AA$7+$AA$8)), (IPMT($W$8/12, (U25-$AA$8), $AA$7, $W$7)), 0)</f>
        <v>0</v>
      </c>
      <c r="X25" s="5">
        <f>IF(AND(U25&gt;='Amort. Sched.-WORST'!$AA$8, U25&lt;= ($AA$7+$AA$8)), (PPMT($W$8/12, (U25-$AA$8), $AA$7, $W$7)), 0)</f>
        <v>0</v>
      </c>
      <c r="Y25" s="5">
        <f>IF(CreditAmort2WORST[[#This Row],[Month]]=AA$8,W$7,0)</f>
        <v>0</v>
      </c>
      <c r="Z25" s="13">
        <f>IF(AND(U25&gt;='Amort. Sched.-WORST'!$AA$8, U25&lt;= ($AA$7+$AA$8)), Z24+X25, 0)</f>
        <v>0</v>
      </c>
      <c r="AA25" s="6" t="str">
        <f>IF(AND(U25&gt;='Amort. Sched.-WORST'!$AA$8, U25&lt;= ($AA$7+$AA$8)), W25/V25, " ")</f>
        <v xml:space="preserve"> </v>
      </c>
      <c r="AB25" s="21" t="str">
        <f>IF(AND(U25&gt;='Amort. Sched.-WORST'!$AA$8, U25&lt;= ($AA$7+$AA$8)), X25/V25, " ")</f>
        <v xml:space="preserve"> </v>
      </c>
      <c r="AD25" s="20">
        <f t="shared" si="3"/>
        <v>14</v>
      </c>
      <c r="AE25" s="5">
        <f t="shared" si="4"/>
        <v>0</v>
      </c>
      <c r="AF25" s="5">
        <f t="shared" si="5"/>
        <v>0</v>
      </c>
      <c r="AG25" s="5">
        <f t="shared" si="6"/>
        <v>0</v>
      </c>
      <c r="AH25" s="5">
        <f>IF(CreditAmort3WORST[[#This Row],[Month]]=AJ$8,AF$7,0)</f>
        <v>0</v>
      </c>
      <c r="AI25" s="13">
        <f t="shared" si="7"/>
        <v>0</v>
      </c>
      <c r="AJ25" s="6" t="str">
        <f t="shared" si="8"/>
        <v xml:space="preserve"> </v>
      </c>
      <c r="AK25" s="21" t="str">
        <f t="shared" si="9"/>
        <v xml:space="preserve"> </v>
      </c>
      <c r="AM25" s="20">
        <f t="shared" si="10"/>
        <v>14</v>
      </c>
      <c r="AN25" s="5">
        <f t="shared" si="11"/>
        <v>0</v>
      </c>
      <c r="AO25" s="5">
        <f t="shared" si="12"/>
        <v>0</v>
      </c>
      <c r="AP25" s="5">
        <f t="shared" si="13"/>
        <v>0</v>
      </c>
      <c r="AQ25" s="5">
        <f>IF(CreditAmort4WORST[[#This Row],[Month]]=AS$8,AO$7,0)</f>
        <v>0</v>
      </c>
      <c r="AR25" s="13">
        <f t="shared" si="14"/>
        <v>0</v>
      </c>
      <c r="AS25" s="6" t="str">
        <f t="shared" si="15"/>
        <v xml:space="preserve"> </v>
      </c>
      <c r="AT25" s="21" t="str">
        <f t="shared" si="16"/>
        <v xml:space="preserve"> </v>
      </c>
    </row>
    <row r="26" spans="3:46">
      <c r="C26" s="22">
        <f t="shared" si="1"/>
        <v>15</v>
      </c>
      <c r="D26" s="23">
        <f>IF(AND(C26&gt;='Amort. Sched.-WORST'!$I$8, C26&lt;= ($I$7+$I$8)), PMT('Amort. Sched.-WORST'!$E$8/12, 'Amort. Sched.-WORST'!$I$7, 'Amort. Sched.-WORST'!$E$7), 0)</f>
        <v>-2026.0175758541329</v>
      </c>
      <c r="E26" s="5">
        <f>IF(AND(C26&gt;='Amort. Sched.-WORST'!$I$8, C26&lt;= ($I$7+$I$8)), (IPMT($E$8/12, (C26-$I$8), $I$7, $E$7)), 0)</f>
        <v>-1723.0916997136983</v>
      </c>
      <c r="F26" s="23">
        <f>IF(AND(C26&gt;='Amort. Sched.-WORST'!$I$8, C26&lt;= ($I$7+$I$8)), (PPMT($E$8/12, (C26-$I$8), $I$7, $E$7)), 0)</f>
        <v>-302.92587614043458</v>
      </c>
      <c r="G26" s="5">
        <f>IF(MortgageAmortWORST[[#This Row],[Month]]=I$8,E$7,0)</f>
        <v>0</v>
      </c>
      <c r="H26" s="13">
        <f>IF(AND(C26&gt;='Amort. Sched.-WORST'!$I$8, C26&lt;= ($I$7+$I$8)), H25+F26, 0)</f>
        <v>258160.82908091426</v>
      </c>
      <c r="I26" s="24">
        <f>IF(AND(C26&gt;='Amort. Sched.-WORST'!$I$8, C26&lt;= ($I$7+$I$8)), E26/D26, " ")</f>
        <v>0.85048210847197292</v>
      </c>
      <c r="J26" s="25">
        <f>IF(AND(C26&gt;='Amort. Sched.-WORST'!$I$8, C26&lt;= ($I$7+$I$8)), F26/D26, " ")</f>
        <v>0.14951789152802705</v>
      </c>
      <c r="L26" s="20">
        <f t="shared" si="0"/>
        <v>15</v>
      </c>
      <c r="M26" s="5">
        <f>IF(AND(L26&gt;='Amort. Sched.-WORST'!$R$8, L26&lt;= ($R$7+$R$8)), PMT('Amort. Sched.-WORST'!$N$8/12, 'Amort. Sched.-WORST'!$R$7, 'Amort. Sched.-WORST'!$N$7), 0)</f>
        <v>0</v>
      </c>
      <c r="N26" s="5">
        <f>IF(AND(L26&gt;='Amort. Sched.-WORST'!$R$8, L26&lt;= ($R$7+$R$8)), (IPMT($N$8/12, (L26-$R$8), $R$7, $N$7)), 0)</f>
        <v>0</v>
      </c>
      <c r="O26" s="5">
        <f>IF(AND(L26&gt;='Amort. Sched.-WORST'!$R$8, L26&lt;= ($R$7+$R$8)), (PPMT($N$8/12, (L26-$R$8), $R$7, $N$7)), 0)</f>
        <v>0</v>
      </c>
      <c r="P26" s="5">
        <f>IF(CreditAmort1WORST[[#This Row],[Month]]=R$8,N$7,0)</f>
        <v>0</v>
      </c>
      <c r="Q26" s="13">
        <f>IF(AND(L26&gt;='Amort. Sched.-WORST'!$R$8, L26&lt;= ($R$7+$R$8)), Q25+O26, 0)</f>
        <v>0</v>
      </c>
      <c r="R26" s="6" t="str">
        <f>IF(AND(L26&gt;='Amort. Sched.-WORST'!$R$8, L26&lt;= ($R$7+$R$8)), N26/M26, " ")</f>
        <v xml:space="preserve"> </v>
      </c>
      <c r="S26" s="21" t="str">
        <f>IF(AND(L26&gt;='Amort. Sched.-WORST'!$R$8, L26&lt;= ($R$7+$R$8)), O26/M26, " ")</f>
        <v xml:space="preserve"> </v>
      </c>
      <c r="U26" s="20">
        <f t="shared" si="2"/>
        <v>15</v>
      </c>
      <c r="V26" s="5">
        <f>IF(AND(U26&gt;='Amort. Sched.-WORST'!$AA$8, U26&lt;= ($AA$7+$AA$8)), PMT('Amort. Sched.-WORST'!$W$8/12, 'Amort. Sched.-WORST'!$AA$7, 'Amort. Sched.-WORST'!$W$7), 0)</f>
        <v>0</v>
      </c>
      <c r="W26" s="5">
        <f>IF(AND(U26&gt;='Amort. Sched.-WORST'!$AA$8, U26&lt;= ($AA$7+$AA$8)), (IPMT($W$8/12, (U26-$AA$8), $AA$7, $W$7)), 0)</f>
        <v>0</v>
      </c>
      <c r="X26" s="5">
        <f>IF(AND(U26&gt;='Amort. Sched.-WORST'!$AA$8, U26&lt;= ($AA$7+$AA$8)), (PPMT($W$8/12, (U26-$AA$8), $AA$7, $W$7)), 0)</f>
        <v>0</v>
      </c>
      <c r="Y26" s="5">
        <f>IF(CreditAmort2WORST[[#This Row],[Month]]=AA$8,W$7,0)</f>
        <v>0</v>
      </c>
      <c r="Z26" s="13">
        <f>IF(AND(U26&gt;='Amort. Sched.-WORST'!$AA$8, U26&lt;= ($AA$7+$AA$8)), Z25+X26, 0)</f>
        <v>0</v>
      </c>
      <c r="AA26" s="6" t="str">
        <f>IF(AND(U26&gt;='Amort. Sched.-WORST'!$AA$8, U26&lt;= ($AA$7+$AA$8)), W26/V26, " ")</f>
        <v xml:space="preserve"> </v>
      </c>
      <c r="AB26" s="21" t="str">
        <f>IF(AND(U26&gt;='Amort. Sched.-WORST'!$AA$8, U26&lt;= ($AA$7+$AA$8)), X26/V26, " ")</f>
        <v xml:space="preserve"> </v>
      </c>
      <c r="AD26" s="20">
        <f t="shared" si="3"/>
        <v>15</v>
      </c>
      <c r="AE26" s="5">
        <f t="shared" si="4"/>
        <v>0</v>
      </c>
      <c r="AF26" s="5">
        <f t="shared" si="5"/>
        <v>0</v>
      </c>
      <c r="AG26" s="5">
        <f t="shared" si="6"/>
        <v>0</v>
      </c>
      <c r="AH26" s="5">
        <f>IF(CreditAmort3WORST[[#This Row],[Month]]=AJ$8,AF$7,0)</f>
        <v>0</v>
      </c>
      <c r="AI26" s="13">
        <f t="shared" si="7"/>
        <v>0</v>
      </c>
      <c r="AJ26" s="6" t="str">
        <f t="shared" si="8"/>
        <v xml:space="preserve"> </v>
      </c>
      <c r="AK26" s="21" t="str">
        <f t="shared" si="9"/>
        <v xml:space="preserve"> </v>
      </c>
      <c r="AM26" s="20">
        <f t="shared" si="10"/>
        <v>15</v>
      </c>
      <c r="AN26" s="5">
        <f t="shared" si="11"/>
        <v>0</v>
      </c>
      <c r="AO26" s="5">
        <f t="shared" si="12"/>
        <v>0</v>
      </c>
      <c r="AP26" s="5">
        <f t="shared" si="13"/>
        <v>0</v>
      </c>
      <c r="AQ26" s="5">
        <f>IF(CreditAmort4WORST[[#This Row],[Month]]=AS$8,AO$7,0)</f>
        <v>0</v>
      </c>
      <c r="AR26" s="13">
        <f t="shared" si="14"/>
        <v>0</v>
      </c>
      <c r="AS26" s="6" t="str">
        <f t="shared" si="15"/>
        <v xml:space="preserve"> </v>
      </c>
      <c r="AT26" s="21" t="str">
        <f t="shared" si="16"/>
        <v xml:space="preserve"> </v>
      </c>
    </row>
    <row r="27" spans="3:46">
      <c r="C27" s="22">
        <f t="shared" si="1"/>
        <v>16</v>
      </c>
      <c r="D27" s="23">
        <f>IF(AND(C27&gt;='Amort. Sched.-WORST'!$I$8, C27&lt;= ($I$7+$I$8)), PMT('Amort. Sched.-WORST'!$E$8/12, 'Amort. Sched.-WORST'!$I$7, 'Amort. Sched.-WORST'!$E$7), 0)</f>
        <v>-2026.0175758541329</v>
      </c>
      <c r="E27" s="5">
        <f>IF(AND(C27&gt;='Amort. Sched.-WORST'!$I$8, C27&lt;= ($I$7+$I$8)), (IPMT($E$8/12, (C27-$I$8), $I$7, $E$7)), 0)</f>
        <v>-1721.0721938727622</v>
      </c>
      <c r="F27" s="23">
        <f>IF(AND(C27&gt;='Amort. Sched.-WORST'!$I$8, C27&lt;= ($I$7+$I$8)), (PPMT($E$8/12, (C27-$I$8), $I$7, $E$7)), 0)</f>
        <v>-304.94538198137082</v>
      </c>
      <c r="G27" s="5">
        <f>IF(MortgageAmortWORST[[#This Row],[Month]]=I$8,E$7,0)</f>
        <v>0</v>
      </c>
      <c r="H27" s="13">
        <f>IF(AND(C27&gt;='Amort. Sched.-WORST'!$I$8, C27&lt;= ($I$7+$I$8)), H26+F27, 0)</f>
        <v>257855.88369893288</v>
      </c>
      <c r="I27" s="24">
        <f>IF(AND(C27&gt;='Amort. Sched.-WORST'!$I$8, C27&lt;= ($I$7+$I$8)), E27/D27, " ")</f>
        <v>0.84948532252845277</v>
      </c>
      <c r="J27" s="25">
        <f>IF(AND(C27&gt;='Amort. Sched.-WORST'!$I$8, C27&lt;= ($I$7+$I$8)), F27/D27, " ")</f>
        <v>0.15051467747154723</v>
      </c>
      <c r="L27" s="20">
        <f t="shared" si="0"/>
        <v>16</v>
      </c>
      <c r="M27" s="5">
        <f>IF(AND(L27&gt;='Amort. Sched.-WORST'!$R$8, L27&lt;= ($R$7+$R$8)), PMT('Amort. Sched.-WORST'!$N$8/12, 'Amort. Sched.-WORST'!$R$7, 'Amort. Sched.-WORST'!$N$7), 0)</f>
        <v>0</v>
      </c>
      <c r="N27" s="5">
        <f>IF(AND(L27&gt;='Amort. Sched.-WORST'!$R$8, L27&lt;= ($R$7+$R$8)), (IPMT($N$8/12, (L27-$R$8), $R$7, $N$7)), 0)</f>
        <v>0</v>
      </c>
      <c r="O27" s="5">
        <f>IF(AND(L27&gt;='Amort. Sched.-WORST'!$R$8, L27&lt;= ($R$7+$R$8)), (PPMT($N$8/12, (L27-$R$8), $R$7, $N$7)), 0)</f>
        <v>0</v>
      </c>
      <c r="P27" s="5">
        <f>IF(CreditAmort1WORST[[#This Row],[Month]]=R$8,N$7,0)</f>
        <v>0</v>
      </c>
      <c r="Q27" s="13">
        <f>IF(AND(L27&gt;='Amort. Sched.-WORST'!$R$8, L27&lt;= ($R$7+$R$8)), Q26+O27, 0)</f>
        <v>0</v>
      </c>
      <c r="R27" s="6" t="str">
        <f>IF(AND(L27&gt;='Amort. Sched.-WORST'!$R$8, L27&lt;= ($R$7+$R$8)), N27/M27, " ")</f>
        <v xml:space="preserve"> </v>
      </c>
      <c r="S27" s="21" t="str">
        <f>IF(AND(L27&gt;='Amort. Sched.-WORST'!$R$8, L27&lt;= ($R$7+$R$8)), O27/M27, " ")</f>
        <v xml:space="preserve"> </v>
      </c>
      <c r="U27" s="20">
        <f t="shared" si="2"/>
        <v>16</v>
      </c>
      <c r="V27" s="5">
        <f>IF(AND(U27&gt;='Amort. Sched.-WORST'!$AA$8, U27&lt;= ($AA$7+$AA$8)), PMT('Amort. Sched.-WORST'!$W$8/12, 'Amort. Sched.-WORST'!$AA$7, 'Amort. Sched.-WORST'!$W$7), 0)</f>
        <v>0</v>
      </c>
      <c r="W27" s="5">
        <f>IF(AND(U27&gt;='Amort. Sched.-WORST'!$AA$8, U27&lt;= ($AA$7+$AA$8)), (IPMT($W$8/12, (U27-$AA$8), $AA$7, $W$7)), 0)</f>
        <v>0</v>
      </c>
      <c r="X27" s="5">
        <f>IF(AND(U27&gt;='Amort. Sched.-WORST'!$AA$8, U27&lt;= ($AA$7+$AA$8)), (PPMT($W$8/12, (U27-$AA$8), $AA$7, $W$7)), 0)</f>
        <v>0</v>
      </c>
      <c r="Y27" s="5">
        <f>IF(CreditAmort2WORST[[#This Row],[Month]]=AA$8,W$7,0)</f>
        <v>0</v>
      </c>
      <c r="Z27" s="13">
        <f>IF(AND(U27&gt;='Amort. Sched.-WORST'!$AA$8, U27&lt;= ($AA$7+$AA$8)), Z26+X27, 0)</f>
        <v>0</v>
      </c>
      <c r="AA27" s="6" t="str">
        <f>IF(AND(U27&gt;='Amort. Sched.-WORST'!$AA$8, U27&lt;= ($AA$7+$AA$8)), W27/V27, " ")</f>
        <v xml:space="preserve"> </v>
      </c>
      <c r="AB27" s="21" t="str">
        <f>IF(AND(U27&gt;='Amort. Sched.-WORST'!$AA$8, U27&lt;= ($AA$7+$AA$8)), X27/V27, " ")</f>
        <v xml:space="preserve"> </v>
      </c>
      <c r="AD27" s="20">
        <f t="shared" si="3"/>
        <v>16</v>
      </c>
      <c r="AE27" s="5">
        <f t="shared" si="4"/>
        <v>0</v>
      </c>
      <c r="AF27" s="5">
        <f t="shared" si="5"/>
        <v>0</v>
      </c>
      <c r="AG27" s="5">
        <f t="shared" si="6"/>
        <v>0</v>
      </c>
      <c r="AH27" s="5">
        <f>IF(CreditAmort3WORST[[#This Row],[Month]]=AJ$8,AF$7,0)</f>
        <v>0</v>
      </c>
      <c r="AI27" s="13">
        <f t="shared" si="7"/>
        <v>0</v>
      </c>
      <c r="AJ27" s="6" t="str">
        <f t="shared" si="8"/>
        <v xml:space="preserve"> </v>
      </c>
      <c r="AK27" s="21" t="str">
        <f t="shared" si="9"/>
        <v xml:space="preserve"> </v>
      </c>
      <c r="AM27" s="20">
        <f t="shared" si="10"/>
        <v>16</v>
      </c>
      <c r="AN27" s="5">
        <f t="shared" si="11"/>
        <v>0</v>
      </c>
      <c r="AO27" s="5">
        <f t="shared" si="12"/>
        <v>0</v>
      </c>
      <c r="AP27" s="5">
        <f t="shared" si="13"/>
        <v>0</v>
      </c>
      <c r="AQ27" s="5">
        <f>IF(CreditAmort4WORST[[#This Row],[Month]]=AS$8,AO$7,0)</f>
        <v>0</v>
      </c>
      <c r="AR27" s="13">
        <f t="shared" si="14"/>
        <v>0</v>
      </c>
      <c r="AS27" s="6" t="str">
        <f t="shared" si="15"/>
        <v xml:space="preserve"> </v>
      </c>
      <c r="AT27" s="21" t="str">
        <f t="shared" si="16"/>
        <v xml:space="preserve"> </v>
      </c>
    </row>
    <row r="28" spans="3:46">
      <c r="C28" s="22">
        <f t="shared" si="1"/>
        <v>17</v>
      </c>
      <c r="D28" s="23">
        <f>IF(AND(C28&gt;='Amort. Sched.-WORST'!$I$8, C28&lt;= ($I$7+$I$8)), PMT('Amort. Sched.-WORST'!$E$8/12, 'Amort. Sched.-WORST'!$I$7, 'Amort. Sched.-WORST'!$E$7), 0)</f>
        <v>-2026.0175758541329</v>
      </c>
      <c r="E28" s="5">
        <f>IF(AND(C28&gt;='Amort. Sched.-WORST'!$I$8, C28&lt;= ($I$7+$I$8)), (IPMT($E$8/12, (C28-$I$8), $I$7, $E$7)), 0)</f>
        <v>-1719.0392246595532</v>
      </c>
      <c r="F28" s="23">
        <f>IF(AND(C28&gt;='Amort. Sched.-WORST'!$I$8, C28&lt;= ($I$7+$I$8)), (PPMT($E$8/12, (C28-$I$8), $I$7, $E$7)), 0)</f>
        <v>-306.97835119458</v>
      </c>
      <c r="G28" s="5">
        <f>IF(MortgageAmortWORST[[#This Row],[Month]]=I$8,E$7,0)</f>
        <v>0</v>
      </c>
      <c r="H28" s="13">
        <f>IF(AND(C28&gt;='Amort. Sched.-WORST'!$I$8, C28&lt;= ($I$7+$I$8)), H27+F28, 0)</f>
        <v>257548.9053477383</v>
      </c>
      <c r="I28" s="24">
        <f>IF(AND(C28&gt;='Amort. Sched.-WORST'!$I$8, C28&lt;= ($I$7+$I$8)), E28/D28, " ")</f>
        <v>0.84848189134530916</v>
      </c>
      <c r="J28" s="25">
        <f>IF(AND(C28&gt;='Amort. Sched.-WORST'!$I$8, C28&lt;= ($I$7+$I$8)), F28/D28, " ")</f>
        <v>0.15151810865469093</v>
      </c>
      <c r="L28" s="20">
        <f t="shared" si="0"/>
        <v>17</v>
      </c>
      <c r="M28" s="5">
        <f>IF(AND(L28&gt;='Amort. Sched.-WORST'!$R$8, L28&lt;= ($R$7+$R$8)), PMT('Amort. Sched.-WORST'!$N$8/12, 'Amort. Sched.-WORST'!$R$7, 'Amort. Sched.-WORST'!$N$7), 0)</f>
        <v>0</v>
      </c>
      <c r="N28" s="5">
        <f>IF(AND(L28&gt;='Amort. Sched.-WORST'!$R$8, L28&lt;= ($R$7+$R$8)), (IPMT($N$8/12, (L28-$R$8), $R$7, $N$7)), 0)</f>
        <v>0</v>
      </c>
      <c r="O28" s="5">
        <f>IF(AND(L28&gt;='Amort. Sched.-WORST'!$R$8, L28&lt;= ($R$7+$R$8)), (PPMT($N$8/12, (L28-$R$8), $R$7, $N$7)), 0)</f>
        <v>0</v>
      </c>
      <c r="P28" s="5">
        <f>IF(CreditAmort1WORST[[#This Row],[Month]]=R$8,N$7,0)</f>
        <v>0</v>
      </c>
      <c r="Q28" s="13">
        <f>IF(AND(L28&gt;='Amort. Sched.-WORST'!$R$8, L28&lt;= ($R$7+$R$8)), Q27+O28, 0)</f>
        <v>0</v>
      </c>
      <c r="R28" s="6" t="str">
        <f>IF(AND(L28&gt;='Amort. Sched.-WORST'!$R$8, L28&lt;= ($R$7+$R$8)), N28/M28, " ")</f>
        <v xml:space="preserve"> </v>
      </c>
      <c r="S28" s="21" t="str">
        <f>IF(AND(L28&gt;='Amort. Sched.-WORST'!$R$8, L28&lt;= ($R$7+$R$8)), O28/M28, " ")</f>
        <v xml:space="preserve"> </v>
      </c>
      <c r="U28" s="20">
        <f t="shared" si="2"/>
        <v>17</v>
      </c>
      <c r="V28" s="5">
        <f>IF(AND(U28&gt;='Amort. Sched.-WORST'!$AA$8, U28&lt;= ($AA$7+$AA$8)), PMT('Amort. Sched.-WORST'!$W$8/12, 'Amort. Sched.-WORST'!$AA$7, 'Amort. Sched.-WORST'!$W$7), 0)</f>
        <v>0</v>
      </c>
      <c r="W28" s="5">
        <f>IF(AND(U28&gt;='Amort. Sched.-WORST'!$AA$8, U28&lt;= ($AA$7+$AA$8)), (IPMT($W$8/12, (U28-$AA$8), $AA$7, $W$7)), 0)</f>
        <v>0</v>
      </c>
      <c r="X28" s="5">
        <f>IF(AND(U28&gt;='Amort. Sched.-WORST'!$AA$8, U28&lt;= ($AA$7+$AA$8)), (PPMT($W$8/12, (U28-$AA$8), $AA$7, $W$7)), 0)</f>
        <v>0</v>
      </c>
      <c r="Y28" s="5">
        <f>IF(CreditAmort2WORST[[#This Row],[Month]]=AA$8,W$7,0)</f>
        <v>0</v>
      </c>
      <c r="Z28" s="13">
        <f>IF(AND(U28&gt;='Amort. Sched.-WORST'!$AA$8, U28&lt;= ($AA$7+$AA$8)), Z27+X28, 0)</f>
        <v>0</v>
      </c>
      <c r="AA28" s="6" t="str">
        <f>IF(AND(U28&gt;='Amort. Sched.-WORST'!$AA$8, U28&lt;= ($AA$7+$AA$8)), W28/V28, " ")</f>
        <v xml:space="preserve"> </v>
      </c>
      <c r="AB28" s="21" t="str">
        <f>IF(AND(U28&gt;='Amort. Sched.-WORST'!$AA$8, U28&lt;= ($AA$7+$AA$8)), X28/V28, " ")</f>
        <v xml:space="preserve"> </v>
      </c>
      <c r="AD28" s="20">
        <f t="shared" si="3"/>
        <v>17</v>
      </c>
      <c r="AE28" s="5">
        <f t="shared" si="4"/>
        <v>0</v>
      </c>
      <c r="AF28" s="5">
        <f t="shared" si="5"/>
        <v>0</v>
      </c>
      <c r="AG28" s="5">
        <f t="shared" si="6"/>
        <v>0</v>
      </c>
      <c r="AH28" s="5">
        <f>IF(CreditAmort3WORST[[#This Row],[Month]]=AJ$8,AF$7,0)</f>
        <v>0</v>
      </c>
      <c r="AI28" s="13">
        <f t="shared" si="7"/>
        <v>0</v>
      </c>
      <c r="AJ28" s="6" t="str">
        <f t="shared" si="8"/>
        <v xml:space="preserve"> </v>
      </c>
      <c r="AK28" s="21" t="str">
        <f t="shared" si="9"/>
        <v xml:space="preserve"> </v>
      </c>
      <c r="AM28" s="20">
        <f t="shared" si="10"/>
        <v>17</v>
      </c>
      <c r="AN28" s="5">
        <f t="shared" si="11"/>
        <v>0</v>
      </c>
      <c r="AO28" s="5">
        <f t="shared" si="12"/>
        <v>0</v>
      </c>
      <c r="AP28" s="5">
        <f t="shared" si="13"/>
        <v>0</v>
      </c>
      <c r="AQ28" s="5">
        <f>IF(CreditAmort4WORST[[#This Row],[Month]]=AS$8,AO$7,0)</f>
        <v>0</v>
      </c>
      <c r="AR28" s="13">
        <f t="shared" si="14"/>
        <v>0</v>
      </c>
      <c r="AS28" s="6" t="str">
        <f t="shared" si="15"/>
        <v xml:space="preserve"> </v>
      </c>
      <c r="AT28" s="21" t="str">
        <f t="shared" si="16"/>
        <v xml:space="preserve"> </v>
      </c>
    </row>
    <row r="29" spans="3:46">
      <c r="C29" s="22">
        <f t="shared" si="1"/>
        <v>18</v>
      </c>
      <c r="D29" s="23">
        <f>IF(AND(C29&gt;='Amort. Sched.-WORST'!$I$8, C29&lt;= ($I$7+$I$8)), PMT('Amort. Sched.-WORST'!$E$8/12, 'Amort. Sched.-WORST'!$I$7, 'Amort. Sched.-WORST'!$E$7), 0)</f>
        <v>-2026.0175758541329</v>
      </c>
      <c r="E29" s="5">
        <f>IF(AND(C29&gt;='Amort. Sched.-WORST'!$I$8, C29&lt;= ($I$7+$I$8)), (IPMT($E$8/12, (C29-$I$8), $I$7, $E$7)), 0)</f>
        <v>-1716.9927023182559</v>
      </c>
      <c r="F29" s="23">
        <f>IF(AND(C29&gt;='Amort. Sched.-WORST'!$I$8, C29&lt;= ($I$7+$I$8)), (PPMT($E$8/12, (C29-$I$8), $I$7, $E$7)), 0)</f>
        <v>-309.02487353587719</v>
      </c>
      <c r="G29" s="5">
        <f>IF(MortgageAmortWORST[[#This Row],[Month]]=I$8,E$7,0)</f>
        <v>0</v>
      </c>
      <c r="H29" s="13">
        <f>IF(AND(C29&gt;='Amort. Sched.-WORST'!$I$8, C29&lt;= ($I$7+$I$8)), H28+F29, 0)</f>
        <v>257239.88047420242</v>
      </c>
      <c r="I29" s="24">
        <f>IF(AND(C29&gt;='Amort. Sched.-WORST'!$I$8, C29&lt;= ($I$7+$I$8)), E29/D29, " ")</f>
        <v>0.84747177062094459</v>
      </c>
      <c r="J29" s="25">
        <f>IF(AND(C29&gt;='Amort. Sched.-WORST'!$I$8, C29&lt;= ($I$7+$I$8)), F29/D29, " ")</f>
        <v>0.15252822937905552</v>
      </c>
      <c r="L29" s="20">
        <f t="shared" si="0"/>
        <v>18</v>
      </c>
      <c r="M29" s="5">
        <f>IF(AND(L29&gt;='Amort. Sched.-WORST'!$R$8, L29&lt;= ($R$7+$R$8)), PMT('Amort. Sched.-WORST'!$N$8/12, 'Amort. Sched.-WORST'!$R$7, 'Amort. Sched.-WORST'!$N$7), 0)</f>
        <v>0</v>
      </c>
      <c r="N29" s="5">
        <f>IF(AND(L29&gt;='Amort. Sched.-WORST'!$R$8, L29&lt;= ($R$7+$R$8)), (IPMT($N$8/12, (L29-$R$8), $R$7, $N$7)), 0)</f>
        <v>0</v>
      </c>
      <c r="O29" s="5">
        <f>IF(AND(L29&gt;='Amort. Sched.-WORST'!$R$8, L29&lt;= ($R$7+$R$8)), (PPMT($N$8/12, (L29-$R$8), $R$7, $N$7)), 0)</f>
        <v>0</v>
      </c>
      <c r="P29" s="5">
        <f>IF(CreditAmort1WORST[[#This Row],[Month]]=R$8,N$7,0)</f>
        <v>0</v>
      </c>
      <c r="Q29" s="13">
        <f>IF(AND(L29&gt;='Amort. Sched.-WORST'!$R$8, L29&lt;= ($R$7+$R$8)), Q28+O29, 0)</f>
        <v>0</v>
      </c>
      <c r="R29" s="6" t="str">
        <f>IF(AND(L29&gt;='Amort. Sched.-WORST'!$R$8, L29&lt;= ($R$7+$R$8)), N29/M29, " ")</f>
        <v xml:space="preserve"> </v>
      </c>
      <c r="S29" s="21" t="str">
        <f>IF(AND(L29&gt;='Amort. Sched.-WORST'!$R$8, L29&lt;= ($R$7+$R$8)), O29/M29, " ")</f>
        <v xml:space="preserve"> </v>
      </c>
      <c r="U29" s="20">
        <f t="shared" si="2"/>
        <v>18</v>
      </c>
      <c r="V29" s="5">
        <f>IF(AND(U29&gt;='Amort. Sched.-WORST'!$AA$8, U29&lt;= ($AA$7+$AA$8)), PMT('Amort. Sched.-WORST'!$W$8/12, 'Amort. Sched.-WORST'!$AA$7, 'Amort. Sched.-WORST'!$W$7), 0)</f>
        <v>0</v>
      </c>
      <c r="W29" s="5">
        <f>IF(AND(U29&gt;='Amort. Sched.-WORST'!$AA$8, U29&lt;= ($AA$7+$AA$8)), (IPMT($W$8/12, (U29-$AA$8), $AA$7, $W$7)), 0)</f>
        <v>0</v>
      </c>
      <c r="X29" s="5">
        <f>IF(AND(U29&gt;='Amort. Sched.-WORST'!$AA$8, U29&lt;= ($AA$7+$AA$8)), (PPMT($W$8/12, (U29-$AA$8), $AA$7, $W$7)), 0)</f>
        <v>0</v>
      </c>
      <c r="Y29" s="5">
        <f>IF(CreditAmort2WORST[[#This Row],[Month]]=AA$8,W$7,0)</f>
        <v>0</v>
      </c>
      <c r="Z29" s="13">
        <f>IF(AND(U29&gt;='Amort. Sched.-WORST'!$AA$8, U29&lt;= ($AA$7+$AA$8)), Z28+X29, 0)</f>
        <v>0</v>
      </c>
      <c r="AA29" s="6" t="str">
        <f>IF(AND(U29&gt;='Amort. Sched.-WORST'!$AA$8, U29&lt;= ($AA$7+$AA$8)), W29/V29, " ")</f>
        <v xml:space="preserve"> </v>
      </c>
      <c r="AB29" s="21" t="str">
        <f>IF(AND(U29&gt;='Amort. Sched.-WORST'!$AA$8, U29&lt;= ($AA$7+$AA$8)), X29/V29, " ")</f>
        <v xml:space="preserve"> </v>
      </c>
      <c r="AD29" s="20">
        <f t="shared" si="3"/>
        <v>18</v>
      </c>
      <c r="AE29" s="5">
        <f t="shared" si="4"/>
        <v>0</v>
      </c>
      <c r="AF29" s="5">
        <f t="shared" si="5"/>
        <v>0</v>
      </c>
      <c r="AG29" s="5">
        <f t="shared" si="6"/>
        <v>0</v>
      </c>
      <c r="AH29" s="5">
        <f>IF(CreditAmort3WORST[[#This Row],[Month]]=AJ$8,AF$7,0)</f>
        <v>0</v>
      </c>
      <c r="AI29" s="13">
        <f t="shared" si="7"/>
        <v>0</v>
      </c>
      <c r="AJ29" s="6" t="str">
        <f t="shared" si="8"/>
        <v xml:space="preserve"> </v>
      </c>
      <c r="AK29" s="21" t="str">
        <f t="shared" si="9"/>
        <v xml:space="preserve"> </v>
      </c>
      <c r="AM29" s="20">
        <f t="shared" si="10"/>
        <v>18</v>
      </c>
      <c r="AN29" s="5">
        <f t="shared" si="11"/>
        <v>0</v>
      </c>
      <c r="AO29" s="5">
        <f t="shared" si="12"/>
        <v>0</v>
      </c>
      <c r="AP29" s="5">
        <f t="shared" si="13"/>
        <v>0</v>
      </c>
      <c r="AQ29" s="5">
        <f>IF(CreditAmort4WORST[[#This Row],[Month]]=AS$8,AO$7,0)</f>
        <v>0</v>
      </c>
      <c r="AR29" s="13">
        <f t="shared" si="14"/>
        <v>0</v>
      </c>
      <c r="AS29" s="6" t="str">
        <f t="shared" si="15"/>
        <v xml:space="preserve"> </v>
      </c>
      <c r="AT29" s="21" t="str">
        <f t="shared" si="16"/>
        <v xml:space="preserve"> </v>
      </c>
    </row>
    <row r="30" spans="3:46">
      <c r="C30" s="22">
        <f t="shared" si="1"/>
        <v>19</v>
      </c>
      <c r="D30" s="23">
        <f>IF(AND(C30&gt;='Amort. Sched.-WORST'!$I$8, C30&lt;= ($I$7+$I$8)), PMT('Amort. Sched.-WORST'!$E$8/12, 'Amort. Sched.-WORST'!$I$7, 'Amort. Sched.-WORST'!$E$7), 0)</f>
        <v>-2026.0175758541329</v>
      </c>
      <c r="E30" s="5">
        <f>IF(AND(C30&gt;='Amort. Sched.-WORST'!$I$8, C30&lt;= ($I$7+$I$8)), (IPMT($E$8/12, (C30-$I$8), $I$7, $E$7)), 0)</f>
        <v>-1714.9325364946833</v>
      </c>
      <c r="F30" s="23">
        <f>IF(AND(C30&gt;='Amort. Sched.-WORST'!$I$8, C30&lt;= ($I$7+$I$8)), (PPMT($E$8/12, (C30-$I$8), $I$7, $E$7)), 0)</f>
        <v>-311.08503935944969</v>
      </c>
      <c r="G30" s="5">
        <f>IF(MortgageAmortWORST[[#This Row],[Month]]=I$8,E$7,0)</f>
        <v>0</v>
      </c>
      <c r="H30" s="13">
        <f>IF(AND(C30&gt;='Amort. Sched.-WORST'!$I$8, C30&lt;= ($I$7+$I$8)), H29+F30, 0)</f>
        <v>256928.79543484296</v>
      </c>
      <c r="I30" s="24">
        <f>IF(AND(C30&gt;='Amort. Sched.-WORST'!$I$8, C30&lt;= ($I$7+$I$8)), E30/D30, " ")</f>
        <v>0.84645491575841747</v>
      </c>
      <c r="J30" s="25">
        <f>IF(AND(C30&gt;='Amort. Sched.-WORST'!$I$8, C30&lt;= ($I$7+$I$8)), F30/D30, " ")</f>
        <v>0.15354508424158256</v>
      </c>
      <c r="L30" s="20">
        <f t="shared" si="0"/>
        <v>19</v>
      </c>
      <c r="M30" s="5">
        <f>IF(AND(L30&gt;='Amort. Sched.-WORST'!$R$8, L30&lt;= ($R$7+$R$8)), PMT('Amort. Sched.-WORST'!$N$8/12, 'Amort. Sched.-WORST'!$R$7, 'Amort. Sched.-WORST'!$N$7), 0)</f>
        <v>0</v>
      </c>
      <c r="N30" s="5">
        <f>IF(AND(L30&gt;='Amort. Sched.-WORST'!$R$8, L30&lt;= ($R$7+$R$8)), (IPMT($N$8/12, (L30-$R$8), $R$7, $N$7)), 0)</f>
        <v>0</v>
      </c>
      <c r="O30" s="5">
        <f>IF(AND(L30&gt;='Amort. Sched.-WORST'!$R$8, L30&lt;= ($R$7+$R$8)), (PPMT($N$8/12, (L30-$R$8), $R$7, $N$7)), 0)</f>
        <v>0</v>
      </c>
      <c r="P30" s="5">
        <f>IF(CreditAmort1WORST[[#This Row],[Month]]=R$8,N$7,0)</f>
        <v>0</v>
      </c>
      <c r="Q30" s="13">
        <f>IF(AND(L30&gt;='Amort. Sched.-WORST'!$R$8, L30&lt;= ($R$7+$R$8)), Q29+O30, 0)</f>
        <v>0</v>
      </c>
      <c r="R30" s="6" t="str">
        <f>IF(AND(L30&gt;='Amort. Sched.-WORST'!$R$8, L30&lt;= ($R$7+$R$8)), N30/M30, " ")</f>
        <v xml:space="preserve"> </v>
      </c>
      <c r="S30" s="21" t="str">
        <f>IF(AND(L30&gt;='Amort. Sched.-WORST'!$R$8, L30&lt;= ($R$7+$R$8)), O30/M30, " ")</f>
        <v xml:space="preserve"> </v>
      </c>
      <c r="U30" s="20">
        <f t="shared" si="2"/>
        <v>19</v>
      </c>
      <c r="V30" s="5">
        <f>IF(AND(U30&gt;='Amort. Sched.-WORST'!$AA$8, U30&lt;= ($AA$7+$AA$8)), PMT('Amort. Sched.-WORST'!$W$8/12, 'Amort. Sched.-WORST'!$AA$7, 'Amort. Sched.-WORST'!$W$7), 0)</f>
        <v>0</v>
      </c>
      <c r="W30" s="5">
        <f>IF(AND(U30&gt;='Amort. Sched.-WORST'!$AA$8, U30&lt;= ($AA$7+$AA$8)), (IPMT($W$8/12, (U30-$AA$8), $AA$7, $W$7)), 0)</f>
        <v>0</v>
      </c>
      <c r="X30" s="5">
        <f>IF(AND(U30&gt;='Amort. Sched.-WORST'!$AA$8, U30&lt;= ($AA$7+$AA$8)), (PPMT($W$8/12, (U30-$AA$8), $AA$7, $W$7)), 0)</f>
        <v>0</v>
      </c>
      <c r="Y30" s="5">
        <f>IF(CreditAmort2WORST[[#This Row],[Month]]=AA$8,W$7,0)</f>
        <v>0</v>
      </c>
      <c r="Z30" s="13">
        <f>IF(AND(U30&gt;='Amort. Sched.-WORST'!$AA$8, U30&lt;= ($AA$7+$AA$8)), Z29+X30, 0)</f>
        <v>0</v>
      </c>
      <c r="AA30" s="6" t="str">
        <f>IF(AND(U30&gt;='Amort. Sched.-WORST'!$AA$8, U30&lt;= ($AA$7+$AA$8)), W30/V30, " ")</f>
        <v xml:space="preserve"> </v>
      </c>
      <c r="AB30" s="21" t="str">
        <f>IF(AND(U30&gt;='Amort. Sched.-WORST'!$AA$8, U30&lt;= ($AA$7+$AA$8)), X30/V30, " ")</f>
        <v xml:space="preserve"> </v>
      </c>
      <c r="AD30" s="20">
        <f t="shared" si="3"/>
        <v>19</v>
      </c>
      <c r="AE30" s="5">
        <f t="shared" si="4"/>
        <v>0</v>
      </c>
      <c r="AF30" s="5">
        <f t="shared" si="5"/>
        <v>0</v>
      </c>
      <c r="AG30" s="5">
        <f t="shared" si="6"/>
        <v>0</v>
      </c>
      <c r="AH30" s="5">
        <f>IF(CreditAmort3WORST[[#This Row],[Month]]=AJ$8,AF$7,0)</f>
        <v>0</v>
      </c>
      <c r="AI30" s="13">
        <f t="shared" si="7"/>
        <v>0</v>
      </c>
      <c r="AJ30" s="6" t="str">
        <f t="shared" si="8"/>
        <v xml:space="preserve"> </v>
      </c>
      <c r="AK30" s="21" t="str">
        <f t="shared" si="9"/>
        <v xml:space="preserve"> </v>
      </c>
      <c r="AM30" s="20">
        <f t="shared" si="10"/>
        <v>19</v>
      </c>
      <c r="AN30" s="5">
        <f t="shared" si="11"/>
        <v>0</v>
      </c>
      <c r="AO30" s="5">
        <f t="shared" si="12"/>
        <v>0</v>
      </c>
      <c r="AP30" s="5">
        <f t="shared" si="13"/>
        <v>0</v>
      </c>
      <c r="AQ30" s="5">
        <f>IF(CreditAmort4WORST[[#This Row],[Month]]=AS$8,AO$7,0)</f>
        <v>0</v>
      </c>
      <c r="AR30" s="13">
        <f t="shared" si="14"/>
        <v>0</v>
      </c>
      <c r="AS30" s="6" t="str">
        <f t="shared" si="15"/>
        <v xml:space="preserve"> </v>
      </c>
      <c r="AT30" s="21" t="str">
        <f t="shared" si="16"/>
        <v xml:space="preserve"> </v>
      </c>
    </row>
    <row r="31" spans="3:46">
      <c r="C31" s="22">
        <f t="shared" si="1"/>
        <v>20</v>
      </c>
      <c r="D31" s="23">
        <f>IF(AND(C31&gt;='Amort. Sched.-WORST'!$I$8, C31&lt;= ($I$7+$I$8)), PMT('Amort. Sched.-WORST'!$E$8/12, 'Amort. Sched.-WORST'!$I$7, 'Amort. Sched.-WORST'!$E$7), 0)</f>
        <v>-2026.0175758541329</v>
      </c>
      <c r="E31" s="5">
        <f>IF(AND(C31&gt;='Amort. Sched.-WORST'!$I$8, C31&lt;= ($I$7+$I$8)), (IPMT($E$8/12, (C31-$I$8), $I$7, $E$7)), 0)</f>
        <v>-1712.8586362322872</v>
      </c>
      <c r="F31" s="23">
        <f>IF(AND(C31&gt;='Amort. Sched.-WORST'!$I$8, C31&lt;= ($I$7+$I$8)), (PPMT($E$8/12, (C31-$I$8), $I$7, $E$7)), 0)</f>
        <v>-313.15893962184606</v>
      </c>
      <c r="G31" s="5">
        <f>IF(MortgageAmortWORST[[#This Row],[Month]]=I$8,E$7,0)</f>
        <v>0</v>
      </c>
      <c r="H31" s="13">
        <f>IF(AND(C31&gt;='Amort. Sched.-WORST'!$I$8, C31&lt;= ($I$7+$I$8)), H30+F31, 0)</f>
        <v>256615.63649522112</v>
      </c>
      <c r="I31" s="24">
        <f>IF(AND(C31&gt;='Amort. Sched.-WORST'!$I$8, C31&lt;= ($I$7+$I$8)), E31/D31, " ")</f>
        <v>0.84543128186347372</v>
      </c>
      <c r="J31" s="25">
        <f>IF(AND(C31&gt;='Amort. Sched.-WORST'!$I$8, C31&lt;= ($I$7+$I$8)), F31/D31, " ")</f>
        <v>0.15456871813652645</v>
      </c>
      <c r="L31" s="20">
        <f t="shared" si="0"/>
        <v>20</v>
      </c>
      <c r="M31" s="5">
        <f>IF(AND(L31&gt;='Amort. Sched.-WORST'!$R$8, L31&lt;= ($R$7+$R$8)), PMT('Amort. Sched.-WORST'!$N$8/12, 'Amort. Sched.-WORST'!$R$7, 'Amort. Sched.-WORST'!$N$7), 0)</f>
        <v>0</v>
      </c>
      <c r="N31" s="5">
        <f>IF(AND(L31&gt;='Amort. Sched.-WORST'!$R$8, L31&lt;= ($R$7+$R$8)), (IPMT($N$8/12, (L31-$R$8), $R$7, $N$7)), 0)</f>
        <v>0</v>
      </c>
      <c r="O31" s="5">
        <f>IF(AND(L31&gt;='Amort. Sched.-WORST'!$R$8, L31&lt;= ($R$7+$R$8)), (PPMT($N$8/12, (L31-$R$8), $R$7, $N$7)), 0)</f>
        <v>0</v>
      </c>
      <c r="P31" s="5">
        <f>IF(CreditAmort1WORST[[#This Row],[Month]]=R$8,N$7,0)</f>
        <v>0</v>
      </c>
      <c r="Q31" s="13">
        <f>IF(AND(L31&gt;='Amort. Sched.-WORST'!$R$8, L31&lt;= ($R$7+$R$8)), Q30+O31, 0)</f>
        <v>0</v>
      </c>
      <c r="R31" s="6" t="str">
        <f>IF(AND(L31&gt;='Amort. Sched.-WORST'!$R$8, L31&lt;= ($R$7+$R$8)), N31/M31, " ")</f>
        <v xml:space="preserve"> </v>
      </c>
      <c r="S31" s="21" t="str">
        <f>IF(AND(L31&gt;='Amort. Sched.-WORST'!$R$8, L31&lt;= ($R$7+$R$8)), O31/M31, " ")</f>
        <v xml:space="preserve"> </v>
      </c>
      <c r="U31" s="20">
        <f t="shared" si="2"/>
        <v>20</v>
      </c>
      <c r="V31" s="5">
        <f>IF(AND(U31&gt;='Amort. Sched.-WORST'!$AA$8, U31&lt;= ($AA$7+$AA$8)), PMT('Amort. Sched.-WORST'!$W$8/12, 'Amort. Sched.-WORST'!$AA$7, 'Amort. Sched.-WORST'!$W$7), 0)</f>
        <v>0</v>
      </c>
      <c r="W31" s="5">
        <f>IF(AND(U31&gt;='Amort. Sched.-WORST'!$AA$8, U31&lt;= ($AA$7+$AA$8)), (IPMT($W$8/12, (U31-$AA$8), $AA$7, $W$7)), 0)</f>
        <v>0</v>
      </c>
      <c r="X31" s="5">
        <f>IF(AND(U31&gt;='Amort. Sched.-WORST'!$AA$8, U31&lt;= ($AA$7+$AA$8)), (PPMT($W$8/12, (U31-$AA$8), $AA$7, $W$7)), 0)</f>
        <v>0</v>
      </c>
      <c r="Y31" s="5">
        <f>IF(CreditAmort2WORST[[#This Row],[Month]]=AA$8,W$7,0)</f>
        <v>0</v>
      </c>
      <c r="Z31" s="13">
        <f>IF(AND(U31&gt;='Amort. Sched.-WORST'!$AA$8, U31&lt;= ($AA$7+$AA$8)), Z30+X31, 0)</f>
        <v>0</v>
      </c>
      <c r="AA31" s="6" t="str">
        <f>IF(AND(U31&gt;='Amort. Sched.-WORST'!$AA$8, U31&lt;= ($AA$7+$AA$8)), W31/V31, " ")</f>
        <v xml:space="preserve"> </v>
      </c>
      <c r="AB31" s="21" t="str">
        <f>IF(AND(U31&gt;='Amort. Sched.-WORST'!$AA$8, U31&lt;= ($AA$7+$AA$8)), X31/V31, " ")</f>
        <v xml:space="preserve"> </v>
      </c>
      <c r="AD31" s="20">
        <f t="shared" si="3"/>
        <v>20</v>
      </c>
      <c r="AE31" s="5">
        <f t="shared" si="4"/>
        <v>0</v>
      </c>
      <c r="AF31" s="5">
        <f t="shared" si="5"/>
        <v>0</v>
      </c>
      <c r="AG31" s="5">
        <f t="shared" si="6"/>
        <v>0</v>
      </c>
      <c r="AH31" s="5">
        <f>IF(CreditAmort3WORST[[#This Row],[Month]]=AJ$8,AF$7,0)</f>
        <v>0</v>
      </c>
      <c r="AI31" s="13">
        <f t="shared" si="7"/>
        <v>0</v>
      </c>
      <c r="AJ31" s="6" t="str">
        <f t="shared" si="8"/>
        <v xml:space="preserve"> </v>
      </c>
      <c r="AK31" s="21" t="str">
        <f t="shared" si="9"/>
        <v xml:space="preserve"> </v>
      </c>
      <c r="AM31" s="20">
        <f t="shared" si="10"/>
        <v>20</v>
      </c>
      <c r="AN31" s="5">
        <f t="shared" si="11"/>
        <v>0</v>
      </c>
      <c r="AO31" s="5">
        <f t="shared" si="12"/>
        <v>0</v>
      </c>
      <c r="AP31" s="5">
        <f t="shared" si="13"/>
        <v>0</v>
      </c>
      <c r="AQ31" s="5">
        <f>IF(CreditAmort4WORST[[#This Row],[Month]]=AS$8,AO$7,0)</f>
        <v>0</v>
      </c>
      <c r="AR31" s="13">
        <f t="shared" si="14"/>
        <v>0</v>
      </c>
      <c r="AS31" s="6" t="str">
        <f t="shared" si="15"/>
        <v xml:space="preserve"> </v>
      </c>
      <c r="AT31" s="21" t="str">
        <f t="shared" si="16"/>
        <v xml:space="preserve"> </v>
      </c>
    </row>
    <row r="32" spans="3:46">
      <c r="C32" s="22">
        <f t="shared" si="1"/>
        <v>21</v>
      </c>
      <c r="D32" s="23">
        <f>IF(AND(C32&gt;='Amort. Sched.-WORST'!$I$8, C32&lt;= ($I$7+$I$8)), PMT('Amort. Sched.-WORST'!$E$8/12, 'Amort. Sched.-WORST'!$I$7, 'Amort. Sched.-WORST'!$E$7), 0)</f>
        <v>-2026.0175758541329</v>
      </c>
      <c r="E32" s="5">
        <f>IF(AND(C32&gt;='Amort. Sched.-WORST'!$I$8, C32&lt;= ($I$7+$I$8)), (IPMT($E$8/12, (C32-$I$8), $I$7, $E$7)), 0)</f>
        <v>-1710.7709099681415</v>
      </c>
      <c r="F32" s="23">
        <f>IF(AND(C32&gt;='Amort. Sched.-WORST'!$I$8, C32&lt;= ($I$7+$I$8)), (PPMT($E$8/12, (C32-$I$8), $I$7, $E$7)), 0)</f>
        <v>-315.2466658859916</v>
      </c>
      <c r="G32" s="5">
        <f>IF(MortgageAmortWORST[[#This Row],[Month]]=I$8,E$7,0)</f>
        <v>0</v>
      </c>
      <c r="H32" s="13">
        <f>IF(AND(C32&gt;='Amort. Sched.-WORST'!$I$8, C32&lt;= ($I$7+$I$8)), H31+F32, 0)</f>
        <v>256300.38982933512</v>
      </c>
      <c r="I32" s="24">
        <f>IF(AND(C32&gt;='Amort. Sched.-WORST'!$I$8, C32&lt;= ($I$7+$I$8)), E32/D32, " ")</f>
        <v>0.84440082374256353</v>
      </c>
      <c r="J32" s="25">
        <f>IF(AND(C32&gt;='Amort. Sched.-WORST'!$I$8, C32&lt;= ($I$7+$I$8)), F32/D32, " ")</f>
        <v>0.15559917625743658</v>
      </c>
      <c r="L32" s="20">
        <f t="shared" si="0"/>
        <v>21</v>
      </c>
      <c r="M32" s="5">
        <f>IF(AND(L32&gt;='Amort. Sched.-WORST'!$R$8, L32&lt;= ($R$7+$R$8)), PMT('Amort. Sched.-WORST'!$N$8/12, 'Amort. Sched.-WORST'!$R$7, 'Amort. Sched.-WORST'!$N$7), 0)</f>
        <v>0</v>
      </c>
      <c r="N32" s="5">
        <f>IF(AND(L32&gt;='Amort. Sched.-WORST'!$R$8, L32&lt;= ($R$7+$R$8)), (IPMT($N$8/12, (L32-$R$8), $R$7, $N$7)), 0)</f>
        <v>0</v>
      </c>
      <c r="O32" s="5">
        <f>IF(AND(L32&gt;='Amort. Sched.-WORST'!$R$8, L32&lt;= ($R$7+$R$8)), (PPMT($N$8/12, (L32-$R$8), $R$7, $N$7)), 0)</f>
        <v>0</v>
      </c>
      <c r="P32" s="5">
        <f>IF(CreditAmort1WORST[[#This Row],[Month]]=R$8,N$7,0)</f>
        <v>0</v>
      </c>
      <c r="Q32" s="13">
        <f>IF(AND(L32&gt;='Amort. Sched.-WORST'!$R$8, L32&lt;= ($R$7+$R$8)), Q31+O32, 0)</f>
        <v>0</v>
      </c>
      <c r="R32" s="6" t="str">
        <f>IF(AND(L32&gt;='Amort. Sched.-WORST'!$R$8, L32&lt;= ($R$7+$R$8)), N32/M32, " ")</f>
        <v xml:space="preserve"> </v>
      </c>
      <c r="S32" s="21" t="str">
        <f>IF(AND(L32&gt;='Amort. Sched.-WORST'!$R$8, L32&lt;= ($R$7+$R$8)), O32/M32, " ")</f>
        <v xml:space="preserve"> </v>
      </c>
      <c r="U32" s="20">
        <f t="shared" si="2"/>
        <v>21</v>
      </c>
      <c r="V32" s="5">
        <f>IF(AND(U32&gt;='Amort. Sched.-WORST'!$AA$8, U32&lt;= ($AA$7+$AA$8)), PMT('Amort. Sched.-WORST'!$W$8/12, 'Amort. Sched.-WORST'!$AA$7, 'Amort. Sched.-WORST'!$W$7), 0)</f>
        <v>0</v>
      </c>
      <c r="W32" s="5">
        <f>IF(AND(U32&gt;='Amort. Sched.-WORST'!$AA$8, U32&lt;= ($AA$7+$AA$8)), (IPMT($W$8/12, (U32-$AA$8), $AA$7, $W$7)), 0)</f>
        <v>0</v>
      </c>
      <c r="X32" s="5">
        <f>IF(AND(U32&gt;='Amort. Sched.-WORST'!$AA$8, U32&lt;= ($AA$7+$AA$8)), (PPMT($W$8/12, (U32-$AA$8), $AA$7, $W$7)), 0)</f>
        <v>0</v>
      </c>
      <c r="Y32" s="5">
        <f>IF(CreditAmort2WORST[[#This Row],[Month]]=AA$8,W$7,0)</f>
        <v>0</v>
      </c>
      <c r="Z32" s="13">
        <f>IF(AND(U32&gt;='Amort. Sched.-WORST'!$AA$8, U32&lt;= ($AA$7+$AA$8)), Z31+X32, 0)</f>
        <v>0</v>
      </c>
      <c r="AA32" s="6" t="str">
        <f>IF(AND(U32&gt;='Amort. Sched.-WORST'!$AA$8, U32&lt;= ($AA$7+$AA$8)), W32/V32, " ")</f>
        <v xml:space="preserve"> </v>
      </c>
      <c r="AB32" s="21" t="str">
        <f>IF(AND(U32&gt;='Amort. Sched.-WORST'!$AA$8, U32&lt;= ($AA$7+$AA$8)), X32/V32, " ")</f>
        <v xml:space="preserve"> </v>
      </c>
      <c r="AD32" s="20">
        <f t="shared" si="3"/>
        <v>21</v>
      </c>
      <c r="AE32" s="5">
        <f t="shared" si="4"/>
        <v>0</v>
      </c>
      <c r="AF32" s="5">
        <f t="shared" si="5"/>
        <v>0</v>
      </c>
      <c r="AG32" s="5">
        <f t="shared" si="6"/>
        <v>0</v>
      </c>
      <c r="AH32" s="5">
        <f>IF(CreditAmort3WORST[[#This Row],[Month]]=AJ$8,AF$7,0)</f>
        <v>0</v>
      </c>
      <c r="AI32" s="13">
        <f t="shared" si="7"/>
        <v>0</v>
      </c>
      <c r="AJ32" s="6" t="str">
        <f t="shared" si="8"/>
        <v xml:space="preserve"> </v>
      </c>
      <c r="AK32" s="21" t="str">
        <f t="shared" si="9"/>
        <v xml:space="preserve"> </v>
      </c>
      <c r="AM32" s="20">
        <f t="shared" si="10"/>
        <v>21</v>
      </c>
      <c r="AN32" s="5">
        <f t="shared" si="11"/>
        <v>0</v>
      </c>
      <c r="AO32" s="5">
        <f t="shared" si="12"/>
        <v>0</v>
      </c>
      <c r="AP32" s="5">
        <f t="shared" si="13"/>
        <v>0</v>
      </c>
      <c r="AQ32" s="5">
        <f>IF(CreditAmort4WORST[[#This Row],[Month]]=AS$8,AO$7,0)</f>
        <v>0</v>
      </c>
      <c r="AR32" s="13">
        <f t="shared" si="14"/>
        <v>0</v>
      </c>
      <c r="AS32" s="6" t="str">
        <f t="shared" si="15"/>
        <v xml:space="preserve"> </v>
      </c>
      <c r="AT32" s="21" t="str">
        <f t="shared" si="16"/>
        <v xml:space="preserve"> </v>
      </c>
    </row>
    <row r="33" spans="3:46">
      <c r="C33" s="22">
        <f t="shared" si="1"/>
        <v>22</v>
      </c>
      <c r="D33" s="23">
        <f>IF(AND(C33&gt;='Amort. Sched.-WORST'!$I$8, C33&lt;= ($I$7+$I$8)), PMT('Amort. Sched.-WORST'!$E$8/12, 'Amort. Sched.-WORST'!$I$7, 'Amort. Sched.-WORST'!$E$7), 0)</f>
        <v>-2026.0175758541329</v>
      </c>
      <c r="E33" s="5">
        <f>IF(AND(C33&gt;='Amort. Sched.-WORST'!$I$8, C33&lt;= ($I$7+$I$8)), (IPMT($E$8/12, (C33-$I$8), $I$7, $E$7)), 0)</f>
        <v>-1708.6692655289014</v>
      </c>
      <c r="F33" s="23">
        <f>IF(AND(C33&gt;='Amort. Sched.-WORST'!$I$8, C33&lt;= ($I$7+$I$8)), (PPMT($E$8/12, (C33-$I$8), $I$7, $E$7)), 0)</f>
        <v>-317.34831032523152</v>
      </c>
      <c r="G33" s="5">
        <f>IF(MortgageAmortWORST[[#This Row],[Month]]=I$8,E$7,0)</f>
        <v>0</v>
      </c>
      <c r="H33" s="13">
        <f>IF(AND(C33&gt;='Amort. Sched.-WORST'!$I$8, C33&lt;= ($I$7+$I$8)), H32+F33, 0)</f>
        <v>255983.04151900989</v>
      </c>
      <c r="I33" s="24">
        <f>IF(AND(C33&gt;='Amort. Sched.-WORST'!$I$8, C33&lt;= ($I$7+$I$8)), E33/D33, " ")</f>
        <v>0.84336349590084725</v>
      </c>
      <c r="J33" s="25">
        <f>IF(AND(C33&gt;='Amort. Sched.-WORST'!$I$8, C33&lt;= ($I$7+$I$8)), F33/D33, " ")</f>
        <v>0.15663650409915281</v>
      </c>
      <c r="L33" s="20">
        <f t="shared" si="0"/>
        <v>22</v>
      </c>
      <c r="M33" s="5">
        <f>IF(AND(L33&gt;='Amort. Sched.-WORST'!$R$8, L33&lt;= ($R$7+$R$8)), PMT('Amort. Sched.-WORST'!$N$8/12, 'Amort. Sched.-WORST'!$R$7, 'Amort. Sched.-WORST'!$N$7), 0)</f>
        <v>0</v>
      </c>
      <c r="N33" s="5">
        <f>IF(AND(L33&gt;='Amort. Sched.-WORST'!$R$8, L33&lt;= ($R$7+$R$8)), (IPMT($N$8/12, (L33-$R$8), $R$7, $N$7)), 0)</f>
        <v>0</v>
      </c>
      <c r="O33" s="5">
        <f>IF(AND(L33&gt;='Amort. Sched.-WORST'!$R$8, L33&lt;= ($R$7+$R$8)), (PPMT($N$8/12, (L33-$R$8), $R$7, $N$7)), 0)</f>
        <v>0</v>
      </c>
      <c r="P33" s="5">
        <f>IF(CreditAmort1WORST[[#This Row],[Month]]=R$8,N$7,0)</f>
        <v>0</v>
      </c>
      <c r="Q33" s="13">
        <f>IF(AND(L33&gt;='Amort. Sched.-WORST'!$R$8, L33&lt;= ($R$7+$R$8)), Q32+O33, 0)</f>
        <v>0</v>
      </c>
      <c r="R33" s="6" t="str">
        <f>IF(AND(L33&gt;='Amort. Sched.-WORST'!$R$8, L33&lt;= ($R$7+$R$8)), N33/M33, " ")</f>
        <v xml:space="preserve"> </v>
      </c>
      <c r="S33" s="21" t="str">
        <f>IF(AND(L33&gt;='Amort. Sched.-WORST'!$R$8, L33&lt;= ($R$7+$R$8)), O33/M33, " ")</f>
        <v xml:space="preserve"> </v>
      </c>
      <c r="U33" s="20">
        <f t="shared" si="2"/>
        <v>22</v>
      </c>
      <c r="V33" s="5">
        <f>IF(AND(U33&gt;='Amort. Sched.-WORST'!$AA$8, U33&lt;= ($AA$7+$AA$8)), PMT('Amort. Sched.-WORST'!$W$8/12, 'Amort. Sched.-WORST'!$AA$7, 'Amort. Sched.-WORST'!$W$7), 0)</f>
        <v>0</v>
      </c>
      <c r="W33" s="5">
        <f>IF(AND(U33&gt;='Amort. Sched.-WORST'!$AA$8, U33&lt;= ($AA$7+$AA$8)), (IPMT($W$8/12, (U33-$AA$8), $AA$7, $W$7)), 0)</f>
        <v>0</v>
      </c>
      <c r="X33" s="5">
        <f>IF(AND(U33&gt;='Amort. Sched.-WORST'!$AA$8, U33&lt;= ($AA$7+$AA$8)), (PPMT($W$8/12, (U33-$AA$8), $AA$7, $W$7)), 0)</f>
        <v>0</v>
      </c>
      <c r="Y33" s="5">
        <f>IF(CreditAmort2WORST[[#This Row],[Month]]=AA$8,W$7,0)</f>
        <v>0</v>
      </c>
      <c r="Z33" s="13">
        <f>IF(AND(U33&gt;='Amort. Sched.-WORST'!$AA$8, U33&lt;= ($AA$7+$AA$8)), Z32+X33, 0)</f>
        <v>0</v>
      </c>
      <c r="AA33" s="6" t="str">
        <f>IF(AND(U33&gt;='Amort. Sched.-WORST'!$AA$8, U33&lt;= ($AA$7+$AA$8)), W33/V33, " ")</f>
        <v xml:space="preserve"> </v>
      </c>
      <c r="AB33" s="21" t="str">
        <f>IF(AND(U33&gt;='Amort. Sched.-WORST'!$AA$8, U33&lt;= ($AA$7+$AA$8)), X33/V33, " ")</f>
        <v xml:space="preserve"> </v>
      </c>
      <c r="AD33" s="20">
        <f t="shared" si="3"/>
        <v>22</v>
      </c>
      <c r="AE33" s="5">
        <f t="shared" si="4"/>
        <v>0</v>
      </c>
      <c r="AF33" s="5">
        <f t="shared" si="5"/>
        <v>0</v>
      </c>
      <c r="AG33" s="5">
        <f t="shared" si="6"/>
        <v>0</v>
      </c>
      <c r="AH33" s="5">
        <f>IF(CreditAmort3WORST[[#This Row],[Month]]=AJ$8,AF$7,0)</f>
        <v>0</v>
      </c>
      <c r="AI33" s="13">
        <f t="shared" si="7"/>
        <v>0</v>
      </c>
      <c r="AJ33" s="6" t="str">
        <f t="shared" si="8"/>
        <v xml:space="preserve"> </v>
      </c>
      <c r="AK33" s="21" t="str">
        <f t="shared" si="9"/>
        <v xml:space="preserve"> </v>
      </c>
      <c r="AM33" s="20">
        <f t="shared" si="10"/>
        <v>22</v>
      </c>
      <c r="AN33" s="5">
        <f t="shared" si="11"/>
        <v>0</v>
      </c>
      <c r="AO33" s="5">
        <f t="shared" si="12"/>
        <v>0</v>
      </c>
      <c r="AP33" s="5">
        <f t="shared" si="13"/>
        <v>0</v>
      </c>
      <c r="AQ33" s="5">
        <f>IF(CreditAmort4WORST[[#This Row],[Month]]=AS$8,AO$7,0)</f>
        <v>0</v>
      </c>
      <c r="AR33" s="13">
        <f t="shared" si="14"/>
        <v>0</v>
      </c>
      <c r="AS33" s="6" t="str">
        <f t="shared" si="15"/>
        <v xml:space="preserve"> </v>
      </c>
      <c r="AT33" s="21" t="str">
        <f t="shared" si="16"/>
        <v xml:space="preserve"> </v>
      </c>
    </row>
    <row r="34" spans="3:46">
      <c r="C34" s="22">
        <f t="shared" si="1"/>
        <v>23</v>
      </c>
      <c r="D34" s="23">
        <f>IF(AND(C34&gt;='Amort. Sched.-WORST'!$I$8, C34&lt;= ($I$7+$I$8)), PMT('Amort. Sched.-WORST'!$E$8/12, 'Amort. Sched.-WORST'!$I$7, 'Amort. Sched.-WORST'!$E$7), 0)</f>
        <v>-2026.0175758541329</v>
      </c>
      <c r="E34" s="5">
        <f>IF(AND(C34&gt;='Amort. Sched.-WORST'!$I$8, C34&lt;= ($I$7+$I$8)), (IPMT($E$8/12, (C34-$I$8), $I$7, $E$7)), 0)</f>
        <v>-1706.5536101267332</v>
      </c>
      <c r="F34" s="23">
        <f>IF(AND(C34&gt;='Amort. Sched.-WORST'!$I$8, C34&lt;= ($I$7+$I$8)), (PPMT($E$8/12, (C34-$I$8), $I$7, $E$7)), 0)</f>
        <v>-319.46396572739985</v>
      </c>
      <c r="G34" s="5">
        <f>IF(MortgageAmortWORST[[#This Row],[Month]]=I$8,E$7,0)</f>
        <v>0</v>
      </c>
      <c r="H34" s="13">
        <f>IF(AND(C34&gt;='Amort. Sched.-WORST'!$I$8, C34&lt;= ($I$7+$I$8)), H33+F34, 0)</f>
        <v>255663.57755328249</v>
      </c>
      <c r="I34" s="24">
        <f>IF(AND(C34&gt;='Amort. Sched.-WORST'!$I$8, C34&lt;= ($I$7+$I$8)), E34/D34, " ")</f>
        <v>0.84231925254018625</v>
      </c>
      <c r="J34" s="25">
        <f>IF(AND(C34&gt;='Amort. Sched.-WORST'!$I$8, C34&lt;= ($I$7+$I$8)), F34/D34, " ")</f>
        <v>0.15768074745981389</v>
      </c>
      <c r="L34" s="20">
        <f t="shared" si="0"/>
        <v>23</v>
      </c>
      <c r="M34" s="5">
        <f>IF(AND(L34&gt;='Amort. Sched.-WORST'!$R$8, L34&lt;= ($R$7+$R$8)), PMT('Amort. Sched.-WORST'!$N$8/12, 'Amort. Sched.-WORST'!$R$7, 'Amort. Sched.-WORST'!$N$7), 0)</f>
        <v>0</v>
      </c>
      <c r="N34" s="5">
        <f>IF(AND(L34&gt;='Amort. Sched.-WORST'!$R$8, L34&lt;= ($R$7+$R$8)), (IPMT($N$8/12, (L34-$R$8), $R$7, $N$7)), 0)</f>
        <v>0</v>
      </c>
      <c r="O34" s="5">
        <f>IF(AND(L34&gt;='Amort. Sched.-WORST'!$R$8, L34&lt;= ($R$7+$R$8)), (PPMT($N$8/12, (L34-$R$8), $R$7, $N$7)), 0)</f>
        <v>0</v>
      </c>
      <c r="P34" s="5">
        <f>IF(CreditAmort1WORST[[#This Row],[Month]]=R$8,N$7,0)</f>
        <v>0</v>
      </c>
      <c r="Q34" s="13">
        <f>IF(AND(L34&gt;='Amort. Sched.-WORST'!$R$8, L34&lt;= ($R$7+$R$8)), Q33+O34, 0)</f>
        <v>0</v>
      </c>
      <c r="R34" s="6" t="str">
        <f>IF(AND(L34&gt;='Amort. Sched.-WORST'!$R$8, L34&lt;= ($R$7+$R$8)), N34/M34, " ")</f>
        <v xml:space="preserve"> </v>
      </c>
      <c r="S34" s="21" t="str">
        <f>IF(AND(L34&gt;='Amort. Sched.-WORST'!$R$8, L34&lt;= ($R$7+$R$8)), O34/M34, " ")</f>
        <v xml:space="preserve"> </v>
      </c>
      <c r="U34" s="20">
        <f t="shared" si="2"/>
        <v>23</v>
      </c>
      <c r="V34" s="5">
        <f>IF(AND(U34&gt;='Amort. Sched.-WORST'!$AA$8, U34&lt;= ($AA$7+$AA$8)), PMT('Amort. Sched.-WORST'!$W$8/12, 'Amort. Sched.-WORST'!$AA$7, 'Amort. Sched.-WORST'!$W$7), 0)</f>
        <v>0</v>
      </c>
      <c r="W34" s="5">
        <f>IF(AND(U34&gt;='Amort. Sched.-WORST'!$AA$8, U34&lt;= ($AA$7+$AA$8)), (IPMT($W$8/12, (U34-$AA$8), $AA$7, $W$7)), 0)</f>
        <v>0</v>
      </c>
      <c r="X34" s="5">
        <f>IF(AND(U34&gt;='Amort. Sched.-WORST'!$AA$8, U34&lt;= ($AA$7+$AA$8)), (PPMT($W$8/12, (U34-$AA$8), $AA$7, $W$7)), 0)</f>
        <v>0</v>
      </c>
      <c r="Y34" s="5">
        <f>IF(CreditAmort2WORST[[#This Row],[Month]]=AA$8,W$7,0)</f>
        <v>0</v>
      </c>
      <c r="Z34" s="13">
        <f>IF(AND(U34&gt;='Amort. Sched.-WORST'!$AA$8, U34&lt;= ($AA$7+$AA$8)), Z33+X34, 0)</f>
        <v>0</v>
      </c>
      <c r="AA34" s="6" t="str">
        <f>IF(AND(U34&gt;='Amort. Sched.-WORST'!$AA$8, U34&lt;= ($AA$7+$AA$8)), W34/V34, " ")</f>
        <v xml:space="preserve"> </v>
      </c>
      <c r="AB34" s="21" t="str">
        <f>IF(AND(U34&gt;='Amort. Sched.-WORST'!$AA$8, U34&lt;= ($AA$7+$AA$8)), X34/V34, " ")</f>
        <v xml:space="preserve"> </v>
      </c>
      <c r="AD34" s="20">
        <f t="shared" si="3"/>
        <v>23</v>
      </c>
      <c r="AE34" s="5">
        <f t="shared" si="4"/>
        <v>0</v>
      </c>
      <c r="AF34" s="5">
        <f t="shared" si="5"/>
        <v>0</v>
      </c>
      <c r="AG34" s="5">
        <f t="shared" si="6"/>
        <v>0</v>
      </c>
      <c r="AH34" s="5">
        <f>IF(CreditAmort3WORST[[#This Row],[Month]]=AJ$8,AF$7,0)</f>
        <v>0</v>
      </c>
      <c r="AI34" s="13">
        <f t="shared" si="7"/>
        <v>0</v>
      </c>
      <c r="AJ34" s="6" t="str">
        <f t="shared" si="8"/>
        <v xml:space="preserve"> </v>
      </c>
      <c r="AK34" s="21" t="str">
        <f t="shared" si="9"/>
        <v xml:space="preserve"> </v>
      </c>
      <c r="AM34" s="20">
        <f t="shared" si="10"/>
        <v>23</v>
      </c>
      <c r="AN34" s="5">
        <f t="shared" si="11"/>
        <v>0</v>
      </c>
      <c r="AO34" s="5">
        <f t="shared" si="12"/>
        <v>0</v>
      </c>
      <c r="AP34" s="5">
        <f t="shared" si="13"/>
        <v>0</v>
      </c>
      <c r="AQ34" s="5">
        <f>IF(CreditAmort4WORST[[#This Row],[Month]]=AS$8,AO$7,0)</f>
        <v>0</v>
      </c>
      <c r="AR34" s="13">
        <f t="shared" si="14"/>
        <v>0</v>
      </c>
      <c r="AS34" s="6" t="str">
        <f t="shared" si="15"/>
        <v xml:space="preserve"> </v>
      </c>
      <c r="AT34" s="21" t="str">
        <f t="shared" si="16"/>
        <v xml:space="preserve"> </v>
      </c>
    </row>
    <row r="35" spans="3:46">
      <c r="C35" s="22">
        <f t="shared" si="1"/>
        <v>24</v>
      </c>
      <c r="D35" s="23">
        <f>IF(AND(C35&gt;='Amort. Sched.-WORST'!$I$8, C35&lt;= ($I$7+$I$8)), PMT('Amort. Sched.-WORST'!$E$8/12, 'Amort. Sched.-WORST'!$I$7, 'Amort. Sched.-WORST'!$E$7), 0)</f>
        <v>-2026.0175758541329</v>
      </c>
      <c r="E35" s="5">
        <f>IF(AND(C35&gt;='Amort. Sched.-WORST'!$I$8, C35&lt;= ($I$7+$I$8)), (IPMT($E$8/12, (C35-$I$8), $I$7, $E$7)), 0)</f>
        <v>-1704.4238503552172</v>
      </c>
      <c r="F35" s="23">
        <f>IF(AND(C35&gt;='Amort. Sched.-WORST'!$I$8, C35&lt;= ($I$7+$I$8)), (PPMT($E$8/12, (C35-$I$8), $I$7, $E$7)), 0)</f>
        <v>-321.59372549891583</v>
      </c>
      <c r="G35" s="5">
        <f>IF(MortgageAmortWORST[[#This Row],[Month]]=I$8,E$7,0)</f>
        <v>0</v>
      </c>
      <c r="H35" s="13">
        <f>IF(AND(C35&gt;='Amort. Sched.-WORST'!$I$8, C35&lt;= ($I$7+$I$8)), H34+F35, 0)</f>
        <v>255341.98382778358</v>
      </c>
      <c r="I35" s="24">
        <f>IF(AND(C35&gt;='Amort. Sched.-WORST'!$I$8, C35&lt;= ($I$7+$I$8)), E35/D35, " ")</f>
        <v>0.8412680475571207</v>
      </c>
      <c r="J35" s="25">
        <f>IF(AND(C35&gt;='Amort. Sched.-WORST'!$I$8, C35&lt;= ($I$7+$I$8)), F35/D35, " ")</f>
        <v>0.1587319524428793</v>
      </c>
      <c r="L35" s="20">
        <f t="shared" si="0"/>
        <v>24</v>
      </c>
      <c r="M35" s="5">
        <f>IF(AND(L35&gt;='Amort. Sched.-WORST'!$R$8, L35&lt;= ($R$7+$R$8)), PMT('Amort. Sched.-WORST'!$N$8/12, 'Amort. Sched.-WORST'!$R$7, 'Amort. Sched.-WORST'!$N$7), 0)</f>
        <v>0</v>
      </c>
      <c r="N35" s="5">
        <f>IF(AND(L35&gt;='Amort. Sched.-WORST'!$R$8, L35&lt;= ($R$7+$R$8)), (IPMT($N$8/12, (L35-$R$8), $R$7, $N$7)), 0)</f>
        <v>0</v>
      </c>
      <c r="O35" s="5">
        <f>IF(AND(L35&gt;='Amort. Sched.-WORST'!$R$8, L35&lt;= ($R$7+$R$8)), (PPMT($N$8/12, (L35-$R$8), $R$7, $N$7)), 0)</f>
        <v>0</v>
      </c>
      <c r="P35" s="5">
        <f>IF(CreditAmort1WORST[[#This Row],[Month]]=R$8,N$7,0)</f>
        <v>0</v>
      </c>
      <c r="Q35" s="13">
        <f>IF(AND(L35&gt;='Amort. Sched.-WORST'!$R$8, L35&lt;= ($R$7+$R$8)), Q34+O35, 0)</f>
        <v>0</v>
      </c>
      <c r="R35" s="6" t="str">
        <f>IF(AND(L35&gt;='Amort. Sched.-WORST'!$R$8, L35&lt;= ($R$7+$R$8)), N35/M35, " ")</f>
        <v xml:space="preserve"> </v>
      </c>
      <c r="S35" s="21" t="str">
        <f>IF(AND(L35&gt;='Amort. Sched.-WORST'!$R$8, L35&lt;= ($R$7+$R$8)), O35/M35, " ")</f>
        <v xml:space="preserve"> </v>
      </c>
      <c r="U35" s="20">
        <f t="shared" si="2"/>
        <v>24</v>
      </c>
      <c r="V35" s="5">
        <f>IF(AND(U35&gt;='Amort. Sched.-WORST'!$AA$8, U35&lt;= ($AA$7+$AA$8)), PMT('Amort. Sched.-WORST'!$W$8/12, 'Amort. Sched.-WORST'!$AA$7, 'Amort. Sched.-WORST'!$W$7), 0)</f>
        <v>0</v>
      </c>
      <c r="W35" s="5">
        <f>IF(AND(U35&gt;='Amort. Sched.-WORST'!$AA$8, U35&lt;= ($AA$7+$AA$8)), (IPMT($W$8/12, (U35-$AA$8), $AA$7, $W$7)), 0)</f>
        <v>0</v>
      </c>
      <c r="X35" s="5">
        <f>IF(AND(U35&gt;='Amort. Sched.-WORST'!$AA$8, U35&lt;= ($AA$7+$AA$8)), (PPMT($W$8/12, (U35-$AA$8), $AA$7, $W$7)), 0)</f>
        <v>0</v>
      </c>
      <c r="Y35" s="5">
        <f>IF(CreditAmort2WORST[[#This Row],[Month]]=AA$8,W$7,0)</f>
        <v>0</v>
      </c>
      <c r="Z35" s="13">
        <f>IF(AND(U35&gt;='Amort. Sched.-WORST'!$AA$8, U35&lt;= ($AA$7+$AA$8)), Z34+X35, 0)</f>
        <v>0</v>
      </c>
      <c r="AA35" s="6" t="str">
        <f>IF(AND(U35&gt;='Amort. Sched.-WORST'!$AA$8, U35&lt;= ($AA$7+$AA$8)), W35/V35, " ")</f>
        <v xml:space="preserve"> </v>
      </c>
      <c r="AB35" s="21" t="str">
        <f>IF(AND(U35&gt;='Amort. Sched.-WORST'!$AA$8, U35&lt;= ($AA$7+$AA$8)), X35/V35, " ")</f>
        <v xml:space="preserve"> </v>
      </c>
      <c r="AD35" s="20">
        <f t="shared" si="3"/>
        <v>24</v>
      </c>
      <c r="AE35" s="5">
        <f t="shared" si="4"/>
        <v>0</v>
      </c>
      <c r="AF35" s="5">
        <f t="shared" si="5"/>
        <v>0</v>
      </c>
      <c r="AG35" s="5">
        <f t="shared" si="6"/>
        <v>0</v>
      </c>
      <c r="AH35" s="5">
        <f>IF(CreditAmort3WORST[[#This Row],[Month]]=AJ$8,AF$7,0)</f>
        <v>0</v>
      </c>
      <c r="AI35" s="13">
        <f t="shared" si="7"/>
        <v>0</v>
      </c>
      <c r="AJ35" s="6" t="str">
        <f t="shared" si="8"/>
        <v xml:space="preserve"> </v>
      </c>
      <c r="AK35" s="21" t="str">
        <f t="shared" si="9"/>
        <v xml:space="preserve"> </v>
      </c>
      <c r="AM35" s="20">
        <f t="shared" si="10"/>
        <v>24</v>
      </c>
      <c r="AN35" s="5">
        <f t="shared" si="11"/>
        <v>0</v>
      </c>
      <c r="AO35" s="5">
        <f t="shared" si="12"/>
        <v>0</v>
      </c>
      <c r="AP35" s="5">
        <f t="shared" si="13"/>
        <v>0</v>
      </c>
      <c r="AQ35" s="5">
        <f>IF(CreditAmort4WORST[[#This Row],[Month]]=AS$8,AO$7,0)</f>
        <v>0</v>
      </c>
      <c r="AR35" s="13">
        <f t="shared" si="14"/>
        <v>0</v>
      </c>
      <c r="AS35" s="6" t="str">
        <f t="shared" si="15"/>
        <v xml:space="preserve"> </v>
      </c>
      <c r="AT35" s="21" t="str">
        <f t="shared" si="16"/>
        <v xml:space="preserve"> </v>
      </c>
    </row>
    <row r="36" spans="3:46">
      <c r="C36" s="22">
        <f t="shared" si="1"/>
        <v>25</v>
      </c>
      <c r="D36" s="23">
        <f>IF(AND(C36&gt;='Amort. Sched.-WORST'!$I$8, C36&lt;= ($I$7+$I$8)), PMT('Amort. Sched.-WORST'!$E$8/12, 'Amort. Sched.-WORST'!$I$7, 'Amort. Sched.-WORST'!$E$7), 0)</f>
        <v>-2026.0175758541329</v>
      </c>
      <c r="E36" s="5">
        <f>IF(AND(C36&gt;='Amort. Sched.-WORST'!$I$8, C36&lt;= ($I$7+$I$8)), (IPMT($E$8/12, (C36-$I$8), $I$7, $E$7)), 0)</f>
        <v>-1702.2798921852243</v>
      </c>
      <c r="F36" s="23">
        <f>IF(AND(C36&gt;='Amort. Sched.-WORST'!$I$8, C36&lt;= ($I$7+$I$8)), (PPMT($E$8/12, (C36-$I$8), $I$7, $E$7)), 0)</f>
        <v>-323.73768366890857</v>
      </c>
      <c r="G36" s="5">
        <f>IF(MortgageAmortWORST[[#This Row],[Month]]=I$8,E$7,0)</f>
        <v>0</v>
      </c>
      <c r="H36" s="13">
        <f>IF(AND(C36&gt;='Amort. Sched.-WORST'!$I$8, C36&lt;= ($I$7+$I$8)), H35+F36, 0)</f>
        <v>255018.24614411467</v>
      </c>
      <c r="I36" s="24">
        <f>IF(AND(C36&gt;='Amort. Sched.-WORST'!$I$8, C36&lt;= ($I$7+$I$8)), E36/D36, " ")</f>
        <v>0.84020983454083487</v>
      </c>
      <c r="J36" s="25">
        <f>IF(AND(C36&gt;='Amort. Sched.-WORST'!$I$8, C36&lt;= ($I$7+$I$8)), F36/D36, " ")</f>
        <v>0.15979016545916513</v>
      </c>
      <c r="L36" s="20">
        <f t="shared" si="0"/>
        <v>25</v>
      </c>
      <c r="M36" s="5">
        <f>IF(AND(L36&gt;='Amort. Sched.-WORST'!$R$8, L36&lt;= ($R$7+$R$8)), PMT('Amort. Sched.-WORST'!$N$8/12, 'Amort. Sched.-WORST'!$R$7, 'Amort. Sched.-WORST'!$N$7), 0)</f>
        <v>0</v>
      </c>
      <c r="N36" s="5">
        <f>IF(AND(L36&gt;='Amort. Sched.-WORST'!$R$8, L36&lt;= ($R$7+$R$8)), (IPMT($N$8/12, (L36-$R$8), $R$7, $N$7)), 0)</f>
        <v>0</v>
      </c>
      <c r="O36" s="5">
        <f>IF(AND(L36&gt;='Amort. Sched.-WORST'!$R$8, L36&lt;= ($R$7+$R$8)), (PPMT($N$8/12, (L36-$R$8), $R$7, $N$7)), 0)</f>
        <v>0</v>
      </c>
      <c r="P36" s="5">
        <f>IF(CreditAmort1WORST[[#This Row],[Month]]=R$8,N$7,0)</f>
        <v>0</v>
      </c>
      <c r="Q36" s="13">
        <f>IF(AND(L36&gt;='Amort. Sched.-WORST'!$R$8, L36&lt;= ($R$7+$R$8)), Q35+O36, 0)</f>
        <v>0</v>
      </c>
      <c r="R36" s="6" t="str">
        <f>IF(AND(L36&gt;='Amort. Sched.-WORST'!$R$8, L36&lt;= ($R$7+$R$8)), N36/M36, " ")</f>
        <v xml:space="preserve"> </v>
      </c>
      <c r="S36" s="21" t="str">
        <f>IF(AND(L36&gt;='Amort. Sched.-WORST'!$R$8, L36&lt;= ($R$7+$R$8)), O36/M36, " ")</f>
        <v xml:space="preserve"> </v>
      </c>
      <c r="U36" s="20">
        <f t="shared" si="2"/>
        <v>25</v>
      </c>
      <c r="V36" s="5">
        <f>IF(AND(U36&gt;='Amort. Sched.-WORST'!$AA$8, U36&lt;= ($AA$7+$AA$8)), PMT('Amort. Sched.-WORST'!$W$8/12, 'Amort. Sched.-WORST'!$AA$7, 'Amort. Sched.-WORST'!$W$7), 0)</f>
        <v>0</v>
      </c>
      <c r="W36" s="5">
        <f>IF(AND(U36&gt;='Amort. Sched.-WORST'!$AA$8, U36&lt;= ($AA$7+$AA$8)), (IPMT($W$8/12, (U36-$AA$8), $AA$7, $W$7)), 0)</f>
        <v>0</v>
      </c>
      <c r="X36" s="5">
        <f>IF(AND(U36&gt;='Amort. Sched.-WORST'!$AA$8, U36&lt;= ($AA$7+$AA$8)), (PPMT($W$8/12, (U36-$AA$8), $AA$7, $W$7)), 0)</f>
        <v>0</v>
      </c>
      <c r="Y36" s="5">
        <f>IF(CreditAmort2WORST[[#This Row],[Month]]=AA$8,W$7,0)</f>
        <v>0</v>
      </c>
      <c r="Z36" s="13">
        <f>IF(AND(U36&gt;='Amort. Sched.-WORST'!$AA$8, U36&lt;= ($AA$7+$AA$8)), Z35+X36, 0)</f>
        <v>0</v>
      </c>
      <c r="AA36" s="6" t="str">
        <f>IF(AND(U36&gt;='Amort. Sched.-WORST'!$AA$8, U36&lt;= ($AA$7+$AA$8)), W36/V36, " ")</f>
        <v xml:space="preserve"> </v>
      </c>
      <c r="AB36" s="21" t="str">
        <f>IF(AND(U36&gt;='Amort. Sched.-WORST'!$AA$8, U36&lt;= ($AA$7+$AA$8)), X36/V36, " ")</f>
        <v xml:space="preserve"> </v>
      </c>
      <c r="AD36" s="20">
        <f t="shared" si="3"/>
        <v>25</v>
      </c>
      <c r="AE36" s="5">
        <f t="shared" si="4"/>
        <v>0</v>
      </c>
      <c r="AF36" s="5">
        <f t="shared" si="5"/>
        <v>0</v>
      </c>
      <c r="AG36" s="5">
        <f t="shared" si="6"/>
        <v>0</v>
      </c>
      <c r="AH36" s="5">
        <f>IF(CreditAmort3WORST[[#This Row],[Month]]=AJ$8,AF$7,0)</f>
        <v>0</v>
      </c>
      <c r="AI36" s="13">
        <f t="shared" si="7"/>
        <v>0</v>
      </c>
      <c r="AJ36" s="6" t="str">
        <f t="shared" si="8"/>
        <v xml:space="preserve"> </v>
      </c>
      <c r="AK36" s="21" t="str">
        <f t="shared" si="9"/>
        <v xml:space="preserve"> </v>
      </c>
      <c r="AM36" s="20">
        <f t="shared" si="10"/>
        <v>25</v>
      </c>
      <c r="AN36" s="5">
        <f t="shared" si="11"/>
        <v>0</v>
      </c>
      <c r="AO36" s="5">
        <f t="shared" si="12"/>
        <v>0</v>
      </c>
      <c r="AP36" s="5">
        <f t="shared" si="13"/>
        <v>0</v>
      </c>
      <c r="AQ36" s="5">
        <f>IF(CreditAmort4WORST[[#This Row],[Month]]=AS$8,AO$7,0)</f>
        <v>0</v>
      </c>
      <c r="AR36" s="13">
        <f t="shared" si="14"/>
        <v>0</v>
      </c>
      <c r="AS36" s="6" t="str">
        <f t="shared" si="15"/>
        <v xml:space="preserve"> </v>
      </c>
      <c r="AT36" s="21" t="str">
        <f t="shared" si="16"/>
        <v xml:space="preserve"> </v>
      </c>
    </row>
    <row r="37" spans="3:46">
      <c r="C37" s="22">
        <f t="shared" si="1"/>
        <v>26</v>
      </c>
      <c r="D37" s="23">
        <f>IF(AND(C37&gt;='Amort. Sched.-WORST'!$I$8, C37&lt;= ($I$7+$I$8)), PMT('Amort. Sched.-WORST'!$E$8/12, 'Amort. Sched.-WORST'!$I$7, 'Amort. Sched.-WORST'!$E$7), 0)</f>
        <v>-2026.0175758541329</v>
      </c>
      <c r="E37" s="5">
        <f>IF(AND(C37&gt;='Amort. Sched.-WORST'!$I$8, C37&lt;= ($I$7+$I$8)), (IPMT($E$8/12, (C37-$I$8), $I$7, $E$7)), 0)</f>
        <v>-1700.121640960765</v>
      </c>
      <c r="F37" s="23">
        <f>IF(AND(C37&gt;='Amort. Sched.-WORST'!$I$8, C37&lt;= ($I$7+$I$8)), (PPMT($E$8/12, (C37-$I$8), $I$7, $E$7)), 0)</f>
        <v>-325.89593489336795</v>
      </c>
      <c r="G37" s="5">
        <f>IF(MortgageAmortWORST[[#This Row],[Month]]=I$8,E$7,0)</f>
        <v>0</v>
      </c>
      <c r="H37" s="13">
        <f>IF(AND(C37&gt;='Amort. Sched.-WORST'!$I$8, C37&lt;= ($I$7+$I$8)), H36+F37, 0)</f>
        <v>254692.3502092213</v>
      </c>
      <c r="I37" s="24">
        <f>IF(AND(C37&gt;='Amort. Sched.-WORST'!$I$8, C37&lt;= ($I$7+$I$8)), E37/D37, " ")</f>
        <v>0.83914456677110716</v>
      </c>
      <c r="J37" s="25">
        <f>IF(AND(C37&gt;='Amort. Sched.-WORST'!$I$8, C37&lt;= ($I$7+$I$8)), F37/D37, " ")</f>
        <v>0.1608554332288929</v>
      </c>
      <c r="L37" s="20">
        <f t="shared" si="0"/>
        <v>26</v>
      </c>
      <c r="M37" s="5">
        <f>IF(AND(L37&gt;='Amort. Sched.-WORST'!$R$8, L37&lt;= ($R$7+$R$8)), PMT('Amort. Sched.-WORST'!$N$8/12, 'Amort. Sched.-WORST'!$R$7, 'Amort. Sched.-WORST'!$N$7), 0)</f>
        <v>0</v>
      </c>
      <c r="N37" s="5">
        <f>IF(AND(L37&gt;='Amort. Sched.-WORST'!$R$8, L37&lt;= ($R$7+$R$8)), (IPMT($N$8/12, (L37-$R$8), $R$7, $N$7)), 0)</f>
        <v>0</v>
      </c>
      <c r="O37" s="5">
        <f>IF(AND(L37&gt;='Amort. Sched.-WORST'!$R$8, L37&lt;= ($R$7+$R$8)), (PPMT($N$8/12, (L37-$R$8), $R$7, $N$7)), 0)</f>
        <v>0</v>
      </c>
      <c r="P37" s="5">
        <f>IF(CreditAmort1WORST[[#This Row],[Month]]=R$8,N$7,0)</f>
        <v>0</v>
      </c>
      <c r="Q37" s="13">
        <f>IF(AND(L37&gt;='Amort. Sched.-WORST'!$R$8, L37&lt;= ($R$7+$R$8)), Q36+O37, 0)</f>
        <v>0</v>
      </c>
      <c r="R37" s="6" t="str">
        <f>IF(AND(L37&gt;='Amort. Sched.-WORST'!$R$8, L37&lt;= ($R$7+$R$8)), N37/M37, " ")</f>
        <v xml:space="preserve"> </v>
      </c>
      <c r="S37" s="21" t="str">
        <f>IF(AND(L37&gt;='Amort. Sched.-WORST'!$R$8, L37&lt;= ($R$7+$R$8)), O37/M37, " ")</f>
        <v xml:space="preserve"> </v>
      </c>
      <c r="U37" s="20">
        <f t="shared" si="2"/>
        <v>26</v>
      </c>
      <c r="V37" s="5">
        <f>IF(AND(U37&gt;='Amort. Sched.-WORST'!$AA$8, U37&lt;= ($AA$7+$AA$8)), PMT('Amort. Sched.-WORST'!$W$8/12, 'Amort. Sched.-WORST'!$AA$7, 'Amort. Sched.-WORST'!$W$7), 0)</f>
        <v>0</v>
      </c>
      <c r="W37" s="5">
        <f>IF(AND(U37&gt;='Amort. Sched.-WORST'!$AA$8, U37&lt;= ($AA$7+$AA$8)), (IPMT($W$8/12, (U37-$AA$8), $AA$7, $W$7)), 0)</f>
        <v>0</v>
      </c>
      <c r="X37" s="5">
        <f>IF(AND(U37&gt;='Amort. Sched.-WORST'!$AA$8, U37&lt;= ($AA$7+$AA$8)), (PPMT($W$8/12, (U37-$AA$8), $AA$7, $W$7)), 0)</f>
        <v>0</v>
      </c>
      <c r="Y37" s="5">
        <f>IF(CreditAmort2WORST[[#This Row],[Month]]=AA$8,W$7,0)</f>
        <v>0</v>
      </c>
      <c r="Z37" s="13">
        <f>IF(AND(U37&gt;='Amort. Sched.-WORST'!$AA$8, U37&lt;= ($AA$7+$AA$8)), Z36+X37, 0)</f>
        <v>0</v>
      </c>
      <c r="AA37" s="6" t="str">
        <f>IF(AND(U37&gt;='Amort. Sched.-WORST'!$AA$8, U37&lt;= ($AA$7+$AA$8)), W37/V37, " ")</f>
        <v xml:space="preserve"> </v>
      </c>
      <c r="AB37" s="21" t="str">
        <f>IF(AND(U37&gt;='Amort. Sched.-WORST'!$AA$8, U37&lt;= ($AA$7+$AA$8)), X37/V37, " ")</f>
        <v xml:space="preserve"> </v>
      </c>
      <c r="AD37" s="20">
        <f t="shared" si="3"/>
        <v>26</v>
      </c>
      <c r="AE37" s="5">
        <f t="shared" si="4"/>
        <v>0</v>
      </c>
      <c r="AF37" s="5">
        <f t="shared" si="5"/>
        <v>0</v>
      </c>
      <c r="AG37" s="5">
        <f t="shared" si="6"/>
        <v>0</v>
      </c>
      <c r="AH37" s="5">
        <f>IF(CreditAmort3WORST[[#This Row],[Month]]=AJ$8,AF$7,0)</f>
        <v>0</v>
      </c>
      <c r="AI37" s="13">
        <f t="shared" si="7"/>
        <v>0</v>
      </c>
      <c r="AJ37" s="6" t="str">
        <f t="shared" si="8"/>
        <v xml:space="preserve"> </v>
      </c>
      <c r="AK37" s="21" t="str">
        <f t="shared" si="9"/>
        <v xml:space="preserve"> </v>
      </c>
      <c r="AM37" s="20">
        <f t="shared" si="10"/>
        <v>26</v>
      </c>
      <c r="AN37" s="5">
        <f t="shared" si="11"/>
        <v>0</v>
      </c>
      <c r="AO37" s="5">
        <f t="shared" si="12"/>
        <v>0</v>
      </c>
      <c r="AP37" s="5">
        <f t="shared" si="13"/>
        <v>0</v>
      </c>
      <c r="AQ37" s="5">
        <f>IF(CreditAmort4WORST[[#This Row],[Month]]=AS$8,AO$7,0)</f>
        <v>0</v>
      </c>
      <c r="AR37" s="13">
        <f t="shared" si="14"/>
        <v>0</v>
      </c>
      <c r="AS37" s="6" t="str">
        <f t="shared" si="15"/>
        <v xml:space="preserve"> </v>
      </c>
      <c r="AT37" s="21" t="str">
        <f t="shared" si="16"/>
        <v xml:space="preserve"> </v>
      </c>
    </row>
    <row r="38" spans="3:46">
      <c r="C38" s="22">
        <f t="shared" si="1"/>
        <v>27</v>
      </c>
      <c r="D38" s="23">
        <f>IF(AND(C38&gt;='Amort. Sched.-WORST'!$I$8, C38&lt;= ($I$7+$I$8)), PMT('Amort. Sched.-WORST'!$E$8/12, 'Amort. Sched.-WORST'!$I$7, 'Amort. Sched.-WORST'!$E$7), 0)</f>
        <v>-2026.0175758541329</v>
      </c>
      <c r="E38" s="5">
        <f>IF(AND(C38&gt;='Amort. Sched.-WORST'!$I$8, C38&lt;= ($I$7+$I$8)), (IPMT($E$8/12, (C38-$I$8), $I$7, $E$7)), 0)</f>
        <v>-1697.9490013948093</v>
      </c>
      <c r="F38" s="23">
        <f>IF(AND(C38&gt;='Amort. Sched.-WORST'!$I$8, C38&lt;= ($I$7+$I$8)), (PPMT($E$8/12, (C38-$I$8), $I$7, $E$7)), 0)</f>
        <v>-328.06857445932371</v>
      </c>
      <c r="G38" s="5">
        <f>IF(MortgageAmortWORST[[#This Row],[Month]]=I$8,E$7,0)</f>
        <v>0</v>
      </c>
      <c r="H38" s="13">
        <f>IF(AND(C38&gt;='Amort. Sched.-WORST'!$I$8, C38&lt;= ($I$7+$I$8)), H37+F38, 0)</f>
        <v>254364.28163476198</v>
      </c>
      <c r="I38" s="24">
        <f>IF(AND(C38&gt;='Amort. Sched.-WORST'!$I$8, C38&lt;= ($I$7+$I$8)), E38/D38, " ")</f>
        <v>0.83807219721624793</v>
      </c>
      <c r="J38" s="25">
        <f>IF(AND(C38&gt;='Amort. Sched.-WORST'!$I$8, C38&lt;= ($I$7+$I$8)), F38/D38, " ")</f>
        <v>0.16192780278375218</v>
      </c>
      <c r="L38" s="20">
        <f t="shared" si="0"/>
        <v>27</v>
      </c>
      <c r="M38" s="5">
        <f>IF(AND(L38&gt;='Amort. Sched.-WORST'!$R$8, L38&lt;= ($R$7+$R$8)), PMT('Amort. Sched.-WORST'!$N$8/12, 'Amort. Sched.-WORST'!$R$7, 'Amort. Sched.-WORST'!$N$7), 0)</f>
        <v>0</v>
      </c>
      <c r="N38" s="5">
        <f>IF(AND(L38&gt;='Amort. Sched.-WORST'!$R$8, L38&lt;= ($R$7+$R$8)), (IPMT($N$8/12, (L38-$R$8), $R$7, $N$7)), 0)</f>
        <v>0</v>
      </c>
      <c r="O38" s="5">
        <f>IF(AND(L38&gt;='Amort. Sched.-WORST'!$R$8, L38&lt;= ($R$7+$R$8)), (PPMT($N$8/12, (L38-$R$8), $R$7, $N$7)), 0)</f>
        <v>0</v>
      </c>
      <c r="P38" s="5">
        <f>IF(CreditAmort1WORST[[#This Row],[Month]]=R$8,N$7,0)</f>
        <v>0</v>
      </c>
      <c r="Q38" s="13">
        <f>IF(AND(L38&gt;='Amort. Sched.-WORST'!$R$8, L38&lt;= ($R$7+$R$8)), Q37+O38, 0)</f>
        <v>0</v>
      </c>
      <c r="R38" s="6" t="str">
        <f>IF(AND(L38&gt;='Amort. Sched.-WORST'!$R$8, L38&lt;= ($R$7+$R$8)), N38/M38, " ")</f>
        <v xml:space="preserve"> </v>
      </c>
      <c r="S38" s="21" t="str">
        <f>IF(AND(L38&gt;='Amort. Sched.-WORST'!$R$8, L38&lt;= ($R$7+$R$8)), O38/M38, " ")</f>
        <v xml:space="preserve"> </v>
      </c>
      <c r="U38" s="20">
        <f t="shared" si="2"/>
        <v>27</v>
      </c>
      <c r="V38" s="5">
        <f>IF(AND(U38&gt;='Amort. Sched.-WORST'!$AA$8, U38&lt;= ($AA$7+$AA$8)), PMT('Amort. Sched.-WORST'!$W$8/12, 'Amort. Sched.-WORST'!$AA$7, 'Amort. Sched.-WORST'!$W$7), 0)</f>
        <v>0</v>
      </c>
      <c r="W38" s="5">
        <f>IF(AND(U38&gt;='Amort. Sched.-WORST'!$AA$8, U38&lt;= ($AA$7+$AA$8)), (IPMT($W$8/12, (U38-$AA$8), $AA$7, $W$7)), 0)</f>
        <v>0</v>
      </c>
      <c r="X38" s="5">
        <f>IF(AND(U38&gt;='Amort. Sched.-WORST'!$AA$8, U38&lt;= ($AA$7+$AA$8)), (PPMT($W$8/12, (U38-$AA$8), $AA$7, $W$7)), 0)</f>
        <v>0</v>
      </c>
      <c r="Y38" s="5">
        <f>IF(CreditAmort2WORST[[#This Row],[Month]]=AA$8,W$7,0)</f>
        <v>0</v>
      </c>
      <c r="Z38" s="13">
        <f>IF(AND(U38&gt;='Amort. Sched.-WORST'!$AA$8, U38&lt;= ($AA$7+$AA$8)), Z37+X38, 0)</f>
        <v>0</v>
      </c>
      <c r="AA38" s="6" t="str">
        <f>IF(AND(U38&gt;='Amort. Sched.-WORST'!$AA$8, U38&lt;= ($AA$7+$AA$8)), W38/V38, " ")</f>
        <v xml:space="preserve"> </v>
      </c>
      <c r="AB38" s="21" t="str">
        <f>IF(AND(U38&gt;='Amort. Sched.-WORST'!$AA$8, U38&lt;= ($AA$7+$AA$8)), X38/V38, " ")</f>
        <v xml:space="preserve"> </v>
      </c>
      <c r="AD38" s="20">
        <f t="shared" si="3"/>
        <v>27</v>
      </c>
      <c r="AE38" s="5">
        <f t="shared" si="4"/>
        <v>0</v>
      </c>
      <c r="AF38" s="5">
        <f t="shared" si="5"/>
        <v>0</v>
      </c>
      <c r="AG38" s="5">
        <f t="shared" si="6"/>
        <v>0</v>
      </c>
      <c r="AH38" s="5">
        <f>IF(CreditAmort3WORST[[#This Row],[Month]]=AJ$8,AF$7,0)</f>
        <v>0</v>
      </c>
      <c r="AI38" s="13">
        <f t="shared" si="7"/>
        <v>0</v>
      </c>
      <c r="AJ38" s="6" t="str">
        <f t="shared" si="8"/>
        <v xml:space="preserve"> </v>
      </c>
      <c r="AK38" s="21" t="str">
        <f t="shared" si="9"/>
        <v xml:space="preserve"> </v>
      </c>
      <c r="AM38" s="20">
        <f t="shared" si="10"/>
        <v>27</v>
      </c>
      <c r="AN38" s="5">
        <f t="shared" si="11"/>
        <v>0</v>
      </c>
      <c r="AO38" s="5">
        <f t="shared" si="12"/>
        <v>0</v>
      </c>
      <c r="AP38" s="5">
        <f t="shared" si="13"/>
        <v>0</v>
      </c>
      <c r="AQ38" s="5">
        <f>IF(CreditAmort4WORST[[#This Row],[Month]]=AS$8,AO$7,0)</f>
        <v>0</v>
      </c>
      <c r="AR38" s="13">
        <f t="shared" si="14"/>
        <v>0</v>
      </c>
      <c r="AS38" s="6" t="str">
        <f t="shared" si="15"/>
        <v xml:space="preserve"> </v>
      </c>
      <c r="AT38" s="21" t="str">
        <f t="shared" si="16"/>
        <v xml:space="preserve"> </v>
      </c>
    </row>
    <row r="39" spans="3:46">
      <c r="C39" s="22">
        <f t="shared" si="1"/>
        <v>28</v>
      </c>
      <c r="D39" s="23">
        <f>IF(AND(C39&gt;='Amort. Sched.-WORST'!$I$8, C39&lt;= ($I$7+$I$8)), PMT('Amort. Sched.-WORST'!$E$8/12, 'Amort. Sched.-WORST'!$I$7, 'Amort. Sched.-WORST'!$E$7), 0)</f>
        <v>-2026.0175758541329</v>
      </c>
      <c r="E39" s="5">
        <f>IF(AND(C39&gt;='Amort. Sched.-WORST'!$I$8, C39&lt;= ($I$7+$I$8)), (IPMT($E$8/12, (C39-$I$8), $I$7, $E$7)), 0)</f>
        <v>-1695.7618775650803</v>
      </c>
      <c r="F39" s="23">
        <f>IF(AND(C39&gt;='Amort. Sched.-WORST'!$I$8, C39&lt;= ($I$7+$I$8)), (PPMT($E$8/12, (C39-$I$8), $I$7, $E$7)), 0)</f>
        <v>-330.25569828905253</v>
      </c>
      <c r="G39" s="5">
        <f>IF(MortgageAmortWORST[[#This Row],[Month]]=I$8,E$7,0)</f>
        <v>0</v>
      </c>
      <c r="H39" s="13">
        <f>IF(AND(C39&gt;='Amort. Sched.-WORST'!$I$8, C39&lt;= ($I$7+$I$8)), H38+F39, 0)</f>
        <v>254034.02593647293</v>
      </c>
      <c r="I39" s="24">
        <f>IF(AND(C39&gt;='Amort. Sched.-WORST'!$I$8, C39&lt;= ($I$7+$I$8)), E39/D39, " ")</f>
        <v>0.83699267853102277</v>
      </c>
      <c r="J39" s="25">
        <f>IF(AND(C39&gt;='Amort. Sched.-WORST'!$I$8, C39&lt;= ($I$7+$I$8)), F39/D39, " ")</f>
        <v>0.1630073214689772</v>
      </c>
      <c r="L39" s="20">
        <f t="shared" si="0"/>
        <v>28</v>
      </c>
      <c r="M39" s="5">
        <f>IF(AND(L39&gt;='Amort. Sched.-WORST'!$R$8, L39&lt;= ($R$7+$R$8)), PMT('Amort. Sched.-WORST'!$N$8/12, 'Amort. Sched.-WORST'!$R$7, 'Amort. Sched.-WORST'!$N$7), 0)</f>
        <v>0</v>
      </c>
      <c r="N39" s="5">
        <f>IF(AND(L39&gt;='Amort. Sched.-WORST'!$R$8, L39&lt;= ($R$7+$R$8)), (IPMT($N$8/12, (L39-$R$8), $R$7, $N$7)), 0)</f>
        <v>0</v>
      </c>
      <c r="O39" s="5">
        <f>IF(AND(L39&gt;='Amort. Sched.-WORST'!$R$8, L39&lt;= ($R$7+$R$8)), (PPMT($N$8/12, (L39-$R$8), $R$7, $N$7)), 0)</f>
        <v>0</v>
      </c>
      <c r="P39" s="5">
        <f>IF(CreditAmort1WORST[[#This Row],[Month]]=R$8,N$7,0)</f>
        <v>0</v>
      </c>
      <c r="Q39" s="13">
        <f>IF(AND(L39&gt;='Amort. Sched.-WORST'!$R$8, L39&lt;= ($R$7+$R$8)), Q38+O39, 0)</f>
        <v>0</v>
      </c>
      <c r="R39" s="6" t="str">
        <f>IF(AND(L39&gt;='Amort. Sched.-WORST'!$R$8, L39&lt;= ($R$7+$R$8)), N39/M39, " ")</f>
        <v xml:space="preserve"> </v>
      </c>
      <c r="S39" s="21" t="str">
        <f>IF(AND(L39&gt;='Amort. Sched.-WORST'!$R$8, L39&lt;= ($R$7+$R$8)), O39/M39, " ")</f>
        <v xml:space="preserve"> </v>
      </c>
      <c r="U39" s="20">
        <f t="shared" si="2"/>
        <v>28</v>
      </c>
      <c r="V39" s="5">
        <f>IF(AND(U39&gt;='Amort. Sched.-WORST'!$AA$8, U39&lt;= ($AA$7+$AA$8)), PMT('Amort. Sched.-WORST'!$W$8/12, 'Amort. Sched.-WORST'!$AA$7, 'Amort. Sched.-WORST'!$W$7), 0)</f>
        <v>0</v>
      </c>
      <c r="W39" s="5">
        <f>IF(AND(U39&gt;='Amort. Sched.-WORST'!$AA$8, U39&lt;= ($AA$7+$AA$8)), (IPMT($W$8/12, (U39-$AA$8), $AA$7, $W$7)), 0)</f>
        <v>0</v>
      </c>
      <c r="X39" s="5">
        <f>IF(AND(U39&gt;='Amort. Sched.-WORST'!$AA$8, U39&lt;= ($AA$7+$AA$8)), (PPMT($W$8/12, (U39-$AA$8), $AA$7, $W$7)), 0)</f>
        <v>0</v>
      </c>
      <c r="Y39" s="5">
        <f>IF(CreditAmort2WORST[[#This Row],[Month]]=AA$8,W$7,0)</f>
        <v>0</v>
      </c>
      <c r="Z39" s="13">
        <f>IF(AND(U39&gt;='Amort. Sched.-WORST'!$AA$8, U39&lt;= ($AA$7+$AA$8)), Z38+X39, 0)</f>
        <v>0</v>
      </c>
      <c r="AA39" s="6" t="str">
        <f>IF(AND(U39&gt;='Amort. Sched.-WORST'!$AA$8, U39&lt;= ($AA$7+$AA$8)), W39/V39, " ")</f>
        <v xml:space="preserve"> </v>
      </c>
      <c r="AB39" s="21" t="str">
        <f>IF(AND(U39&gt;='Amort. Sched.-WORST'!$AA$8, U39&lt;= ($AA$7+$AA$8)), X39/V39, " ")</f>
        <v xml:space="preserve"> </v>
      </c>
      <c r="AD39" s="20">
        <f t="shared" si="3"/>
        <v>28</v>
      </c>
      <c r="AE39" s="5">
        <f t="shared" si="4"/>
        <v>0</v>
      </c>
      <c r="AF39" s="5">
        <f t="shared" si="5"/>
        <v>0</v>
      </c>
      <c r="AG39" s="5">
        <f t="shared" si="6"/>
        <v>0</v>
      </c>
      <c r="AH39" s="5">
        <f>IF(CreditAmort3WORST[[#This Row],[Month]]=AJ$8,AF$7,0)</f>
        <v>0</v>
      </c>
      <c r="AI39" s="13">
        <f t="shared" si="7"/>
        <v>0</v>
      </c>
      <c r="AJ39" s="6" t="str">
        <f t="shared" si="8"/>
        <v xml:space="preserve"> </v>
      </c>
      <c r="AK39" s="21" t="str">
        <f t="shared" si="9"/>
        <v xml:space="preserve"> </v>
      </c>
      <c r="AM39" s="20">
        <f t="shared" si="10"/>
        <v>28</v>
      </c>
      <c r="AN39" s="5">
        <f t="shared" si="11"/>
        <v>0</v>
      </c>
      <c r="AO39" s="5">
        <f t="shared" si="12"/>
        <v>0</v>
      </c>
      <c r="AP39" s="5">
        <f t="shared" si="13"/>
        <v>0</v>
      </c>
      <c r="AQ39" s="5">
        <f>IF(CreditAmort4WORST[[#This Row],[Month]]=AS$8,AO$7,0)</f>
        <v>0</v>
      </c>
      <c r="AR39" s="13">
        <f t="shared" si="14"/>
        <v>0</v>
      </c>
      <c r="AS39" s="6" t="str">
        <f t="shared" si="15"/>
        <v xml:space="preserve"> </v>
      </c>
      <c r="AT39" s="21" t="str">
        <f t="shared" si="16"/>
        <v xml:space="preserve"> </v>
      </c>
    </row>
    <row r="40" spans="3:46">
      <c r="C40" s="22">
        <f t="shared" si="1"/>
        <v>29</v>
      </c>
      <c r="D40" s="23">
        <f>IF(AND(C40&gt;='Amort. Sched.-WORST'!$I$8, C40&lt;= ($I$7+$I$8)), PMT('Amort. Sched.-WORST'!$E$8/12, 'Amort. Sched.-WORST'!$I$7, 'Amort. Sched.-WORST'!$E$7), 0)</f>
        <v>-2026.0175758541329</v>
      </c>
      <c r="E40" s="5">
        <f>IF(AND(C40&gt;='Amort. Sched.-WORST'!$I$8, C40&lt;= ($I$7+$I$8)), (IPMT($E$8/12, (C40-$I$8), $I$7, $E$7)), 0)</f>
        <v>-1693.56017290982</v>
      </c>
      <c r="F40" s="23">
        <f>IF(AND(C40&gt;='Amort. Sched.-WORST'!$I$8, C40&lt;= ($I$7+$I$8)), (PPMT($E$8/12, (C40-$I$8), $I$7, $E$7)), 0)</f>
        <v>-332.457402944313</v>
      </c>
      <c r="G40" s="5">
        <f>IF(MortgageAmortWORST[[#This Row],[Month]]=I$8,E$7,0)</f>
        <v>0</v>
      </c>
      <c r="H40" s="13">
        <f>IF(AND(C40&gt;='Amort. Sched.-WORST'!$I$8, C40&lt;= ($I$7+$I$8)), H39+F40, 0)</f>
        <v>253701.56853352863</v>
      </c>
      <c r="I40" s="24">
        <f>IF(AND(C40&gt;='Amort. Sched.-WORST'!$I$8, C40&lt;= ($I$7+$I$8)), E40/D40, " ")</f>
        <v>0.83590596305456299</v>
      </c>
      <c r="J40" s="25">
        <f>IF(AND(C40&gt;='Amort. Sched.-WORST'!$I$8, C40&lt;= ($I$7+$I$8)), F40/D40, " ")</f>
        <v>0.16409403694543709</v>
      </c>
      <c r="L40" s="20">
        <f t="shared" si="0"/>
        <v>29</v>
      </c>
      <c r="M40" s="5">
        <f>IF(AND(L40&gt;='Amort. Sched.-WORST'!$R$8, L40&lt;= ($R$7+$R$8)), PMT('Amort. Sched.-WORST'!$N$8/12, 'Amort. Sched.-WORST'!$R$7, 'Amort. Sched.-WORST'!$N$7), 0)</f>
        <v>0</v>
      </c>
      <c r="N40" s="5">
        <f>IF(AND(L40&gt;='Amort. Sched.-WORST'!$R$8, L40&lt;= ($R$7+$R$8)), (IPMT($N$8/12, (L40-$R$8), $R$7, $N$7)), 0)</f>
        <v>0</v>
      </c>
      <c r="O40" s="5">
        <f>IF(AND(L40&gt;='Amort. Sched.-WORST'!$R$8, L40&lt;= ($R$7+$R$8)), (PPMT($N$8/12, (L40-$R$8), $R$7, $N$7)), 0)</f>
        <v>0</v>
      </c>
      <c r="P40" s="5">
        <f>IF(CreditAmort1WORST[[#This Row],[Month]]=R$8,N$7,0)</f>
        <v>0</v>
      </c>
      <c r="Q40" s="13">
        <f>IF(AND(L40&gt;='Amort. Sched.-WORST'!$R$8, L40&lt;= ($R$7+$R$8)), Q39+O40, 0)</f>
        <v>0</v>
      </c>
      <c r="R40" s="6" t="str">
        <f>IF(AND(L40&gt;='Amort. Sched.-WORST'!$R$8, L40&lt;= ($R$7+$R$8)), N40/M40, " ")</f>
        <v xml:space="preserve"> </v>
      </c>
      <c r="S40" s="21" t="str">
        <f>IF(AND(L40&gt;='Amort. Sched.-WORST'!$R$8, L40&lt;= ($R$7+$R$8)), O40/M40, " ")</f>
        <v xml:space="preserve"> </v>
      </c>
      <c r="U40" s="20">
        <f t="shared" si="2"/>
        <v>29</v>
      </c>
      <c r="V40" s="5">
        <f>IF(AND(U40&gt;='Amort. Sched.-WORST'!$AA$8, U40&lt;= ($AA$7+$AA$8)), PMT('Amort. Sched.-WORST'!$W$8/12, 'Amort. Sched.-WORST'!$AA$7, 'Amort. Sched.-WORST'!$W$7), 0)</f>
        <v>0</v>
      </c>
      <c r="W40" s="5">
        <f>IF(AND(U40&gt;='Amort. Sched.-WORST'!$AA$8, U40&lt;= ($AA$7+$AA$8)), (IPMT($W$8/12, (U40-$AA$8), $AA$7, $W$7)), 0)</f>
        <v>0</v>
      </c>
      <c r="X40" s="5">
        <f>IF(AND(U40&gt;='Amort. Sched.-WORST'!$AA$8, U40&lt;= ($AA$7+$AA$8)), (PPMT($W$8/12, (U40-$AA$8), $AA$7, $W$7)), 0)</f>
        <v>0</v>
      </c>
      <c r="Y40" s="5">
        <f>IF(CreditAmort2WORST[[#This Row],[Month]]=AA$8,W$7,0)</f>
        <v>0</v>
      </c>
      <c r="Z40" s="13">
        <f>IF(AND(U40&gt;='Amort. Sched.-WORST'!$AA$8, U40&lt;= ($AA$7+$AA$8)), Z39+X40, 0)</f>
        <v>0</v>
      </c>
      <c r="AA40" s="6" t="str">
        <f>IF(AND(U40&gt;='Amort. Sched.-WORST'!$AA$8, U40&lt;= ($AA$7+$AA$8)), W40/V40, " ")</f>
        <v xml:space="preserve"> </v>
      </c>
      <c r="AB40" s="21" t="str">
        <f>IF(AND(U40&gt;='Amort. Sched.-WORST'!$AA$8, U40&lt;= ($AA$7+$AA$8)), X40/V40, " ")</f>
        <v xml:space="preserve"> </v>
      </c>
      <c r="AD40" s="20">
        <f t="shared" si="3"/>
        <v>29</v>
      </c>
      <c r="AE40" s="5">
        <f t="shared" si="4"/>
        <v>0</v>
      </c>
      <c r="AF40" s="5">
        <f t="shared" si="5"/>
        <v>0</v>
      </c>
      <c r="AG40" s="5">
        <f t="shared" si="6"/>
        <v>0</v>
      </c>
      <c r="AH40" s="5">
        <f>IF(CreditAmort3WORST[[#This Row],[Month]]=AJ$8,AF$7,0)</f>
        <v>0</v>
      </c>
      <c r="AI40" s="13">
        <f t="shared" si="7"/>
        <v>0</v>
      </c>
      <c r="AJ40" s="6" t="str">
        <f t="shared" si="8"/>
        <v xml:space="preserve"> </v>
      </c>
      <c r="AK40" s="21" t="str">
        <f t="shared" si="9"/>
        <v xml:space="preserve"> </v>
      </c>
      <c r="AM40" s="20">
        <f t="shared" si="10"/>
        <v>29</v>
      </c>
      <c r="AN40" s="5">
        <f t="shared" si="11"/>
        <v>0</v>
      </c>
      <c r="AO40" s="5">
        <f t="shared" si="12"/>
        <v>0</v>
      </c>
      <c r="AP40" s="5">
        <f t="shared" si="13"/>
        <v>0</v>
      </c>
      <c r="AQ40" s="5">
        <f>IF(CreditAmort4WORST[[#This Row],[Month]]=AS$8,AO$7,0)</f>
        <v>0</v>
      </c>
      <c r="AR40" s="13">
        <f t="shared" si="14"/>
        <v>0</v>
      </c>
      <c r="AS40" s="6" t="str">
        <f t="shared" si="15"/>
        <v xml:space="preserve"> </v>
      </c>
      <c r="AT40" s="21" t="str">
        <f t="shared" si="16"/>
        <v xml:space="preserve"> </v>
      </c>
    </row>
    <row r="41" spans="3:46">
      <c r="C41" s="22">
        <f t="shared" si="1"/>
        <v>30</v>
      </c>
      <c r="D41" s="23">
        <f>IF(AND(C41&gt;='Amort. Sched.-WORST'!$I$8, C41&lt;= ($I$7+$I$8)), PMT('Amort. Sched.-WORST'!$E$8/12, 'Amort. Sched.-WORST'!$I$7, 'Amort. Sched.-WORST'!$E$7), 0)</f>
        <v>-2026.0175758541329</v>
      </c>
      <c r="E41" s="5">
        <f>IF(AND(C41&gt;='Amort. Sched.-WORST'!$I$8, C41&lt;= ($I$7+$I$8)), (IPMT($E$8/12, (C41-$I$8), $I$7, $E$7)), 0)</f>
        <v>-1691.3437902235244</v>
      </c>
      <c r="F41" s="23">
        <f>IF(AND(C41&gt;='Amort. Sched.-WORST'!$I$8, C41&lt;= ($I$7+$I$8)), (PPMT($E$8/12, (C41-$I$8), $I$7, $E$7)), 0)</f>
        <v>-334.67378563060839</v>
      </c>
      <c r="G41" s="5">
        <f>IF(MortgageAmortWORST[[#This Row],[Month]]=I$8,E$7,0)</f>
        <v>0</v>
      </c>
      <c r="H41" s="13">
        <f>IF(AND(C41&gt;='Amort. Sched.-WORST'!$I$8, C41&lt;= ($I$7+$I$8)), H40+F41, 0)</f>
        <v>253366.89474789801</v>
      </c>
      <c r="I41" s="24">
        <f>IF(AND(C41&gt;='Amort. Sched.-WORST'!$I$8, C41&lt;= ($I$7+$I$8)), E41/D41, " ")</f>
        <v>0.83481200280825996</v>
      </c>
      <c r="J41" s="25">
        <f>IF(AND(C41&gt;='Amort. Sched.-WORST'!$I$8, C41&lt;= ($I$7+$I$8)), F41/D41, " ")</f>
        <v>0.16518799719173999</v>
      </c>
      <c r="L41" s="20">
        <f t="shared" si="0"/>
        <v>30</v>
      </c>
      <c r="M41" s="5">
        <f>IF(AND(L41&gt;='Amort. Sched.-WORST'!$R$8, L41&lt;= ($R$7+$R$8)), PMT('Amort. Sched.-WORST'!$N$8/12, 'Amort. Sched.-WORST'!$R$7, 'Amort. Sched.-WORST'!$N$7), 0)</f>
        <v>0</v>
      </c>
      <c r="N41" s="5">
        <f>IF(AND(L41&gt;='Amort. Sched.-WORST'!$R$8, L41&lt;= ($R$7+$R$8)), (IPMT($N$8/12, (L41-$R$8), $R$7, $N$7)), 0)</f>
        <v>0</v>
      </c>
      <c r="O41" s="5">
        <f>IF(AND(L41&gt;='Amort. Sched.-WORST'!$R$8, L41&lt;= ($R$7+$R$8)), (PPMT($N$8/12, (L41-$R$8), $R$7, $N$7)), 0)</f>
        <v>0</v>
      </c>
      <c r="P41" s="5">
        <f>IF(CreditAmort1WORST[[#This Row],[Month]]=R$8,N$7,0)</f>
        <v>0</v>
      </c>
      <c r="Q41" s="13">
        <f>IF(AND(L41&gt;='Amort. Sched.-WORST'!$R$8, L41&lt;= ($R$7+$R$8)), Q40+O41, 0)</f>
        <v>0</v>
      </c>
      <c r="R41" s="6" t="str">
        <f>IF(AND(L41&gt;='Amort. Sched.-WORST'!$R$8, L41&lt;= ($R$7+$R$8)), N41/M41, " ")</f>
        <v xml:space="preserve"> </v>
      </c>
      <c r="S41" s="21" t="str">
        <f>IF(AND(L41&gt;='Amort. Sched.-WORST'!$R$8, L41&lt;= ($R$7+$R$8)), O41/M41, " ")</f>
        <v xml:space="preserve"> </v>
      </c>
      <c r="U41" s="20">
        <f t="shared" si="2"/>
        <v>30</v>
      </c>
      <c r="V41" s="5">
        <f>IF(AND(U41&gt;='Amort. Sched.-WORST'!$AA$8, U41&lt;= ($AA$7+$AA$8)), PMT('Amort. Sched.-WORST'!$W$8/12, 'Amort. Sched.-WORST'!$AA$7, 'Amort. Sched.-WORST'!$W$7), 0)</f>
        <v>0</v>
      </c>
      <c r="W41" s="5">
        <f>IF(AND(U41&gt;='Amort. Sched.-WORST'!$AA$8, U41&lt;= ($AA$7+$AA$8)), (IPMT($W$8/12, (U41-$AA$8), $AA$7, $W$7)), 0)</f>
        <v>0</v>
      </c>
      <c r="X41" s="5">
        <f>IF(AND(U41&gt;='Amort. Sched.-WORST'!$AA$8, U41&lt;= ($AA$7+$AA$8)), (PPMT($W$8/12, (U41-$AA$8), $AA$7, $W$7)), 0)</f>
        <v>0</v>
      </c>
      <c r="Y41" s="5">
        <f>IF(CreditAmort2WORST[[#This Row],[Month]]=AA$8,W$7,0)</f>
        <v>0</v>
      </c>
      <c r="Z41" s="13">
        <f>IF(AND(U41&gt;='Amort. Sched.-WORST'!$AA$8, U41&lt;= ($AA$7+$AA$8)), Z40+X41, 0)</f>
        <v>0</v>
      </c>
      <c r="AA41" s="6" t="str">
        <f>IF(AND(U41&gt;='Amort. Sched.-WORST'!$AA$8, U41&lt;= ($AA$7+$AA$8)), W41/V41, " ")</f>
        <v xml:space="preserve"> </v>
      </c>
      <c r="AB41" s="21" t="str">
        <f>IF(AND(U41&gt;='Amort. Sched.-WORST'!$AA$8, U41&lt;= ($AA$7+$AA$8)), X41/V41, " ")</f>
        <v xml:space="preserve"> </v>
      </c>
      <c r="AD41" s="20">
        <f t="shared" si="3"/>
        <v>30</v>
      </c>
      <c r="AE41" s="5">
        <f t="shared" si="4"/>
        <v>0</v>
      </c>
      <c r="AF41" s="5">
        <f t="shared" si="5"/>
        <v>0</v>
      </c>
      <c r="AG41" s="5">
        <f t="shared" si="6"/>
        <v>0</v>
      </c>
      <c r="AH41" s="5">
        <f>IF(CreditAmort3WORST[[#This Row],[Month]]=AJ$8,AF$7,0)</f>
        <v>0</v>
      </c>
      <c r="AI41" s="13">
        <f t="shared" si="7"/>
        <v>0</v>
      </c>
      <c r="AJ41" s="6" t="str">
        <f t="shared" si="8"/>
        <v xml:space="preserve"> </v>
      </c>
      <c r="AK41" s="21" t="str">
        <f t="shared" si="9"/>
        <v xml:space="preserve"> </v>
      </c>
      <c r="AM41" s="20">
        <f t="shared" si="10"/>
        <v>30</v>
      </c>
      <c r="AN41" s="5">
        <f t="shared" si="11"/>
        <v>0</v>
      </c>
      <c r="AO41" s="5">
        <f t="shared" si="12"/>
        <v>0</v>
      </c>
      <c r="AP41" s="5">
        <f t="shared" si="13"/>
        <v>0</v>
      </c>
      <c r="AQ41" s="5">
        <f>IF(CreditAmort4WORST[[#This Row],[Month]]=AS$8,AO$7,0)</f>
        <v>0</v>
      </c>
      <c r="AR41" s="13">
        <f t="shared" si="14"/>
        <v>0</v>
      </c>
      <c r="AS41" s="6" t="str">
        <f t="shared" si="15"/>
        <v xml:space="preserve"> </v>
      </c>
      <c r="AT41" s="21" t="str">
        <f t="shared" si="16"/>
        <v xml:space="preserve"> </v>
      </c>
    </row>
    <row r="42" spans="3:46">
      <c r="C42" s="22">
        <f t="shared" si="1"/>
        <v>31</v>
      </c>
      <c r="D42" s="23">
        <f>IF(AND(C42&gt;='Amort. Sched.-WORST'!$I$8, C42&lt;= ($I$7+$I$8)), PMT('Amort. Sched.-WORST'!$E$8/12, 'Amort. Sched.-WORST'!$I$7, 'Amort. Sched.-WORST'!$E$7), 0)</f>
        <v>-2026.0175758541329</v>
      </c>
      <c r="E42" s="5">
        <f>IF(AND(C42&gt;='Amort. Sched.-WORST'!$I$8, C42&lt;= ($I$7+$I$8)), (IPMT($E$8/12, (C42-$I$8), $I$7, $E$7)), 0)</f>
        <v>-1689.1126316526538</v>
      </c>
      <c r="F42" s="23">
        <f>IF(AND(C42&gt;='Amort. Sched.-WORST'!$I$8, C42&lt;= ($I$7+$I$8)), (PPMT($E$8/12, (C42-$I$8), $I$7, $E$7)), 0)</f>
        <v>-336.90494420147905</v>
      </c>
      <c r="G42" s="5">
        <f>IF(MortgageAmortWORST[[#This Row],[Month]]=I$8,E$7,0)</f>
        <v>0</v>
      </c>
      <c r="H42" s="13">
        <f>IF(AND(C42&gt;='Amort. Sched.-WORST'!$I$8, C42&lt;= ($I$7+$I$8)), H41+F42, 0)</f>
        <v>253029.98980369655</v>
      </c>
      <c r="I42" s="24">
        <f>IF(AND(C42&gt;='Amort. Sched.-WORST'!$I$8, C42&lt;= ($I$7+$I$8)), E42/D42, " ")</f>
        <v>0.83371074949364843</v>
      </c>
      <c r="J42" s="25">
        <f>IF(AND(C42&gt;='Amort. Sched.-WORST'!$I$8, C42&lt;= ($I$7+$I$8)), F42/D42, " ")</f>
        <v>0.16628925050635157</v>
      </c>
      <c r="L42" s="20">
        <f t="shared" si="0"/>
        <v>31</v>
      </c>
      <c r="M42" s="5">
        <f>IF(AND(L42&gt;='Amort. Sched.-WORST'!$R$8, L42&lt;= ($R$7+$R$8)), PMT('Amort. Sched.-WORST'!$N$8/12, 'Amort. Sched.-WORST'!$R$7, 'Amort. Sched.-WORST'!$N$7), 0)</f>
        <v>0</v>
      </c>
      <c r="N42" s="5">
        <f>IF(AND(L42&gt;='Amort. Sched.-WORST'!$R$8, L42&lt;= ($R$7+$R$8)), (IPMT($N$8/12, (L42-$R$8), $R$7, $N$7)), 0)</f>
        <v>0</v>
      </c>
      <c r="O42" s="5">
        <f>IF(AND(L42&gt;='Amort. Sched.-WORST'!$R$8, L42&lt;= ($R$7+$R$8)), (PPMT($N$8/12, (L42-$R$8), $R$7, $N$7)), 0)</f>
        <v>0</v>
      </c>
      <c r="P42" s="5">
        <f>IF(CreditAmort1WORST[[#This Row],[Month]]=R$8,N$7,0)</f>
        <v>0</v>
      </c>
      <c r="Q42" s="13">
        <f>IF(AND(L42&gt;='Amort. Sched.-WORST'!$R$8, L42&lt;= ($R$7+$R$8)), Q41+O42, 0)</f>
        <v>0</v>
      </c>
      <c r="R42" s="6" t="str">
        <f>IF(AND(L42&gt;='Amort. Sched.-WORST'!$R$8, L42&lt;= ($R$7+$R$8)), N42/M42, " ")</f>
        <v xml:space="preserve"> </v>
      </c>
      <c r="S42" s="21" t="str">
        <f>IF(AND(L42&gt;='Amort. Sched.-WORST'!$R$8, L42&lt;= ($R$7+$R$8)), O42/M42, " ")</f>
        <v xml:space="preserve"> </v>
      </c>
      <c r="U42" s="20">
        <f t="shared" si="2"/>
        <v>31</v>
      </c>
      <c r="V42" s="5">
        <f>IF(AND(U42&gt;='Amort. Sched.-WORST'!$AA$8, U42&lt;= ($AA$7+$AA$8)), PMT('Amort. Sched.-WORST'!$W$8/12, 'Amort. Sched.-WORST'!$AA$7, 'Amort. Sched.-WORST'!$W$7), 0)</f>
        <v>0</v>
      </c>
      <c r="W42" s="5">
        <f>IF(AND(U42&gt;='Amort. Sched.-WORST'!$AA$8, U42&lt;= ($AA$7+$AA$8)), (IPMT($W$8/12, (U42-$AA$8), $AA$7, $W$7)), 0)</f>
        <v>0</v>
      </c>
      <c r="X42" s="5">
        <f>IF(AND(U42&gt;='Amort. Sched.-WORST'!$AA$8, U42&lt;= ($AA$7+$AA$8)), (PPMT($W$8/12, (U42-$AA$8), $AA$7, $W$7)), 0)</f>
        <v>0</v>
      </c>
      <c r="Y42" s="5">
        <f>IF(CreditAmort2WORST[[#This Row],[Month]]=AA$8,W$7,0)</f>
        <v>0</v>
      </c>
      <c r="Z42" s="13">
        <f>IF(AND(U42&gt;='Amort. Sched.-WORST'!$AA$8, U42&lt;= ($AA$7+$AA$8)), Z41+X42, 0)</f>
        <v>0</v>
      </c>
      <c r="AA42" s="6" t="str">
        <f>IF(AND(U42&gt;='Amort. Sched.-WORST'!$AA$8, U42&lt;= ($AA$7+$AA$8)), W42/V42, " ")</f>
        <v xml:space="preserve"> </v>
      </c>
      <c r="AB42" s="21" t="str">
        <f>IF(AND(U42&gt;='Amort. Sched.-WORST'!$AA$8, U42&lt;= ($AA$7+$AA$8)), X42/V42, " ")</f>
        <v xml:space="preserve"> </v>
      </c>
      <c r="AD42" s="20">
        <f t="shared" si="3"/>
        <v>31</v>
      </c>
      <c r="AE42" s="5">
        <f t="shared" si="4"/>
        <v>0</v>
      </c>
      <c r="AF42" s="5">
        <f t="shared" si="5"/>
        <v>0</v>
      </c>
      <c r="AG42" s="5">
        <f t="shared" si="6"/>
        <v>0</v>
      </c>
      <c r="AH42" s="5">
        <f>IF(CreditAmort3WORST[[#This Row],[Month]]=AJ$8,AF$7,0)</f>
        <v>0</v>
      </c>
      <c r="AI42" s="13">
        <f t="shared" si="7"/>
        <v>0</v>
      </c>
      <c r="AJ42" s="6" t="str">
        <f t="shared" si="8"/>
        <v xml:space="preserve"> </v>
      </c>
      <c r="AK42" s="21" t="str">
        <f t="shared" si="9"/>
        <v xml:space="preserve"> </v>
      </c>
      <c r="AM42" s="20">
        <f t="shared" si="10"/>
        <v>31</v>
      </c>
      <c r="AN42" s="5">
        <f t="shared" si="11"/>
        <v>0</v>
      </c>
      <c r="AO42" s="5">
        <f t="shared" si="12"/>
        <v>0</v>
      </c>
      <c r="AP42" s="5">
        <f t="shared" si="13"/>
        <v>0</v>
      </c>
      <c r="AQ42" s="5">
        <f>IF(CreditAmort4WORST[[#This Row],[Month]]=AS$8,AO$7,0)</f>
        <v>0</v>
      </c>
      <c r="AR42" s="13">
        <f t="shared" si="14"/>
        <v>0</v>
      </c>
      <c r="AS42" s="6" t="str">
        <f t="shared" si="15"/>
        <v xml:space="preserve"> </v>
      </c>
      <c r="AT42" s="21" t="str">
        <f t="shared" si="16"/>
        <v xml:space="preserve"> </v>
      </c>
    </row>
    <row r="43" spans="3:46">
      <c r="C43" s="22">
        <f t="shared" si="1"/>
        <v>32</v>
      </c>
      <c r="D43" s="23">
        <f>IF(AND(C43&gt;='Amort. Sched.-WORST'!$I$8, C43&lt;= ($I$7+$I$8)), PMT('Amort. Sched.-WORST'!$E$8/12, 'Amort. Sched.-WORST'!$I$7, 'Amort. Sched.-WORST'!$E$7), 0)</f>
        <v>-2026.0175758541329</v>
      </c>
      <c r="E43" s="5">
        <f>IF(AND(C43&gt;='Amort. Sched.-WORST'!$I$8, C43&lt;= ($I$7+$I$8)), (IPMT($E$8/12, (C43-$I$8), $I$7, $E$7)), 0)</f>
        <v>-1686.8665986913109</v>
      </c>
      <c r="F43" s="23">
        <f>IF(AND(C43&gt;='Amort. Sched.-WORST'!$I$8, C43&lt;= ($I$7+$I$8)), (PPMT($E$8/12, (C43-$I$8), $I$7, $E$7)), 0)</f>
        <v>-339.15097716282224</v>
      </c>
      <c r="G43" s="5">
        <f>IF(MortgageAmortWORST[[#This Row],[Month]]=I$8,E$7,0)</f>
        <v>0</v>
      </c>
      <c r="H43" s="13">
        <f>IF(AND(C43&gt;='Amort. Sched.-WORST'!$I$8, C43&lt;= ($I$7+$I$8)), H42+F43, 0)</f>
        <v>252690.83882653373</v>
      </c>
      <c r="I43" s="24">
        <f>IF(AND(C43&gt;='Amort. Sched.-WORST'!$I$8, C43&lt;= ($I$7+$I$8)), E43/D43, " ")</f>
        <v>0.83260215449027286</v>
      </c>
      <c r="J43" s="25">
        <f>IF(AND(C43&gt;='Amort. Sched.-WORST'!$I$8, C43&lt;= ($I$7+$I$8)), F43/D43, " ")</f>
        <v>0.16739784550972725</v>
      </c>
      <c r="L43" s="20">
        <f t="shared" si="0"/>
        <v>32</v>
      </c>
      <c r="M43" s="5">
        <f>IF(AND(L43&gt;='Amort. Sched.-WORST'!$R$8, L43&lt;= ($R$7+$R$8)), PMT('Amort. Sched.-WORST'!$N$8/12, 'Amort. Sched.-WORST'!$R$7, 'Amort. Sched.-WORST'!$N$7), 0)</f>
        <v>0</v>
      </c>
      <c r="N43" s="5">
        <f>IF(AND(L43&gt;='Amort. Sched.-WORST'!$R$8, L43&lt;= ($R$7+$R$8)), (IPMT($N$8/12, (L43-$R$8), $R$7, $N$7)), 0)</f>
        <v>0</v>
      </c>
      <c r="O43" s="5">
        <f>IF(AND(L43&gt;='Amort. Sched.-WORST'!$R$8, L43&lt;= ($R$7+$R$8)), (PPMT($N$8/12, (L43-$R$8), $R$7, $N$7)), 0)</f>
        <v>0</v>
      </c>
      <c r="P43" s="5">
        <f>IF(CreditAmort1WORST[[#This Row],[Month]]=R$8,N$7,0)</f>
        <v>0</v>
      </c>
      <c r="Q43" s="13">
        <f>IF(AND(L43&gt;='Amort. Sched.-WORST'!$R$8, L43&lt;= ($R$7+$R$8)), Q42+O43, 0)</f>
        <v>0</v>
      </c>
      <c r="R43" s="6" t="str">
        <f>IF(AND(L43&gt;='Amort. Sched.-WORST'!$R$8, L43&lt;= ($R$7+$R$8)), N43/M43, " ")</f>
        <v xml:space="preserve"> </v>
      </c>
      <c r="S43" s="21" t="str">
        <f>IF(AND(L43&gt;='Amort. Sched.-WORST'!$R$8, L43&lt;= ($R$7+$R$8)), O43/M43, " ")</f>
        <v xml:space="preserve"> </v>
      </c>
      <c r="U43" s="20">
        <f t="shared" si="2"/>
        <v>32</v>
      </c>
      <c r="V43" s="5">
        <f>IF(AND(U43&gt;='Amort. Sched.-WORST'!$AA$8, U43&lt;= ($AA$7+$AA$8)), PMT('Amort. Sched.-WORST'!$W$8/12, 'Amort. Sched.-WORST'!$AA$7, 'Amort. Sched.-WORST'!$W$7), 0)</f>
        <v>0</v>
      </c>
      <c r="W43" s="5">
        <f>IF(AND(U43&gt;='Amort. Sched.-WORST'!$AA$8, U43&lt;= ($AA$7+$AA$8)), (IPMT($W$8/12, (U43-$AA$8), $AA$7, $W$7)), 0)</f>
        <v>0</v>
      </c>
      <c r="X43" s="5">
        <f>IF(AND(U43&gt;='Amort. Sched.-WORST'!$AA$8, U43&lt;= ($AA$7+$AA$8)), (PPMT($W$8/12, (U43-$AA$8), $AA$7, $W$7)), 0)</f>
        <v>0</v>
      </c>
      <c r="Y43" s="5">
        <f>IF(CreditAmort2WORST[[#This Row],[Month]]=AA$8,W$7,0)</f>
        <v>0</v>
      </c>
      <c r="Z43" s="13">
        <f>IF(AND(U43&gt;='Amort. Sched.-WORST'!$AA$8, U43&lt;= ($AA$7+$AA$8)), Z42+X43, 0)</f>
        <v>0</v>
      </c>
      <c r="AA43" s="6" t="str">
        <f>IF(AND(U43&gt;='Amort. Sched.-WORST'!$AA$8, U43&lt;= ($AA$7+$AA$8)), W43/V43, " ")</f>
        <v xml:space="preserve"> </v>
      </c>
      <c r="AB43" s="21" t="str">
        <f>IF(AND(U43&gt;='Amort. Sched.-WORST'!$AA$8, U43&lt;= ($AA$7+$AA$8)), X43/V43, " ")</f>
        <v xml:space="preserve"> </v>
      </c>
      <c r="AD43" s="20">
        <f t="shared" si="3"/>
        <v>32</v>
      </c>
      <c r="AE43" s="5">
        <f t="shared" si="4"/>
        <v>0</v>
      </c>
      <c r="AF43" s="5">
        <f t="shared" si="5"/>
        <v>0</v>
      </c>
      <c r="AG43" s="5">
        <f t="shared" si="6"/>
        <v>0</v>
      </c>
      <c r="AH43" s="5">
        <f>IF(CreditAmort3WORST[[#This Row],[Month]]=AJ$8,AF$7,0)</f>
        <v>0</v>
      </c>
      <c r="AI43" s="13">
        <f t="shared" si="7"/>
        <v>0</v>
      </c>
      <c r="AJ43" s="6" t="str">
        <f t="shared" si="8"/>
        <v xml:space="preserve"> </v>
      </c>
      <c r="AK43" s="21" t="str">
        <f t="shared" si="9"/>
        <v xml:space="preserve"> </v>
      </c>
      <c r="AM43" s="20">
        <f t="shared" si="10"/>
        <v>32</v>
      </c>
      <c r="AN43" s="5">
        <f t="shared" si="11"/>
        <v>0</v>
      </c>
      <c r="AO43" s="5">
        <f t="shared" si="12"/>
        <v>0</v>
      </c>
      <c r="AP43" s="5">
        <f t="shared" si="13"/>
        <v>0</v>
      </c>
      <c r="AQ43" s="5">
        <f>IF(CreditAmort4WORST[[#This Row],[Month]]=AS$8,AO$7,0)</f>
        <v>0</v>
      </c>
      <c r="AR43" s="13">
        <f t="shared" si="14"/>
        <v>0</v>
      </c>
      <c r="AS43" s="6" t="str">
        <f t="shared" si="15"/>
        <v xml:space="preserve"> </v>
      </c>
      <c r="AT43" s="21" t="str">
        <f t="shared" si="16"/>
        <v xml:space="preserve"> </v>
      </c>
    </row>
    <row r="44" spans="3:46">
      <c r="C44" s="22">
        <f t="shared" si="1"/>
        <v>33</v>
      </c>
      <c r="D44" s="23">
        <f>IF(AND(C44&gt;='Amort. Sched.-WORST'!$I$8, C44&lt;= ($I$7+$I$8)), PMT('Amort. Sched.-WORST'!$E$8/12, 'Amort. Sched.-WORST'!$I$7, 'Amort. Sched.-WORST'!$E$7), 0)</f>
        <v>-2026.0175758541329</v>
      </c>
      <c r="E44" s="5">
        <f>IF(AND(C44&gt;='Amort. Sched.-WORST'!$I$8, C44&lt;= ($I$7+$I$8)), (IPMT($E$8/12, (C44-$I$8), $I$7, $E$7)), 0)</f>
        <v>-1684.6055921768918</v>
      </c>
      <c r="F44" s="23">
        <f>IF(AND(C44&gt;='Amort. Sched.-WORST'!$I$8, C44&lt;= ($I$7+$I$8)), (PPMT($E$8/12, (C44-$I$8), $I$7, $E$7)), 0)</f>
        <v>-341.4119836772411</v>
      </c>
      <c r="G44" s="5">
        <f>IF(MortgageAmortWORST[[#This Row],[Month]]=I$8,E$7,0)</f>
        <v>0</v>
      </c>
      <c r="H44" s="13">
        <f>IF(AND(C44&gt;='Amort. Sched.-WORST'!$I$8, C44&lt;= ($I$7+$I$8)), H43+F44, 0)</f>
        <v>252349.42684285648</v>
      </c>
      <c r="I44" s="24">
        <f>IF(AND(C44&gt;='Amort. Sched.-WORST'!$I$8, C44&lt;= ($I$7+$I$8)), E44/D44, " ")</f>
        <v>0.83148616885354121</v>
      </c>
      <c r="J44" s="25">
        <f>IF(AND(C44&gt;='Amort. Sched.-WORST'!$I$8, C44&lt;= ($I$7+$I$8)), F44/D44, " ")</f>
        <v>0.16851383114645876</v>
      </c>
      <c r="L44" s="20">
        <f t="shared" si="0"/>
        <v>33</v>
      </c>
      <c r="M44" s="5">
        <f>IF(AND(L44&gt;='Amort. Sched.-WORST'!$R$8, L44&lt;= ($R$7+$R$8)), PMT('Amort. Sched.-WORST'!$N$8/12, 'Amort. Sched.-WORST'!$R$7, 'Amort. Sched.-WORST'!$N$7), 0)</f>
        <v>0</v>
      </c>
      <c r="N44" s="5">
        <f>IF(AND(L44&gt;='Amort. Sched.-WORST'!$R$8, L44&lt;= ($R$7+$R$8)), (IPMT($N$8/12, (L44-$R$8), $R$7, $N$7)), 0)</f>
        <v>0</v>
      </c>
      <c r="O44" s="5">
        <f>IF(AND(L44&gt;='Amort. Sched.-WORST'!$R$8, L44&lt;= ($R$7+$R$8)), (PPMT($N$8/12, (L44-$R$8), $R$7, $N$7)), 0)</f>
        <v>0</v>
      </c>
      <c r="P44" s="5">
        <f>IF(CreditAmort1WORST[[#This Row],[Month]]=R$8,N$7,0)</f>
        <v>0</v>
      </c>
      <c r="Q44" s="13">
        <f>IF(AND(L44&gt;='Amort. Sched.-WORST'!$R$8, L44&lt;= ($R$7+$R$8)), Q43+O44, 0)</f>
        <v>0</v>
      </c>
      <c r="R44" s="6" t="str">
        <f>IF(AND(L44&gt;='Amort. Sched.-WORST'!$R$8, L44&lt;= ($R$7+$R$8)), N44/M44, " ")</f>
        <v xml:space="preserve"> </v>
      </c>
      <c r="S44" s="21" t="str">
        <f>IF(AND(L44&gt;='Amort. Sched.-WORST'!$R$8, L44&lt;= ($R$7+$R$8)), O44/M44, " ")</f>
        <v xml:space="preserve"> </v>
      </c>
      <c r="U44" s="20">
        <f t="shared" si="2"/>
        <v>33</v>
      </c>
      <c r="V44" s="5">
        <f>IF(AND(U44&gt;='Amort. Sched.-WORST'!$AA$8, U44&lt;= ($AA$7+$AA$8)), PMT('Amort. Sched.-WORST'!$W$8/12, 'Amort. Sched.-WORST'!$AA$7, 'Amort. Sched.-WORST'!$W$7), 0)</f>
        <v>0</v>
      </c>
      <c r="W44" s="5">
        <f>IF(AND(U44&gt;='Amort. Sched.-WORST'!$AA$8, U44&lt;= ($AA$7+$AA$8)), (IPMT($W$8/12, (U44-$AA$8), $AA$7, $W$7)), 0)</f>
        <v>0</v>
      </c>
      <c r="X44" s="5">
        <f>IF(AND(U44&gt;='Amort. Sched.-WORST'!$AA$8, U44&lt;= ($AA$7+$AA$8)), (PPMT($W$8/12, (U44-$AA$8), $AA$7, $W$7)), 0)</f>
        <v>0</v>
      </c>
      <c r="Y44" s="5">
        <f>IF(CreditAmort2WORST[[#This Row],[Month]]=AA$8,W$7,0)</f>
        <v>0</v>
      </c>
      <c r="Z44" s="13">
        <f>IF(AND(U44&gt;='Amort. Sched.-WORST'!$AA$8, U44&lt;= ($AA$7+$AA$8)), Z43+X44, 0)</f>
        <v>0</v>
      </c>
      <c r="AA44" s="6" t="str">
        <f>IF(AND(U44&gt;='Amort. Sched.-WORST'!$AA$8, U44&lt;= ($AA$7+$AA$8)), W44/V44, " ")</f>
        <v xml:space="preserve"> </v>
      </c>
      <c r="AB44" s="21" t="str">
        <f>IF(AND(U44&gt;='Amort. Sched.-WORST'!$AA$8, U44&lt;= ($AA$7+$AA$8)), X44/V44, " ")</f>
        <v xml:space="preserve"> </v>
      </c>
      <c r="AD44" s="20">
        <f t="shared" si="3"/>
        <v>33</v>
      </c>
      <c r="AE44" s="5">
        <f t="shared" si="4"/>
        <v>0</v>
      </c>
      <c r="AF44" s="5">
        <f t="shared" si="5"/>
        <v>0</v>
      </c>
      <c r="AG44" s="5">
        <f t="shared" si="6"/>
        <v>0</v>
      </c>
      <c r="AH44" s="5">
        <f>IF(CreditAmort3WORST[[#This Row],[Month]]=AJ$8,AF$7,0)</f>
        <v>0</v>
      </c>
      <c r="AI44" s="13">
        <f t="shared" si="7"/>
        <v>0</v>
      </c>
      <c r="AJ44" s="6" t="str">
        <f t="shared" si="8"/>
        <v xml:space="preserve"> </v>
      </c>
      <c r="AK44" s="21" t="str">
        <f t="shared" si="9"/>
        <v xml:space="preserve"> </v>
      </c>
      <c r="AM44" s="20">
        <f t="shared" si="10"/>
        <v>33</v>
      </c>
      <c r="AN44" s="5">
        <f t="shared" si="11"/>
        <v>0</v>
      </c>
      <c r="AO44" s="5">
        <f t="shared" si="12"/>
        <v>0</v>
      </c>
      <c r="AP44" s="5">
        <f t="shared" si="13"/>
        <v>0</v>
      </c>
      <c r="AQ44" s="5">
        <f>IF(CreditAmort4WORST[[#This Row],[Month]]=AS$8,AO$7,0)</f>
        <v>0</v>
      </c>
      <c r="AR44" s="13">
        <f t="shared" si="14"/>
        <v>0</v>
      </c>
      <c r="AS44" s="6" t="str">
        <f t="shared" si="15"/>
        <v xml:space="preserve"> </v>
      </c>
      <c r="AT44" s="21" t="str">
        <f t="shared" si="16"/>
        <v xml:space="preserve"> </v>
      </c>
    </row>
    <row r="45" spans="3:46">
      <c r="C45" s="22">
        <f t="shared" si="1"/>
        <v>34</v>
      </c>
      <c r="D45" s="23">
        <f>IF(AND(C45&gt;='Amort. Sched.-WORST'!$I$8, C45&lt;= ($I$7+$I$8)), PMT('Amort. Sched.-WORST'!$E$8/12, 'Amort. Sched.-WORST'!$I$7, 'Amort. Sched.-WORST'!$E$7), 0)</f>
        <v>-2026.0175758541329</v>
      </c>
      <c r="E45" s="5">
        <f>IF(AND(C45&gt;='Amort. Sched.-WORST'!$I$8, C45&lt;= ($I$7+$I$8)), (IPMT($E$8/12, (C45-$I$8), $I$7, $E$7)), 0)</f>
        <v>-1682.3295122857103</v>
      </c>
      <c r="F45" s="23">
        <f>IF(AND(C45&gt;='Amort. Sched.-WORST'!$I$8, C45&lt;= ($I$7+$I$8)), (PPMT($E$8/12, (C45-$I$8), $I$7, $E$7)), 0)</f>
        <v>-343.68806356842271</v>
      </c>
      <c r="G45" s="5">
        <f>IF(MortgageAmortWORST[[#This Row],[Month]]=I$8,E$7,0)</f>
        <v>0</v>
      </c>
      <c r="H45" s="13">
        <f>IF(AND(C45&gt;='Amort. Sched.-WORST'!$I$8, C45&lt;= ($I$7+$I$8)), H44+F45, 0)</f>
        <v>252005.73877928805</v>
      </c>
      <c r="I45" s="24">
        <f>IF(AND(C45&gt;='Amort. Sched.-WORST'!$I$8, C45&lt;= ($I$7+$I$8)), E45/D45, " ")</f>
        <v>0.83036274331256488</v>
      </c>
      <c r="J45" s="25">
        <f>IF(AND(C45&gt;='Amort. Sched.-WORST'!$I$8, C45&lt;= ($I$7+$I$8)), F45/D45, " ")</f>
        <v>0.16963725668743518</v>
      </c>
      <c r="L45" s="20">
        <f t="shared" si="0"/>
        <v>34</v>
      </c>
      <c r="M45" s="5">
        <f>IF(AND(L45&gt;='Amort. Sched.-WORST'!$R$8, L45&lt;= ($R$7+$R$8)), PMT('Amort. Sched.-WORST'!$N$8/12, 'Amort. Sched.-WORST'!$R$7, 'Amort. Sched.-WORST'!$N$7), 0)</f>
        <v>0</v>
      </c>
      <c r="N45" s="5">
        <f>IF(AND(L45&gt;='Amort. Sched.-WORST'!$R$8, L45&lt;= ($R$7+$R$8)), (IPMT($N$8/12, (L45-$R$8), $R$7, $N$7)), 0)</f>
        <v>0</v>
      </c>
      <c r="O45" s="5">
        <f>IF(AND(L45&gt;='Amort. Sched.-WORST'!$R$8, L45&lt;= ($R$7+$R$8)), (PPMT($N$8/12, (L45-$R$8), $R$7, $N$7)), 0)</f>
        <v>0</v>
      </c>
      <c r="P45" s="5">
        <f>IF(CreditAmort1WORST[[#This Row],[Month]]=R$8,N$7,0)</f>
        <v>0</v>
      </c>
      <c r="Q45" s="13">
        <f>IF(AND(L45&gt;='Amort. Sched.-WORST'!$R$8, L45&lt;= ($R$7+$R$8)), Q44+O45, 0)</f>
        <v>0</v>
      </c>
      <c r="R45" s="6" t="str">
        <f>IF(AND(L45&gt;='Amort. Sched.-WORST'!$R$8, L45&lt;= ($R$7+$R$8)), N45/M45, " ")</f>
        <v xml:space="preserve"> </v>
      </c>
      <c r="S45" s="21" t="str">
        <f>IF(AND(L45&gt;='Amort. Sched.-WORST'!$R$8, L45&lt;= ($R$7+$R$8)), O45/M45, " ")</f>
        <v xml:space="preserve"> </v>
      </c>
      <c r="U45" s="20">
        <f t="shared" si="2"/>
        <v>34</v>
      </c>
      <c r="V45" s="5">
        <f>IF(AND(U45&gt;='Amort. Sched.-WORST'!$AA$8, U45&lt;= ($AA$7+$AA$8)), PMT('Amort. Sched.-WORST'!$W$8/12, 'Amort. Sched.-WORST'!$AA$7, 'Amort. Sched.-WORST'!$W$7), 0)</f>
        <v>0</v>
      </c>
      <c r="W45" s="5">
        <f>IF(AND(U45&gt;='Amort. Sched.-WORST'!$AA$8, U45&lt;= ($AA$7+$AA$8)), (IPMT($W$8/12, (U45-$AA$8), $AA$7, $W$7)), 0)</f>
        <v>0</v>
      </c>
      <c r="X45" s="5">
        <f>IF(AND(U45&gt;='Amort. Sched.-WORST'!$AA$8, U45&lt;= ($AA$7+$AA$8)), (PPMT($W$8/12, (U45-$AA$8), $AA$7, $W$7)), 0)</f>
        <v>0</v>
      </c>
      <c r="Y45" s="5">
        <f>IF(CreditAmort2WORST[[#This Row],[Month]]=AA$8,W$7,0)</f>
        <v>0</v>
      </c>
      <c r="Z45" s="13">
        <f>IF(AND(U45&gt;='Amort. Sched.-WORST'!$AA$8, U45&lt;= ($AA$7+$AA$8)), Z44+X45, 0)</f>
        <v>0</v>
      </c>
      <c r="AA45" s="6" t="str">
        <f>IF(AND(U45&gt;='Amort. Sched.-WORST'!$AA$8, U45&lt;= ($AA$7+$AA$8)), W45/V45, " ")</f>
        <v xml:space="preserve"> </v>
      </c>
      <c r="AB45" s="21" t="str">
        <f>IF(AND(U45&gt;='Amort. Sched.-WORST'!$AA$8, U45&lt;= ($AA$7+$AA$8)), X45/V45, " ")</f>
        <v xml:space="preserve"> </v>
      </c>
      <c r="AD45" s="20">
        <f t="shared" si="3"/>
        <v>34</v>
      </c>
      <c r="AE45" s="5">
        <f t="shared" si="4"/>
        <v>0</v>
      </c>
      <c r="AF45" s="5">
        <f t="shared" si="5"/>
        <v>0</v>
      </c>
      <c r="AG45" s="5">
        <f t="shared" si="6"/>
        <v>0</v>
      </c>
      <c r="AH45" s="5">
        <f>IF(CreditAmort3WORST[[#This Row],[Month]]=AJ$8,AF$7,0)</f>
        <v>0</v>
      </c>
      <c r="AI45" s="13">
        <f t="shared" si="7"/>
        <v>0</v>
      </c>
      <c r="AJ45" s="6" t="str">
        <f t="shared" si="8"/>
        <v xml:space="preserve"> </v>
      </c>
      <c r="AK45" s="21" t="str">
        <f t="shared" si="9"/>
        <v xml:space="preserve"> </v>
      </c>
      <c r="AM45" s="20">
        <f t="shared" si="10"/>
        <v>34</v>
      </c>
      <c r="AN45" s="5">
        <f t="shared" si="11"/>
        <v>0</v>
      </c>
      <c r="AO45" s="5">
        <f t="shared" si="12"/>
        <v>0</v>
      </c>
      <c r="AP45" s="5">
        <f t="shared" si="13"/>
        <v>0</v>
      </c>
      <c r="AQ45" s="5">
        <f>IF(CreditAmort4WORST[[#This Row],[Month]]=AS$8,AO$7,0)</f>
        <v>0</v>
      </c>
      <c r="AR45" s="13">
        <f t="shared" si="14"/>
        <v>0</v>
      </c>
      <c r="AS45" s="6" t="str">
        <f t="shared" si="15"/>
        <v xml:space="preserve"> </v>
      </c>
      <c r="AT45" s="21" t="str">
        <f t="shared" si="16"/>
        <v xml:space="preserve"> </v>
      </c>
    </row>
    <row r="46" spans="3:46">
      <c r="C46" s="22">
        <f t="shared" si="1"/>
        <v>35</v>
      </c>
      <c r="D46" s="23">
        <f>IF(AND(C46&gt;='Amort. Sched.-WORST'!$I$8, C46&lt;= ($I$7+$I$8)), PMT('Amort. Sched.-WORST'!$E$8/12, 'Amort. Sched.-WORST'!$I$7, 'Amort. Sched.-WORST'!$E$7), 0)</f>
        <v>-2026.0175758541329</v>
      </c>
      <c r="E46" s="5">
        <f>IF(AND(C46&gt;='Amort. Sched.-WORST'!$I$8, C46&lt;= ($I$7+$I$8)), (IPMT($E$8/12, (C46-$I$8), $I$7, $E$7)), 0)</f>
        <v>-1680.0382585285874</v>
      </c>
      <c r="F46" s="23">
        <f>IF(AND(C46&gt;='Amort. Sched.-WORST'!$I$8, C46&lt;= ($I$7+$I$8)), (PPMT($E$8/12, (C46-$I$8), $I$7, $E$7)), 0)</f>
        <v>-345.97931732554548</v>
      </c>
      <c r="G46" s="5">
        <f>IF(MortgageAmortWORST[[#This Row],[Month]]=I$8,E$7,0)</f>
        <v>0</v>
      </c>
      <c r="H46" s="13">
        <f>IF(AND(C46&gt;='Amort. Sched.-WORST'!$I$8, C46&lt;= ($I$7+$I$8)), H45+F46, 0)</f>
        <v>251659.7594619625</v>
      </c>
      <c r="I46" s="24">
        <f>IF(AND(C46&gt;='Amort. Sched.-WORST'!$I$8, C46&lt;= ($I$7+$I$8)), E46/D46, " ")</f>
        <v>0.82923182826798192</v>
      </c>
      <c r="J46" s="25">
        <f>IF(AND(C46&gt;='Amort. Sched.-WORST'!$I$8, C46&lt;= ($I$7+$I$8)), F46/D46, " ")</f>
        <v>0.17076817173201805</v>
      </c>
      <c r="L46" s="20">
        <f t="shared" si="0"/>
        <v>35</v>
      </c>
      <c r="M46" s="5">
        <f>IF(AND(L46&gt;='Amort. Sched.-WORST'!$R$8, L46&lt;= ($R$7+$R$8)), PMT('Amort. Sched.-WORST'!$N$8/12, 'Amort. Sched.-WORST'!$R$7, 'Amort. Sched.-WORST'!$N$7), 0)</f>
        <v>0</v>
      </c>
      <c r="N46" s="5">
        <f>IF(AND(L46&gt;='Amort. Sched.-WORST'!$R$8, L46&lt;= ($R$7+$R$8)), (IPMT($N$8/12, (L46-$R$8), $R$7, $N$7)), 0)</f>
        <v>0</v>
      </c>
      <c r="O46" s="5">
        <f>IF(AND(L46&gt;='Amort. Sched.-WORST'!$R$8, L46&lt;= ($R$7+$R$8)), (PPMT($N$8/12, (L46-$R$8), $R$7, $N$7)), 0)</f>
        <v>0</v>
      </c>
      <c r="P46" s="5">
        <f>IF(CreditAmort1WORST[[#This Row],[Month]]=R$8,N$7,0)</f>
        <v>0</v>
      </c>
      <c r="Q46" s="13">
        <f>IF(AND(L46&gt;='Amort. Sched.-WORST'!$R$8, L46&lt;= ($R$7+$R$8)), Q45+O46, 0)</f>
        <v>0</v>
      </c>
      <c r="R46" s="6" t="str">
        <f>IF(AND(L46&gt;='Amort. Sched.-WORST'!$R$8, L46&lt;= ($R$7+$R$8)), N46/M46, " ")</f>
        <v xml:space="preserve"> </v>
      </c>
      <c r="S46" s="21" t="str">
        <f>IF(AND(L46&gt;='Amort. Sched.-WORST'!$R$8, L46&lt;= ($R$7+$R$8)), O46/M46, " ")</f>
        <v xml:space="preserve"> </v>
      </c>
      <c r="U46" s="20">
        <f t="shared" si="2"/>
        <v>35</v>
      </c>
      <c r="V46" s="5">
        <f>IF(AND(U46&gt;='Amort. Sched.-WORST'!$AA$8, U46&lt;= ($AA$7+$AA$8)), PMT('Amort. Sched.-WORST'!$W$8/12, 'Amort. Sched.-WORST'!$AA$7, 'Amort. Sched.-WORST'!$W$7), 0)</f>
        <v>0</v>
      </c>
      <c r="W46" s="5">
        <f>IF(AND(U46&gt;='Amort. Sched.-WORST'!$AA$8, U46&lt;= ($AA$7+$AA$8)), (IPMT($W$8/12, (U46-$AA$8), $AA$7, $W$7)), 0)</f>
        <v>0</v>
      </c>
      <c r="X46" s="5">
        <f>IF(AND(U46&gt;='Amort. Sched.-WORST'!$AA$8, U46&lt;= ($AA$7+$AA$8)), (PPMT($W$8/12, (U46-$AA$8), $AA$7, $W$7)), 0)</f>
        <v>0</v>
      </c>
      <c r="Y46" s="5">
        <f>IF(CreditAmort2WORST[[#This Row],[Month]]=AA$8,W$7,0)</f>
        <v>0</v>
      </c>
      <c r="Z46" s="13">
        <f>IF(AND(U46&gt;='Amort. Sched.-WORST'!$AA$8, U46&lt;= ($AA$7+$AA$8)), Z45+X46, 0)</f>
        <v>0</v>
      </c>
      <c r="AA46" s="6" t="str">
        <f>IF(AND(U46&gt;='Amort. Sched.-WORST'!$AA$8, U46&lt;= ($AA$7+$AA$8)), W46/V46, " ")</f>
        <v xml:space="preserve"> </v>
      </c>
      <c r="AB46" s="21" t="str">
        <f>IF(AND(U46&gt;='Amort. Sched.-WORST'!$AA$8, U46&lt;= ($AA$7+$AA$8)), X46/V46, " ")</f>
        <v xml:space="preserve"> </v>
      </c>
      <c r="AD46" s="20">
        <f t="shared" si="3"/>
        <v>35</v>
      </c>
      <c r="AE46" s="5">
        <f t="shared" si="4"/>
        <v>0</v>
      </c>
      <c r="AF46" s="5">
        <f t="shared" si="5"/>
        <v>0</v>
      </c>
      <c r="AG46" s="5">
        <f t="shared" si="6"/>
        <v>0</v>
      </c>
      <c r="AH46" s="5">
        <f>IF(CreditAmort3WORST[[#This Row],[Month]]=AJ$8,AF$7,0)</f>
        <v>0</v>
      </c>
      <c r="AI46" s="13">
        <f t="shared" si="7"/>
        <v>0</v>
      </c>
      <c r="AJ46" s="6" t="str">
        <f t="shared" si="8"/>
        <v xml:space="preserve"> </v>
      </c>
      <c r="AK46" s="21" t="str">
        <f t="shared" si="9"/>
        <v xml:space="preserve"> </v>
      </c>
      <c r="AM46" s="20">
        <f t="shared" si="10"/>
        <v>35</v>
      </c>
      <c r="AN46" s="5">
        <f t="shared" si="11"/>
        <v>0</v>
      </c>
      <c r="AO46" s="5">
        <f t="shared" si="12"/>
        <v>0</v>
      </c>
      <c r="AP46" s="5">
        <f t="shared" si="13"/>
        <v>0</v>
      </c>
      <c r="AQ46" s="5">
        <f>IF(CreditAmort4WORST[[#This Row],[Month]]=AS$8,AO$7,0)</f>
        <v>0</v>
      </c>
      <c r="AR46" s="13">
        <f t="shared" si="14"/>
        <v>0</v>
      </c>
      <c r="AS46" s="6" t="str">
        <f t="shared" si="15"/>
        <v xml:space="preserve"> </v>
      </c>
      <c r="AT46" s="21" t="str">
        <f t="shared" si="16"/>
        <v xml:space="preserve"> </v>
      </c>
    </row>
    <row r="47" spans="3:46">
      <c r="C47" s="22">
        <f t="shared" si="1"/>
        <v>36</v>
      </c>
      <c r="D47" s="23">
        <f>IF(AND(C47&gt;='Amort. Sched.-WORST'!$I$8, C47&lt;= ($I$7+$I$8)), PMT('Amort. Sched.-WORST'!$E$8/12, 'Amort. Sched.-WORST'!$I$7, 'Amort. Sched.-WORST'!$E$7), 0)</f>
        <v>-2026.0175758541329</v>
      </c>
      <c r="E47" s="5">
        <f>IF(AND(C47&gt;='Amort. Sched.-WORST'!$I$8, C47&lt;= ($I$7+$I$8)), (IPMT($E$8/12, (C47-$I$8), $I$7, $E$7)), 0)</f>
        <v>-1677.7317297464172</v>
      </c>
      <c r="F47" s="23">
        <f>IF(AND(C47&gt;='Amort. Sched.-WORST'!$I$8, C47&lt;= ($I$7+$I$8)), (PPMT($E$8/12, (C47-$I$8), $I$7, $E$7)), 0)</f>
        <v>-348.28584610771583</v>
      </c>
      <c r="G47" s="5">
        <f>IF(MortgageAmortWORST[[#This Row],[Month]]=I$8,E$7,0)</f>
        <v>0</v>
      </c>
      <c r="H47" s="13">
        <f>IF(AND(C47&gt;='Amort. Sched.-WORST'!$I$8, C47&lt;= ($I$7+$I$8)), H46+F47, 0)</f>
        <v>251311.47361585477</v>
      </c>
      <c r="I47" s="24">
        <f>IF(AND(C47&gt;='Amort. Sched.-WORST'!$I$8, C47&lt;= ($I$7+$I$8)), E47/D47, " ")</f>
        <v>0.82809337378976855</v>
      </c>
      <c r="J47" s="25">
        <f>IF(AND(C47&gt;='Amort. Sched.-WORST'!$I$8, C47&lt;= ($I$7+$I$8)), F47/D47, " ")</f>
        <v>0.17190662621023153</v>
      </c>
      <c r="L47" s="20">
        <f t="shared" si="0"/>
        <v>36</v>
      </c>
      <c r="M47" s="5">
        <f>IF(AND(L47&gt;='Amort. Sched.-WORST'!$R$8, L47&lt;= ($R$7+$R$8)), PMT('Amort. Sched.-WORST'!$N$8/12, 'Amort. Sched.-WORST'!$R$7, 'Amort. Sched.-WORST'!$N$7), 0)</f>
        <v>0</v>
      </c>
      <c r="N47" s="5">
        <f>IF(AND(L47&gt;='Amort. Sched.-WORST'!$R$8, L47&lt;= ($R$7+$R$8)), (IPMT($N$8/12, (L47-$R$8), $R$7, $N$7)), 0)</f>
        <v>0</v>
      </c>
      <c r="O47" s="5">
        <f>IF(AND(L47&gt;='Amort. Sched.-WORST'!$R$8, L47&lt;= ($R$7+$R$8)), (PPMT($N$8/12, (L47-$R$8), $R$7, $N$7)), 0)</f>
        <v>0</v>
      </c>
      <c r="P47" s="5">
        <f>IF(CreditAmort1WORST[[#This Row],[Month]]=R$8,N$7,0)</f>
        <v>0</v>
      </c>
      <c r="Q47" s="13">
        <f>IF(AND(L47&gt;='Amort. Sched.-WORST'!$R$8, L47&lt;= ($R$7+$R$8)), Q46+O47, 0)</f>
        <v>0</v>
      </c>
      <c r="R47" s="6" t="str">
        <f>IF(AND(L47&gt;='Amort. Sched.-WORST'!$R$8, L47&lt;= ($R$7+$R$8)), N47/M47, " ")</f>
        <v xml:space="preserve"> </v>
      </c>
      <c r="S47" s="21" t="str">
        <f>IF(AND(L47&gt;='Amort. Sched.-WORST'!$R$8, L47&lt;= ($R$7+$R$8)), O47/M47, " ")</f>
        <v xml:space="preserve"> </v>
      </c>
      <c r="U47" s="20">
        <f t="shared" si="2"/>
        <v>36</v>
      </c>
      <c r="V47" s="5">
        <f>IF(AND(U47&gt;='Amort. Sched.-WORST'!$AA$8, U47&lt;= ($AA$7+$AA$8)), PMT('Amort. Sched.-WORST'!$W$8/12, 'Amort. Sched.-WORST'!$AA$7, 'Amort. Sched.-WORST'!$W$7), 0)</f>
        <v>0</v>
      </c>
      <c r="W47" s="5">
        <f>IF(AND(U47&gt;='Amort. Sched.-WORST'!$AA$8, U47&lt;= ($AA$7+$AA$8)), (IPMT($W$8/12, (U47-$AA$8), $AA$7, $W$7)), 0)</f>
        <v>0</v>
      </c>
      <c r="X47" s="5">
        <f>IF(AND(U47&gt;='Amort. Sched.-WORST'!$AA$8, U47&lt;= ($AA$7+$AA$8)), (PPMT($W$8/12, (U47-$AA$8), $AA$7, $W$7)), 0)</f>
        <v>0</v>
      </c>
      <c r="Y47" s="5">
        <f>IF(CreditAmort2WORST[[#This Row],[Month]]=AA$8,W$7,0)</f>
        <v>0</v>
      </c>
      <c r="Z47" s="13">
        <f>IF(AND(U47&gt;='Amort. Sched.-WORST'!$AA$8, U47&lt;= ($AA$7+$AA$8)), Z46+X47, 0)</f>
        <v>0</v>
      </c>
      <c r="AA47" s="6" t="str">
        <f>IF(AND(U47&gt;='Amort. Sched.-WORST'!$AA$8, U47&lt;= ($AA$7+$AA$8)), W47/V47, " ")</f>
        <v xml:space="preserve"> </v>
      </c>
      <c r="AB47" s="21" t="str">
        <f>IF(AND(U47&gt;='Amort. Sched.-WORST'!$AA$8, U47&lt;= ($AA$7+$AA$8)), X47/V47, " ")</f>
        <v xml:space="preserve"> </v>
      </c>
      <c r="AD47" s="20">
        <f t="shared" si="3"/>
        <v>36</v>
      </c>
      <c r="AE47" s="5">
        <f t="shared" si="4"/>
        <v>0</v>
      </c>
      <c r="AF47" s="5">
        <f t="shared" si="5"/>
        <v>0</v>
      </c>
      <c r="AG47" s="5">
        <f t="shared" si="6"/>
        <v>0</v>
      </c>
      <c r="AH47" s="5">
        <f>IF(CreditAmort3WORST[[#This Row],[Month]]=AJ$8,AF$7,0)</f>
        <v>0</v>
      </c>
      <c r="AI47" s="13">
        <f t="shared" si="7"/>
        <v>0</v>
      </c>
      <c r="AJ47" s="6" t="str">
        <f t="shared" si="8"/>
        <v xml:space="preserve"> </v>
      </c>
      <c r="AK47" s="21" t="str">
        <f t="shared" si="9"/>
        <v xml:space="preserve"> </v>
      </c>
      <c r="AM47" s="20">
        <f t="shared" si="10"/>
        <v>36</v>
      </c>
      <c r="AN47" s="5">
        <f t="shared" si="11"/>
        <v>0</v>
      </c>
      <c r="AO47" s="5">
        <f t="shared" si="12"/>
        <v>0</v>
      </c>
      <c r="AP47" s="5">
        <f t="shared" si="13"/>
        <v>0</v>
      </c>
      <c r="AQ47" s="5">
        <f>IF(CreditAmort4WORST[[#This Row],[Month]]=AS$8,AO$7,0)</f>
        <v>0</v>
      </c>
      <c r="AR47" s="13">
        <f t="shared" si="14"/>
        <v>0</v>
      </c>
      <c r="AS47" s="6" t="str">
        <f t="shared" si="15"/>
        <v xml:space="preserve"> </v>
      </c>
      <c r="AT47" s="21" t="str">
        <f t="shared" si="16"/>
        <v xml:space="preserve"> </v>
      </c>
    </row>
    <row r="48" spans="3:46">
      <c r="C48" s="22">
        <f t="shared" si="1"/>
        <v>37</v>
      </c>
      <c r="D48" s="23">
        <f>IF(AND(C48&gt;='Amort. Sched.-WORST'!$I$8, C48&lt;= ($I$7+$I$8)), PMT('Amort. Sched.-WORST'!$E$8/12, 'Amort. Sched.-WORST'!$I$7, 'Amort. Sched.-WORST'!$E$7), 0)</f>
        <v>-2026.0175758541329</v>
      </c>
      <c r="E48" s="5">
        <f>IF(AND(C48&gt;='Amort. Sched.-WORST'!$I$8, C48&lt;= ($I$7+$I$8)), (IPMT($E$8/12, (C48-$I$8), $I$7, $E$7)), 0)</f>
        <v>-1675.409824105699</v>
      </c>
      <c r="F48" s="23">
        <f>IF(AND(C48&gt;='Amort. Sched.-WORST'!$I$8, C48&lt;= ($I$7+$I$8)), (PPMT($E$8/12, (C48-$I$8), $I$7, $E$7)), 0)</f>
        <v>-350.60775174843394</v>
      </c>
      <c r="G48" s="5">
        <f>IF(MortgageAmortWORST[[#This Row],[Month]]=I$8,E$7,0)</f>
        <v>0</v>
      </c>
      <c r="H48" s="13">
        <f>IF(AND(C48&gt;='Amort. Sched.-WORST'!$I$8, C48&lt;= ($I$7+$I$8)), H47+F48, 0)</f>
        <v>250960.86586410634</v>
      </c>
      <c r="I48" s="24">
        <f>IF(AND(C48&gt;='Amort. Sched.-WORST'!$I$8, C48&lt;= ($I$7+$I$8)), E48/D48, " ")</f>
        <v>0.82694732961503359</v>
      </c>
      <c r="J48" s="25">
        <f>IF(AND(C48&gt;='Amort. Sched.-WORST'!$I$8, C48&lt;= ($I$7+$I$8)), F48/D48, " ")</f>
        <v>0.17305267038496641</v>
      </c>
      <c r="L48" s="20">
        <f t="shared" si="0"/>
        <v>37</v>
      </c>
      <c r="M48" s="5">
        <f>IF(AND(L48&gt;='Amort. Sched.-WORST'!$R$8, L48&lt;= ($R$7+$R$8)), PMT('Amort. Sched.-WORST'!$N$8/12, 'Amort. Sched.-WORST'!$R$7, 'Amort. Sched.-WORST'!$N$7), 0)</f>
        <v>0</v>
      </c>
      <c r="N48" s="5">
        <f>IF(AND(L48&gt;='Amort. Sched.-WORST'!$R$8, L48&lt;= ($R$7+$R$8)), (IPMT($N$8/12, (L48-$R$8), $R$7, $N$7)), 0)</f>
        <v>0</v>
      </c>
      <c r="O48" s="5">
        <f>IF(AND(L48&gt;='Amort. Sched.-WORST'!$R$8, L48&lt;= ($R$7+$R$8)), (PPMT($N$8/12, (L48-$R$8), $R$7, $N$7)), 0)</f>
        <v>0</v>
      </c>
      <c r="P48" s="5">
        <f>IF(CreditAmort1WORST[[#This Row],[Month]]=R$8,N$7,0)</f>
        <v>0</v>
      </c>
      <c r="Q48" s="13">
        <f>IF(AND(L48&gt;='Amort. Sched.-WORST'!$R$8, L48&lt;= ($R$7+$R$8)), Q47+O48, 0)</f>
        <v>0</v>
      </c>
      <c r="R48" s="6" t="str">
        <f>IF(AND(L48&gt;='Amort. Sched.-WORST'!$R$8, L48&lt;= ($R$7+$R$8)), N48/M48, " ")</f>
        <v xml:space="preserve"> </v>
      </c>
      <c r="S48" s="21" t="str">
        <f>IF(AND(L48&gt;='Amort. Sched.-WORST'!$R$8, L48&lt;= ($R$7+$R$8)), O48/M48, " ")</f>
        <v xml:space="preserve"> </v>
      </c>
      <c r="U48" s="20">
        <f t="shared" si="2"/>
        <v>37</v>
      </c>
      <c r="V48" s="5">
        <f>IF(AND(U48&gt;='Amort. Sched.-WORST'!$AA$8, U48&lt;= ($AA$7+$AA$8)), PMT('Amort. Sched.-WORST'!$W$8/12, 'Amort. Sched.-WORST'!$AA$7, 'Amort. Sched.-WORST'!$W$7), 0)</f>
        <v>0</v>
      </c>
      <c r="W48" s="5">
        <f>IF(AND(U48&gt;='Amort. Sched.-WORST'!$AA$8, U48&lt;= ($AA$7+$AA$8)), (IPMT($W$8/12, (U48-$AA$8), $AA$7, $W$7)), 0)</f>
        <v>0</v>
      </c>
      <c r="X48" s="5">
        <f>IF(AND(U48&gt;='Amort. Sched.-WORST'!$AA$8, U48&lt;= ($AA$7+$AA$8)), (PPMT($W$8/12, (U48-$AA$8), $AA$7, $W$7)), 0)</f>
        <v>0</v>
      </c>
      <c r="Y48" s="5">
        <f>IF(CreditAmort2WORST[[#This Row],[Month]]=AA$8,W$7,0)</f>
        <v>0</v>
      </c>
      <c r="Z48" s="13">
        <f>IF(AND(U48&gt;='Amort. Sched.-WORST'!$AA$8, U48&lt;= ($AA$7+$AA$8)), Z47+X48, 0)</f>
        <v>0</v>
      </c>
      <c r="AA48" s="6" t="str">
        <f>IF(AND(U48&gt;='Amort. Sched.-WORST'!$AA$8, U48&lt;= ($AA$7+$AA$8)), W48/V48, " ")</f>
        <v xml:space="preserve"> </v>
      </c>
      <c r="AB48" s="21" t="str">
        <f>IF(AND(U48&gt;='Amort. Sched.-WORST'!$AA$8, U48&lt;= ($AA$7+$AA$8)), X48/V48, " ")</f>
        <v xml:space="preserve"> </v>
      </c>
      <c r="AD48" s="20">
        <f t="shared" si="3"/>
        <v>37</v>
      </c>
      <c r="AE48" s="5">
        <f t="shared" si="4"/>
        <v>0</v>
      </c>
      <c r="AF48" s="5">
        <f t="shared" si="5"/>
        <v>0</v>
      </c>
      <c r="AG48" s="5">
        <f t="shared" si="6"/>
        <v>0</v>
      </c>
      <c r="AH48" s="5">
        <f>IF(CreditAmort3WORST[[#This Row],[Month]]=AJ$8,AF$7,0)</f>
        <v>0</v>
      </c>
      <c r="AI48" s="13">
        <f t="shared" si="7"/>
        <v>0</v>
      </c>
      <c r="AJ48" s="6" t="str">
        <f t="shared" si="8"/>
        <v xml:space="preserve"> </v>
      </c>
      <c r="AK48" s="21" t="str">
        <f t="shared" si="9"/>
        <v xml:space="preserve"> </v>
      </c>
      <c r="AM48" s="20">
        <f t="shared" si="10"/>
        <v>37</v>
      </c>
      <c r="AN48" s="5">
        <f t="shared" si="11"/>
        <v>0</v>
      </c>
      <c r="AO48" s="5">
        <f t="shared" si="12"/>
        <v>0</v>
      </c>
      <c r="AP48" s="5">
        <f t="shared" si="13"/>
        <v>0</v>
      </c>
      <c r="AQ48" s="5">
        <f>IF(CreditAmort4WORST[[#This Row],[Month]]=AS$8,AO$7,0)</f>
        <v>0</v>
      </c>
      <c r="AR48" s="13">
        <f t="shared" si="14"/>
        <v>0</v>
      </c>
      <c r="AS48" s="6" t="str">
        <f t="shared" si="15"/>
        <v xml:space="preserve"> </v>
      </c>
      <c r="AT48" s="21" t="str">
        <f t="shared" si="16"/>
        <v xml:space="preserve"> </v>
      </c>
    </row>
    <row r="49" spans="3:46">
      <c r="C49" s="22">
        <f t="shared" si="1"/>
        <v>38</v>
      </c>
      <c r="D49" s="23">
        <f>IF(AND(C49&gt;='Amort. Sched.-WORST'!$I$8, C49&lt;= ($I$7+$I$8)), PMT('Amort. Sched.-WORST'!$E$8/12, 'Amort. Sched.-WORST'!$I$7, 'Amort. Sched.-WORST'!$E$7), 0)</f>
        <v>-2026.0175758541329</v>
      </c>
      <c r="E49" s="5">
        <f>IF(AND(C49&gt;='Amort. Sched.-WORST'!$I$8, C49&lt;= ($I$7+$I$8)), (IPMT($E$8/12, (C49-$I$8), $I$7, $E$7)), 0)</f>
        <v>-1673.0724390940429</v>
      </c>
      <c r="F49" s="23">
        <f>IF(AND(C49&gt;='Amort. Sched.-WORST'!$I$8, C49&lt;= ($I$7+$I$8)), (PPMT($E$8/12, (C49-$I$8), $I$7, $E$7)), 0)</f>
        <v>-352.94513676009012</v>
      </c>
      <c r="G49" s="5">
        <f>IF(MortgageAmortWORST[[#This Row],[Month]]=I$8,E$7,0)</f>
        <v>0</v>
      </c>
      <c r="H49" s="13">
        <f>IF(AND(C49&gt;='Amort. Sched.-WORST'!$I$8, C49&lt;= ($I$7+$I$8)), H48+F49, 0)</f>
        <v>250607.92072734624</v>
      </c>
      <c r="I49" s="24">
        <f>IF(AND(C49&gt;='Amort. Sched.-WORST'!$I$8, C49&lt;= ($I$7+$I$8)), E49/D49, " ")</f>
        <v>0.82579364514580056</v>
      </c>
      <c r="J49" s="25">
        <f>IF(AND(C49&gt;='Amort. Sched.-WORST'!$I$8, C49&lt;= ($I$7+$I$8)), F49/D49, " ")</f>
        <v>0.1742063548541995</v>
      </c>
      <c r="L49" s="20">
        <f t="shared" si="0"/>
        <v>38</v>
      </c>
      <c r="M49" s="5">
        <f>IF(AND(L49&gt;='Amort. Sched.-WORST'!$R$8, L49&lt;= ($R$7+$R$8)), PMT('Amort. Sched.-WORST'!$N$8/12, 'Amort. Sched.-WORST'!$R$7, 'Amort. Sched.-WORST'!$N$7), 0)</f>
        <v>0</v>
      </c>
      <c r="N49" s="5">
        <f>IF(AND(L49&gt;='Amort. Sched.-WORST'!$R$8, L49&lt;= ($R$7+$R$8)), (IPMT($N$8/12, (L49-$R$8), $R$7, $N$7)), 0)</f>
        <v>0</v>
      </c>
      <c r="O49" s="5">
        <f>IF(AND(L49&gt;='Amort. Sched.-WORST'!$R$8, L49&lt;= ($R$7+$R$8)), (PPMT($N$8/12, (L49-$R$8), $R$7, $N$7)), 0)</f>
        <v>0</v>
      </c>
      <c r="P49" s="5">
        <f>IF(CreditAmort1WORST[[#This Row],[Month]]=R$8,N$7,0)</f>
        <v>0</v>
      </c>
      <c r="Q49" s="13">
        <f>IF(AND(L49&gt;='Amort. Sched.-WORST'!$R$8, L49&lt;= ($R$7+$R$8)), Q48+O49, 0)</f>
        <v>0</v>
      </c>
      <c r="R49" s="6" t="str">
        <f>IF(AND(L49&gt;='Amort. Sched.-WORST'!$R$8, L49&lt;= ($R$7+$R$8)), N49/M49, " ")</f>
        <v xml:space="preserve"> </v>
      </c>
      <c r="S49" s="21" t="str">
        <f>IF(AND(L49&gt;='Amort. Sched.-WORST'!$R$8, L49&lt;= ($R$7+$R$8)), O49/M49, " ")</f>
        <v xml:space="preserve"> </v>
      </c>
      <c r="U49" s="20">
        <f t="shared" si="2"/>
        <v>38</v>
      </c>
      <c r="V49" s="5">
        <f>IF(AND(U49&gt;='Amort. Sched.-WORST'!$AA$8, U49&lt;= ($AA$7+$AA$8)), PMT('Amort. Sched.-WORST'!$W$8/12, 'Amort. Sched.-WORST'!$AA$7, 'Amort. Sched.-WORST'!$W$7), 0)</f>
        <v>0</v>
      </c>
      <c r="W49" s="5">
        <f>IF(AND(U49&gt;='Amort. Sched.-WORST'!$AA$8, U49&lt;= ($AA$7+$AA$8)), (IPMT($W$8/12, (U49-$AA$8), $AA$7, $W$7)), 0)</f>
        <v>0</v>
      </c>
      <c r="X49" s="5">
        <f>IF(AND(U49&gt;='Amort. Sched.-WORST'!$AA$8, U49&lt;= ($AA$7+$AA$8)), (PPMT($W$8/12, (U49-$AA$8), $AA$7, $W$7)), 0)</f>
        <v>0</v>
      </c>
      <c r="Y49" s="5">
        <f>IF(CreditAmort2WORST[[#This Row],[Month]]=AA$8,W$7,0)</f>
        <v>0</v>
      </c>
      <c r="Z49" s="13">
        <f>IF(AND(U49&gt;='Amort. Sched.-WORST'!$AA$8, U49&lt;= ($AA$7+$AA$8)), Z48+X49, 0)</f>
        <v>0</v>
      </c>
      <c r="AA49" s="6" t="str">
        <f>IF(AND(U49&gt;='Amort. Sched.-WORST'!$AA$8, U49&lt;= ($AA$7+$AA$8)), W49/V49, " ")</f>
        <v xml:space="preserve"> </v>
      </c>
      <c r="AB49" s="21" t="str">
        <f>IF(AND(U49&gt;='Amort. Sched.-WORST'!$AA$8, U49&lt;= ($AA$7+$AA$8)), X49/V49, " ")</f>
        <v xml:space="preserve"> </v>
      </c>
      <c r="AD49" s="20">
        <f t="shared" si="3"/>
        <v>38</v>
      </c>
      <c r="AE49" s="5">
        <f t="shared" si="4"/>
        <v>0</v>
      </c>
      <c r="AF49" s="5">
        <f t="shared" si="5"/>
        <v>0</v>
      </c>
      <c r="AG49" s="5">
        <f t="shared" si="6"/>
        <v>0</v>
      </c>
      <c r="AH49" s="5">
        <f>IF(CreditAmort3WORST[[#This Row],[Month]]=AJ$8,AF$7,0)</f>
        <v>0</v>
      </c>
      <c r="AI49" s="13">
        <f t="shared" si="7"/>
        <v>0</v>
      </c>
      <c r="AJ49" s="6" t="str">
        <f t="shared" si="8"/>
        <v xml:space="preserve"> </v>
      </c>
      <c r="AK49" s="21" t="str">
        <f t="shared" si="9"/>
        <v xml:space="preserve"> </v>
      </c>
      <c r="AM49" s="20">
        <f t="shared" si="10"/>
        <v>38</v>
      </c>
      <c r="AN49" s="5">
        <f t="shared" si="11"/>
        <v>0</v>
      </c>
      <c r="AO49" s="5">
        <f t="shared" si="12"/>
        <v>0</v>
      </c>
      <c r="AP49" s="5">
        <f t="shared" si="13"/>
        <v>0</v>
      </c>
      <c r="AQ49" s="5">
        <f>IF(CreditAmort4WORST[[#This Row],[Month]]=AS$8,AO$7,0)</f>
        <v>0</v>
      </c>
      <c r="AR49" s="13">
        <f t="shared" si="14"/>
        <v>0</v>
      </c>
      <c r="AS49" s="6" t="str">
        <f t="shared" si="15"/>
        <v xml:space="preserve"> </v>
      </c>
      <c r="AT49" s="21" t="str">
        <f t="shared" si="16"/>
        <v xml:space="preserve"> </v>
      </c>
    </row>
    <row r="50" spans="3:46">
      <c r="C50" s="22">
        <f t="shared" si="1"/>
        <v>39</v>
      </c>
      <c r="D50" s="23">
        <f>IF(AND(C50&gt;='Amort. Sched.-WORST'!$I$8, C50&lt;= ($I$7+$I$8)), PMT('Amort. Sched.-WORST'!$E$8/12, 'Amort. Sched.-WORST'!$I$7, 'Amort. Sched.-WORST'!$E$7), 0)</f>
        <v>-2026.0175758541329</v>
      </c>
      <c r="E50" s="5">
        <f>IF(AND(C50&gt;='Amort. Sched.-WORST'!$I$8, C50&lt;= ($I$7+$I$8)), (IPMT($E$8/12, (C50-$I$8), $I$7, $E$7)), 0)</f>
        <v>-1670.7194715156422</v>
      </c>
      <c r="F50" s="23">
        <f>IF(AND(C50&gt;='Amort. Sched.-WORST'!$I$8, C50&lt;= ($I$7+$I$8)), (PPMT($E$8/12, (C50-$I$8), $I$7, $E$7)), 0)</f>
        <v>-355.29810433849076</v>
      </c>
      <c r="G50" s="5">
        <f>IF(MortgageAmortWORST[[#This Row],[Month]]=I$8,E$7,0)</f>
        <v>0</v>
      </c>
      <c r="H50" s="13">
        <f>IF(AND(C50&gt;='Amort. Sched.-WORST'!$I$8, C50&lt;= ($I$7+$I$8)), H49+F50, 0)</f>
        <v>250252.62262300774</v>
      </c>
      <c r="I50" s="24">
        <f>IF(AND(C50&gt;='Amort. Sched.-WORST'!$I$8, C50&lt;= ($I$7+$I$8)), E50/D50, " ")</f>
        <v>0.82463226944677248</v>
      </c>
      <c r="J50" s="25">
        <f>IF(AND(C50&gt;='Amort. Sched.-WORST'!$I$8, C50&lt;= ($I$7+$I$8)), F50/D50, " ")</f>
        <v>0.17536773055322752</v>
      </c>
      <c r="L50" s="20">
        <f t="shared" si="0"/>
        <v>39</v>
      </c>
      <c r="M50" s="5">
        <f>IF(AND(L50&gt;='Amort. Sched.-WORST'!$R$8, L50&lt;= ($R$7+$R$8)), PMT('Amort. Sched.-WORST'!$N$8/12, 'Amort. Sched.-WORST'!$R$7, 'Amort. Sched.-WORST'!$N$7), 0)</f>
        <v>0</v>
      </c>
      <c r="N50" s="5">
        <f>IF(AND(L50&gt;='Amort. Sched.-WORST'!$R$8, L50&lt;= ($R$7+$R$8)), (IPMT($N$8/12, (L50-$R$8), $R$7, $N$7)), 0)</f>
        <v>0</v>
      </c>
      <c r="O50" s="5">
        <f>IF(AND(L50&gt;='Amort. Sched.-WORST'!$R$8, L50&lt;= ($R$7+$R$8)), (PPMT($N$8/12, (L50-$R$8), $R$7, $N$7)), 0)</f>
        <v>0</v>
      </c>
      <c r="P50" s="5">
        <f>IF(CreditAmort1WORST[[#This Row],[Month]]=R$8,N$7,0)</f>
        <v>0</v>
      </c>
      <c r="Q50" s="13">
        <f>IF(AND(L50&gt;='Amort. Sched.-WORST'!$R$8, L50&lt;= ($R$7+$R$8)), Q49+O50, 0)</f>
        <v>0</v>
      </c>
      <c r="R50" s="6" t="str">
        <f>IF(AND(L50&gt;='Amort. Sched.-WORST'!$R$8, L50&lt;= ($R$7+$R$8)), N50/M50, " ")</f>
        <v xml:space="preserve"> </v>
      </c>
      <c r="S50" s="21" t="str">
        <f>IF(AND(L50&gt;='Amort. Sched.-WORST'!$R$8, L50&lt;= ($R$7+$R$8)), O50/M50, " ")</f>
        <v xml:space="preserve"> </v>
      </c>
      <c r="U50" s="20">
        <f t="shared" si="2"/>
        <v>39</v>
      </c>
      <c r="V50" s="5">
        <f>IF(AND(U50&gt;='Amort. Sched.-WORST'!$AA$8, U50&lt;= ($AA$7+$AA$8)), PMT('Amort. Sched.-WORST'!$W$8/12, 'Amort. Sched.-WORST'!$AA$7, 'Amort. Sched.-WORST'!$W$7), 0)</f>
        <v>0</v>
      </c>
      <c r="W50" s="5">
        <f>IF(AND(U50&gt;='Amort. Sched.-WORST'!$AA$8, U50&lt;= ($AA$7+$AA$8)), (IPMT($W$8/12, (U50-$AA$8), $AA$7, $W$7)), 0)</f>
        <v>0</v>
      </c>
      <c r="X50" s="5">
        <f>IF(AND(U50&gt;='Amort. Sched.-WORST'!$AA$8, U50&lt;= ($AA$7+$AA$8)), (PPMT($W$8/12, (U50-$AA$8), $AA$7, $W$7)), 0)</f>
        <v>0</v>
      </c>
      <c r="Y50" s="5">
        <f>IF(CreditAmort2WORST[[#This Row],[Month]]=AA$8,W$7,0)</f>
        <v>0</v>
      </c>
      <c r="Z50" s="13">
        <f>IF(AND(U50&gt;='Amort. Sched.-WORST'!$AA$8, U50&lt;= ($AA$7+$AA$8)), Z49+X50, 0)</f>
        <v>0</v>
      </c>
      <c r="AA50" s="6" t="str">
        <f>IF(AND(U50&gt;='Amort. Sched.-WORST'!$AA$8, U50&lt;= ($AA$7+$AA$8)), W50/V50, " ")</f>
        <v xml:space="preserve"> </v>
      </c>
      <c r="AB50" s="21" t="str">
        <f>IF(AND(U50&gt;='Amort. Sched.-WORST'!$AA$8, U50&lt;= ($AA$7+$AA$8)), X50/V50, " ")</f>
        <v xml:space="preserve"> </v>
      </c>
      <c r="AD50" s="20">
        <f t="shared" si="3"/>
        <v>39</v>
      </c>
      <c r="AE50" s="5">
        <f t="shared" si="4"/>
        <v>0</v>
      </c>
      <c r="AF50" s="5">
        <f t="shared" si="5"/>
        <v>0</v>
      </c>
      <c r="AG50" s="5">
        <f t="shared" si="6"/>
        <v>0</v>
      </c>
      <c r="AH50" s="5">
        <f>IF(CreditAmort3WORST[[#This Row],[Month]]=AJ$8,AF$7,0)</f>
        <v>0</v>
      </c>
      <c r="AI50" s="13">
        <f t="shared" si="7"/>
        <v>0</v>
      </c>
      <c r="AJ50" s="6" t="str">
        <f t="shared" si="8"/>
        <v xml:space="preserve"> </v>
      </c>
      <c r="AK50" s="21" t="str">
        <f t="shared" si="9"/>
        <v xml:space="preserve"> </v>
      </c>
      <c r="AM50" s="20">
        <f t="shared" si="10"/>
        <v>39</v>
      </c>
      <c r="AN50" s="5">
        <f t="shared" si="11"/>
        <v>0</v>
      </c>
      <c r="AO50" s="5">
        <f t="shared" si="12"/>
        <v>0</v>
      </c>
      <c r="AP50" s="5">
        <f t="shared" si="13"/>
        <v>0</v>
      </c>
      <c r="AQ50" s="5">
        <f>IF(CreditAmort4WORST[[#This Row],[Month]]=AS$8,AO$7,0)</f>
        <v>0</v>
      </c>
      <c r="AR50" s="13">
        <f t="shared" si="14"/>
        <v>0</v>
      </c>
      <c r="AS50" s="6" t="str">
        <f t="shared" si="15"/>
        <v xml:space="preserve"> </v>
      </c>
      <c r="AT50" s="21" t="str">
        <f t="shared" si="16"/>
        <v xml:space="preserve"> </v>
      </c>
    </row>
    <row r="51" spans="3:46">
      <c r="C51" s="22">
        <f t="shared" si="1"/>
        <v>40</v>
      </c>
      <c r="D51" s="23">
        <f>IF(AND(C51&gt;='Amort. Sched.-WORST'!$I$8, C51&lt;= ($I$7+$I$8)), PMT('Amort. Sched.-WORST'!$E$8/12, 'Amort. Sched.-WORST'!$I$7, 'Amort. Sched.-WORST'!$E$7), 0)</f>
        <v>-2026.0175758541329</v>
      </c>
      <c r="E51" s="5">
        <f>IF(AND(C51&gt;='Amort. Sched.-WORST'!$I$8, C51&lt;= ($I$7+$I$8)), (IPMT($E$8/12, (C51-$I$8), $I$7, $E$7)), 0)</f>
        <v>-1668.3508174867191</v>
      </c>
      <c r="F51" s="23">
        <f>IF(AND(C51&gt;='Amort. Sched.-WORST'!$I$8, C51&lt;= ($I$7+$I$8)), (PPMT($E$8/12, (C51-$I$8), $I$7, $E$7)), 0)</f>
        <v>-357.66675836741399</v>
      </c>
      <c r="G51" s="5">
        <f>IF(MortgageAmortWORST[[#This Row],[Month]]=I$8,E$7,0)</f>
        <v>0</v>
      </c>
      <c r="H51" s="13">
        <f>IF(AND(C51&gt;='Amort. Sched.-WORST'!$I$8, C51&lt;= ($I$7+$I$8)), H50+F51, 0)</f>
        <v>249894.95586464033</v>
      </c>
      <c r="I51" s="24">
        <f>IF(AND(C51&gt;='Amort. Sched.-WORST'!$I$8, C51&lt;= ($I$7+$I$8)), E51/D51, " ")</f>
        <v>0.82346315124308433</v>
      </c>
      <c r="J51" s="25">
        <f>IF(AND(C51&gt;='Amort. Sched.-WORST'!$I$8, C51&lt;= ($I$7+$I$8)), F51/D51, " ")</f>
        <v>0.17653684875691567</v>
      </c>
      <c r="L51" s="20">
        <f t="shared" si="0"/>
        <v>40</v>
      </c>
      <c r="M51" s="5">
        <f>IF(AND(L51&gt;='Amort. Sched.-WORST'!$R$8, L51&lt;= ($R$7+$R$8)), PMT('Amort. Sched.-WORST'!$N$8/12, 'Amort. Sched.-WORST'!$R$7, 'Amort. Sched.-WORST'!$N$7), 0)</f>
        <v>0</v>
      </c>
      <c r="N51" s="5">
        <f>IF(AND(L51&gt;='Amort. Sched.-WORST'!$R$8, L51&lt;= ($R$7+$R$8)), (IPMT($N$8/12, (L51-$R$8), $R$7, $N$7)), 0)</f>
        <v>0</v>
      </c>
      <c r="O51" s="5">
        <f>IF(AND(L51&gt;='Amort. Sched.-WORST'!$R$8, L51&lt;= ($R$7+$R$8)), (PPMT($N$8/12, (L51-$R$8), $R$7, $N$7)), 0)</f>
        <v>0</v>
      </c>
      <c r="P51" s="5">
        <f>IF(CreditAmort1WORST[[#This Row],[Month]]=R$8,N$7,0)</f>
        <v>0</v>
      </c>
      <c r="Q51" s="13">
        <f>IF(AND(L51&gt;='Amort. Sched.-WORST'!$R$8, L51&lt;= ($R$7+$R$8)), Q50+O51, 0)</f>
        <v>0</v>
      </c>
      <c r="R51" s="6" t="str">
        <f>IF(AND(L51&gt;='Amort. Sched.-WORST'!$R$8, L51&lt;= ($R$7+$R$8)), N51/M51, " ")</f>
        <v xml:space="preserve"> </v>
      </c>
      <c r="S51" s="21" t="str">
        <f>IF(AND(L51&gt;='Amort. Sched.-WORST'!$R$8, L51&lt;= ($R$7+$R$8)), O51/M51, " ")</f>
        <v xml:space="preserve"> </v>
      </c>
      <c r="U51" s="20">
        <f t="shared" si="2"/>
        <v>40</v>
      </c>
      <c r="V51" s="5">
        <f>IF(AND(U51&gt;='Amort. Sched.-WORST'!$AA$8, U51&lt;= ($AA$7+$AA$8)), PMT('Amort. Sched.-WORST'!$W$8/12, 'Amort. Sched.-WORST'!$AA$7, 'Amort. Sched.-WORST'!$W$7), 0)</f>
        <v>0</v>
      </c>
      <c r="W51" s="5">
        <f>IF(AND(U51&gt;='Amort. Sched.-WORST'!$AA$8, U51&lt;= ($AA$7+$AA$8)), (IPMT($W$8/12, (U51-$AA$8), $AA$7, $W$7)), 0)</f>
        <v>0</v>
      </c>
      <c r="X51" s="5">
        <f>IF(AND(U51&gt;='Amort. Sched.-WORST'!$AA$8, U51&lt;= ($AA$7+$AA$8)), (PPMT($W$8/12, (U51-$AA$8), $AA$7, $W$7)), 0)</f>
        <v>0</v>
      </c>
      <c r="Y51" s="5">
        <f>IF(CreditAmort2WORST[[#This Row],[Month]]=AA$8,W$7,0)</f>
        <v>0</v>
      </c>
      <c r="Z51" s="13">
        <f>IF(AND(U51&gt;='Amort. Sched.-WORST'!$AA$8, U51&lt;= ($AA$7+$AA$8)), Z50+X51, 0)</f>
        <v>0</v>
      </c>
      <c r="AA51" s="6" t="str">
        <f>IF(AND(U51&gt;='Amort. Sched.-WORST'!$AA$8, U51&lt;= ($AA$7+$AA$8)), W51/V51, " ")</f>
        <v xml:space="preserve"> </v>
      </c>
      <c r="AB51" s="21" t="str">
        <f>IF(AND(U51&gt;='Amort. Sched.-WORST'!$AA$8, U51&lt;= ($AA$7+$AA$8)), X51/V51, " ")</f>
        <v xml:space="preserve"> </v>
      </c>
      <c r="AD51" s="20">
        <f t="shared" si="3"/>
        <v>40</v>
      </c>
      <c r="AE51" s="5">
        <f t="shared" si="4"/>
        <v>0</v>
      </c>
      <c r="AF51" s="5">
        <f t="shared" si="5"/>
        <v>0</v>
      </c>
      <c r="AG51" s="5">
        <f t="shared" si="6"/>
        <v>0</v>
      </c>
      <c r="AH51" s="5">
        <f>IF(CreditAmort3WORST[[#This Row],[Month]]=AJ$8,AF$7,0)</f>
        <v>0</v>
      </c>
      <c r="AI51" s="13">
        <f t="shared" si="7"/>
        <v>0</v>
      </c>
      <c r="AJ51" s="6" t="str">
        <f t="shared" si="8"/>
        <v xml:space="preserve"> </v>
      </c>
      <c r="AK51" s="21" t="str">
        <f t="shared" si="9"/>
        <v xml:space="preserve"> </v>
      </c>
      <c r="AM51" s="20">
        <f t="shared" si="10"/>
        <v>40</v>
      </c>
      <c r="AN51" s="5">
        <f t="shared" si="11"/>
        <v>0</v>
      </c>
      <c r="AO51" s="5">
        <f t="shared" si="12"/>
        <v>0</v>
      </c>
      <c r="AP51" s="5">
        <f t="shared" si="13"/>
        <v>0</v>
      </c>
      <c r="AQ51" s="5">
        <f>IF(CreditAmort4WORST[[#This Row],[Month]]=AS$8,AO$7,0)</f>
        <v>0</v>
      </c>
      <c r="AR51" s="13">
        <f t="shared" si="14"/>
        <v>0</v>
      </c>
      <c r="AS51" s="6" t="str">
        <f t="shared" si="15"/>
        <v xml:space="preserve"> </v>
      </c>
      <c r="AT51" s="21" t="str">
        <f t="shared" si="16"/>
        <v xml:space="preserve"> </v>
      </c>
    </row>
    <row r="52" spans="3:46">
      <c r="C52" s="22">
        <f t="shared" si="1"/>
        <v>41</v>
      </c>
      <c r="D52" s="23">
        <f>IF(AND(C52&gt;='Amort. Sched.-WORST'!$I$8, C52&lt;= ($I$7+$I$8)), PMT('Amort. Sched.-WORST'!$E$8/12, 'Amort. Sched.-WORST'!$I$7, 'Amort. Sched.-WORST'!$E$7), 0)</f>
        <v>-2026.0175758541329</v>
      </c>
      <c r="E52" s="5">
        <f>IF(AND(C52&gt;='Amort. Sched.-WORST'!$I$8, C52&lt;= ($I$7+$I$8)), (IPMT($E$8/12, (C52-$I$8), $I$7, $E$7)), 0)</f>
        <v>-1665.9663724309362</v>
      </c>
      <c r="F52" s="23">
        <f>IF(AND(C52&gt;='Amort. Sched.-WORST'!$I$8, C52&lt;= ($I$7+$I$8)), (PPMT($E$8/12, (C52-$I$8), $I$7, $E$7)), 0)</f>
        <v>-360.05120342319674</v>
      </c>
      <c r="G52" s="5">
        <f>IF(MortgageAmortWORST[[#This Row],[Month]]=I$8,E$7,0)</f>
        <v>0</v>
      </c>
      <c r="H52" s="13">
        <f>IF(AND(C52&gt;='Amort. Sched.-WORST'!$I$8, C52&lt;= ($I$7+$I$8)), H51+F52, 0)</f>
        <v>249534.90466121712</v>
      </c>
      <c r="I52" s="24">
        <f>IF(AND(C52&gt;='Amort. Sched.-WORST'!$I$8, C52&lt;= ($I$7+$I$8)), E52/D52, " ")</f>
        <v>0.8222862389180382</v>
      </c>
      <c r="J52" s="25">
        <f>IF(AND(C52&gt;='Amort. Sched.-WORST'!$I$8, C52&lt;= ($I$7+$I$8)), F52/D52, " ")</f>
        <v>0.17771376108196177</v>
      </c>
      <c r="L52" s="20">
        <f t="shared" si="0"/>
        <v>41</v>
      </c>
      <c r="M52" s="5">
        <f>IF(AND(L52&gt;='Amort. Sched.-WORST'!$R$8, L52&lt;= ($R$7+$R$8)), PMT('Amort. Sched.-WORST'!$N$8/12, 'Amort. Sched.-WORST'!$R$7, 'Amort. Sched.-WORST'!$N$7), 0)</f>
        <v>0</v>
      </c>
      <c r="N52" s="5">
        <f>IF(AND(L52&gt;='Amort. Sched.-WORST'!$R$8, L52&lt;= ($R$7+$R$8)), (IPMT($N$8/12, (L52-$R$8), $R$7, $N$7)), 0)</f>
        <v>0</v>
      </c>
      <c r="O52" s="5">
        <f>IF(AND(L52&gt;='Amort. Sched.-WORST'!$R$8, L52&lt;= ($R$7+$R$8)), (PPMT($N$8/12, (L52-$R$8), $R$7, $N$7)), 0)</f>
        <v>0</v>
      </c>
      <c r="P52" s="5">
        <f>IF(CreditAmort1WORST[[#This Row],[Month]]=R$8,N$7,0)</f>
        <v>0</v>
      </c>
      <c r="Q52" s="13">
        <f>IF(AND(L52&gt;='Amort. Sched.-WORST'!$R$8, L52&lt;= ($R$7+$R$8)), Q51+O52, 0)</f>
        <v>0</v>
      </c>
      <c r="R52" s="6" t="str">
        <f>IF(AND(L52&gt;='Amort. Sched.-WORST'!$R$8, L52&lt;= ($R$7+$R$8)), N52/M52, " ")</f>
        <v xml:space="preserve"> </v>
      </c>
      <c r="S52" s="21" t="str">
        <f>IF(AND(L52&gt;='Amort. Sched.-WORST'!$R$8, L52&lt;= ($R$7+$R$8)), O52/M52, " ")</f>
        <v xml:space="preserve"> </v>
      </c>
      <c r="U52" s="20">
        <f t="shared" si="2"/>
        <v>41</v>
      </c>
      <c r="V52" s="5">
        <f>IF(AND(U52&gt;='Amort. Sched.-WORST'!$AA$8, U52&lt;= ($AA$7+$AA$8)), PMT('Amort. Sched.-WORST'!$W$8/12, 'Amort. Sched.-WORST'!$AA$7, 'Amort. Sched.-WORST'!$W$7), 0)</f>
        <v>0</v>
      </c>
      <c r="W52" s="5">
        <f>IF(AND(U52&gt;='Amort. Sched.-WORST'!$AA$8, U52&lt;= ($AA$7+$AA$8)), (IPMT($W$8/12, (U52-$AA$8), $AA$7, $W$7)), 0)</f>
        <v>0</v>
      </c>
      <c r="X52" s="5">
        <f>IF(AND(U52&gt;='Amort. Sched.-WORST'!$AA$8, U52&lt;= ($AA$7+$AA$8)), (PPMT($W$8/12, (U52-$AA$8), $AA$7, $W$7)), 0)</f>
        <v>0</v>
      </c>
      <c r="Y52" s="5">
        <f>IF(CreditAmort2WORST[[#This Row],[Month]]=AA$8,W$7,0)</f>
        <v>0</v>
      </c>
      <c r="Z52" s="13">
        <f>IF(AND(U52&gt;='Amort. Sched.-WORST'!$AA$8, U52&lt;= ($AA$7+$AA$8)), Z51+X52, 0)</f>
        <v>0</v>
      </c>
      <c r="AA52" s="6" t="str">
        <f>IF(AND(U52&gt;='Amort. Sched.-WORST'!$AA$8, U52&lt;= ($AA$7+$AA$8)), W52/V52, " ")</f>
        <v xml:space="preserve"> </v>
      </c>
      <c r="AB52" s="21" t="str">
        <f>IF(AND(U52&gt;='Amort. Sched.-WORST'!$AA$8, U52&lt;= ($AA$7+$AA$8)), X52/V52, " ")</f>
        <v xml:space="preserve"> </v>
      </c>
      <c r="AD52" s="20">
        <f t="shared" si="3"/>
        <v>41</v>
      </c>
      <c r="AE52" s="5">
        <f t="shared" si="4"/>
        <v>0</v>
      </c>
      <c r="AF52" s="5">
        <f t="shared" si="5"/>
        <v>0</v>
      </c>
      <c r="AG52" s="5">
        <f t="shared" si="6"/>
        <v>0</v>
      </c>
      <c r="AH52" s="5">
        <f>IF(CreditAmort3WORST[[#This Row],[Month]]=AJ$8,AF$7,0)</f>
        <v>0</v>
      </c>
      <c r="AI52" s="13">
        <f t="shared" si="7"/>
        <v>0</v>
      </c>
      <c r="AJ52" s="6" t="str">
        <f t="shared" si="8"/>
        <v xml:space="preserve"> </v>
      </c>
      <c r="AK52" s="21" t="str">
        <f t="shared" si="9"/>
        <v xml:space="preserve"> </v>
      </c>
      <c r="AM52" s="20">
        <f t="shared" si="10"/>
        <v>41</v>
      </c>
      <c r="AN52" s="5">
        <f t="shared" si="11"/>
        <v>0</v>
      </c>
      <c r="AO52" s="5">
        <f t="shared" si="12"/>
        <v>0</v>
      </c>
      <c r="AP52" s="5">
        <f t="shared" si="13"/>
        <v>0</v>
      </c>
      <c r="AQ52" s="5">
        <f>IF(CreditAmort4WORST[[#This Row],[Month]]=AS$8,AO$7,0)</f>
        <v>0</v>
      </c>
      <c r="AR52" s="13">
        <f t="shared" si="14"/>
        <v>0</v>
      </c>
      <c r="AS52" s="6" t="str">
        <f t="shared" si="15"/>
        <v xml:space="preserve"> </v>
      </c>
      <c r="AT52" s="21" t="str">
        <f t="shared" si="16"/>
        <v xml:space="preserve"> </v>
      </c>
    </row>
    <row r="53" spans="3:46">
      <c r="C53" s="22">
        <f t="shared" si="1"/>
        <v>42</v>
      </c>
      <c r="D53" s="23">
        <f>IF(AND(C53&gt;='Amort. Sched.-WORST'!$I$8, C53&lt;= ($I$7+$I$8)), PMT('Amort. Sched.-WORST'!$E$8/12, 'Amort. Sched.-WORST'!$I$7, 'Amort. Sched.-WORST'!$E$7), 0)</f>
        <v>-2026.0175758541329</v>
      </c>
      <c r="E53" s="5">
        <f>IF(AND(C53&gt;='Amort. Sched.-WORST'!$I$8, C53&lt;= ($I$7+$I$8)), (IPMT($E$8/12, (C53-$I$8), $I$7, $E$7)), 0)</f>
        <v>-1663.5660310747814</v>
      </c>
      <c r="F53" s="23">
        <f>IF(AND(C53&gt;='Amort. Sched.-WORST'!$I$8, C53&lt;= ($I$7+$I$8)), (PPMT($E$8/12, (C53-$I$8), $I$7, $E$7)), 0)</f>
        <v>-362.45154477935148</v>
      </c>
      <c r="G53" s="5">
        <f>IF(MortgageAmortWORST[[#This Row],[Month]]=I$8,E$7,0)</f>
        <v>0</v>
      </c>
      <c r="H53" s="13">
        <f>IF(AND(C53&gt;='Amort. Sched.-WORST'!$I$8, C53&lt;= ($I$7+$I$8)), H52+F53, 0)</f>
        <v>249172.45311643777</v>
      </c>
      <c r="I53" s="24">
        <f>IF(AND(C53&gt;='Amort. Sched.-WORST'!$I$8, C53&lt;= ($I$7+$I$8)), E53/D53, " ")</f>
        <v>0.8211014805108251</v>
      </c>
      <c r="J53" s="25">
        <f>IF(AND(C53&gt;='Amort. Sched.-WORST'!$I$8, C53&lt;= ($I$7+$I$8)), F53/D53, " ")</f>
        <v>0.1788985194891749</v>
      </c>
      <c r="L53" s="20">
        <f t="shared" si="0"/>
        <v>42</v>
      </c>
      <c r="M53" s="5">
        <f>IF(AND(L53&gt;='Amort. Sched.-WORST'!$R$8, L53&lt;= ($R$7+$R$8)), PMT('Amort. Sched.-WORST'!$N$8/12, 'Amort. Sched.-WORST'!$R$7, 'Amort. Sched.-WORST'!$N$7), 0)</f>
        <v>0</v>
      </c>
      <c r="N53" s="5">
        <f>IF(AND(L53&gt;='Amort. Sched.-WORST'!$R$8, L53&lt;= ($R$7+$R$8)), (IPMT($N$8/12, (L53-$R$8), $R$7, $N$7)), 0)</f>
        <v>0</v>
      </c>
      <c r="O53" s="5">
        <f>IF(AND(L53&gt;='Amort. Sched.-WORST'!$R$8, L53&lt;= ($R$7+$R$8)), (PPMT($N$8/12, (L53-$R$8), $R$7, $N$7)), 0)</f>
        <v>0</v>
      </c>
      <c r="P53" s="5">
        <f>IF(CreditAmort1WORST[[#This Row],[Month]]=R$8,N$7,0)</f>
        <v>0</v>
      </c>
      <c r="Q53" s="13">
        <f>IF(AND(L53&gt;='Amort. Sched.-WORST'!$R$8, L53&lt;= ($R$7+$R$8)), Q52+O53, 0)</f>
        <v>0</v>
      </c>
      <c r="R53" s="6" t="str">
        <f>IF(AND(L53&gt;='Amort. Sched.-WORST'!$R$8, L53&lt;= ($R$7+$R$8)), N53/M53, " ")</f>
        <v xml:space="preserve"> </v>
      </c>
      <c r="S53" s="21" t="str">
        <f>IF(AND(L53&gt;='Amort. Sched.-WORST'!$R$8, L53&lt;= ($R$7+$R$8)), O53/M53, " ")</f>
        <v xml:space="preserve"> </v>
      </c>
      <c r="U53" s="20">
        <f t="shared" si="2"/>
        <v>42</v>
      </c>
      <c r="V53" s="5">
        <f>IF(AND(U53&gt;='Amort. Sched.-WORST'!$AA$8, U53&lt;= ($AA$7+$AA$8)), PMT('Amort. Sched.-WORST'!$W$8/12, 'Amort. Sched.-WORST'!$AA$7, 'Amort. Sched.-WORST'!$W$7), 0)</f>
        <v>0</v>
      </c>
      <c r="W53" s="5">
        <f>IF(AND(U53&gt;='Amort. Sched.-WORST'!$AA$8, U53&lt;= ($AA$7+$AA$8)), (IPMT($W$8/12, (U53-$AA$8), $AA$7, $W$7)), 0)</f>
        <v>0</v>
      </c>
      <c r="X53" s="5">
        <f>IF(AND(U53&gt;='Amort. Sched.-WORST'!$AA$8, U53&lt;= ($AA$7+$AA$8)), (PPMT($W$8/12, (U53-$AA$8), $AA$7, $W$7)), 0)</f>
        <v>0</v>
      </c>
      <c r="Y53" s="5">
        <f>IF(CreditAmort2WORST[[#This Row],[Month]]=AA$8,W$7,0)</f>
        <v>0</v>
      </c>
      <c r="Z53" s="13">
        <f>IF(AND(U53&gt;='Amort. Sched.-WORST'!$AA$8, U53&lt;= ($AA$7+$AA$8)), Z52+X53, 0)</f>
        <v>0</v>
      </c>
      <c r="AA53" s="6" t="str">
        <f>IF(AND(U53&gt;='Amort. Sched.-WORST'!$AA$8, U53&lt;= ($AA$7+$AA$8)), W53/V53, " ")</f>
        <v xml:space="preserve"> </v>
      </c>
      <c r="AB53" s="21" t="str">
        <f>IF(AND(U53&gt;='Amort. Sched.-WORST'!$AA$8, U53&lt;= ($AA$7+$AA$8)), X53/V53, " ")</f>
        <v xml:space="preserve"> </v>
      </c>
      <c r="AD53" s="20">
        <f t="shared" si="3"/>
        <v>42</v>
      </c>
      <c r="AE53" s="5">
        <f t="shared" si="4"/>
        <v>0</v>
      </c>
      <c r="AF53" s="5">
        <f t="shared" si="5"/>
        <v>0</v>
      </c>
      <c r="AG53" s="5">
        <f t="shared" si="6"/>
        <v>0</v>
      </c>
      <c r="AH53" s="5">
        <f>IF(CreditAmort3WORST[[#This Row],[Month]]=AJ$8,AF$7,0)</f>
        <v>0</v>
      </c>
      <c r="AI53" s="13">
        <f t="shared" si="7"/>
        <v>0</v>
      </c>
      <c r="AJ53" s="6" t="str">
        <f t="shared" si="8"/>
        <v xml:space="preserve"> </v>
      </c>
      <c r="AK53" s="21" t="str">
        <f t="shared" si="9"/>
        <v xml:space="preserve"> </v>
      </c>
      <c r="AM53" s="20">
        <f t="shared" si="10"/>
        <v>42</v>
      </c>
      <c r="AN53" s="5">
        <f t="shared" si="11"/>
        <v>0</v>
      </c>
      <c r="AO53" s="5">
        <f t="shared" si="12"/>
        <v>0</v>
      </c>
      <c r="AP53" s="5">
        <f t="shared" si="13"/>
        <v>0</v>
      </c>
      <c r="AQ53" s="5">
        <f>IF(CreditAmort4WORST[[#This Row],[Month]]=AS$8,AO$7,0)</f>
        <v>0</v>
      </c>
      <c r="AR53" s="13">
        <f t="shared" si="14"/>
        <v>0</v>
      </c>
      <c r="AS53" s="6" t="str">
        <f t="shared" si="15"/>
        <v xml:space="preserve"> </v>
      </c>
      <c r="AT53" s="21" t="str">
        <f t="shared" si="16"/>
        <v xml:space="preserve"> </v>
      </c>
    </row>
    <row r="54" spans="3:46">
      <c r="C54" s="22">
        <f t="shared" si="1"/>
        <v>43</v>
      </c>
      <c r="D54" s="23">
        <f>IF(AND(C54&gt;='Amort. Sched.-WORST'!$I$8, C54&lt;= ($I$7+$I$8)), PMT('Amort. Sched.-WORST'!$E$8/12, 'Amort. Sched.-WORST'!$I$7, 'Amort. Sched.-WORST'!$E$7), 0)</f>
        <v>-2026.0175758541329</v>
      </c>
      <c r="E54" s="5">
        <f>IF(AND(C54&gt;='Amort. Sched.-WORST'!$I$8, C54&lt;= ($I$7+$I$8)), (IPMT($E$8/12, (C54-$I$8), $I$7, $E$7)), 0)</f>
        <v>-1661.1496874429195</v>
      </c>
      <c r="F54" s="23">
        <f>IF(AND(C54&gt;='Amort. Sched.-WORST'!$I$8, C54&lt;= ($I$7+$I$8)), (PPMT($E$8/12, (C54-$I$8), $I$7, $E$7)), 0)</f>
        <v>-364.86788841121381</v>
      </c>
      <c r="G54" s="5">
        <f>IF(MortgageAmortWORST[[#This Row],[Month]]=I$8,E$7,0)</f>
        <v>0</v>
      </c>
      <c r="H54" s="13">
        <f>IF(AND(C54&gt;='Amort. Sched.-WORST'!$I$8, C54&lt;= ($I$7+$I$8)), H53+F54, 0)</f>
        <v>248807.58522802655</v>
      </c>
      <c r="I54" s="24">
        <f>IF(AND(C54&gt;='Amort. Sched.-WORST'!$I$8, C54&lt;= ($I$7+$I$8)), E54/D54, " ")</f>
        <v>0.81990882371423079</v>
      </c>
      <c r="J54" s="25">
        <f>IF(AND(C54&gt;='Amort. Sched.-WORST'!$I$8, C54&lt;= ($I$7+$I$8)), F54/D54, " ")</f>
        <v>0.1800911762857694</v>
      </c>
      <c r="L54" s="20">
        <f t="shared" si="0"/>
        <v>43</v>
      </c>
      <c r="M54" s="5">
        <f>IF(AND(L54&gt;='Amort. Sched.-WORST'!$R$8, L54&lt;= ($R$7+$R$8)), PMT('Amort. Sched.-WORST'!$N$8/12, 'Amort. Sched.-WORST'!$R$7, 'Amort. Sched.-WORST'!$N$7), 0)</f>
        <v>0</v>
      </c>
      <c r="N54" s="5">
        <f>IF(AND(L54&gt;='Amort. Sched.-WORST'!$R$8, L54&lt;= ($R$7+$R$8)), (IPMT($N$8/12, (L54-$R$8), $R$7, $N$7)), 0)</f>
        <v>0</v>
      </c>
      <c r="O54" s="5">
        <f>IF(AND(L54&gt;='Amort. Sched.-WORST'!$R$8, L54&lt;= ($R$7+$R$8)), (PPMT($N$8/12, (L54-$R$8), $R$7, $N$7)), 0)</f>
        <v>0</v>
      </c>
      <c r="P54" s="5">
        <f>IF(CreditAmort1WORST[[#This Row],[Month]]=R$8,N$7,0)</f>
        <v>0</v>
      </c>
      <c r="Q54" s="13">
        <f>IF(AND(L54&gt;='Amort. Sched.-WORST'!$R$8, L54&lt;= ($R$7+$R$8)), Q53+O54, 0)</f>
        <v>0</v>
      </c>
      <c r="R54" s="6" t="str">
        <f>IF(AND(L54&gt;='Amort. Sched.-WORST'!$R$8, L54&lt;= ($R$7+$R$8)), N54/M54, " ")</f>
        <v xml:space="preserve"> </v>
      </c>
      <c r="S54" s="21" t="str">
        <f>IF(AND(L54&gt;='Amort. Sched.-WORST'!$R$8, L54&lt;= ($R$7+$R$8)), O54/M54, " ")</f>
        <v xml:space="preserve"> </v>
      </c>
      <c r="U54" s="20">
        <f t="shared" si="2"/>
        <v>43</v>
      </c>
      <c r="V54" s="5">
        <f>IF(AND(U54&gt;='Amort. Sched.-WORST'!$AA$8, U54&lt;= ($AA$7+$AA$8)), PMT('Amort. Sched.-WORST'!$W$8/12, 'Amort. Sched.-WORST'!$AA$7, 'Amort. Sched.-WORST'!$W$7), 0)</f>
        <v>0</v>
      </c>
      <c r="W54" s="5">
        <f>IF(AND(U54&gt;='Amort. Sched.-WORST'!$AA$8, U54&lt;= ($AA$7+$AA$8)), (IPMT($W$8/12, (U54-$AA$8), $AA$7, $W$7)), 0)</f>
        <v>0</v>
      </c>
      <c r="X54" s="5">
        <f>IF(AND(U54&gt;='Amort. Sched.-WORST'!$AA$8, U54&lt;= ($AA$7+$AA$8)), (PPMT($W$8/12, (U54-$AA$8), $AA$7, $W$7)), 0)</f>
        <v>0</v>
      </c>
      <c r="Y54" s="5">
        <f>IF(CreditAmort2WORST[[#This Row],[Month]]=AA$8,W$7,0)</f>
        <v>0</v>
      </c>
      <c r="Z54" s="13">
        <f>IF(AND(U54&gt;='Amort. Sched.-WORST'!$AA$8, U54&lt;= ($AA$7+$AA$8)), Z53+X54, 0)</f>
        <v>0</v>
      </c>
      <c r="AA54" s="6" t="str">
        <f>IF(AND(U54&gt;='Amort. Sched.-WORST'!$AA$8, U54&lt;= ($AA$7+$AA$8)), W54/V54, " ")</f>
        <v xml:space="preserve"> </v>
      </c>
      <c r="AB54" s="21" t="str">
        <f>IF(AND(U54&gt;='Amort. Sched.-WORST'!$AA$8, U54&lt;= ($AA$7+$AA$8)), X54/V54, " ")</f>
        <v xml:space="preserve"> </v>
      </c>
      <c r="AD54" s="20">
        <f t="shared" si="3"/>
        <v>43</v>
      </c>
      <c r="AE54" s="5">
        <f t="shared" si="4"/>
        <v>0</v>
      </c>
      <c r="AF54" s="5">
        <f t="shared" si="5"/>
        <v>0</v>
      </c>
      <c r="AG54" s="5">
        <f t="shared" si="6"/>
        <v>0</v>
      </c>
      <c r="AH54" s="5">
        <f>IF(CreditAmort3WORST[[#This Row],[Month]]=AJ$8,AF$7,0)</f>
        <v>0</v>
      </c>
      <c r="AI54" s="13">
        <f t="shared" si="7"/>
        <v>0</v>
      </c>
      <c r="AJ54" s="6" t="str">
        <f t="shared" si="8"/>
        <v xml:space="preserve"> </v>
      </c>
      <c r="AK54" s="21" t="str">
        <f t="shared" si="9"/>
        <v xml:space="preserve"> </v>
      </c>
      <c r="AM54" s="20">
        <f t="shared" si="10"/>
        <v>43</v>
      </c>
      <c r="AN54" s="5">
        <f t="shared" si="11"/>
        <v>0</v>
      </c>
      <c r="AO54" s="5">
        <f t="shared" si="12"/>
        <v>0</v>
      </c>
      <c r="AP54" s="5">
        <f t="shared" si="13"/>
        <v>0</v>
      </c>
      <c r="AQ54" s="5">
        <f>IF(CreditAmort4WORST[[#This Row],[Month]]=AS$8,AO$7,0)</f>
        <v>0</v>
      </c>
      <c r="AR54" s="13">
        <f t="shared" si="14"/>
        <v>0</v>
      </c>
      <c r="AS54" s="6" t="str">
        <f t="shared" si="15"/>
        <v xml:space="preserve"> </v>
      </c>
      <c r="AT54" s="21" t="str">
        <f t="shared" si="16"/>
        <v xml:space="preserve"> </v>
      </c>
    </row>
    <row r="55" spans="3:46">
      <c r="C55" s="22">
        <f t="shared" si="1"/>
        <v>44</v>
      </c>
      <c r="D55" s="23">
        <f>IF(AND(C55&gt;='Amort. Sched.-WORST'!$I$8, C55&lt;= ($I$7+$I$8)), PMT('Amort. Sched.-WORST'!$E$8/12, 'Amort. Sched.-WORST'!$I$7, 'Amort. Sched.-WORST'!$E$7), 0)</f>
        <v>-2026.0175758541329</v>
      </c>
      <c r="E55" s="5">
        <f>IF(AND(C55&gt;='Amort. Sched.-WORST'!$I$8, C55&lt;= ($I$7+$I$8)), (IPMT($E$8/12, (C55-$I$8), $I$7, $E$7)), 0)</f>
        <v>-1658.7172348535112</v>
      </c>
      <c r="F55" s="23">
        <f>IF(AND(C55&gt;='Amort. Sched.-WORST'!$I$8, C55&lt;= ($I$7+$I$8)), (PPMT($E$8/12, (C55-$I$8), $I$7, $E$7)), 0)</f>
        <v>-367.30034100062187</v>
      </c>
      <c r="G55" s="5">
        <f>IF(MortgageAmortWORST[[#This Row],[Month]]=I$8,E$7,0)</f>
        <v>0</v>
      </c>
      <c r="H55" s="13">
        <f>IF(AND(C55&gt;='Amort. Sched.-WORST'!$I$8, C55&lt;= ($I$7+$I$8)), H54+F55, 0)</f>
        <v>248440.28488702592</v>
      </c>
      <c r="I55" s="24">
        <f>IF(AND(C55&gt;='Amort. Sched.-WORST'!$I$8, C55&lt;= ($I$7+$I$8)), E55/D55, " ")</f>
        <v>0.81870821587232556</v>
      </c>
      <c r="J55" s="25">
        <f>IF(AND(C55&gt;='Amort. Sched.-WORST'!$I$8, C55&lt;= ($I$7+$I$8)), F55/D55, " ")</f>
        <v>0.18129178412767449</v>
      </c>
      <c r="L55" s="20">
        <f t="shared" si="0"/>
        <v>44</v>
      </c>
      <c r="M55" s="5">
        <f>IF(AND(L55&gt;='Amort. Sched.-WORST'!$R$8, L55&lt;= ($R$7+$R$8)), PMT('Amort. Sched.-WORST'!$N$8/12, 'Amort. Sched.-WORST'!$R$7, 'Amort. Sched.-WORST'!$N$7), 0)</f>
        <v>0</v>
      </c>
      <c r="N55" s="5">
        <f>IF(AND(L55&gt;='Amort. Sched.-WORST'!$R$8, L55&lt;= ($R$7+$R$8)), (IPMT($N$8/12, (L55-$R$8), $R$7, $N$7)), 0)</f>
        <v>0</v>
      </c>
      <c r="O55" s="5">
        <f>IF(AND(L55&gt;='Amort. Sched.-WORST'!$R$8, L55&lt;= ($R$7+$R$8)), (PPMT($N$8/12, (L55-$R$8), $R$7, $N$7)), 0)</f>
        <v>0</v>
      </c>
      <c r="P55" s="5">
        <f>IF(CreditAmort1WORST[[#This Row],[Month]]=R$8,N$7,0)</f>
        <v>0</v>
      </c>
      <c r="Q55" s="13">
        <f>IF(AND(L55&gt;='Amort. Sched.-WORST'!$R$8, L55&lt;= ($R$7+$R$8)), Q54+O55, 0)</f>
        <v>0</v>
      </c>
      <c r="R55" s="6" t="str">
        <f>IF(AND(L55&gt;='Amort. Sched.-WORST'!$R$8, L55&lt;= ($R$7+$R$8)), N55/M55, " ")</f>
        <v xml:space="preserve"> </v>
      </c>
      <c r="S55" s="21" t="str">
        <f>IF(AND(L55&gt;='Amort. Sched.-WORST'!$R$8, L55&lt;= ($R$7+$R$8)), O55/M55, " ")</f>
        <v xml:space="preserve"> </v>
      </c>
      <c r="U55" s="20">
        <f t="shared" si="2"/>
        <v>44</v>
      </c>
      <c r="V55" s="5">
        <f>IF(AND(U55&gt;='Amort. Sched.-WORST'!$AA$8, U55&lt;= ($AA$7+$AA$8)), PMT('Amort. Sched.-WORST'!$W$8/12, 'Amort. Sched.-WORST'!$AA$7, 'Amort. Sched.-WORST'!$W$7), 0)</f>
        <v>0</v>
      </c>
      <c r="W55" s="5">
        <f>IF(AND(U55&gt;='Amort. Sched.-WORST'!$AA$8, U55&lt;= ($AA$7+$AA$8)), (IPMT($W$8/12, (U55-$AA$8), $AA$7, $W$7)), 0)</f>
        <v>0</v>
      </c>
      <c r="X55" s="5">
        <f>IF(AND(U55&gt;='Amort. Sched.-WORST'!$AA$8, U55&lt;= ($AA$7+$AA$8)), (PPMT($W$8/12, (U55-$AA$8), $AA$7, $W$7)), 0)</f>
        <v>0</v>
      </c>
      <c r="Y55" s="5">
        <f>IF(CreditAmort2WORST[[#This Row],[Month]]=AA$8,W$7,0)</f>
        <v>0</v>
      </c>
      <c r="Z55" s="13">
        <f>IF(AND(U55&gt;='Amort. Sched.-WORST'!$AA$8, U55&lt;= ($AA$7+$AA$8)), Z54+X55, 0)</f>
        <v>0</v>
      </c>
      <c r="AA55" s="6" t="str">
        <f>IF(AND(U55&gt;='Amort. Sched.-WORST'!$AA$8, U55&lt;= ($AA$7+$AA$8)), W55/V55, " ")</f>
        <v xml:space="preserve"> </v>
      </c>
      <c r="AB55" s="21" t="str">
        <f>IF(AND(U55&gt;='Amort. Sched.-WORST'!$AA$8, U55&lt;= ($AA$7+$AA$8)), X55/V55, " ")</f>
        <v xml:space="preserve"> </v>
      </c>
      <c r="AD55" s="20">
        <f t="shared" si="3"/>
        <v>44</v>
      </c>
      <c r="AE55" s="5">
        <f t="shared" si="4"/>
        <v>0</v>
      </c>
      <c r="AF55" s="5">
        <f t="shared" si="5"/>
        <v>0</v>
      </c>
      <c r="AG55" s="5">
        <f t="shared" si="6"/>
        <v>0</v>
      </c>
      <c r="AH55" s="5">
        <f>IF(CreditAmort3WORST[[#This Row],[Month]]=AJ$8,AF$7,0)</f>
        <v>0</v>
      </c>
      <c r="AI55" s="13">
        <f t="shared" si="7"/>
        <v>0</v>
      </c>
      <c r="AJ55" s="6" t="str">
        <f t="shared" si="8"/>
        <v xml:space="preserve"> </v>
      </c>
      <c r="AK55" s="21" t="str">
        <f t="shared" si="9"/>
        <v xml:space="preserve"> </v>
      </c>
      <c r="AM55" s="20">
        <f t="shared" si="10"/>
        <v>44</v>
      </c>
      <c r="AN55" s="5">
        <f t="shared" si="11"/>
        <v>0</v>
      </c>
      <c r="AO55" s="5">
        <f t="shared" si="12"/>
        <v>0</v>
      </c>
      <c r="AP55" s="5">
        <f t="shared" si="13"/>
        <v>0</v>
      </c>
      <c r="AQ55" s="5">
        <f>IF(CreditAmort4WORST[[#This Row],[Month]]=AS$8,AO$7,0)</f>
        <v>0</v>
      </c>
      <c r="AR55" s="13">
        <f t="shared" si="14"/>
        <v>0</v>
      </c>
      <c r="AS55" s="6" t="str">
        <f t="shared" si="15"/>
        <v xml:space="preserve"> </v>
      </c>
      <c r="AT55" s="21" t="str">
        <f t="shared" si="16"/>
        <v xml:space="preserve"> </v>
      </c>
    </row>
    <row r="56" spans="3:46">
      <c r="C56" s="22">
        <f t="shared" si="1"/>
        <v>45</v>
      </c>
      <c r="D56" s="23">
        <f>IF(AND(C56&gt;='Amort. Sched.-WORST'!$I$8, C56&lt;= ($I$7+$I$8)), PMT('Amort. Sched.-WORST'!$E$8/12, 'Amort. Sched.-WORST'!$I$7, 'Amort. Sched.-WORST'!$E$7), 0)</f>
        <v>-2026.0175758541329</v>
      </c>
      <c r="E56" s="5">
        <f>IF(AND(C56&gt;='Amort. Sched.-WORST'!$I$8, C56&lt;= ($I$7+$I$8)), (IPMT($E$8/12, (C56-$I$8), $I$7, $E$7)), 0)</f>
        <v>-1656.268565913507</v>
      </c>
      <c r="F56" s="23">
        <f>IF(AND(C56&gt;='Amort. Sched.-WORST'!$I$8, C56&lt;= ($I$7+$I$8)), (PPMT($E$8/12, (C56-$I$8), $I$7, $E$7)), 0)</f>
        <v>-369.74900994062602</v>
      </c>
      <c r="G56" s="5">
        <f>IF(MortgageAmortWORST[[#This Row],[Month]]=I$8,E$7,0)</f>
        <v>0</v>
      </c>
      <c r="H56" s="13">
        <f>IF(AND(C56&gt;='Amort. Sched.-WORST'!$I$8, C56&lt;= ($I$7+$I$8)), H55+F56, 0)</f>
        <v>248070.53587708529</v>
      </c>
      <c r="I56" s="24">
        <f>IF(AND(C56&gt;='Amort. Sched.-WORST'!$I$8, C56&lt;= ($I$7+$I$8)), E56/D56, " ")</f>
        <v>0.81749960397814103</v>
      </c>
      <c r="J56" s="25">
        <f>IF(AND(C56&gt;='Amort. Sched.-WORST'!$I$8, C56&lt;= ($I$7+$I$8)), F56/D56, " ")</f>
        <v>0.182500396021859</v>
      </c>
      <c r="L56" s="20">
        <f t="shared" si="0"/>
        <v>45</v>
      </c>
      <c r="M56" s="5">
        <f>IF(AND(L56&gt;='Amort. Sched.-WORST'!$R$8, L56&lt;= ($R$7+$R$8)), PMT('Amort. Sched.-WORST'!$N$8/12, 'Amort. Sched.-WORST'!$R$7, 'Amort. Sched.-WORST'!$N$7), 0)</f>
        <v>0</v>
      </c>
      <c r="N56" s="5">
        <f>IF(AND(L56&gt;='Amort. Sched.-WORST'!$R$8, L56&lt;= ($R$7+$R$8)), (IPMT($N$8/12, (L56-$R$8), $R$7, $N$7)), 0)</f>
        <v>0</v>
      </c>
      <c r="O56" s="5">
        <f>IF(AND(L56&gt;='Amort. Sched.-WORST'!$R$8, L56&lt;= ($R$7+$R$8)), (PPMT($N$8/12, (L56-$R$8), $R$7, $N$7)), 0)</f>
        <v>0</v>
      </c>
      <c r="P56" s="5">
        <f>IF(CreditAmort1WORST[[#This Row],[Month]]=R$8,N$7,0)</f>
        <v>0</v>
      </c>
      <c r="Q56" s="13">
        <f>IF(AND(L56&gt;='Amort. Sched.-WORST'!$R$8, L56&lt;= ($R$7+$R$8)), Q55+O56, 0)</f>
        <v>0</v>
      </c>
      <c r="R56" s="6" t="str">
        <f>IF(AND(L56&gt;='Amort. Sched.-WORST'!$R$8, L56&lt;= ($R$7+$R$8)), N56/M56, " ")</f>
        <v xml:space="preserve"> </v>
      </c>
      <c r="S56" s="21" t="str">
        <f>IF(AND(L56&gt;='Amort. Sched.-WORST'!$R$8, L56&lt;= ($R$7+$R$8)), O56/M56, " ")</f>
        <v xml:space="preserve"> </v>
      </c>
      <c r="U56" s="20">
        <f t="shared" si="2"/>
        <v>45</v>
      </c>
      <c r="V56" s="5">
        <f>IF(AND(U56&gt;='Amort. Sched.-WORST'!$AA$8, U56&lt;= ($AA$7+$AA$8)), PMT('Amort. Sched.-WORST'!$W$8/12, 'Amort. Sched.-WORST'!$AA$7, 'Amort. Sched.-WORST'!$W$7), 0)</f>
        <v>0</v>
      </c>
      <c r="W56" s="5">
        <f>IF(AND(U56&gt;='Amort. Sched.-WORST'!$AA$8, U56&lt;= ($AA$7+$AA$8)), (IPMT($W$8/12, (U56-$AA$8), $AA$7, $W$7)), 0)</f>
        <v>0</v>
      </c>
      <c r="X56" s="5">
        <f>IF(AND(U56&gt;='Amort. Sched.-WORST'!$AA$8, U56&lt;= ($AA$7+$AA$8)), (PPMT($W$8/12, (U56-$AA$8), $AA$7, $W$7)), 0)</f>
        <v>0</v>
      </c>
      <c r="Y56" s="5">
        <f>IF(CreditAmort2WORST[[#This Row],[Month]]=AA$8,W$7,0)</f>
        <v>0</v>
      </c>
      <c r="Z56" s="13">
        <f>IF(AND(U56&gt;='Amort. Sched.-WORST'!$AA$8, U56&lt;= ($AA$7+$AA$8)), Z55+X56, 0)</f>
        <v>0</v>
      </c>
      <c r="AA56" s="6" t="str">
        <f>IF(AND(U56&gt;='Amort. Sched.-WORST'!$AA$8, U56&lt;= ($AA$7+$AA$8)), W56/V56, " ")</f>
        <v xml:space="preserve"> </v>
      </c>
      <c r="AB56" s="21" t="str">
        <f>IF(AND(U56&gt;='Amort. Sched.-WORST'!$AA$8, U56&lt;= ($AA$7+$AA$8)), X56/V56, " ")</f>
        <v xml:space="preserve"> </v>
      </c>
      <c r="AD56" s="20">
        <f t="shared" si="3"/>
        <v>45</v>
      </c>
      <c r="AE56" s="5">
        <f t="shared" si="4"/>
        <v>0</v>
      </c>
      <c r="AF56" s="5">
        <f t="shared" si="5"/>
        <v>0</v>
      </c>
      <c r="AG56" s="5">
        <f t="shared" si="6"/>
        <v>0</v>
      </c>
      <c r="AH56" s="5">
        <f>IF(CreditAmort3WORST[[#This Row],[Month]]=AJ$8,AF$7,0)</f>
        <v>0</v>
      </c>
      <c r="AI56" s="13">
        <f t="shared" si="7"/>
        <v>0</v>
      </c>
      <c r="AJ56" s="6" t="str">
        <f t="shared" si="8"/>
        <v xml:space="preserve"> </v>
      </c>
      <c r="AK56" s="21" t="str">
        <f t="shared" si="9"/>
        <v xml:space="preserve"> </v>
      </c>
      <c r="AM56" s="20">
        <f t="shared" si="10"/>
        <v>45</v>
      </c>
      <c r="AN56" s="5">
        <f t="shared" si="11"/>
        <v>0</v>
      </c>
      <c r="AO56" s="5">
        <f t="shared" si="12"/>
        <v>0</v>
      </c>
      <c r="AP56" s="5">
        <f t="shared" si="13"/>
        <v>0</v>
      </c>
      <c r="AQ56" s="5">
        <f>IF(CreditAmort4WORST[[#This Row],[Month]]=AS$8,AO$7,0)</f>
        <v>0</v>
      </c>
      <c r="AR56" s="13">
        <f t="shared" si="14"/>
        <v>0</v>
      </c>
      <c r="AS56" s="6" t="str">
        <f t="shared" si="15"/>
        <v xml:space="preserve"> </v>
      </c>
      <c r="AT56" s="21" t="str">
        <f t="shared" si="16"/>
        <v xml:space="preserve"> </v>
      </c>
    </row>
    <row r="57" spans="3:46">
      <c r="C57" s="22">
        <f t="shared" si="1"/>
        <v>46</v>
      </c>
      <c r="D57" s="23">
        <f>IF(AND(C57&gt;='Amort. Sched.-WORST'!$I$8, C57&lt;= ($I$7+$I$8)), PMT('Amort. Sched.-WORST'!$E$8/12, 'Amort. Sched.-WORST'!$I$7, 'Amort. Sched.-WORST'!$E$7), 0)</f>
        <v>-2026.0175758541329</v>
      </c>
      <c r="E57" s="5">
        <f>IF(AND(C57&gt;='Amort. Sched.-WORST'!$I$8, C57&lt;= ($I$7+$I$8)), (IPMT($E$8/12, (C57-$I$8), $I$7, $E$7)), 0)</f>
        <v>-1653.8035725139027</v>
      </c>
      <c r="F57" s="23">
        <f>IF(AND(C57&gt;='Amort. Sched.-WORST'!$I$8, C57&lt;= ($I$7+$I$8)), (PPMT($E$8/12, (C57-$I$8), $I$7, $E$7)), 0)</f>
        <v>-372.21400334023019</v>
      </c>
      <c r="G57" s="5">
        <f>IF(MortgageAmortWORST[[#This Row],[Month]]=I$8,E$7,0)</f>
        <v>0</v>
      </c>
      <c r="H57" s="13">
        <f>IF(AND(C57&gt;='Amort. Sched.-WORST'!$I$8, C57&lt;= ($I$7+$I$8)), H56+F57, 0)</f>
        <v>247698.32187374507</v>
      </c>
      <c r="I57" s="24">
        <f>IF(AND(C57&gt;='Amort. Sched.-WORST'!$I$8, C57&lt;= ($I$7+$I$8)), E57/D57, " ")</f>
        <v>0.81628293467132862</v>
      </c>
      <c r="J57" s="25">
        <f>IF(AND(C57&gt;='Amort. Sched.-WORST'!$I$8, C57&lt;= ($I$7+$I$8)), F57/D57, " ")</f>
        <v>0.18371706532867141</v>
      </c>
      <c r="L57" s="20">
        <f t="shared" si="0"/>
        <v>46</v>
      </c>
      <c r="M57" s="5">
        <f>IF(AND(L57&gt;='Amort. Sched.-WORST'!$R$8, L57&lt;= ($R$7+$R$8)), PMT('Amort. Sched.-WORST'!$N$8/12, 'Amort. Sched.-WORST'!$R$7, 'Amort. Sched.-WORST'!$N$7), 0)</f>
        <v>0</v>
      </c>
      <c r="N57" s="5">
        <f>IF(AND(L57&gt;='Amort. Sched.-WORST'!$R$8, L57&lt;= ($R$7+$R$8)), (IPMT($N$8/12, (L57-$R$8), $R$7, $N$7)), 0)</f>
        <v>0</v>
      </c>
      <c r="O57" s="5">
        <f>IF(AND(L57&gt;='Amort. Sched.-WORST'!$R$8, L57&lt;= ($R$7+$R$8)), (PPMT($N$8/12, (L57-$R$8), $R$7, $N$7)), 0)</f>
        <v>0</v>
      </c>
      <c r="P57" s="5">
        <f>IF(CreditAmort1WORST[[#This Row],[Month]]=R$8,N$7,0)</f>
        <v>0</v>
      </c>
      <c r="Q57" s="13">
        <f>IF(AND(L57&gt;='Amort. Sched.-WORST'!$R$8, L57&lt;= ($R$7+$R$8)), Q56+O57, 0)</f>
        <v>0</v>
      </c>
      <c r="R57" s="6" t="str">
        <f>IF(AND(L57&gt;='Amort. Sched.-WORST'!$R$8, L57&lt;= ($R$7+$R$8)), N57/M57, " ")</f>
        <v xml:space="preserve"> </v>
      </c>
      <c r="S57" s="21" t="str">
        <f>IF(AND(L57&gt;='Amort. Sched.-WORST'!$R$8, L57&lt;= ($R$7+$R$8)), O57/M57, " ")</f>
        <v xml:space="preserve"> </v>
      </c>
      <c r="U57" s="20">
        <f t="shared" si="2"/>
        <v>46</v>
      </c>
      <c r="V57" s="5">
        <f>IF(AND(U57&gt;='Amort. Sched.-WORST'!$AA$8, U57&lt;= ($AA$7+$AA$8)), PMT('Amort. Sched.-WORST'!$W$8/12, 'Amort. Sched.-WORST'!$AA$7, 'Amort. Sched.-WORST'!$W$7), 0)</f>
        <v>0</v>
      </c>
      <c r="W57" s="5">
        <f>IF(AND(U57&gt;='Amort. Sched.-WORST'!$AA$8, U57&lt;= ($AA$7+$AA$8)), (IPMT($W$8/12, (U57-$AA$8), $AA$7, $W$7)), 0)</f>
        <v>0</v>
      </c>
      <c r="X57" s="5">
        <f>IF(AND(U57&gt;='Amort. Sched.-WORST'!$AA$8, U57&lt;= ($AA$7+$AA$8)), (PPMT($W$8/12, (U57-$AA$8), $AA$7, $W$7)), 0)</f>
        <v>0</v>
      </c>
      <c r="Y57" s="5">
        <f>IF(CreditAmort2WORST[[#This Row],[Month]]=AA$8,W$7,0)</f>
        <v>0</v>
      </c>
      <c r="Z57" s="13">
        <f>IF(AND(U57&gt;='Amort. Sched.-WORST'!$AA$8, U57&lt;= ($AA$7+$AA$8)), Z56+X57, 0)</f>
        <v>0</v>
      </c>
      <c r="AA57" s="6" t="str">
        <f>IF(AND(U57&gt;='Amort. Sched.-WORST'!$AA$8, U57&lt;= ($AA$7+$AA$8)), W57/V57, " ")</f>
        <v xml:space="preserve"> </v>
      </c>
      <c r="AB57" s="21" t="str">
        <f>IF(AND(U57&gt;='Amort. Sched.-WORST'!$AA$8, U57&lt;= ($AA$7+$AA$8)), X57/V57, " ")</f>
        <v xml:space="preserve"> </v>
      </c>
      <c r="AD57" s="20">
        <f t="shared" si="3"/>
        <v>46</v>
      </c>
      <c r="AE57" s="5">
        <f t="shared" si="4"/>
        <v>0</v>
      </c>
      <c r="AF57" s="5">
        <f t="shared" si="5"/>
        <v>0</v>
      </c>
      <c r="AG57" s="5">
        <f t="shared" si="6"/>
        <v>0</v>
      </c>
      <c r="AH57" s="5">
        <f>IF(CreditAmort3WORST[[#This Row],[Month]]=AJ$8,AF$7,0)</f>
        <v>0</v>
      </c>
      <c r="AI57" s="13">
        <f t="shared" si="7"/>
        <v>0</v>
      </c>
      <c r="AJ57" s="6" t="str">
        <f t="shared" si="8"/>
        <v xml:space="preserve"> </v>
      </c>
      <c r="AK57" s="21" t="str">
        <f t="shared" si="9"/>
        <v xml:space="preserve"> </v>
      </c>
      <c r="AM57" s="20">
        <f t="shared" si="10"/>
        <v>46</v>
      </c>
      <c r="AN57" s="5">
        <f t="shared" si="11"/>
        <v>0</v>
      </c>
      <c r="AO57" s="5">
        <f t="shared" si="12"/>
        <v>0</v>
      </c>
      <c r="AP57" s="5">
        <f t="shared" si="13"/>
        <v>0</v>
      </c>
      <c r="AQ57" s="5">
        <f>IF(CreditAmort4WORST[[#This Row],[Month]]=AS$8,AO$7,0)</f>
        <v>0</v>
      </c>
      <c r="AR57" s="13">
        <f t="shared" si="14"/>
        <v>0</v>
      </c>
      <c r="AS57" s="6" t="str">
        <f t="shared" si="15"/>
        <v xml:space="preserve"> </v>
      </c>
      <c r="AT57" s="21" t="str">
        <f t="shared" si="16"/>
        <v xml:space="preserve"> </v>
      </c>
    </row>
    <row r="58" spans="3:46">
      <c r="C58" s="22">
        <f t="shared" si="1"/>
        <v>47</v>
      </c>
      <c r="D58" s="23">
        <f>IF(AND(C58&gt;='Amort. Sched.-WORST'!$I$8, C58&lt;= ($I$7+$I$8)), PMT('Amort. Sched.-WORST'!$E$8/12, 'Amort. Sched.-WORST'!$I$7, 'Amort. Sched.-WORST'!$E$7), 0)</f>
        <v>-2026.0175758541329</v>
      </c>
      <c r="E58" s="5">
        <f>IF(AND(C58&gt;='Amort. Sched.-WORST'!$I$8, C58&lt;= ($I$7+$I$8)), (IPMT($E$8/12, (C58-$I$8), $I$7, $E$7)), 0)</f>
        <v>-1651.3221458249679</v>
      </c>
      <c r="F58" s="23">
        <f>IF(AND(C58&gt;='Amort. Sched.-WORST'!$I$8, C58&lt;= ($I$7+$I$8)), (PPMT($E$8/12, (C58-$I$8), $I$7, $E$7)), 0)</f>
        <v>-374.69543002916504</v>
      </c>
      <c r="G58" s="5">
        <f>IF(MortgageAmortWORST[[#This Row],[Month]]=I$8,E$7,0)</f>
        <v>0</v>
      </c>
      <c r="H58" s="13">
        <f>IF(AND(C58&gt;='Amort. Sched.-WORST'!$I$8, C58&lt;= ($I$7+$I$8)), H57+F58, 0)</f>
        <v>247323.62644371591</v>
      </c>
      <c r="I58" s="24">
        <f>IF(AND(C58&gt;='Amort. Sched.-WORST'!$I$8, C58&lt;= ($I$7+$I$8)), E58/D58, " ")</f>
        <v>0.81505815423580419</v>
      </c>
      <c r="J58" s="25">
        <f>IF(AND(C58&gt;='Amort. Sched.-WORST'!$I$8, C58&lt;= ($I$7+$I$8)), F58/D58, " ")</f>
        <v>0.18494184576419587</v>
      </c>
      <c r="L58" s="20">
        <f t="shared" si="0"/>
        <v>47</v>
      </c>
      <c r="M58" s="5">
        <f>IF(AND(L58&gt;='Amort. Sched.-WORST'!$R$8, L58&lt;= ($R$7+$R$8)), PMT('Amort. Sched.-WORST'!$N$8/12, 'Amort. Sched.-WORST'!$R$7, 'Amort. Sched.-WORST'!$N$7), 0)</f>
        <v>0</v>
      </c>
      <c r="N58" s="5">
        <f>IF(AND(L58&gt;='Amort. Sched.-WORST'!$R$8, L58&lt;= ($R$7+$R$8)), (IPMT($N$8/12, (L58-$R$8), $R$7, $N$7)), 0)</f>
        <v>0</v>
      </c>
      <c r="O58" s="5">
        <f>IF(AND(L58&gt;='Amort. Sched.-WORST'!$R$8, L58&lt;= ($R$7+$R$8)), (PPMT($N$8/12, (L58-$R$8), $R$7, $N$7)), 0)</f>
        <v>0</v>
      </c>
      <c r="P58" s="5">
        <f>IF(CreditAmort1WORST[[#This Row],[Month]]=R$8,N$7,0)</f>
        <v>0</v>
      </c>
      <c r="Q58" s="13">
        <f>IF(AND(L58&gt;='Amort. Sched.-WORST'!$R$8, L58&lt;= ($R$7+$R$8)), Q57+O58, 0)</f>
        <v>0</v>
      </c>
      <c r="R58" s="6" t="str">
        <f>IF(AND(L58&gt;='Amort. Sched.-WORST'!$R$8, L58&lt;= ($R$7+$R$8)), N58/M58, " ")</f>
        <v xml:space="preserve"> </v>
      </c>
      <c r="S58" s="21" t="str">
        <f>IF(AND(L58&gt;='Amort. Sched.-WORST'!$R$8, L58&lt;= ($R$7+$R$8)), O58/M58, " ")</f>
        <v xml:space="preserve"> </v>
      </c>
      <c r="U58" s="20">
        <f t="shared" si="2"/>
        <v>47</v>
      </c>
      <c r="V58" s="5">
        <f>IF(AND(U58&gt;='Amort. Sched.-WORST'!$AA$8, U58&lt;= ($AA$7+$AA$8)), PMT('Amort. Sched.-WORST'!$W$8/12, 'Amort. Sched.-WORST'!$AA$7, 'Amort. Sched.-WORST'!$W$7), 0)</f>
        <v>0</v>
      </c>
      <c r="W58" s="5">
        <f>IF(AND(U58&gt;='Amort. Sched.-WORST'!$AA$8, U58&lt;= ($AA$7+$AA$8)), (IPMT($W$8/12, (U58-$AA$8), $AA$7, $W$7)), 0)</f>
        <v>0</v>
      </c>
      <c r="X58" s="5">
        <f>IF(AND(U58&gt;='Amort. Sched.-WORST'!$AA$8, U58&lt;= ($AA$7+$AA$8)), (PPMT($W$8/12, (U58-$AA$8), $AA$7, $W$7)), 0)</f>
        <v>0</v>
      </c>
      <c r="Y58" s="5">
        <f>IF(CreditAmort2WORST[[#This Row],[Month]]=AA$8,W$7,0)</f>
        <v>0</v>
      </c>
      <c r="Z58" s="13">
        <f>IF(AND(U58&gt;='Amort. Sched.-WORST'!$AA$8, U58&lt;= ($AA$7+$AA$8)), Z57+X58, 0)</f>
        <v>0</v>
      </c>
      <c r="AA58" s="6" t="str">
        <f>IF(AND(U58&gt;='Amort. Sched.-WORST'!$AA$8, U58&lt;= ($AA$7+$AA$8)), W58/V58, " ")</f>
        <v xml:space="preserve"> </v>
      </c>
      <c r="AB58" s="21" t="str">
        <f>IF(AND(U58&gt;='Amort. Sched.-WORST'!$AA$8, U58&lt;= ($AA$7+$AA$8)), X58/V58, " ")</f>
        <v xml:space="preserve"> </v>
      </c>
      <c r="AD58" s="20">
        <f t="shared" si="3"/>
        <v>47</v>
      </c>
      <c r="AE58" s="5">
        <f t="shared" si="4"/>
        <v>0</v>
      </c>
      <c r="AF58" s="5">
        <f t="shared" si="5"/>
        <v>0</v>
      </c>
      <c r="AG58" s="5">
        <f t="shared" si="6"/>
        <v>0</v>
      </c>
      <c r="AH58" s="5">
        <f>IF(CreditAmort3WORST[[#This Row],[Month]]=AJ$8,AF$7,0)</f>
        <v>0</v>
      </c>
      <c r="AI58" s="13">
        <f t="shared" si="7"/>
        <v>0</v>
      </c>
      <c r="AJ58" s="6" t="str">
        <f t="shared" si="8"/>
        <v xml:space="preserve"> </v>
      </c>
      <c r="AK58" s="21" t="str">
        <f t="shared" si="9"/>
        <v xml:space="preserve"> </v>
      </c>
      <c r="AM58" s="20">
        <f t="shared" si="10"/>
        <v>47</v>
      </c>
      <c r="AN58" s="5">
        <f t="shared" si="11"/>
        <v>0</v>
      </c>
      <c r="AO58" s="5">
        <f t="shared" si="12"/>
        <v>0</v>
      </c>
      <c r="AP58" s="5">
        <f t="shared" si="13"/>
        <v>0</v>
      </c>
      <c r="AQ58" s="5">
        <f>IF(CreditAmort4WORST[[#This Row],[Month]]=AS$8,AO$7,0)</f>
        <v>0</v>
      </c>
      <c r="AR58" s="13">
        <f t="shared" si="14"/>
        <v>0</v>
      </c>
      <c r="AS58" s="6" t="str">
        <f t="shared" si="15"/>
        <v xml:space="preserve"> </v>
      </c>
      <c r="AT58" s="21" t="str">
        <f t="shared" si="16"/>
        <v xml:space="preserve"> </v>
      </c>
    </row>
    <row r="59" spans="3:46">
      <c r="C59" s="22">
        <f t="shared" si="1"/>
        <v>48</v>
      </c>
      <c r="D59" s="23">
        <f>IF(AND(C59&gt;='Amort. Sched.-WORST'!$I$8, C59&lt;= ($I$7+$I$8)), PMT('Amort. Sched.-WORST'!$E$8/12, 'Amort. Sched.-WORST'!$I$7, 'Amort. Sched.-WORST'!$E$7), 0)</f>
        <v>-2026.0175758541329</v>
      </c>
      <c r="E59" s="5">
        <f>IF(AND(C59&gt;='Amort. Sched.-WORST'!$I$8, C59&lt;= ($I$7+$I$8)), (IPMT($E$8/12, (C59-$I$8), $I$7, $E$7)), 0)</f>
        <v>-1648.8241762914404</v>
      </c>
      <c r="F59" s="23">
        <f>IF(AND(C59&gt;='Amort. Sched.-WORST'!$I$8, C59&lt;= ($I$7+$I$8)), (PPMT($E$8/12, (C59-$I$8), $I$7, $E$7)), 0)</f>
        <v>-377.19339956269278</v>
      </c>
      <c r="G59" s="5">
        <f>IF(MortgageAmortWORST[[#This Row],[Month]]=I$8,E$7,0)</f>
        <v>0</v>
      </c>
      <c r="H59" s="13">
        <f>IF(AND(C59&gt;='Amort. Sched.-WORST'!$I$8, C59&lt;= ($I$7+$I$8)), H58+F59, 0)</f>
        <v>246946.43304415321</v>
      </c>
      <c r="I59" s="24">
        <f>IF(AND(C59&gt;='Amort. Sched.-WORST'!$I$8, C59&lt;= ($I$7+$I$8)), E59/D59, " ")</f>
        <v>0.81382520859737628</v>
      </c>
      <c r="J59" s="25">
        <f>IF(AND(C59&gt;='Amort. Sched.-WORST'!$I$8, C59&lt;= ($I$7+$I$8)), F59/D59, " ")</f>
        <v>0.18617479140262383</v>
      </c>
      <c r="L59" s="20">
        <f t="shared" si="0"/>
        <v>48</v>
      </c>
      <c r="M59" s="5">
        <f>IF(AND(L59&gt;='Amort. Sched.-WORST'!$R$8, L59&lt;= ($R$7+$R$8)), PMT('Amort. Sched.-WORST'!$N$8/12, 'Amort. Sched.-WORST'!$R$7, 'Amort. Sched.-WORST'!$N$7), 0)</f>
        <v>0</v>
      </c>
      <c r="N59" s="5">
        <f>IF(AND(L59&gt;='Amort. Sched.-WORST'!$R$8, L59&lt;= ($R$7+$R$8)), (IPMT($N$8/12, (L59-$R$8), $R$7, $N$7)), 0)</f>
        <v>0</v>
      </c>
      <c r="O59" s="5">
        <f>IF(AND(L59&gt;='Amort. Sched.-WORST'!$R$8, L59&lt;= ($R$7+$R$8)), (PPMT($N$8/12, (L59-$R$8), $R$7, $N$7)), 0)</f>
        <v>0</v>
      </c>
      <c r="P59" s="5">
        <f>IF(CreditAmort1WORST[[#This Row],[Month]]=R$8,N$7,0)</f>
        <v>0</v>
      </c>
      <c r="Q59" s="13">
        <f>IF(AND(L59&gt;='Amort. Sched.-WORST'!$R$8, L59&lt;= ($R$7+$R$8)), Q58+O59, 0)</f>
        <v>0</v>
      </c>
      <c r="R59" s="6" t="str">
        <f>IF(AND(L59&gt;='Amort. Sched.-WORST'!$R$8, L59&lt;= ($R$7+$R$8)), N59/M59, " ")</f>
        <v xml:space="preserve"> </v>
      </c>
      <c r="S59" s="21" t="str">
        <f>IF(AND(L59&gt;='Amort. Sched.-WORST'!$R$8, L59&lt;= ($R$7+$R$8)), O59/M59, " ")</f>
        <v xml:space="preserve"> </v>
      </c>
      <c r="U59" s="20">
        <f t="shared" si="2"/>
        <v>48</v>
      </c>
      <c r="V59" s="5">
        <f>IF(AND(U59&gt;='Amort. Sched.-WORST'!$AA$8, U59&lt;= ($AA$7+$AA$8)), PMT('Amort. Sched.-WORST'!$W$8/12, 'Amort. Sched.-WORST'!$AA$7, 'Amort. Sched.-WORST'!$W$7), 0)</f>
        <v>0</v>
      </c>
      <c r="W59" s="5">
        <f>IF(AND(U59&gt;='Amort. Sched.-WORST'!$AA$8, U59&lt;= ($AA$7+$AA$8)), (IPMT($W$8/12, (U59-$AA$8), $AA$7, $W$7)), 0)</f>
        <v>0</v>
      </c>
      <c r="X59" s="5">
        <f>IF(AND(U59&gt;='Amort. Sched.-WORST'!$AA$8, U59&lt;= ($AA$7+$AA$8)), (PPMT($W$8/12, (U59-$AA$8), $AA$7, $W$7)), 0)</f>
        <v>0</v>
      </c>
      <c r="Y59" s="5">
        <f>IF(CreditAmort2WORST[[#This Row],[Month]]=AA$8,W$7,0)</f>
        <v>0</v>
      </c>
      <c r="Z59" s="13">
        <f>IF(AND(U59&gt;='Amort. Sched.-WORST'!$AA$8, U59&lt;= ($AA$7+$AA$8)), Z58+X59, 0)</f>
        <v>0</v>
      </c>
      <c r="AA59" s="6" t="str">
        <f>IF(AND(U59&gt;='Amort. Sched.-WORST'!$AA$8, U59&lt;= ($AA$7+$AA$8)), W59/V59, " ")</f>
        <v xml:space="preserve"> </v>
      </c>
      <c r="AB59" s="21" t="str">
        <f>IF(AND(U59&gt;='Amort. Sched.-WORST'!$AA$8, U59&lt;= ($AA$7+$AA$8)), X59/V59, " ")</f>
        <v xml:space="preserve"> </v>
      </c>
      <c r="AD59" s="20">
        <f t="shared" si="3"/>
        <v>48</v>
      </c>
      <c r="AE59" s="5">
        <f t="shared" si="4"/>
        <v>0</v>
      </c>
      <c r="AF59" s="5">
        <f t="shared" si="5"/>
        <v>0</v>
      </c>
      <c r="AG59" s="5">
        <f t="shared" si="6"/>
        <v>0</v>
      </c>
      <c r="AH59" s="5">
        <f>IF(CreditAmort3WORST[[#This Row],[Month]]=AJ$8,AF$7,0)</f>
        <v>0</v>
      </c>
      <c r="AI59" s="13">
        <f t="shared" si="7"/>
        <v>0</v>
      </c>
      <c r="AJ59" s="6" t="str">
        <f t="shared" si="8"/>
        <v xml:space="preserve"> </v>
      </c>
      <c r="AK59" s="21" t="str">
        <f t="shared" si="9"/>
        <v xml:space="preserve"> </v>
      </c>
      <c r="AM59" s="20">
        <f t="shared" si="10"/>
        <v>48</v>
      </c>
      <c r="AN59" s="5">
        <f t="shared" si="11"/>
        <v>0</v>
      </c>
      <c r="AO59" s="5">
        <f t="shared" si="12"/>
        <v>0</v>
      </c>
      <c r="AP59" s="5">
        <f t="shared" si="13"/>
        <v>0</v>
      </c>
      <c r="AQ59" s="5">
        <f>IF(CreditAmort4WORST[[#This Row],[Month]]=AS$8,AO$7,0)</f>
        <v>0</v>
      </c>
      <c r="AR59" s="13">
        <f t="shared" si="14"/>
        <v>0</v>
      </c>
      <c r="AS59" s="6" t="str">
        <f t="shared" si="15"/>
        <v xml:space="preserve"> </v>
      </c>
      <c r="AT59" s="21" t="str">
        <f t="shared" si="16"/>
        <v xml:space="preserve"> </v>
      </c>
    </row>
    <row r="60" spans="3:46">
      <c r="C60" s="22">
        <f t="shared" si="1"/>
        <v>49</v>
      </c>
      <c r="D60" s="23">
        <f>IF(AND(C60&gt;='Amort. Sched.-WORST'!$I$8, C60&lt;= ($I$7+$I$8)), PMT('Amort. Sched.-WORST'!$E$8/12, 'Amort. Sched.-WORST'!$I$7, 'Amort. Sched.-WORST'!$E$7), 0)</f>
        <v>-2026.0175758541329</v>
      </c>
      <c r="E60" s="5">
        <f>IF(AND(C60&gt;='Amort. Sched.-WORST'!$I$8, C60&lt;= ($I$7+$I$8)), (IPMT($E$8/12, (C60-$I$8), $I$7, $E$7)), 0)</f>
        <v>-1646.309553627689</v>
      </c>
      <c r="F60" s="23">
        <f>IF(AND(C60&gt;='Amort. Sched.-WORST'!$I$8, C60&lt;= ($I$7+$I$8)), (PPMT($E$8/12, (C60-$I$8), $I$7, $E$7)), 0)</f>
        <v>-379.70802222644414</v>
      </c>
      <c r="G60" s="5">
        <f>IF(MortgageAmortWORST[[#This Row],[Month]]=I$8,E$7,0)</f>
        <v>0</v>
      </c>
      <c r="H60" s="13">
        <f>IF(AND(C60&gt;='Amort. Sched.-WORST'!$I$8, C60&lt;= ($I$7+$I$8)), H59+F60, 0)</f>
        <v>246566.72502192677</v>
      </c>
      <c r="I60" s="24">
        <f>IF(AND(C60&gt;='Amort. Sched.-WORST'!$I$8, C60&lt;= ($I$7+$I$8)), E60/D60, " ")</f>
        <v>0.8125840433213587</v>
      </c>
      <c r="J60" s="25">
        <f>IF(AND(C60&gt;='Amort. Sched.-WORST'!$I$8, C60&lt;= ($I$7+$I$8)), F60/D60, " ")</f>
        <v>0.18741595667864136</v>
      </c>
      <c r="L60" s="20">
        <f t="shared" si="0"/>
        <v>49</v>
      </c>
      <c r="M60" s="5">
        <f>IF(AND(L60&gt;='Amort. Sched.-WORST'!$R$8, L60&lt;= ($R$7+$R$8)), PMT('Amort. Sched.-WORST'!$N$8/12, 'Amort. Sched.-WORST'!$R$7, 'Amort. Sched.-WORST'!$N$7), 0)</f>
        <v>0</v>
      </c>
      <c r="N60" s="5">
        <f>IF(AND(L60&gt;='Amort. Sched.-WORST'!$R$8, L60&lt;= ($R$7+$R$8)), (IPMT($N$8/12, (L60-$R$8), $R$7, $N$7)), 0)</f>
        <v>0</v>
      </c>
      <c r="O60" s="5">
        <f>IF(AND(L60&gt;='Amort. Sched.-WORST'!$R$8, L60&lt;= ($R$7+$R$8)), (PPMT($N$8/12, (L60-$R$8), $R$7, $N$7)), 0)</f>
        <v>0</v>
      </c>
      <c r="P60" s="5">
        <f>IF(CreditAmort1WORST[[#This Row],[Month]]=R$8,N$7,0)</f>
        <v>0</v>
      </c>
      <c r="Q60" s="13">
        <f>IF(AND(L60&gt;='Amort. Sched.-WORST'!$R$8, L60&lt;= ($R$7+$R$8)), Q59+O60, 0)</f>
        <v>0</v>
      </c>
      <c r="R60" s="6" t="str">
        <f>IF(AND(L60&gt;='Amort. Sched.-WORST'!$R$8, L60&lt;= ($R$7+$R$8)), N60/M60, " ")</f>
        <v xml:space="preserve"> </v>
      </c>
      <c r="S60" s="21" t="str">
        <f>IF(AND(L60&gt;='Amort. Sched.-WORST'!$R$8, L60&lt;= ($R$7+$R$8)), O60/M60, " ")</f>
        <v xml:space="preserve"> </v>
      </c>
      <c r="U60" s="20">
        <f t="shared" si="2"/>
        <v>49</v>
      </c>
      <c r="V60" s="5">
        <f>IF(AND(U60&gt;='Amort. Sched.-WORST'!$AA$8, U60&lt;= ($AA$7+$AA$8)), PMT('Amort. Sched.-WORST'!$W$8/12, 'Amort. Sched.-WORST'!$AA$7, 'Amort. Sched.-WORST'!$W$7), 0)</f>
        <v>0</v>
      </c>
      <c r="W60" s="5">
        <f>IF(AND(U60&gt;='Amort. Sched.-WORST'!$AA$8, U60&lt;= ($AA$7+$AA$8)), (IPMT($W$8/12, (U60-$AA$8), $AA$7, $W$7)), 0)</f>
        <v>0</v>
      </c>
      <c r="X60" s="5">
        <f>IF(AND(U60&gt;='Amort. Sched.-WORST'!$AA$8, U60&lt;= ($AA$7+$AA$8)), (PPMT($W$8/12, (U60-$AA$8), $AA$7, $W$7)), 0)</f>
        <v>0</v>
      </c>
      <c r="Y60" s="5">
        <f>IF(CreditAmort2WORST[[#This Row],[Month]]=AA$8,W$7,0)</f>
        <v>0</v>
      </c>
      <c r="Z60" s="13">
        <f>IF(AND(U60&gt;='Amort. Sched.-WORST'!$AA$8, U60&lt;= ($AA$7+$AA$8)), Z59+X60, 0)</f>
        <v>0</v>
      </c>
      <c r="AA60" s="6" t="str">
        <f>IF(AND(U60&gt;='Amort. Sched.-WORST'!$AA$8, U60&lt;= ($AA$7+$AA$8)), W60/V60, " ")</f>
        <v xml:space="preserve"> </v>
      </c>
      <c r="AB60" s="21" t="str">
        <f>IF(AND(U60&gt;='Amort. Sched.-WORST'!$AA$8, U60&lt;= ($AA$7+$AA$8)), X60/V60, " ")</f>
        <v xml:space="preserve"> </v>
      </c>
      <c r="AD60" s="20">
        <f t="shared" si="3"/>
        <v>49</v>
      </c>
      <c r="AE60" s="5">
        <f t="shared" si="4"/>
        <v>0</v>
      </c>
      <c r="AF60" s="5">
        <f t="shared" si="5"/>
        <v>0</v>
      </c>
      <c r="AG60" s="5">
        <f t="shared" si="6"/>
        <v>0</v>
      </c>
      <c r="AH60" s="5">
        <f>IF(CreditAmort3WORST[[#This Row],[Month]]=AJ$8,AF$7,0)</f>
        <v>0</v>
      </c>
      <c r="AI60" s="13">
        <f t="shared" si="7"/>
        <v>0</v>
      </c>
      <c r="AJ60" s="6" t="str">
        <f t="shared" si="8"/>
        <v xml:space="preserve"> </v>
      </c>
      <c r="AK60" s="21" t="str">
        <f t="shared" si="9"/>
        <v xml:space="preserve"> </v>
      </c>
      <c r="AM60" s="20">
        <f t="shared" si="10"/>
        <v>49</v>
      </c>
      <c r="AN60" s="5">
        <f t="shared" si="11"/>
        <v>0</v>
      </c>
      <c r="AO60" s="5">
        <f t="shared" si="12"/>
        <v>0</v>
      </c>
      <c r="AP60" s="5">
        <f t="shared" si="13"/>
        <v>0</v>
      </c>
      <c r="AQ60" s="5">
        <f>IF(CreditAmort4WORST[[#This Row],[Month]]=AS$8,AO$7,0)</f>
        <v>0</v>
      </c>
      <c r="AR60" s="13">
        <f t="shared" si="14"/>
        <v>0</v>
      </c>
      <c r="AS60" s="6" t="str">
        <f t="shared" si="15"/>
        <v xml:space="preserve"> </v>
      </c>
      <c r="AT60" s="21" t="str">
        <f t="shared" si="16"/>
        <v xml:space="preserve"> </v>
      </c>
    </row>
    <row r="61" spans="3:46">
      <c r="C61" s="22">
        <f t="shared" si="1"/>
        <v>50</v>
      </c>
      <c r="D61" s="23">
        <f>IF(AND(C61&gt;='Amort. Sched.-WORST'!$I$8, C61&lt;= ($I$7+$I$8)), PMT('Amort. Sched.-WORST'!$E$8/12, 'Amort. Sched.-WORST'!$I$7, 'Amort. Sched.-WORST'!$E$7), 0)</f>
        <v>-2026.0175758541329</v>
      </c>
      <c r="E61" s="5">
        <f>IF(AND(C61&gt;='Amort. Sched.-WORST'!$I$8, C61&lt;= ($I$7+$I$8)), (IPMT($E$8/12, (C61-$I$8), $I$7, $E$7)), 0)</f>
        <v>-1643.7781668128459</v>
      </c>
      <c r="F61" s="23">
        <f>IF(AND(C61&gt;='Amort. Sched.-WORST'!$I$8, C61&lt;= ($I$7+$I$8)), (PPMT($E$8/12, (C61-$I$8), $I$7, $E$7)), 0)</f>
        <v>-382.23940904128705</v>
      </c>
      <c r="G61" s="5">
        <f>IF(MortgageAmortWORST[[#This Row],[Month]]=I$8,E$7,0)</f>
        <v>0</v>
      </c>
      <c r="H61" s="13">
        <f>IF(AND(C61&gt;='Amort. Sched.-WORST'!$I$8, C61&lt;= ($I$7+$I$8)), H60+F61, 0)</f>
        <v>246184.48561288547</v>
      </c>
      <c r="I61" s="24">
        <f>IF(AND(C61&gt;='Amort. Sched.-WORST'!$I$8, C61&lt;= ($I$7+$I$8)), E61/D61, " ")</f>
        <v>0.81133460361016774</v>
      </c>
      <c r="J61" s="25">
        <f>IF(AND(C61&gt;='Amort. Sched.-WORST'!$I$8, C61&lt;= ($I$7+$I$8)), F61/D61, " ")</f>
        <v>0.18866539638983226</v>
      </c>
      <c r="L61" s="20">
        <f t="shared" si="0"/>
        <v>50</v>
      </c>
      <c r="M61" s="5">
        <f>IF(AND(L61&gt;='Amort. Sched.-WORST'!$R$8, L61&lt;= ($R$7+$R$8)), PMT('Amort. Sched.-WORST'!$N$8/12, 'Amort. Sched.-WORST'!$R$7, 'Amort. Sched.-WORST'!$N$7), 0)</f>
        <v>0</v>
      </c>
      <c r="N61" s="5">
        <f>IF(AND(L61&gt;='Amort. Sched.-WORST'!$R$8, L61&lt;= ($R$7+$R$8)), (IPMT($N$8/12, (L61-$R$8), $R$7, $N$7)), 0)</f>
        <v>0</v>
      </c>
      <c r="O61" s="5">
        <f>IF(AND(L61&gt;='Amort. Sched.-WORST'!$R$8, L61&lt;= ($R$7+$R$8)), (PPMT($N$8/12, (L61-$R$8), $R$7, $N$7)), 0)</f>
        <v>0</v>
      </c>
      <c r="P61" s="5">
        <f>IF(CreditAmort1WORST[[#This Row],[Month]]=R$8,N$7,0)</f>
        <v>0</v>
      </c>
      <c r="Q61" s="13">
        <f>IF(AND(L61&gt;='Amort. Sched.-WORST'!$R$8, L61&lt;= ($R$7+$R$8)), Q60+O61, 0)</f>
        <v>0</v>
      </c>
      <c r="R61" s="6" t="str">
        <f>IF(AND(L61&gt;='Amort. Sched.-WORST'!$R$8, L61&lt;= ($R$7+$R$8)), N61/M61, " ")</f>
        <v xml:space="preserve"> </v>
      </c>
      <c r="S61" s="21" t="str">
        <f>IF(AND(L61&gt;='Amort. Sched.-WORST'!$R$8, L61&lt;= ($R$7+$R$8)), O61/M61, " ")</f>
        <v xml:space="preserve"> </v>
      </c>
      <c r="U61" s="20">
        <f t="shared" si="2"/>
        <v>50</v>
      </c>
      <c r="V61" s="5">
        <f>IF(AND(U61&gt;='Amort. Sched.-WORST'!$AA$8, U61&lt;= ($AA$7+$AA$8)), PMT('Amort. Sched.-WORST'!$W$8/12, 'Amort. Sched.-WORST'!$AA$7, 'Amort. Sched.-WORST'!$W$7), 0)</f>
        <v>0</v>
      </c>
      <c r="W61" s="5">
        <f>IF(AND(U61&gt;='Amort. Sched.-WORST'!$AA$8, U61&lt;= ($AA$7+$AA$8)), (IPMT($W$8/12, (U61-$AA$8), $AA$7, $W$7)), 0)</f>
        <v>0</v>
      </c>
      <c r="X61" s="5">
        <f>IF(AND(U61&gt;='Amort. Sched.-WORST'!$AA$8, U61&lt;= ($AA$7+$AA$8)), (PPMT($W$8/12, (U61-$AA$8), $AA$7, $W$7)), 0)</f>
        <v>0</v>
      </c>
      <c r="Y61" s="5">
        <f>IF(CreditAmort2WORST[[#This Row],[Month]]=AA$8,W$7,0)</f>
        <v>0</v>
      </c>
      <c r="Z61" s="13">
        <f>IF(AND(U61&gt;='Amort. Sched.-WORST'!$AA$8, U61&lt;= ($AA$7+$AA$8)), Z60+X61, 0)</f>
        <v>0</v>
      </c>
      <c r="AA61" s="6" t="str">
        <f>IF(AND(U61&gt;='Amort. Sched.-WORST'!$AA$8, U61&lt;= ($AA$7+$AA$8)), W61/V61, " ")</f>
        <v xml:space="preserve"> </v>
      </c>
      <c r="AB61" s="21" t="str">
        <f>IF(AND(U61&gt;='Amort. Sched.-WORST'!$AA$8, U61&lt;= ($AA$7+$AA$8)), X61/V61, " ")</f>
        <v xml:space="preserve"> </v>
      </c>
      <c r="AD61" s="20">
        <f t="shared" si="3"/>
        <v>50</v>
      </c>
      <c r="AE61" s="5">
        <f t="shared" si="4"/>
        <v>0</v>
      </c>
      <c r="AF61" s="5">
        <f t="shared" si="5"/>
        <v>0</v>
      </c>
      <c r="AG61" s="5">
        <f t="shared" si="6"/>
        <v>0</v>
      </c>
      <c r="AH61" s="5">
        <f>IF(CreditAmort3WORST[[#This Row],[Month]]=AJ$8,AF$7,0)</f>
        <v>0</v>
      </c>
      <c r="AI61" s="13">
        <f t="shared" si="7"/>
        <v>0</v>
      </c>
      <c r="AJ61" s="6" t="str">
        <f t="shared" si="8"/>
        <v xml:space="preserve"> </v>
      </c>
      <c r="AK61" s="21" t="str">
        <f t="shared" si="9"/>
        <v xml:space="preserve"> </v>
      </c>
      <c r="AM61" s="20">
        <f t="shared" si="10"/>
        <v>50</v>
      </c>
      <c r="AN61" s="5">
        <f t="shared" si="11"/>
        <v>0</v>
      </c>
      <c r="AO61" s="5">
        <f t="shared" si="12"/>
        <v>0</v>
      </c>
      <c r="AP61" s="5">
        <f t="shared" si="13"/>
        <v>0</v>
      </c>
      <c r="AQ61" s="5">
        <f>IF(CreditAmort4WORST[[#This Row],[Month]]=AS$8,AO$7,0)</f>
        <v>0</v>
      </c>
      <c r="AR61" s="13">
        <f t="shared" si="14"/>
        <v>0</v>
      </c>
      <c r="AS61" s="6" t="str">
        <f t="shared" si="15"/>
        <v xml:space="preserve"> </v>
      </c>
      <c r="AT61" s="21" t="str">
        <f t="shared" si="16"/>
        <v xml:space="preserve"> </v>
      </c>
    </row>
    <row r="62" spans="3:46">
      <c r="C62" s="22">
        <f t="shared" si="1"/>
        <v>51</v>
      </c>
      <c r="D62" s="23">
        <f>IF(AND(C62&gt;='Amort. Sched.-WORST'!$I$8, C62&lt;= ($I$7+$I$8)), PMT('Amort. Sched.-WORST'!$E$8/12, 'Amort. Sched.-WORST'!$I$7, 'Amort. Sched.-WORST'!$E$7), 0)</f>
        <v>-2026.0175758541329</v>
      </c>
      <c r="E62" s="5">
        <f>IF(AND(C62&gt;='Amort. Sched.-WORST'!$I$8, C62&lt;= ($I$7+$I$8)), (IPMT($E$8/12, (C62-$I$8), $I$7, $E$7)), 0)</f>
        <v>-1641.2299040859041</v>
      </c>
      <c r="F62" s="23">
        <f>IF(AND(C62&gt;='Amort. Sched.-WORST'!$I$8, C62&lt;= ($I$7+$I$8)), (PPMT($E$8/12, (C62-$I$8), $I$7, $E$7)), 0)</f>
        <v>-384.78767176822896</v>
      </c>
      <c r="G62" s="5">
        <f>IF(MortgageAmortWORST[[#This Row],[Month]]=I$8,E$7,0)</f>
        <v>0</v>
      </c>
      <c r="H62" s="13">
        <f>IF(AND(C62&gt;='Amort. Sched.-WORST'!$I$8, C62&lt;= ($I$7+$I$8)), H61+F62, 0)</f>
        <v>245799.69794111725</v>
      </c>
      <c r="I62" s="24">
        <f>IF(AND(C62&gt;='Amort. Sched.-WORST'!$I$8, C62&lt;= ($I$7+$I$8)), E62/D62, " ")</f>
        <v>0.81007683430090227</v>
      </c>
      <c r="J62" s="25">
        <f>IF(AND(C62&gt;='Amort. Sched.-WORST'!$I$8, C62&lt;= ($I$7+$I$8)), F62/D62, " ")</f>
        <v>0.18992316569909781</v>
      </c>
      <c r="L62" s="20">
        <f t="shared" si="0"/>
        <v>51</v>
      </c>
      <c r="M62" s="5">
        <f>IF(AND(L62&gt;='Amort. Sched.-WORST'!$R$8, L62&lt;= ($R$7+$R$8)), PMT('Amort. Sched.-WORST'!$N$8/12, 'Amort. Sched.-WORST'!$R$7, 'Amort. Sched.-WORST'!$N$7), 0)</f>
        <v>0</v>
      </c>
      <c r="N62" s="5">
        <f>IF(AND(L62&gt;='Amort. Sched.-WORST'!$R$8, L62&lt;= ($R$7+$R$8)), (IPMT($N$8/12, (L62-$R$8), $R$7, $N$7)), 0)</f>
        <v>0</v>
      </c>
      <c r="O62" s="5">
        <f>IF(AND(L62&gt;='Amort. Sched.-WORST'!$R$8, L62&lt;= ($R$7+$R$8)), (PPMT($N$8/12, (L62-$R$8), $R$7, $N$7)), 0)</f>
        <v>0</v>
      </c>
      <c r="P62" s="5">
        <f>IF(CreditAmort1WORST[[#This Row],[Month]]=R$8,N$7,0)</f>
        <v>0</v>
      </c>
      <c r="Q62" s="13">
        <f>IF(AND(L62&gt;='Amort. Sched.-WORST'!$R$8, L62&lt;= ($R$7+$R$8)), Q61+O62, 0)</f>
        <v>0</v>
      </c>
      <c r="R62" s="6" t="str">
        <f>IF(AND(L62&gt;='Amort. Sched.-WORST'!$R$8, L62&lt;= ($R$7+$R$8)), N62/M62, " ")</f>
        <v xml:space="preserve"> </v>
      </c>
      <c r="S62" s="21" t="str">
        <f>IF(AND(L62&gt;='Amort. Sched.-WORST'!$R$8, L62&lt;= ($R$7+$R$8)), O62/M62, " ")</f>
        <v xml:space="preserve"> </v>
      </c>
      <c r="U62" s="20">
        <f t="shared" si="2"/>
        <v>51</v>
      </c>
      <c r="V62" s="5">
        <f>IF(AND(U62&gt;='Amort. Sched.-WORST'!$AA$8, U62&lt;= ($AA$7+$AA$8)), PMT('Amort. Sched.-WORST'!$W$8/12, 'Amort. Sched.-WORST'!$AA$7, 'Amort. Sched.-WORST'!$W$7), 0)</f>
        <v>0</v>
      </c>
      <c r="W62" s="5">
        <f>IF(AND(U62&gt;='Amort. Sched.-WORST'!$AA$8, U62&lt;= ($AA$7+$AA$8)), (IPMT($W$8/12, (U62-$AA$8), $AA$7, $W$7)), 0)</f>
        <v>0</v>
      </c>
      <c r="X62" s="5">
        <f>IF(AND(U62&gt;='Amort. Sched.-WORST'!$AA$8, U62&lt;= ($AA$7+$AA$8)), (PPMT($W$8/12, (U62-$AA$8), $AA$7, $W$7)), 0)</f>
        <v>0</v>
      </c>
      <c r="Y62" s="5">
        <f>IF(CreditAmort2WORST[[#This Row],[Month]]=AA$8,W$7,0)</f>
        <v>0</v>
      </c>
      <c r="Z62" s="13">
        <f>IF(AND(U62&gt;='Amort. Sched.-WORST'!$AA$8, U62&lt;= ($AA$7+$AA$8)), Z61+X62, 0)</f>
        <v>0</v>
      </c>
      <c r="AA62" s="6" t="str">
        <f>IF(AND(U62&gt;='Amort. Sched.-WORST'!$AA$8, U62&lt;= ($AA$7+$AA$8)), W62/V62, " ")</f>
        <v xml:space="preserve"> </v>
      </c>
      <c r="AB62" s="21" t="str">
        <f>IF(AND(U62&gt;='Amort. Sched.-WORST'!$AA$8, U62&lt;= ($AA$7+$AA$8)), X62/V62, " ")</f>
        <v xml:space="preserve"> </v>
      </c>
      <c r="AD62" s="20">
        <f t="shared" si="3"/>
        <v>51</v>
      </c>
      <c r="AE62" s="5">
        <f t="shared" si="4"/>
        <v>0</v>
      </c>
      <c r="AF62" s="5">
        <f t="shared" si="5"/>
        <v>0</v>
      </c>
      <c r="AG62" s="5">
        <f t="shared" si="6"/>
        <v>0</v>
      </c>
      <c r="AH62" s="5">
        <f>IF(CreditAmort3WORST[[#This Row],[Month]]=AJ$8,AF$7,0)</f>
        <v>0</v>
      </c>
      <c r="AI62" s="13">
        <f t="shared" si="7"/>
        <v>0</v>
      </c>
      <c r="AJ62" s="6" t="str">
        <f t="shared" si="8"/>
        <v xml:space="preserve"> </v>
      </c>
      <c r="AK62" s="21" t="str">
        <f t="shared" si="9"/>
        <v xml:space="preserve"> </v>
      </c>
      <c r="AM62" s="20">
        <f t="shared" si="10"/>
        <v>51</v>
      </c>
      <c r="AN62" s="5">
        <f t="shared" si="11"/>
        <v>0</v>
      </c>
      <c r="AO62" s="5">
        <f t="shared" si="12"/>
        <v>0</v>
      </c>
      <c r="AP62" s="5">
        <f t="shared" si="13"/>
        <v>0</v>
      </c>
      <c r="AQ62" s="5">
        <f>IF(CreditAmort4WORST[[#This Row],[Month]]=AS$8,AO$7,0)</f>
        <v>0</v>
      </c>
      <c r="AR62" s="13">
        <f t="shared" si="14"/>
        <v>0</v>
      </c>
      <c r="AS62" s="6" t="str">
        <f t="shared" si="15"/>
        <v xml:space="preserve"> </v>
      </c>
      <c r="AT62" s="21" t="str">
        <f t="shared" si="16"/>
        <v xml:space="preserve"> </v>
      </c>
    </row>
    <row r="63" spans="3:46">
      <c r="C63" s="22">
        <f t="shared" si="1"/>
        <v>52</v>
      </c>
      <c r="D63" s="23">
        <f>IF(AND(C63&gt;='Amort. Sched.-WORST'!$I$8, C63&lt;= ($I$7+$I$8)), PMT('Amort. Sched.-WORST'!$E$8/12, 'Amort. Sched.-WORST'!$I$7, 'Amort. Sched.-WORST'!$E$7), 0)</f>
        <v>-2026.0175758541329</v>
      </c>
      <c r="E63" s="5">
        <f>IF(AND(C63&gt;='Amort. Sched.-WORST'!$I$8, C63&lt;= ($I$7+$I$8)), (IPMT($E$8/12, (C63-$I$8), $I$7, $E$7)), 0)</f>
        <v>-1638.6646529407826</v>
      </c>
      <c r="F63" s="23">
        <f>IF(AND(C63&gt;='Amort. Sched.-WORST'!$I$8, C63&lt;= ($I$7+$I$8)), (PPMT($E$8/12, (C63-$I$8), $I$7, $E$7)), 0)</f>
        <v>-387.35292291335048</v>
      </c>
      <c r="G63" s="5">
        <f>IF(MortgageAmortWORST[[#This Row],[Month]]=I$8,E$7,0)</f>
        <v>0</v>
      </c>
      <c r="H63" s="13">
        <f>IF(AND(C63&gt;='Amort. Sched.-WORST'!$I$8, C63&lt;= ($I$7+$I$8)), H62+F63, 0)</f>
        <v>245412.34501820389</v>
      </c>
      <c r="I63" s="24">
        <f>IF(AND(C63&gt;='Amort. Sched.-WORST'!$I$8, C63&lt;= ($I$7+$I$8)), E63/D63, " ")</f>
        <v>0.80881067986290833</v>
      </c>
      <c r="J63" s="25">
        <f>IF(AND(C63&gt;='Amort. Sched.-WORST'!$I$8, C63&lt;= ($I$7+$I$8)), F63/D63, " ")</f>
        <v>0.19118932013709181</v>
      </c>
      <c r="L63" s="20">
        <f t="shared" si="0"/>
        <v>52</v>
      </c>
      <c r="M63" s="5">
        <f>IF(AND(L63&gt;='Amort. Sched.-WORST'!$R$8, L63&lt;= ($R$7+$R$8)), PMT('Amort. Sched.-WORST'!$N$8/12, 'Amort. Sched.-WORST'!$R$7, 'Amort. Sched.-WORST'!$N$7), 0)</f>
        <v>0</v>
      </c>
      <c r="N63" s="5">
        <f>IF(AND(L63&gt;='Amort. Sched.-WORST'!$R$8, L63&lt;= ($R$7+$R$8)), (IPMT($N$8/12, (L63-$R$8), $R$7, $N$7)), 0)</f>
        <v>0</v>
      </c>
      <c r="O63" s="5">
        <f>IF(AND(L63&gt;='Amort. Sched.-WORST'!$R$8, L63&lt;= ($R$7+$R$8)), (PPMT($N$8/12, (L63-$R$8), $R$7, $N$7)), 0)</f>
        <v>0</v>
      </c>
      <c r="P63" s="5">
        <f>IF(CreditAmort1WORST[[#This Row],[Month]]=R$8,N$7,0)</f>
        <v>0</v>
      </c>
      <c r="Q63" s="13">
        <f>IF(AND(L63&gt;='Amort. Sched.-WORST'!$R$8, L63&lt;= ($R$7+$R$8)), Q62+O63, 0)</f>
        <v>0</v>
      </c>
      <c r="R63" s="6" t="str">
        <f>IF(AND(L63&gt;='Amort. Sched.-WORST'!$R$8, L63&lt;= ($R$7+$R$8)), N63/M63, " ")</f>
        <v xml:space="preserve"> </v>
      </c>
      <c r="S63" s="21" t="str">
        <f>IF(AND(L63&gt;='Amort. Sched.-WORST'!$R$8, L63&lt;= ($R$7+$R$8)), O63/M63, " ")</f>
        <v xml:space="preserve"> </v>
      </c>
      <c r="U63" s="20">
        <f t="shared" si="2"/>
        <v>52</v>
      </c>
      <c r="V63" s="5">
        <f>IF(AND(U63&gt;='Amort. Sched.-WORST'!$AA$8, U63&lt;= ($AA$7+$AA$8)), PMT('Amort. Sched.-WORST'!$W$8/12, 'Amort. Sched.-WORST'!$AA$7, 'Amort. Sched.-WORST'!$W$7), 0)</f>
        <v>0</v>
      </c>
      <c r="W63" s="5">
        <f>IF(AND(U63&gt;='Amort. Sched.-WORST'!$AA$8, U63&lt;= ($AA$7+$AA$8)), (IPMT($W$8/12, (U63-$AA$8), $AA$7, $W$7)), 0)</f>
        <v>0</v>
      </c>
      <c r="X63" s="5">
        <f>IF(AND(U63&gt;='Amort. Sched.-WORST'!$AA$8, U63&lt;= ($AA$7+$AA$8)), (PPMT($W$8/12, (U63-$AA$8), $AA$7, $W$7)), 0)</f>
        <v>0</v>
      </c>
      <c r="Y63" s="5">
        <f>IF(CreditAmort2WORST[[#This Row],[Month]]=AA$8,W$7,0)</f>
        <v>0</v>
      </c>
      <c r="Z63" s="13">
        <f>IF(AND(U63&gt;='Amort. Sched.-WORST'!$AA$8, U63&lt;= ($AA$7+$AA$8)), Z62+X63, 0)</f>
        <v>0</v>
      </c>
      <c r="AA63" s="6" t="str">
        <f>IF(AND(U63&gt;='Amort. Sched.-WORST'!$AA$8, U63&lt;= ($AA$7+$AA$8)), W63/V63, " ")</f>
        <v xml:space="preserve"> </v>
      </c>
      <c r="AB63" s="21" t="str">
        <f>IF(AND(U63&gt;='Amort. Sched.-WORST'!$AA$8, U63&lt;= ($AA$7+$AA$8)), X63/V63, " ")</f>
        <v xml:space="preserve"> </v>
      </c>
      <c r="AD63" s="20">
        <f t="shared" si="3"/>
        <v>52</v>
      </c>
      <c r="AE63" s="5">
        <f t="shared" si="4"/>
        <v>0</v>
      </c>
      <c r="AF63" s="5">
        <f t="shared" si="5"/>
        <v>0</v>
      </c>
      <c r="AG63" s="5">
        <f t="shared" si="6"/>
        <v>0</v>
      </c>
      <c r="AH63" s="5">
        <f>IF(CreditAmort3WORST[[#This Row],[Month]]=AJ$8,AF$7,0)</f>
        <v>0</v>
      </c>
      <c r="AI63" s="13">
        <f t="shared" si="7"/>
        <v>0</v>
      </c>
      <c r="AJ63" s="6" t="str">
        <f t="shared" si="8"/>
        <v xml:space="preserve"> </v>
      </c>
      <c r="AK63" s="21" t="str">
        <f t="shared" si="9"/>
        <v xml:space="preserve"> </v>
      </c>
      <c r="AM63" s="20">
        <f t="shared" si="10"/>
        <v>52</v>
      </c>
      <c r="AN63" s="5">
        <f t="shared" si="11"/>
        <v>0</v>
      </c>
      <c r="AO63" s="5">
        <f t="shared" si="12"/>
        <v>0</v>
      </c>
      <c r="AP63" s="5">
        <f t="shared" si="13"/>
        <v>0</v>
      </c>
      <c r="AQ63" s="5">
        <f>IF(CreditAmort4WORST[[#This Row],[Month]]=AS$8,AO$7,0)</f>
        <v>0</v>
      </c>
      <c r="AR63" s="13">
        <f t="shared" si="14"/>
        <v>0</v>
      </c>
      <c r="AS63" s="6" t="str">
        <f t="shared" si="15"/>
        <v xml:space="preserve"> </v>
      </c>
      <c r="AT63" s="21" t="str">
        <f t="shared" si="16"/>
        <v xml:space="preserve"> </v>
      </c>
    </row>
    <row r="64" spans="3:46">
      <c r="C64" s="22">
        <f t="shared" si="1"/>
        <v>53</v>
      </c>
      <c r="D64" s="23">
        <f>IF(AND(C64&gt;='Amort. Sched.-WORST'!$I$8, C64&lt;= ($I$7+$I$8)), PMT('Amort. Sched.-WORST'!$E$8/12, 'Amort. Sched.-WORST'!$I$7, 'Amort. Sched.-WORST'!$E$7), 0)</f>
        <v>-2026.0175758541329</v>
      </c>
      <c r="E64" s="5">
        <f>IF(AND(C64&gt;='Amort. Sched.-WORST'!$I$8, C64&lt;= ($I$7+$I$8)), (IPMT($E$8/12, (C64-$I$8), $I$7, $E$7)), 0)</f>
        <v>-1636.0823001213603</v>
      </c>
      <c r="F64" s="23">
        <f>IF(AND(C64&gt;='Amort. Sched.-WORST'!$I$8, C64&lt;= ($I$7+$I$8)), (PPMT($E$8/12, (C64-$I$8), $I$7, $E$7)), 0)</f>
        <v>-389.93527573277282</v>
      </c>
      <c r="G64" s="5">
        <f>IF(MortgageAmortWORST[[#This Row],[Month]]=I$8,E$7,0)</f>
        <v>0</v>
      </c>
      <c r="H64" s="13">
        <f>IF(AND(C64&gt;='Amort. Sched.-WORST'!$I$8, C64&lt;= ($I$7+$I$8)), H63+F64, 0)</f>
        <v>245022.40974247112</v>
      </c>
      <c r="I64" s="24">
        <f>IF(AND(C64&gt;='Amort. Sched.-WORST'!$I$8, C64&lt;= ($I$7+$I$8)), E64/D64, " ")</f>
        <v>0.80753608439532765</v>
      </c>
      <c r="J64" s="25">
        <f>IF(AND(C64&gt;='Amort. Sched.-WORST'!$I$8, C64&lt;= ($I$7+$I$8)), F64/D64, " ")</f>
        <v>0.19246391560467241</v>
      </c>
      <c r="L64" s="20">
        <f t="shared" si="0"/>
        <v>53</v>
      </c>
      <c r="M64" s="5">
        <f>IF(AND(L64&gt;='Amort. Sched.-WORST'!$R$8, L64&lt;= ($R$7+$R$8)), PMT('Amort. Sched.-WORST'!$N$8/12, 'Amort. Sched.-WORST'!$R$7, 'Amort. Sched.-WORST'!$N$7), 0)</f>
        <v>0</v>
      </c>
      <c r="N64" s="5">
        <f>IF(AND(L64&gt;='Amort. Sched.-WORST'!$R$8, L64&lt;= ($R$7+$R$8)), (IPMT($N$8/12, (L64-$R$8), $R$7, $N$7)), 0)</f>
        <v>0</v>
      </c>
      <c r="O64" s="5">
        <f>IF(AND(L64&gt;='Amort. Sched.-WORST'!$R$8, L64&lt;= ($R$7+$R$8)), (PPMT($N$8/12, (L64-$R$8), $R$7, $N$7)), 0)</f>
        <v>0</v>
      </c>
      <c r="P64" s="5">
        <f>IF(CreditAmort1WORST[[#This Row],[Month]]=R$8,N$7,0)</f>
        <v>0</v>
      </c>
      <c r="Q64" s="13">
        <f>IF(AND(L64&gt;='Amort. Sched.-WORST'!$R$8, L64&lt;= ($R$7+$R$8)), Q63+O64, 0)</f>
        <v>0</v>
      </c>
      <c r="R64" s="6" t="str">
        <f>IF(AND(L64&gt;='Amort. Sched.-WORST'!$R$8, L64&lt;= ($R$7+$R$8)), N64/M64, " ")</f>
        <v xml:space="preserve"> </v>
      </c>
      <c r="S64" s="21" t="str">
        <f>IF(AND(L64&gt;='Amort. Sched.-WORST'!$R$8, L64&lt;= ($R$7+$R$8)), O64/M64, " ")</f>
        <v xml:space="preserve"> </v>
      </c>
      <c r="U64" s="20">
        <f t="shared" si="2"/>
        <v>53</v>
      </c>
      <c r="V64" s="5">
        <f>IF(AND(U64&gt;='Amort. Sched.-WORST'!$AA$8, U64&lt;= ($AA$7+$AA$8)), PMT('Amort. Sched.-WORST'!$W$8/12, 'Amort. Sched.-WORST'!$AA$7, 'Amort. Sched.-WORST'!$W$7), 0)</f>
        <v>0</v>
      </c>
      <c r="W64" s="5">
        <f>IF(AND(U64&gt;='Amort. Sched.-WORST'!$AA$8, U64&lt;= ($AA$7+$AA$8)), (IPMT($W$8/12, (U64-$AA$8), $AA$7, $W$7)), 0)</f>
        <v>0</v>
      </c>
      <c r="X64" s="5">
        <f>IF(AND(U64&gt;='Amort. Sched.-WORST'!$AA$8, U64&lt;= ($AA$7+$AA$8)), (PPMT($W$8/12, (U64-$AA$8), $AA$7, $W$7)), 0)</f>
        <v>0</v>
      </c>
      <c r="Y64" s="5">
        <f>IF(CreditAmort2WORST[[#This Row],[Month]]=AA$8,W$7,0)</f>
        <v>0</v>
      </c>
      <c r="Z64" s="13">
        <f>IF(AND(U64&gt;='Amort. Sched.-WORST'!$AA$8, U64&lt;= ($AA$7+$AA$8)), Z63+X64, 0)</f>
        <v>0</v>
      </c>
      <c r="AA64" s="6" t="str">
        <f>IF(AND(U64&gt;='Amort. Sched.-WORST'!$AA$8, U64&lt;= ($AA$7+$AA$8)), W64/V64, " ")</f>
        <v xml:space="preserve"> </v>
      </c>
      <c r="AB64" s="21" t="str">
        <f>IF(AND(U64&gt;='Amort. Sched.-WORST'!$AA$8, U64&lt;= ($AA$7+$AA$8)), X64/V64, " ")</f>
        <v xml:space="preserve"> </v>
      </c>
      <c r="AD64" s="20">
        <f t="shared" si="3"/>
        <v>53</v>
      </c>
      <c r="AE64" s="5">
        <f t="shared" si="4"/>
        <v>0</v>
      </c>
      <c r="AF64" s="5">
        <f t="shared" si="5"/>
        <v>0</v>
      </c>
      <c r="AG64" s="5">
        <f t="shared" si="6"/>
        <v>0</v>
      </c>
      <c r="AH64" s="5">
        <f>IF(CreditAmort3WORST[[#This Row],[Month]]=AJ$8,AF$7,0)</f>
        <v>0</v>
      </c>
      <c r="AI64" s="13">
        <f t="shared" si="7"/>
        <v>0</v>
      </c>
      <c r="AJ64" s="6" t="str">
        <f t="shared" si="8"/>
        <v xml:space="preserve"> </v>
      </c>
      <c r="AK64" s="21" t="str">
        <f t="shared" si="9"/>
        <v xml:space="preserve"> </v>
      </c>
      <c r="AM64" s="20">
        <f t="shared" si="10"/>
        <v>53</v>
      </c>
      <c r="AN64" s="5">
        <f t="shared" si="11"/>
        <v>0</v>
      </c>
      <c r="AO64" s="5">
        <f t="shared" si="12"/>
        <v>0</v>
      </c>
      <c r="AP64" s="5">
        <f t="shared" si="13"/>
        <v>0</v>
      </c>
      <c r="AQ64" s="5">
        <f>IF(CreditAmort4WORST[[#This Row],[Month]]=AS$8,AO$7,0)</f>
        <v>0</v>
      </c>
      <c r="AR64" s="13">
        <f t="shared" si="14"/>
        <v>0</v>
      </c>
      <c r="AS64" s="6" t="str">
        <f t="shared" si="15"/>
        <v xml:space="preserve"> </v>
      </c>
      <c r="AT64" s="21" t="str">
        <f t="shared" si="16"/>
        <v xml:space="preserve"> </v>
      </c>
    </row>
    <row r="65" spans="3:46">
      <c r="C65" s="22">
        <f t="shared" si="1"/>
        <v>54</v>
      </c>
      <c r="D65" s="23">
        <f>IF(AND(C65&gt;='Amort. Sched.-WORST'!$I$8, C65&lt;= ($I$7+$I$8)), PMT('Amort. Sched.-WORST'!$E$8/12, 'Amort. Sched.-WORST'!$I$7, 'Amort. Sched.-WORST'!$E$7), 0)</f>
        <v>-2026.0175758541329</v>
      </c>
      <c r="E65" s="5">
        <f>IF(AND(C65&gt;='Amort. Sched.-WORST'!$I$8, C65&lt;= ($I$7+$I$8)), (IPMT($E$8/12, (C65-$I$8), $I$7, $E$7)), 0)</f>
        <v>-1633.4827316164751</v>
      </c>
      <c r="F65" s="23">
        <f>IF(AND(C65&gt;='Amort. Sched.-WORST'!$I$8, C65&lt;= ($I$7+$I$8)), (PPMT($E$8/12, (C65-$I$8), $I$7, $E$7)), 0)</f>
        <v>-392.53484423765792</v>
      </c>
      <c r="G65" s="5">
        <f>IF(MortgageAmortWORST[[#This Row],[Month]]=I$8,E$7,0)</f>
        <v>0</v>
      </c>
      <c r="H65" s="13">
        <f>IF(AND(C65&gt;='Amort. Sched.-WORST'!$I$8, C65&lt;= ($I$7+$I$8)), H64+F65, 0)</f>
        <v>244629.87489823345</v>
      </c>
      <c r="I65" s="24">
        <f>IF(AND(C65&gt;='Amort. Sched.-WORST'!$I$8, C65&lt;= ($I$7+$I$8)), E65/D65, " ")</f>
        <v>0.80625299162462982</v>
      </c>
      <c r="J65" s="25">
        <f>IF(AND(C65&gt;='Amort. Sched.-WORST'!$I$8, C65&lt;= ($I$7+$I$8)), F65/D65, " ")</f>
        <v>0.19374700837537021</v>
      </c>
      <c r="L65" s="20">
        <f t="shared" si="0"/>
        <v>54</v>
      </c>
      <c r="M65" s="5">
        <f>IF(AND(L65&gt;='Amort. Sched.-WORST'!$R$8, L65&lt;= ($R$7+$R$8)), PMT('Amort. Sched.-WORST'!$N$8/12, 'Amort. Sched.-WORST'!$R$7, 'Amort. Sched.-WORST'!$N$7), 0)</f>
        <v>0</v>
      </c>
      <c r="N65" s="5">
        <f>IF(AND(L65&gt;='Amort. Sched.-WORST'!$R$8, L65&lt;= ($R$7+$R$8)), (IPMT($N$8/12, (L65-$R$8), $R$7, $N$7)), 0)</f>
        <v>0</v>
      </c>
      <c r="O65" s="5">
        <f>IF(AND(L65&gt;='Amort. Sched.-WORST'!$R$8, L65&lt;= ($R$7+$R$8)), (PPMT($N$8/12, (L65-$R$8), $R$7, $N$7)), 0)</f>
        <v>0</v>
      </c>
      <c r="P65" s="5">
        <f>IF(CreditAmort1WORST[[#This Row],[Month]]=R$8,N$7,0)</f>
        <v>0</v>
      </c>
      <c r="Q65" s="13">
        <f>IF(AND(L65&gt;='Amort. Sched.-WORST'!$R$8, L65&lt;= ($R$7+$R$8)), Q64+O65, 0)</f>
        <v>0</v>
      </c>
      <c r="R65" s="6" t="str">
        <f>IF(AND(L65&gt;='Amort. Sched.-WORST'!$R$8, L65&lt;= ($R$7+$R$8)), N65/M65, " ")</f>
        <v xml:space="preserve"> </v>
      </c>
      <c r="S65" s="21" t="str">
        <f>IF(AND(L65&gt;='Amort. Sched.-WORST'!$R$8, L65&lt;= ($R$7+$R$8)), O65/M65, " ")</f>
        <v xml:space="preserve"> </v>
      </c>
      <c r="U65" s="20">
        <f t="shared" si="2"/>
        <v>54</v>
      </c>
      <c r="V65" s="5">
        <f>IF(AND(U65&gt;='Amort. Sched.-WORST'!$AA$8, U65&lt;= ($AA$7+$AA$8)), PMT('Amort. Sched.-WORST'!$W$8/12, 'Amort. Sched.-WORST'!$AA$7, 'Amort. Sched.-WORST'!$W$7), 0)</f>
        <v>0</v>
      </c>
      <c r="W65" s="5">
        <f>IF(AND(U65&gt;='Amort. Sched.-WORST'!$AA$8, U65&lt;= ($AA$7+$AA$8)), (IPMT($W$8/12, (U65-$AA$8), $AA$7, $W$7)), 0)</f>
        <v>0</v>
      </c>
      <c r="X65" s="5">
        <f>IF(AND(U65&gt;='Amort. Sched.-WORST'!$AA$8, U65&lt;= ($AA$7+$AA$8)), (PPMT($W$8/12, (U65-$AA$8), $AA$7, $W$7)), 0)</f>
        <v>0</v>
      </c>
      <c r="Y65" s="5">
        <f>IF(CreditAmort2WORST[[#This Row],[Month]]=AA$8,W$7,0)</f>
        <v>0</v>
      </c>
      <c r="Z65" s="13">
        <f>IF(AND(U65&gt;='Amort. Sched.-WORST'!$AA$8, U65&lt;= ($AA$7+$AA$8)), Z64+X65, 0)</f>
        <v>0</v>
      </c>
      <c r="AA65" s="6" t="str">
        <f>IF(AND(U65&gt;='Amort. Sched.-WORST'!$AA$8, U65&lt;= ($AA$7+$AA$8)), W65/V65, " ")</f>
        <v xml:space="preserve"> </v>
      </c>
      <c r="AB65" s="21" t="str">
        <f>IF(AND(U65&gt;='Amort. Sched.-WORST'!$AA$8, U65&lt;= ($AA$7+$AA$8)), X65/V65, " ")</f>
        <v xml:space="preserve"> </v>
      </c>
      <c r="AD65" s="20">
        <f t="shared" si="3"/>
        <v>54</v>
      </c>
      <c r="AE65" s="5">
        <f t="shared" si="4"/>
        <v>0</v>
      </c>
      <c r="AF65" s="5">
        <f t="shared" si="5"/>
        <v>0</v>
      </c>
      <c r="AG65" s="5">
        <f t="shared" si="6"/>
        <v>0</v>
      </c>
      <c r="AH65" s="5">
        <f>IF(CreditAmort3WORST[[#This Row],[Month]]=AJ$8,AF$7,0)</f>
        <v>0</v>
      </c>
      <c r="AI65" s="13">
        <f t="shared" si="7"/>
        <v>0</v>
      </c>
      <c r="AJ65" s="6" t="str">
        <f t="shared" si="8"/>
        <v xml:space="preserve"> </v>
      </c>
      <c r="AK65" s="21" t="str">
        <f t="shared" si="9"/>
        <v xml:space="preserve"> </v>
      </c>
      <c r="AM65" s="20">
        <f t="shared" si="10"/>
        <v>54</v>
      </c>
      <c r="AN65" s="5">
        <f t="shared" si="11"/>
        <v>0</v>
      </c>
      <c r="AO65" s="5">
        <f t="shared" si="12"/>
        <v>0</v>
      </c>
      <c r="AP65" s="5">
        <f t="shared" si="13"/>
        <v>0</v>
      </c>
      <c r="AQ65" s="5">
        <f>IF(CreditAmort4WORST[[#This Row],[Month]]=AS$8,AO$7,0)</f>
        <v>0</v>
      </c>
      <c r="AR65" s="13">
        <f t="shared" si="14"/>
        <v>0</v>
      </c>
      <c r="AS65" s="6" t="str">
        <f t="shared" si="15"/>
        <v xml:space="preserve"> </v>
      </c>
      <c r="AT65" s="21" t="str">
        <f t="shared" si="16"/>
        <v xml:space="preserve"> </v>
      </c>
    </row>
    <row r="66" spans="3:46">
      <c r="C66" s="22">
        <f t="shared" si="1"/>
        <v>55</v>
      </c>
      <c r="D66" s="23">
        <f>IF(AND(C66&gt;='Amort. Sched.-WORST'!$I$8, C66&lt;= ($I$7+$I$8)), PMT('Amort. Sched.-WORST'!$E$8/12, 'Amort. Sched.-WORST'!$I$7, 'Amort. Sched.-WORST'!$E$7), 0)</f>
        <v>-2026.0175758541329</v>
      </c>
      <c r="E66" s="5">
        <f>IF(AND(C66&gt;='Amort. Sched.-WORST'!$I$8, C66&lt;= ($I$7+$I$8)), (IPMT($E$8/12, (C66-$I$8), $I$7, $E$7)), 0)</f>
        <v>-1630.8658326548907</v>
      </c>
      <c r="F66" s="23">
        <f>IF(AND(C66&gt;='Amort. Sched.-WORST'!$I$8, C66&lt;= ($I$7+$I$8)), (PPMT($E$8/12, (C66-$I$8), $I$7, $E$7)), 0)</f>
        <v>-395.15174319924239</v>
      </c>
      <c r="G66" s="5">
        <f>IF(MortgageAmortWORST[[#This Row],[Month]]=I$8,E$7,0)</f>
        <v>0</v>
      </c>
      <c r="H66" s="13">
        <f>IF(AND(C66&gt;='Amort. Sched.-WORST'!$I$8, C66&lt;= ($I$7+$I$8)), H65+F66, 0)</f>
        <v>244234.72315503421</v>
      </c>
      <c r="I66" s="24">
        <f>IF(AND(C66&gt;='Amort. Sched.-WORST'!$I$8, C66&lt;= ($I$7+$I$8)), E66/D66, " ")</f>
        <v>0.80496134490212734</v>
      </c>
      <c r="J66" s="25">
        <f>IF(AND(C66&gt;='Amort. Sched.-WORST'!$I$8, C66&lt;= ($I$7+$I$8)), F66/D66, " ")</f>
        <v>0.19503865509787272</v>
      </c>
      <c r="L66" s="20">
        <f t="shared" si="0"/>
        <v>55</v>
      </c>
      <c r="M66" s="5">
        <f>IF(AND(L66&gt;='Amort. Sched.-WORST'!$R$8, L66&lt;= ($R$7+$R$8)), PMT('Amort. Sched.-WORST'!$N$8/12, 'Amort. Sched.-WORST'!$R$7, 'Amort. Sched.-WORST'!$N$7), 0)</f>
        <v>0</v>
      </c>
      <c r="N66" s="5">
        <f>IF(AND(L66&gt;='Amort. Sched.-WORST'!$R$8, L66&lt;= ($R$7+$R$8)), (IPMT($N$8/12, (L66-$R$8), $R$7, $N$7)), 0)</f>
        <v>0</v>
      </c>
      <c r="O66" s="5">
        <f>IF(AND(L66&gt;='Amort. Sched.-WORST'!$R$8, L66&lt;= ($R$7+$R$8)), (PPMT($N$8/12, (L66-$R$8), $R$7, $N$7)), 0)</f>
        <v>0</v>
      </c>
      <c r="P66" s="5">
        <f>IF(CreditAmort1WORST[[#This Row],[Month]]=R$8,N$7,0)</f>
        <v>0</v>
      </c>
      <c r="Q66" s="13">
        <f>IF(AND(L66&gt;='Amort. Sched.-WORST'!$R$8, L66&lt;= ($R$7+$R$8)), Q65+O66, 0)</f>
        <v>0</v>
      </c>
      <c r="R66" s="6" t="str">
        <f>IF(AND(L66&gt;='Amort. Sched.-WORST'!$R$8, L66&lt;= ($R$7+$R$8)), N66/M66, " ")</f>
        <v xml:space="preserve"> </v>
      </c>
      <c r="S66" s="21" t="str">
        <f>IF(AND(L66&gt;='Amort. Sched.-WORST'!$R$8, L66&lt;= ($R$7+$R$8)), O66/M66, " ")</f>
        <v xml:space="preserve"> </v>
      </c>
      <c r="U66" s="20">
        <f t="shared" si="2"/>
        <v>55</v>
      </c>
      <c r="V66" s="5">
        <f>IF(AND(U66&gt;='Amort. Sched.-WORST'!$AA$8, U66&lt;= ($AA$7+$AA$8)), PMT('Amort. Sched.-WORST'!$W$8/12, 'Amort. Sched.-WORST'!$AA$7, 'Amort. Sched.-WORST'!$W$7), 0)</f>
        <v>0</v>
      </c>
      <c r="W66" s="5">
        <f>IF(AND(U66&gt;='Amort. Sched.-WORST'!$AA$8, U66&lt;= ($AA$7+$AA$8)), (IPMT($W$8/12, (U66-$AA$8), $AA$7, $W$7)), 0)</f>
        <v>0</v>
      </c>
      <c r="X66" s="5">
        <f>IF(AND(U66&gt;='Amort. Sched.-WORST'!$AA$8, U66&lt;= ($AA$7+$AA$8)), (PPMT($W$8/12, (U66-$AA$8), $AA$7, $W$7)), 0)</f>
        <v>0</v>
      </c>
      <c r="Y66" s="5">
        <f>IF(CreditAmort2WORST[[#This Row],[Month]]=AA$8,W$7,0)</f>
        <v>0</v>
      </c>
      <c r="Z66" s="13">
        <f>IF(AND(U66&gt;='Amort. Sched.-WORST'!$AA$8, U66&lt;= ($AA$7+$AA$8)), Z65+X66, 0)</f>
        <v>0</v>
      </c>
      <c r="AA66" s="6" t="str">
        <f>IF(AND(U66&gt;='Amort. Sched.-WORST'!$AA$8, U66&lt;= ($AA$7+$AA$8)), W66/V66, " ")</f>
        <v xml:space="preserve"> </v>
      </c>
      <c r="AB66" s="21" t="str">
        <f>IF(AND(U66&gt;='Amort. Sched.-WORST'!$AA$8, U66&lt;= ($AA$7+$AA$8)), X66/V66, " ")</f>
        <v xml:space="preserve"> </v>
      </c>
      <c r="AD66" s="20">
        <f t="shared" si="3"/>
        <v>55</v>
      </c>
      <c r="AE66" s="5">
        <f t="shared" si="4"/>
        <v>0</v>
      </c>
      <c r="AF66" s="5">
        <f t="shared" si="5"/>
        <v>0</v>
      </c>
      <c r="AG66" s="5">
        <f t="shared" si="6"/>
        <v>0</v>
      </c>
      <c r="AH66" s="5">
        <f>IF(CreditAmort3WORST[[#This Row],[Month]]=AJ$8,AF$7,0)</f>
        <v>0</v>
      </c>
      <c r="AI66" s="13">
        <f t="shared" si="7"/>
        <v>0</v>
      </c>
      <c r="AJ66" s="6" t="str">
        <f t="shared" si="8"/>
        <v xml:space="preserve"> </v>
      </c>
      <c r="AK66" s="21" t="str">
        <f t="shared" si="9"/>
        <v xml:space="preserve"> </v>
      </c>
      <c r="AM66" s="20">
        <f t="shared" si="10"/>
        <v>55</v>
      </c>
      <c r="AN66" s="5">
        <f t="shared" si="11"/>
        <v>0</v>
      </c>
      <c r="AO66" s="5">
        <f t="shared" si="12"/>
        <v>0</v>
      </c>
      <c r="AP66" s="5">
        <f t="shared" si="13"/>
        <v>0</v>
      </c>
      <c r="AQ66" s="5">
        <f>IF(CreditAmort4WORST[[#This Row],[Month]]=AS$8,AO$7,0)</f>
        <v>0</v>
      </c>
      <c r="AR66" s="13">
        <f t="shared" si="14"/>
        <v>0</v>
      </c>
      <c r="AS66" s="6" t="str">
        <f t="shared" si="15"/>
        <v xml:space="preserve"> </v>
      </c>
      <c r="AT66" s="21" t="str">
        <f t="shared" si="16"/>
        <v xml:space="preserve"> </v>
      </c>
    </row>
    <row r="67" spans="3:46">
      <c r="C67" s="22">
        <f t="shared" si="1"/>
        <v>56</v>
      </c>
      <c r="D67" s="23">
        <f>IF(AND(C67&gt;='Amort. Sched.-WORST'!$I$8, C67&lt;= ($I$7+$I$8)), PMT('Amort. Sched.-WORST'!$E$8/12, 'Amort. Sched.-WORST'!$I$7, 'Amort. Sched.-WORST'!$E$7), 0)</f>
        <v>-2026.0175758541329</v>
      </c>
      <c r="E67" s="5">
        <f>IF(AND(C67&gt;='Amort. Sched.-WORST'!$I$8, C67&lt;= ($I$7+$I$8)), (IPMT($E$8/12, (C67-$I$8), $I$7, $E$7)), 0)</f>
        <v>-1628.2314877002289</v>
      </c>
      <c r="F67" s="23">
        <f>IF(AND(C67&gt;='Amort. Sched.-WORST'!$I$8, C67&lt;= ($I$7+$I$8)), (PPMT($E$8/12, (C67-$I$8), $I$7, $E$7)), 0)</f>
        <v>-397.78608815390402</v>
      </c>
      <c r="G67" s="5">
        <f>IF(MortgageAmortWORST[[#This Row],[Month]]=I$8,E$7,0)</f>
        <v>0</v>
      </c>
      <c r="H67" s="13">
        <f>IF(AND(C67&gt;='Amort. Sched.-WORST'!$I$8, C67&lt;= ($I$7+$I$8)), H66+F67, 0)</f>
        <v>243836.93706688032</v>
      </c>
      <c r="I67" s="24">
        <f>IF(AND(C67&gt;='Amort. Sched.-WORST'!$I$8, C67&lt;= ($I$7+$I$8)), E67/D67, " ")</f>
        <v>0.80366108720147478</v>
      </c>
      <c r="J67" s="25">
        <f>IF(AND(C67&gt;='Amort. Sched.-WORST'!$I$8, C67&lt;= ($I$7+$I$8)), F67/D67, " ")</f>
        <v>0.19633891279852519</v>
      </c>
      <c r="L67" s="20">
        <f t="shared" si="0"/>
        <v>56</v>
      </c>
      <c r="M67" s="5">
        <f>IF(AND(L67&gt;='Amort. Sched.-WORST'!$R$8, L67&lt;= ($R$7+$R$8)), PMT('Amort. Sched.-WORST'!$N$8/12, 'Amort. Sched.-WORST'!$R$7, 'Amort. Sched.-WORST'!$N$7), 0)</f>
        <v>0</v>
      </c>
      <c r="N67" s="5">
        <f>IF(AND(L67&gt;='Amort. Sched.-WORST'!$R$8, L67&lt;= ($R$7+$R$8)), (IPMT($N$8/12, (L67-$R$8), $R$7, $N$7)), 0)</f>
        <v>0</v>
      </c>
      <c r="O67" s="5">
        <f>IF(AND(L67&gt;='Amort. Sched.-WORST'!$R$8, L67&lt;= ($R$7+$R$8)), (PPMT($N$8/12, (L67-$R$8), $R$7, $N$7)), 0)</f>
        <v>0</v>
      </c>
      <c r="P67" s="5">
        <f>IF(CreditAmort1WORST[[#This Row],[Month]]=R$8,N$7,0)</f>
        <v>0</v>
      </c>
      <c r="Q67" s="13">
        <f>IF(AND(L67&gt;='Amort. Sched.-WORST'!$R$8, L67&lt;= ($R$7+$R$8)), Q66+O67, 0)</f>
        <v>0</v>
      </c>
      <c r="R67" s="6" t="str">
        <f>IF(AND(L67&gt;='Amort. Sched.-WORST'!$R$8, L67&lt;= ($R$7+$R$8)), N67/M67, " ")</f>
        <v xml:space="preserve"> </v>
      </c>
      <c r="S67" s="21" t="str">
        <f>IF(AND(L67&gt;='Amort. Sched.-WORST'!$R$8, L67&lt;= ($R$7+$R$8)), O67/M67, " ")</f>
        <v xml:space="preserve"> </v>
      </c>
      <c r="U67" s="20">
        <f t="shared" si="2"/>
        <v>56</v>
      </c>
      <c r="V67" s="5">
        <f>IF(AND(U67&gt;='Amort. Sched.-WORST'!$AA$8, U67&lt;= ($AA$7+$AA$8)), PMT('Amort. Sched.-WORST'!$W$8/12, 'Amort. Sched.-WORST'!$AA$7, 'Amort. Sched.-WORST'!$W$7), 0)</f>
        <v>0</v>
      </c>
      <c r="W67" s="5">
        <f>IF(AND(U67&gt;='Amort. Sched.-WORST'!$AA$8, U67&lt;= ($AA$7+$AA$8)), (IPMT($W$8/12, (U67-$AA$8), $AA$7, $W$7)), 0)</f>
        <v>0</v>
      </c>
      <c r="X67" s="5">
        <f>IF(AND(U67&gt;='Amort. Sched.-WORST'!$AA$8, U67&lt;= ($AA$7+$AA$8)), (PPMT($W$8/12, (U67-$AA$8), $AA$7, $W$7)), 0)</f>
        <v>0</v>
      </c>
      <c r="Y67" s="5">
        <f>IF(CreditAmort2WORST[[#This Row],[Month]]=AA$8,W$7,0)</f>
        <v>0</v>
      </c>
      <c r="Z67" s="13">
        <f>IF(AND(U67&gt;='Amort. Sched.-WORST'!$AA$8, U67&lt;= ($AA$7+$AA$8)), Z66+X67, 0)</f>
        <v>0</v>
      </c>
      <c r="AA67" s="6" t="str">
        <f>IF(AND(U67&gt;='Amort. Sched.-WORST'!$AA$8, U67&lt;= ($AA$7+$AA$8)), W67/V67, " ")</f>
        <v xml:space="preserve"> </v>
      </c>
      <c r="AB67" s="21" t="str">
        <f>IF(AND(U67&gt;='Amort. Sched.-WORST'!$AA$8, U67&lt;= ($AA$7+$AA$8)), X67/V67, " ")</f>
        <v xml:space="preserve"> </v>
      </c>
      <c r="AD67" s="20">
        <f t="shared" si="3"/>
        <v>56</v>
      </c>
      <c r="AE67" s="5">
        <f t="shared" si="4"/>
        <v>0</v>
      </c>
      <c r="AF67" s="5">
        <f t="shared" si="5"/>
        <v>0</v>
      </c>
      <c r="AG67" s="5">
        <f t="shared" si="6"/>
        <v>0</v>
      </c>
      <c r="AH67" s="5">
        <f>IF(CreditAmort3WORST[[#This Row],[Month]]=AJ$8,AF$7,0)</f>
        <v>0</v>
      </c>
      <c r="AI67" s="13">
        <f t="shared" si="7"/>
        <v>0</v>
      </c>
      <c r="AJ67" s="6" t="str">
        <f t="shared" si="8"/>
        <v xml:space="preserve"> </v>
      </c>
      <c r="AK67" s="21" t="str">
        <f t="shared" si="9"/>
        <v xml:space="preserve"> </v>
      </c>
      <c r="AM67" s="20">
        <f t="shared" si="10"/>
        <v>56</v>
      </c>
      <c r="AN67" s="5">
        <f t="shared" si="11"/>
        <v>0</v>
      </c>
      <c r="AO67" s="5">
        <f t="shared" si="12"/>
        <v>0</v>
      </c>
      <c r="AP67" s="5">
        <f t="shared" si="13"/>
        <v>0</v>
      </c>
      <c r="AQ67" s="5">
        <f>IF(CreditAmort4WORST[[#This Row],[Month]]=AS$8,AO$7,0)</f>
        <v>0</v>
      </c>
      <c r="AR67" s="13">
        <f t="shared" si="14"/>
        <v>0</v>
      </c>
      <c r="AS67" s="6" t="str">
        <f t="shared" si="15"/>
        <v xml:space="preserve"> </v>
      </c>
      <c r="AT67" s="21" t="str">
        <f t="shared" si="16"/>
        <v xml:space="preserve"> </v>
      </c>
    </row>
    <row r="68" spans="3:46">
      <c r="C68" s="22">
        <f t="shared" si="1"/>
        <v>57</v>
      </c>
      <c r="D68" s="23">
        <f>IF(AND(C68&gt;='Amort. Sched.-WORST'!$I$8, C68&lt;= ($I$7+$I$8)), PMT('Amort. Sched.-WORST'!$E$8/12, 'Amort. Sched.-WORST'!$I$7, 'Amort. Sched.-WORST'!$E$7), 0)</f>
        <v>-2026.0175758541329</v>
      </c>
      <c r="E68" s="5">
        <f>IF(AND(C68&gt;='Amort. Sched.-WORST'!$I$8, C68&lt;= ($I$7+$I$8)), (IPMT($E$8/12, (C68-$I$8), $I$7, $E$7)), 0)</f>
        <v>-1625.5795804458694</v>
      </c>
      <c r="F68" s="23">
        <f>IF(AND(C68&gt;='Amort. Sched.-WORST'!$I$8, C68&lt;= ($I$7+$I$8)), (PPMT($E$8/12, (C68-$I$8), $I$7, $E$7)), 0)</f>
        <v>-400.43799540826336</v>
      </c>
      <c r="G68" s="5">
        <f>IF(MortgageAmortWORST[[#This Row],[Month]]=I$8,E$7,0)</f>
        <v>0</v>
      </c>
      <c r="H68" s="13">
        <f>IF(AND(C68&gt;='Amort. Sched.-WORST'!$I$8, C68&lt;= ($I$7+$I$8)), H67+F68, 0)</f>
        <v>243436.49907147206</v>
      </c>
      <c r="I68" s="24">
        <f>IF(AND(C68&gt;='Amort. Sched.-WORST'!$I$8, C68&lt;= ($I$7+$I$8)), E68/D68, " ")</f>
        <v>0.80235216111615126</v>
      </c>
      <c r="J68" s="25">
        <f>IF(AND(C68&gt;='Amort. Sched.-WORST'!$I$8, C68&lt;= ($I$7+$I$8)), F68/D68, " ")</f>
        <v>0.19764783888384868</v>
      </c>
      <c r="L68" s="20">
        <f t="shared" si="0"/>
        <v>57</v>
      </c>
      <c r="M68" s="5">
        <f>IF(AND(L68&gt;='Amort. Sched.-WORST'!$R$8, L68&lt;= ($R$7+$R$8)), PMT('Amort. Sched.-WORST'!$N$8/12, 'Amort. Sched.-WORST'!$R$7, 'Amort. Sched.-WORST'!$N$7), 0)</f>
        <v>0</v>
      </c>
      <c r="N68" s="5">
        <f>IF(AND(L68&gt;='Amort. Sched.-WORST'!$R$8, L68&lt;= ($R$7+$R$8)), (IPMT($N$8/12, (L68-$R$8), $R$7, $N$7)), 0)</f>
        <v>0</v>
      </c>
      <c r="O68" s="5">
        <f>IF(AND(L68&gt;='Amort. Sched.-WORST'!$R$8, L68&lt;= ($R$7+$R$8)), (PPMT($N$8/12, (L68-$R$8), $R$7, $N$7)), 0)</f>
        <v>0</v>
      </c>
      <c r="P68" s="5">
        <f>IF(CreditAmort1WORST[[#This Row],[Month]]=R$8,N$7,0)</f>
        <v>0</v>
      </c>
      <c r="Q68" s="13">
        <f>IF(AND(L68&gt;='Amort. Sched.-WORST'!$R$8, L68&lt;= ($R$7+$R$8)), Q67+O68, 0)</f>
        <v>0</v>
      </c>
      <c r="R68" s="6" t="str">
        <f>IF(AND(L68&gt;='Amort. Sched.-WORST'!$R$8, L68&lt;= ($R$7+$R$8)), N68/M68, " ")</f>
        <v xml:space="preserve"> </v>
      </c>
      <c r="S68" s="21" t="str">
        <f>IF(AND(L68&gt;='Amort. Sched.-WORST'!$R$8, L68&lt;= ($R$7+$R$8)), O68/M68, " ")</f>
        <v xml:space="preserve"> </v>
      </c>
      <c r="U68" s="20">
        <f t="shared" si="2"/>
        <v>57</v>
      </c>
      <c r="V68" s="5">
        <f>IF(AND(U68&gt;='Amort. Sched.-WORST'!$AA$8, U68&lt;= ($AA$7+$AA$8)), PMT('Amort. Sched.-WORST'!$W$8/12, 'Amort. Sched.-WORST'!$AA$7, 'Amort. Sched.-WORST'!$W$7), 0)</f>
        <v>0</v>
      </c>
      <c r="W68" s="5">
        <f>IF(AND(U68&gt;='Amort. Sched.-WORST'!$AA$8, U68&lt;= ($AA$7+$AA$8)), (IPMT($W$8/12, (U68-$AA$8), $AA$7, $W$7)), 0)</f>
        <v>0</v>
      </c>
      <c r="X68" s="5">
        <f>IF(AND(U68&gt;='Amort. Sched.-WORST'!$AA$8, U68&lt;= ($AA$7+$AA$8)), (PPMT($W$8/12, (U68-$AA$8), $AA$7, $W$7)), 0)</f>
        <v>0</v>
      </c>
      <c r="Y68" s="5">
        <f>IF(CreditAmort2WORST[[#This Row],[Month]]=AA$8,W$7,0)</f>
        <v>0</v>
      </c>
      <c r="Z68" s="13">
        <f>IF(AND(U68&gt;='Amort. Sched.-WORST'!$AA$8, U68&lt;= ($AA$7+$AA$8)), Z67+X68, 0)</f>
        <v>0</v>
      </c>
      <c r="AA68" s="6" t="str">
        <f>IF(AND(U68&gt;='Amort. Sched.-WORST'!$AA$8, U68&lt;= ($AA$7+$AA$8)), W68/V68, " ")</f>
        <v xml:space="preserve"> </v>
      </c>
      <c r="AB68" s="21" t="str">
        <f>IF(AND(U68&gt;='Amort. Sched.-WORST'!$AA$8, U68&lt;= ($AA$7+$AA$8)), X68/V68, " ")</f>
        <v xml:space="preserve"> </v>
      </c>
      <c r="AD68" s="20">
        <f t="shared" si="3"/>
        <v>57</v>
      </c>
      <c r="AE68" s="5">
        <f t="shared" si="4"/>
        <v>0</v>
      </c>
      <c r="AF68" s="5">
        <f t="shared" si="5"/>
        <v>0</v>
      </c>
      <c r="AG68" s="5">
        <f t="shared" si="6"/>
        <v>0</v>
      </c>
      <c r="AH68" s="5">
        <f>IF(CreditAmort3WORST[[#This Row],[Month]]=AJ$8,AF$7,0)</f>
        <v>0</v>
      </c>
      <c r="AI68" s="13">
        <f t="shared" si="7"/>
        <v>0</v>
      </c>
      <c r="AJ68" s="6" t="str">
        <f t="shared" si="8"/>
        <v xml:space="preserve"> </v>
      </c>
      <c r="AK68" s="21" t="str">
        <f t="shared" si="9"/>
        <v xml:space="preserve"> </v>
      </c>
      <c r="AM68" s="20">
        <f t="shared" si="10"/>
        <v>57</v>
      </c>
      <c r="AN68" s="5">
        <f t="shared" si="11"/>
        <v>0</v>
      </c>
      <c r="AO68" s="5">
        <f t="shared" si="12"/>
        <v>0</v>
      </c>
      <c r="AP68" s="5">
        <f t="shared" si="13"/>
        <v>0</v>
      </c>
      <c r="AQ68" s="5">
        <f>IF(CreditAmort4WORST[[#This Row],[Month]]=AS$8,AO$7,0)</f>
        <v>0</v>
      </c>
      <c r="AR68" s="13">
        <f t="shared" si="14"/>
        <v>0</v>
      </c>
      <c r="AS68" s="6" t="str">
        <f t="shared" si="15"/>
        <v xml:space="preserve"> </v>
      </c>
      <c r="AT68" s="21" t="str">
        <f t="shared" si="16"/>
        <v xml:space="preserve"> </v>
      </c>
    </row>
    <row r="69" spans="3:46">
      <c r="C69" s="22">
        <f t="shared" si="1"/>
        <v>58</v>
      </c>
      <c r="D69" s="23">
        <f>IF(AND(C69&gt;='Amort. Sched.-WORST'!$I$8, C69&lt;= ($I$7+$I$8)), PMT('Amort. Sched.-WORST'!$E$8/12, 'Amort. Sched.-WORST'!$I$7, 'Amort. Sched.-WORST'!$E$7), 0)</f>
        <v>-2026.0175758541329</v>
      </c>
      <c r="E69" s="5">
        <f>IF(AND(C69&gt;='Amort. Sched.-WORST'!$I$8, C69&lt;= ($I$7+$I$8)), (IPMT($E$8/12, (C69-$I$8), $I$7, $E$7)), 0)</f>
        <v>-1622.9099938098145</v>
      </c>
      <c r="F69" s="23">
        <f>IF(AND(C69&gt;='Amort. Sched.-WORST'!$I$8, C69&lt;= ($I$7+$I$8)), (PPMT($E$8/12, (C69-$I$8), $I$7, $E$7)), 0)</f>
        <v>-403.10758204431841</v>
      </c>
      <c r="G69" s="5">
        <f>IF(MortgageAmortWORST[[#This Row],[Month]]=I$8,E$7,0)</f>
        <v>0</v>
      </c>
      <c r="H69" s="13">
        <f>IF(AND(C69&gt;='Amort. Sched.-WORST'!$I$8, C69&lt;= ($I$7+$I$8)), H68+F69, 0)</f>
        <v>243033.39148942774</v>
      </c>
      <c r="I69" s="24">
        <f>IF(AND(C69&gt;='Amort. Sched.-WORST'!$I$8, C69&lt;= ($I$7+$I$8)), E69/D69, " ")</f>
        <v>0.80103450885692562</v>
      </c>
      <c r="J69" s="25">
        <f>IF(AND(C69&gt;='Amort. Sched.-WORST'!$I$8, C69&lt;= ($I$7+$I$8)), F69/D69, " ")</f>
        <v>0.19896549114307432</v>
      </c>
      <c r="L69" s="20">
        <f t="shared" si="0"/>
        <v>58</v>
      </c>
      <c r="M69" s="5">
        <f>IF(AND(L69&gt;='Amort. Sched.-WORST'!$R$8, L69&lt;= ($R$7+$R$8)), PMT('Amort. Sched.-WORST'!$N$8/12, 'Amort. Sched.-WORST'!$R$7, 'Amort. Sched.-WORST'!$N$7), 0)</f>
        <v>0</v>
      </c>
      <c r="N69" s="5">
        <f>IF(AND(L69&gt;='Amort. Sched.-WORST'!$R$8, L69&lt;= ($R$7+$R$8)), (IPMT($N$8/12, (L69-$R$8), $R$7, $N$7)), 0)</f>
        <v>0</v>
      </c>
      <c r="O69" s="5">
        <f>IF(AND(L69&gt;='Amort. Sched.-WORST'!$R$8, L69&lt;= ($R$7+$R$8)), (PPMT($N$8/12, (L69-$R$8), $R$7, $N$7)), 0)</f>
        <v>0</v>
      </c>
      <c r="P69" s="5">
        <f>IF(CreditAmort1WORST[[#This Row],[Month]]=R$8,N$7,0)</f>
        <v>0</v>
      </c>
      <c r="Q69" s="13">
        <f>IF(AND(L69&gt;='Amort. Sched.-WORST'!$R$8, L69&lt;= ($R$7+$R$8)), Q68+O69, 0)</f>
        <v>0</v>
      </c>
      <c r="R69" s="6" t="str">
        <f>IF(AND(L69&gt;='Amort. Sched.-WORST'!$R$8, L69&lt;= ($R$7+$R$8)), N69/M69, " ")</f>
        <v xml:space="preserve"> </v>
      </c>
      <c r="S69" s="21" t="str">
        <f>IF(AND(L69&gt;='Amort. Sched.-WORST'!$R$8, L69&lt;= ($R$7+$R$8)), O69/M69, " ")</f>
        <v xml:space="preserve"> </v>
      </c>
      <c r="U69" s="20">
        <f t="shared" si="2"/>
        <v>58</v>
      </c>
      <c r="V69" s="5">
        <f>IF(AND(U69&gt;='Amort. Sched.-WORST'!$AA$8, U69&lt;= ($AA$7+$AA$8)), PMT('Amort. Sched.-WORST'!$W$8/12, 'Amort. Sched.-WORST'!$AA$7, 'Amort. Sched.-WORST'!$W$7), 0)</f>
        <v>0</v>
      </c>
      <c r="W69" s="5">
        <f>IF(AND(U69&gt;='Amort. Sched.-WORST'!$AA$8, U69&lt;= ($AA$7+$AA$8)), (IPMT($W$8/12, (U69-$AA$8), $AA$7, $W$7)), 0)</f>
        <v>0</v>
      </c>
      <c r="X69" s="5">
        <f>IF(AND(U69&gt;='Amort. Sched.-WORST'!$AA$8, U69&lt;= ($AA$7+$AA$8)), (PPMT($W$8/12, (U69-$AA$8), $AA$7, $W$7)), 0)</f>
        <v>0</v>
      </c>
      <c r="Y69" s="5">
        <f>IF(CreditAmort2WORST[[#This Row],[Month]]=AA$8,W$7,0)</f>
        <v>0</v>
      </c>
      <c r="Z69" s="13">
        <f>IF(AND(U69&gt;='Amort. Sched.-WORST'!$AA$8, U69&lt;= ($AA$7+$AA$8)), Z68+X69, 0)</f>
        <v>0</v>
      </c>
      <c r="AA69" s="6" t="str">
        <f>IF(AND(U69&gt;='Amort. Sched.-WORST'!$AA$8, U69&lt;= ($AA$7+$AA$8)), W69/V69, " ")</f>
        <v xml:space="preserve"> </v>
      </c>
      <c r="AB69" s="21" t="str">
        <f>IF(AND(U69&gt;='Amort. Sched.-WORST'!$AA$8, U69&lt;= ($AA$7+$AA$8)), X69/V69, " ")</f>
        <v xml:space="preserve"> </v>
      </c>
      <c r="AD69" s="20">
        <f t="shared" si="3"/>
        <v>58</v>
      </c>
      <c r="AE69" s="5">
        <f t="shared" si="4"/>
        <v>0</v>
      </c>
      <c r="AF69" s="5">
        <f t="shared" si="5"/>
        <v>0</v>
      </c>
      <c r="AG69" s="5">
        <f t="shared" si="6"/>
        <v>0</v>
      </c>
      <c r="AH69" s="5">
        <f>IF(CreditAmort3WORST[[#This Row],[Month]]=AJ$8,AF$7,0)</f>
        <v>0</v>
      </c>
      <c r="AI69" s="13">
        <f t="shared" si="7"/>
        <v>0</v>
      </c>
      <c r="AJ69" s="6" t="str">
        <f t="shared" si="8"/>
        <v xml:space="preserve"> </v>
      </c>
      <c r="AK69" s="21" t="str">
        <f t="shared" si="9"/>
        <v xml:space="preserve"> </v>
      </c>
      <c r="AM69" s="20">
        <f t="shared" si="10"/>
        <v>58</v>
      </c>
      <c r="AN69" s="5">
        <f t="shared" si="11"/>
        <v>0</v>
      </c>
      <c r="AO69" s="5">
        <f t="shared" si="12"/>
        <v>0</v>
      </c>
      <c r="AP69" s="5">
        <f t="shared" si="13"/>
        <v>0</v>
      </c>
      <c r="AQ69" s="5">
        <f>IF(CreditAmort4WORST[[#This Row],[Month]]=AS$8,AO$7,0)</f>
        <v>0</v>
      </c>
      <c r="AR69" s="13">
        <f t="shared" si="14"/>
        <v>0</v>
      </c>
      <c r="AS69" s="6" t="str">
        <f t="shared" si="15"/>
        <v xml:space="preserve"> </v>
      </c>
      <c r="AT69" s="21" t="str">
        <f t="shared" si="16"/>
        <v xml:space="preserve"> </v>
      </c>
    </row>
    <row r="70" spans="3:46">
      <c r="C70" s="22">
        <f t="shared" si="1"/>
        <v>59</v>
      </c>
      <c r="D70" s="23">
        <f>IF(AND(C70&gt;='Amort. Sched.-WORST'!$I$8, C70&lt;= ($I$7+$I$8)), PMT('Amort. Sched.-WORST'!$E$8/12, 'Amort. Sched.-WORST'!$I$7, 'Amort. Sched.-WORST'!$E$7), 0)</f>
        <v>-2026.0175758541329</v>
      </c>
      <c r="E70" s="5">
        <f>IF(AND(C70&gt;='Amort. Sched.-WORST'!$I$8, C70&lt;= ($I$7+$I$8)), (IPMT($E$8/12, (C70-$I$8), $I$7, $E$7)), 0)</f>
        <v>-1620.2226099295192</v>
      </c>
      <c r="F70" s="23">
        <f>IF(AND(C70&gt;='Amort. Sched.-WORST'!$I$8, C70&lt;= ($I$7+$I$8)), (PPMT($E$8/12, (C70-$I$8), $I$7, $E$7)), 0)</f>
        <v>-405.79496592461385</v>
      </c>
      <c r="G70" s="5">
        <f>IF(MortgageAmortWORST[[#This Row],[Month]]=I$8,E$7,0)</f>
        <v>0</v>
      </c>
      <c r="H70" s="13">
        <f>IF(AND(C70&gt;='Amort. Sched.-WORST'!$I$8, C70&lt;= ($I$7+$I$8)), H69+F70, 0)</f>
        <v>242627.59652350313</v>
      </c>
      <c r="I70" s="24">
        <f>IF(AND(C70&gt;='Amort. Sched.-WORST'!$I$8, C70&lt;= ($I$7+$I$8)), E70/D70, " ")</f>
        <v>0.79970807224930529</v>
      </c>
      <c r="J70" s="25">
        <f>IF(AND(C70&gt;='Amort. Sched.-WORST'!$I$8, C70&lt;= ($I$7+$I$8)), F70/D70, " ")</f>
        <v>0.20029192775069482</v>
      </c>
      <c r="L70" s="20">
        <f t="shared" si="0"/>
        <v>59</v>
      </c>
      <c r="M70" s="5">
        <f>IF(AND(L70&gt;='Amort. Sched.-WORST'!$R$8, L70&lt;= ($R$7+$R$8)), PMT('Amort. Sched.-WORST'!$N$8/12, 'Amort. Sched.-WORST'!$R$7, 'Amort. Sched.-WORST'!$N$7), 0)</f>
        <v>0</v>
      </c>
      <c r="N70" s="5">
        <f>IF(AND(L70&gt;='Amort. Sched.-WORST'!$R$8, L70&lt;= ($R$7+$R$8)), (IPMT($N$8/12, (L70-$R$8), $R$7, $N$7)), 0)</f>
        <v>0</v>
      </c>
      <c r="O70" s="5">
        <f>IF(AND(L70&gt;='Amort. Sched.-WORST'!$R$8, L70&lt;= ($R$7+$R$8)), (PPMT($N$8/12, (L70-$R$8), $R$7, $N$7)), 0)</f>
        <v>0</v>
      </c>
      <c r="P70" s="5">
        <f>IF(CreditAmort1WORST[[#This Row],[Month]]=R$8,N$7,0)</f>
        <v>0</v>
      </c>
      <c r="Q70" s="13">
        <f>IF(AND(L70&gt;='Amort. Sched.-WORST'!$R$8, L70&lt;= ($R$7+$R$8)), Q69+O70, 0)</f>
        <v>0</v>
      </c>
      <c r="R70" s="6" t="str">
        <f>IF(AND(L70&gt;='Amort. Sched.-WORST'!$R$8, L70&lt;= ($R$7+$R$8)), N70/M70, " ")</f>
        <v xml:space="preserve"> </v>
      </c>
      <c r="S70" s="21" t="str">
        <f>IF(AND(L70&gt;='Amort. Sched.-WORST'!$R$8, L70&lt;= ($R$7+$R$8)), O70/M70, " ")</f>
        <v xml:space="preserve"> </v>
      </c>
      <c r="U70" s="20">
        <f t="shared" si="2"/>
        <v>59</v>
      </c>
      <c r="V70" s="5">
        <f>IF(AND(U70&gt;='Amort. Sched.-WORST'!$AA$8, U70&lt;= ($AA$7+$AA$8)), PMT('Amort. Sched.-WORST'!$W$8/12, 'Amort. Sched.-WORST'!$AA$7, 'Amort. Sched.-WORST'!$W$7), 0)</f>
        <v>0</v>
      </c>
      <c r="W70" s="5">
        <f>IF(AND(U70&gt;='Amort. Sched.-WORST'!$AA$8, U70&lt;= ($AA$7+$AA$8)), (IPMT($W$8/12, (U70-$AA$8), $AA$7, $W$7)), 0)</f>
        <v>0</v>
      </c>
      <c r="X70" s="5">
        <f>IF(AND(U70&gt;='Amort. Sched.-WORST'!$AA$8, U70&lt;= ($AA$7+$AA$8)), (PPMT($W$8/12, (U70-$AA$8), $AA$7, $W$7)), 0)</f>
        <v>0</v>
      </c>
      <c r="Y70" s="5">
        <f>IF(CreditAmort2WORST[[#This Row],[Month]]=AA$8,W$7,0)</f>
        <v>0</v>
      </c>
      <c r="Z70" s="13">
        <f>IF(AND(U70&gt;='Amort. Sched.-WORST'!$AA$8, U70&lt;= ($AA$7+$AA$8)), Z69+X70, 0)</f>
        <v>0</v>
      </c>
      <c r="AA70" s="6" t="str">
        <f>IF(AND(U70&gt;='Amort. Sched.-WORST'!$AA$8, U70&lt;= ($AA$7+$AA$8)), W70/V70, " ")</f>
        <v xml:space="preserve"> </v>
      </c>
      <c r="AB70" s="21" t="str">
        <f>IF(AND(U70&gt;='Amort. Sched.-WORST'!$AA$8, U70&lt;= ($AA$7+$AA$8)), X70/V70, " ")</f>
        <v xml:space="preserve"> </v>
      </c>
      <c r="AD70" s="20">
        <f t="shared" si="3"/>
        <v>59</v>
      </c>
      <c r="AE70" s="5">
        <f t="shared" si="4"/>
        <v>0</v>
      </c>
      <c r="AF70" s="5">
        <f t="shared" si="5"/>
        <v>0</v>
      </c>
      <c r="AG70" s="5">
        <f t="shared" si="6"/>
        <v>0</v>
      </c>
      <c r="AH70" s="5">
        <f>IF(CreditAmort3WORST[[#This Row],[Month]]=AJ$8,AF$7,0)</f>
        <v>0</v>
      </c>
      <c r="AI70" s="13">
        <f t="shared" si="7"/>
        <v>0</v>
      </c>
      <c r="AJ70" s="6" t="str">
        <f t="shared" si="8"/>
        <v xml:space="preserve"> </v>
      </c>
      <c r="AK70" s="21" t="str">
        <f t="shared" si="9"/>
        <v xml:space="preserve"> </v>
      </c>
      <c r="AM70" s="20">
        <f t="shared" si="10"/>
        <v>59</v>
      </c>
      <c r="AN70" s="5">
        <f t="shared" si="11"/>
        <v>0</v>
      </c>
      <c r="AO70" s="5">
        <f t="shared" si="12"/>
        <v>0</v>
      </c>
      <c r="AP70" s="5">
        <f t="shared" si="13"/>
        <v>0</v>
      </c>
      <c r="AQ70" s="5">
        <f>IF(CreditAmort4WORST[[#This Row],[Month]]=AS$8,AO$7,0)</f>
        <v>0</v>
      </c>
      <c r="AR70" s="13">
        <f t="shared" si="14"/>
        <v>0</v>
      </c>
      <c r="AS70" s="6" t="str">
        <f t="shared" si="15"/>
        <v xml:space="preserve"> </v>
      </c>
      <c r="AT70" s="21" t="str">
        <f t="shared" si="16"/>
        <v xml:space="preserve"> </v>
      </c>
    </row>
    <row r="71" spans="3:46">
      <c r="C71" s="22">
        <f t="shared" si="1"/>
        <v>60</v>
      </c>
      <c r="D71" s="23">
        <f>IF(AND(C71&gt;='Amort. Sched.-WORST'!$I$8, C71&lt;= ($I$7+$I$8)), PMT('Amort. Sched.-WORST'!$E$8/12, 'Amort. Sched.-WORST'!$I$7, 'Amort. Sched.-WORST'!$E$7), 0)</f>
        <v>-2026.0175758541329</v>
      </c>
      <c r="E71" s="5">
        <f>IF(AND(C71&gt;='Amort. Sched.-WORST'!$I$8, C71&lt;= ($I$7+$I$8)), (IPMT($E$8/12, (C71-$I$8), $I$7, $E$7)), 0)</f>
        <v>-1617.5173101566882</v>
      </c>
      <c r="F71" s="23">
        <f>IF(AND(C71&gt;='Amort. Sched.-WORST'!$I$8, C71&lt;= ($I$7+$I$8)), (PPMT($E$8/12, (C71-$I$8), $I$7, $E$7)), 0)</f>
        <v>-408.5002656974446</v>
      </c>
      <c r="G71" s="5">
        <f>IF(MortgageAmortWORST[[#This Row],[Month]]=I$8,E$7,0)</f>
        <v>0</v>
      </c>
      <c r="H71" s="13">
        <f>IF(AND(C71&gt;='Amort. Sched.-WORST'!$I$8, C71&lt;= ($I$7+$I$8)), H70+F71, 0)</f>
        <v>242219.09625780568</v>
      </c>
      <c r="I71" s="24">
        <f>IF(AND(C71&gt;='Amort. Sched.-WORST'!$I$8, C71&lt;= ($I$7+$I$8)), E71/D71, " ")</f>
        <v>0.79837279273096717</v>
      </c>
      <c r="J71" s="25">
        <f>IF(AND(C71&gt;='Amort. Sched.-WORST'!$I$8, C71&lt;= ($I$7+$I$8)), F71/D71, " ")</f>
        <v>0.20162720726903277</v>
      </c>
      <c r="L71" s="20">
        <f t="shared" si="0"/>
        <v>60</v>
      </c>
      <c r="M71" s="5">
        <f>IF(AND(L71&gt;='Amort. Sched.-WORST'!$R$8, L71&lt;= ($R$7+$R$8)), PMT('Amort. Sched.-WORST'!$N$8/12, 'Amort. Sched.-WORST'!$R$7, 'Amort. Sched.-WORST'!$N$7), 0)</f>
        <v>0</v>
      </c>
      <c r="N71" s="5">
        <f>IF(AND(L71&gt;='Amort. Sched.-WORST'!$R$8, L71&lt;= ($R$7+$R$8)), (IPMT($N$8/12, (L71-$R$8), $R$7, $N$7)), 0)</f>
        <v>0</v>
      </c>
      <c r="O71" s="5">
        <f>IF(AND(L71&gt;='Amort. Sched.-WORST'!$R$8, L71&lt;= ($R$7+$R$8)), (PPMT($N$8/12, (L71-$R$8), $R$7, $N$7)), 0)</f>
        <v>0</v>
      </c>
      <c r="P71" s="5">
        <f>IF(CreditAmort1WORST[[#This Row],[Month]]=R$8,N$7,0)</f>
        <v>0</v>
      </c>
      <c r="Q71" s="13">
        <f>IF(AND(L71&gt;='Amort. Sched.-WORST'!$R$8, L71&lt;= ($R$7+$R$8)), Q70+O71, 0)</f>
        <v>0</v>
      </c>
      <c r="R71" s="6" t="str">
        <f>IF(AND(L71&gt;='Amort. Sched.-WORST'!$R$8, L71&lt;= ($R$7+$R$8)), N71/M71, " ")</f>
        <v xml:space="preserve"> </v>
      </c>
      <c r="S71" s="21" t="str">
        <f>IF(AND(L71&gt;='Amort. Sched.-WORST'!$R$8, L71&lt;= ($R$7+$R$8)), O71/M71, " ")</f>
        <v xml:space="preserve"> </v>
      </c>
      <c r="U71" s="20">
        <f t="shared" si="2"/>
        <v>60</v>
      </c>
      <c r="V71" s="5">
        <f>IF(AND(U71&gt;='Amort. Sched.-WORST'!$AA$8, U71&lt;= ($AA$7+$AA$8)), PMT('Amort. Sched.-WORST'!$W$8/12, 'Amort. Sched.-WORST'!$AA$7, 'Amort. Sched.-WORST'!$W$7), 0)</f>
        <v>0</v>
      </c>
      <c r="W71" s="5">
        <f>IF(AND(U71&gt;='Amort. Sched.-WORST'!$AA$8, U71&lt;= ($AA$7+$AA$8)), (IPMT($W$8/12, (U71-$AA$8), $AA$7, $W$7)), 0)</f>
        <v>0</v>
      </c>
      <c r="X71" s="5">
        <f>IF(AND(U71&gt;='Amort. Sched.-WORST'!$AA$8, U71&lt;= ($AA$7+$AA$8)), (PPMT($W$8/12, (U71-$AA$8), $AA$7, $W$7)), 0)</f>
        <v>0</v>
      </c>
      <c r="Y71" s="5">
        <f>IF(CreditAmort2WORST[[#This Row],[Month]]=AA$8,W$7,0)</f>
        <v>0</v>
      </c>
      <c r="Z71" s="13">
        <f>IF(AND(U71&gt;='Amort. Sched.-WORST'!$AA$8, U71&lt;= ($AA$7+$AA$8)), Z70+X71, 0)</f>
        <v>0</v>
      </c>
      <c r="AA71" s="6" t="str">
        <f>IF(AND(U71&gt;='Amort. Sched.-WORST'!$AA$8, U71&lt;= ($AA$7+$AA$8)), W71/V71, " ")</f>
        <v xml:space="preserve"> </v>
      </c>
      <c r="AB71" s="21" t="str">
        <f>IF(AND(U71&gt;='Amort. Sched.-WORST'!$AA$8, U71&lt;= ($AA$7+$AA$8)), X71/V71, " ")</f>
        <v xml:space="preserve"> </v>
      </c>
      <c r="AD71" s="20">
        <f t="shared" si="3"/>
        <v>60</v>
      </c>
      <c r="AE71" s="5">
        <f t="shared" si="4"/>
        <v>0</v>
      </c>
      <c r="AF71" s="5">
        <f t="shared" si="5"/>
        <v>0</v>
      </c>
      <c r="AG71" s="5">
        <f t="shared" si="6"/>
        <v>0</v>
      </c>
      <c r="AH71" s="5">
        <f>IF(CreditAmort3WORST[[#This Row],[Month]]=AJ$8,AF$7,0)</f>
        <v>0</v>
      </c>
      <c r="AI71" s="13">
        <f t="shared" si="7"/>
        <v>0</v>
      </c>
      <c r="AJ71" s="6" t="str">
        <f t="shared" si="8"/>
        <v xml:space="preserve"> </v>
      </c>
      <c r="AK71" s="21" t="str">
        <f t="shared" si="9"/>
        <v xml:space="preserve"> </v>
      </c>
      <c r="AM71" s="20">
        <f t="shared" si="10"/>
        <v>60</v>
      </c>
      <c r="AN71" s="5">
        <f t="shared" si="11"/>
        <v>0</v>
      </c>
      <c r="AO71" s="5">
        <f t="shared" si="12"/>
        <v>0</v>
      </c>
      <c r="AP71" s="5">
        <f t="shared" si="13"/>
        <v>0</v>
      </c>
      <c r="AQ71" s="5">
        <f>IF(CreditAmort4WORST[[#This Row],[Month]]=AS$8,AO$7,0)</f>
        <v>0</v>
      </c>
      <c r="AR71" s="13">
        <f t="shared" si="14"/>
        <v>0</v>
      </c>
      <c r="AS71" s="6" t="str">
        <f t="shared" si="15"/>
        <v xml:space="preserve"> </v>
      </c>
      <c r="AT71" s="21" t="str">
        <f t="shared" si="16"/>
        <v xml:space="preserve"> </v>
      </c>
    </row>
    <row r="72" spans="3:46">
      <c r="C72" s="22">
        <f t="shared" si="1"/>
        <v>61</v>
      </c>
      <c r="D72" s="23">
        <f>IF(AND(C72&gt;='Amort. Sched.-WORST'!$I$8, C72&lt;= ($I$7+$I$8)), PMT('Amort. Sched.-WORST'!$E$8/12, 'Amort. Sched.-WORST'!$I$7, 'Amort. Sched.-WORST'!$E$7), 0)</f>
        <v>-2026.0175758541329</v>
      </c>
      <c r="E72" s="5">
        <f>IF(AND(C72&gt;='Amort. Sched.-WORST'!$I$8, C72&lt;= ($I$7+$I$8)), (IPMT($E$8/12, (C72-$I$8), $I$7, $E$7)), 0)</f>
        <v>-1614.7939750520388</v>
      </c>
      <c r="F72" s="23">
        <f>IF(AND(C72&gt;='Amort. Sched.-WORST'!$I$8, C72&lt;= ($I$7+$I$8)), (PPMT($E$8/12, (C72-$I$8), $I$7, $E$7)), 0)</f>
        <v>-411.22360080209427</v>
      </c>
      <c r="G72" s="5">
        <f>IF(MortgageAmortWORST[[#This Row],[Month]]=I$8,E$7,0)</f>
        <v>0</v>
      </c>
      <c r="H72" s="13">
        <f>IF(AND(C72&gt;='Amort. Sched.-WORST'!$I$8, C72&lt;= ($I$7+$I$8)), H71+F72, 0)</f>
        <v>241807.87265700358</v>
      </c>
      <c r="I72" s="24">
        <f>IF(AND(C72&gt;='Amort. Sched.-WORST'!$I$8, C72&lt;= ($I$7+$I$8)), E72/D72, " ")</f>
        <v>0.79702861134917369</v>
      </c>
      <c r="J72" s="25">
        <f>IF(AND(C72&gt;='Amort. Sched.-WORST'!$I$8, C72&lt;= ($I$7+$I$8)), F72/D72, " ")</f>
        <v>0.20297138865082634</v>
      </c>
      <c r="L72" s="20">
        <f t="shared" si="0"/>
        <v>61</v>
      </c>
      <c r="M72" s="5">
        <f>IF(AND(L72&gt;='Amort. Sched.-WORST'!$R$8, L72&lt;= ($R$7+$R$8)), PMT('Amort. Sched.-WORST'!$N$8/12, 'Amort. Sched.-WORST'!$R$7, 'Amort. Sched.-WORST'!$N$7), 0)</f>
        <v>0</v>
      </c>
      <c r="N72" s="5">
        <f>IF(AND(L72&gt;='Amort. Sched.-WORST'!$R$8, L72&lt;= ($R$7+$R$8)), (IPMT($N$8/12, (L72-$R$8), $R$7, $N$7)), 0)</f>
        <v>0</v>
      </c>
      <c r="O72" s="5">
        <f>IF(AND(L72&gt;='Amort. Sched.-WORST'!$R$8, L72&lt;= ($R$7+$R$8)), (PPMT($N$8/12, (L72-$R$8), $R$7, $N$7)), 0)</f>
        <v>0</v>
      </c>
      <c r="P72" s="5">
        <f>IF(CreditAmort1WORST[[#This Row],[Month]]=R$8,N$7,0)</f>
        <v>0</v>
      </c>
      <c r="Q72" s="13">
        <f>IF(AND(L72&gt;='Amort. Sched.-WORST'!$R$8, L72&lt;= ($R$7+$R$8)), Q71+O72, 0)</f>
        <v>0</v>
      </c>
      <c r="R72" s="6" t="str">
        <f>IF(AND(L72&gt;='Amort. Sched.-WORST'!$R$8, L72&lt;= ($R$7+$R$8)), N72/M72, " ")</f>
        <v xml:space="preserve"> </v>
      </c>
      <c r="S72" s="21" t="str">
        <f>IF(AND(L72&gt;='Amort. Sched.-WORST'!$R$8, L72&lt;= ($R$7+$R$8)), O72/M72, " ")</f>
        <v xml:space="preserve"> </v>
      </c>
      <c r="U72" s="20">
        <f t="shared" si="2"/>
        <v>61</v>
      </c>
      <c r="V72" s="5">
        <f>IF(AND(U72&gt;='Amort. Sched.-WORST'!$AA$8, U72&lt;= ($AA$7+$AA$8)), PMT('Amort. Sched.-WORST'!$W$8/12, 'Amort. Sched.-WORST'!$AA$7, 'Amort. Sched.-WORST'!$W$7), 0)</f>
        <v>0</v>
      </c>
      <c r="W72" s="5">
        <f>IF(AND(U72&gt;='Amort. Sched.-WORST'!$AA$8, U72&lt;= ($AA$7+$AA$8)), (IPMT($W$8/12, (U72-$AA$8), $AA$7, $W$7)), 0)</f>
        <v>0</v>
      </c>
      <c r="X72" s="5">
        <f>IF(AND(U72&gt;='Amort. Sched.-WORST'!$AA$8, U72&lt;= ($AA$7+$AA$8)), (PPMT($W$8/12, (U72-$AA$8), $AA$7, $W$7)), 0)</f>
        <v>0</v>
      </c>
      <c r="Y72" s="5">
        <f>IF(CreditAmort2WORST[[#This Row],[Month]]=AA$8,W$7,0)</f>
        <v>0</v>
      </c>
      <c r="Z72" s="13">
        <f>IF(AND(U72&gt;='Amort. Sched.-WORST'!$AA$8, U72&lt;= ($AA$7+$AA$8)), Z71+X72, 0)</f>
        <v>0</v>
      </c>
      <c r="AA72" s="6" t="str">
        <f>IF(AND(U72&gt;='Amort. Sched.-WORST'!$AA$8, U72&lt;= ($AA$7+$AA$8)), W72/V72, " ")</f>
        <v xml:space="preserve"> </v>
      </c>
      <c r="AB72" s="21" t="str">
        <f>IF(AND(U72&gt;='Amort. Sched.-WORST'!$AA$8, U72&lt;= ($AA$7+$AA$8)), X72/V72, " ")</f>
        <v xml:space="preserve"> </v>
      </c>
      <c r="AD72" s="20">
        <f t="shared" si="3"/>
        <v>61</v>
      </c>
      <c r="AE72" s="5">
        <f t="shared" si="4"/>
        <v>0</v>
      </c>
      <c r="AF72" s="5">
        <f t="shared" si="5"/>
        <v>0</v>
      </c>
      <c r="AG72" s="5">
        <f t="shared" si="6"/>
        <v>0</v>
      </c>
      <c r="AH72" s="5">
        <f>IF(CreditAmort3WORST[[#This Row],[Month]]=AJ$8,AF$7,0)</f>
        <v>0</v>
      </c>
      <c r="AI72" s="13">
        <f t="shared" si="7"/>
        <v>0</v>
      </c>
      <c r="AJ72" s="6" t="str">
        <f t="shared" si="8"/>
        <v xml:space="preserve"> </v>
      </c>
      <c r="AK72" s="21" t="str">
        <f t="shared" si="9"/>
        <v xml:space="preserve"> </v>
      </c>
      <c r="AM72" s="20">
        <f t="shared" si="10"/>
        <v>61</v>
      </c>
      <c r="AN72" s="5">
        <f t="shared" si="11"/>
        <v>0</v>
      </c>
      <c r="AO72" s="5">
        <f t="shared" si="12"/>
        <v>0</v>
      </c>
      <c r="AP72" s="5">
        <f t="shared" si="13"/>
        <v>0</v>
      </c>
      <c r="AQ72" s="5">
        <f>IF(CreditAmort4WORST[[#This Row],[Month]]=AS$8,AO$7,0)</f>
        <v>0</v>
      </c>
      <c r="AR72" s="13">
        <f t="shared" si="14"/>
        <v>0</v>
      </c>
      <c r="AS72" s="6" t="str">
        <f t="shared" si="15"/>
        <v xml:space="preserve"> </v>
      </c>
      <c r="AT72" s="21" t="str">
        <f t="shared" si="16"/>
        <v xml:space="preserve"> </v>
      </c>
    </row>
    <row r="73" spans="3:46">
      <c r="C73" s="22">
        <f t="shared" si="1"/>
        <v>62</v>
      </c>
      <c r="D73" s="23">
        <f>IF(AND(C73&gt;='Amort. Sched.-WORST'!$I$8, C73&lt;= ($I$7+$I$8)), PMT('Amort. Sched.-WORST'!$E$8/12, 'Amort. Sched.-WORST'!$I$7, 'Amort. Sched.-WORST'!$E$7), 0)</f>
        <v>-2026.0175758541329</v>
      </c>
      <c r="E73" s="5">
        <f>IF(AND(C73&gt;='Amort. Sched.-WORST'!$I$8, C73&lt;= ($I$7+$I$8)), (IPMT($E$8/12, (C73-$I$8), $I$7, $E$7)), 0)</f>
        <v>-1612.0524843800249</v>
      </c>
      <c r="F73" s="23">
        <f>IF(AND(C73&gt;='Amort. Sched.-WORST'!$I$8, C73&lt;= ($I$7+$I$8)), (PPMT($E$8/12, (C73-$I$8), $I$7, $E$7)), 0)</f>
        <v>-413.96509147410825</v>
      </c>
      <c r="G73" s="5">
        <f>IF(MortgageAmortWORST[[#This Row],[Month]]=I$8,E$7,0)</f>
        <v>0</v>
      </c>
      <c r="H73" s="13">
        <f>IF(AND(C73&gt;='Amort. Sched.-WORST'!$I$8, C73&lt;= ($I$7+$I$8)), H72+F73, 0)</f>
        <v>241393.90756552946</v>
      </c>
      <c r="I73" s="24">
        <f>IF(AND(C73&gt;='Amort. Sched.-WORST'!$I$8, C73&lt;= ($I$7+$I$8)), E73/D73, " ")</f>
        <v>0.79567546875816819</v>
      </c>
      <c r="J73" s="25">
        <f>IF(AND(C73&gt;='Amort. Sched.-WORST'!$I$8, C73&lt;= ($I$7+$I$8)), F73/D73, " ")</f>
        <v>0.20432453124183186</v>
      </c>
      <c r="L73" s="20">
        <f t="shared" si="0"/>
        <v>62</v>
      </c>
      <c r="M73" s="5">
        <f>IF(AND(L73&gt;='Amort. Sched.-WORST'!$R$8, L73&lt;= ($R$7+$R$8)), PMT('Amort. Sched.-WORST'!$N$8/12, 'Amort. Sched.-WORST'!$R$7, 'Amort. Sched.-WORST'!$N$7), 0)</f>
        <v>0</v>
      </c>
      <c r="N73" s="5">
        <f>IF(AND(L73&gt;='Amort. Sched.-WORST'!$R$8, L73&lt;= ($R$7+$R$8)), (IPMT($N$8/12, (L73-$R$8), $R$7, $N$7)), 0)</f>
        <v>0</v>
      </c>
      <c r="O73" s="5">
        <f>IF(AND(L73&gt;='Amort. Sched.-WORST'!$R$8, L73&lt;= ($R$7+$R$8)), (PPMT($N$8/12, (L73-$R$8), $R$7, $N$7)), 0)</f>
        <v>0</v>
      </c>
      <c r="P73" s="5">
        <f>IF(CreditAmort1WORST[[#This Row],[Month]]=R$8,N$7,0)</f>
        <v>0</v>
      </c>
      <c r="Q73" s="13">
        <f>IF(AND(L73&gt;='Amort. Sched.-WORST'!$R$8, L73&lt;= ($R$7+$R$8)), Q72+O73, 0)</f>
        <v>0</v>
      </c>
      <c r="R73" s="6" t="str">
        <f>IF(AND(L73&gt;='Amort. Sched.-WORST'!$R$8, L73&lt;= ($R$7+$R$8)), N73/M73, " ")</f>
        <v xml:space="preserve"> </v>
      </c>
      <c r="S73" s="21" t="str">
        <f>IF(AND(L73&gt;='Amort. Sched.-WORST'!$R$8, L73&lt;= ($R$7+$R$8)), O73/M73, " ")</f>
        <v xml:space="preserve"> </v>
      </c>
      <c r="U73" s="20">
        <f t="shared" si="2"/>
        <v>62</v>
      </c>
      <c r="V73" s="5">
        <f>IF(AND(U73&gt;='Amort. Sched.-WORST'!$AA$8, U73&lt;= ($AA$7+$AA$8)), PMT('Amort. Sched.-WORST'!$W$8/12, 'Amort. Sched.-WORST'!$AA$7, 'Amort. Sched.-WORST'!$W$7), 0)</f>
        <v>0</v>
      </c>
      <c r="W73" s="5">
        <f>IF(AND(U73&gt;='Amort. Sched.-WORST'!$AA$8, U73&lt;= ($AA$7+$AA$8)), (IPMT($W$8/12, (U73-$AA$8), $AA$7, $W$7)), 0)</f>
        <v>0</v>
      </c>
      <c r="X73" s="5">
        <f>IF(AND(U73&gt;='Amort. Sched.-WORST'!$AA$8, U73&lt;= ($AA$7+$AA$8)), (PPMT($W$8/12, (U73-$AA$8), $AA$7, $W$7)), 0)</f>
        <v>0</v>
      </c>
      <c r="Y73" s="5">
        <f>IF(CreditAmort2WORST[[#This Row],[Month]]=AA$8,W$7,0)</f>
        <v>0</v>
      </c>
      <c r="Z73" s="13">
        <f>IF(AND(U73&gt;='Amort. Sched.-WORST'!$AA$8, U73&lt;= ($AA$7+$AA$8)), Z72+X73, 0)</f>
        <v>0</v>
      </c>
      <c r="AA73" s="6" t="str">
        <f>IF(AND(U73&gt;='Amort. Sched.-WORST'!$AA$8, U73&lt;= ($AA$7+$AA$8)), W73/V73, " ")</f>
        <v xml:space="preserve"> </v>
      </c>
      <c r="AB73" s="21" t="str">
        <f>IF(AND(U73&gt;='Amort. Sched.-WORST'!$AA$8, U73&lt;= ($AA$7+$AA$8)), X73/V73, " ")</f>
        <v xml:space="preserve"> </v>
      </c>
      <c r="AD73" s="20">
        <f t="shared" si="3"/>
        <v>62</v>
      </c>
      <c r="AE73" s="5">
        <f t="shared" si="4"/>
        <v>0</v>
      </c>
      <c r="AF73" s="5">
        <f t="shared" si="5"/>
        <v>0</v>
      </c>
      <c r="AG73" s="5">
        <f t="shared" si="6"/>
        <v>0</v>
      </c>
      <c r="AH73" s="5">
        <f>IF(CreditAmort3WORST[[#This Row],[Month]]=AJ$8,AF$7,0)</f>
        <v>0</v>
      </c>
      <c r="AI73" s="13">
        <f t="shared" si="7"/>
        <v>0</v>
      </c>
      <c r="AJ73" s="6" t="str">
        <f t="shared" si="8"/>
        <v xml:space="preserve"> </v>
      </c>
      <c r="AK73" s="21" t="str">
        <f t="shared" si="9"/>
        <v xml:space="preserve"> </v>
      </c>
      <c r="AM73" s="20">
        <f t="shared" si="10"/>
        <v>62</v>
      </c>
      <c r="AN73" s="5">
        <f t="shared" si="11"/>
        <v>0</v>
      </c>
      <c r="AO73" s="5">
        <f t="shared" si="12"/>
        <v>0</v>
      </c>
      <c r="AP73" s="5">
        <f t="shared" si="13"/>
        <v>0</v>
      </c>
      <c r="AQ73" s="5">
        <f>IF(CreditAmort4WORST[[#This Row],[Month]]=AS$8,AO$7,0)</f>
        <v>0</v>
      </c>
      <c r="AR73" s="13">
        <f t="shared" si="14"/>
        <v>0</v>
      </c>
      <c r="AS73" s="6" t="str">
        <f t="shared" si="15"/>
        <v xml:space="preserve"> </v>
      </c>
      <c r="AT73" s="21" t="str">
        <f t="shared" si="16"/>
        <v xml:space="preserve"> </v>
      </c>
    </row>
    <row r="74" spans="3:46">
      <c r="C74" s="22">
        <f t="shared" si="1"/>
        <v>63</v>
      </c>
      <c r="D74" s="23">
        <f>IF(AND(C74&gt;='Amort. Sched.-WORST'!$I$8, C74&lt;= ($I$7+$I$8)), PMT('Amort. Sched.-WORST'!$E$8/12, 'Amort. Sched.-WORST'!$I$7, 'Amort. Sched.-WORST'!$E$7), 0)</f>
        <v>-2026.0175758541329</v>
      </c>
      <c r="E74" s="5">
        <f>IF(AND(C74&gt;='Amort. Sched.-WORST'!$I$8, C74&lt;= ($I$7+$I$8)), (IPMT($E$8/12, (C74-$I$8), $I$7, $E$7)), 0)</f>
        <v>-1609.2927171035305</v>
      </c>
      <c r="F74" s="23">
        <f>IF(AND(C74&gt;='Amort. Sched.-WORST'!$I$8, C74&lt;= ($I$7+$I$8)), (PPMT($E$8/12, (C74-$I$8), $I$7, $E$7)), 0)</f>
        <v>-416.72485875060238</v>
      </c>
      <c r="G74" s="5">
        <f>IF(MortgageAmortWORST[[#This Row],[Month]]=I$8,E$7,0)</f>
        <v>0</v>
      </c>
      <c r="H74" s="13">
        <f>IF(AND(C74&gt;='Amort. Sched.-WORST'!$I$8, C74&lt;= ($I$7+$I$8)), H73+F74, 0)</f>
        <v>240977.18270677887</v>
      </c>
      <c r="I74" s="24">
        <f>IF(AND(C74&gt;='Amort. Sched.-WORST'!$I$8, C74&lt;= ($I$7+$I$8)), E74/D74, " ")</f>
        <v>0.79431330521655585</v>
      </c>
      <c r="J74" s="25">
        <f>IF(AND(C74&gt;='Amort. Sched.-WORST'!$I$8, C74&lt;= ($I$7+$I$8)), F74/D74, " ")</f>
        <v>0.20568669478344412</v>
      </c>
      <c r="L74" s="20">
        <f t="shared" si="0"/>
        <v>63</v>
      </c>
      <c r="M74" s="5">
        <f>IF(AND(L74&gt;='Amort. Sched.-WORST'!$R$8, L74&lt;= ($R$7+$R$8)), PMT('Amort. Sched.-WORST'!$N$8/12, 'Amort. Sched.-WORST'!$R$7, 'Amort. Sched.-WORST'!$N$7), 0)</f>
        <v>0</v>
      </c>
      <c r="N74" s="5">
        <f>IF(AND(L74&gt;='Amort. Sched.-WORST'!$R$8, L74&lt;= ($R$7+$R$8)), (IPMT($N$8/12, (L74-$R$8), $R$7, $N$7)), 0)</f>
        <v>0</v>
      </c>
      <c r="O74" s="5">
        <f>IF(AND(L74&gt;='Amort. Sched.-WORST'!$R$8, L74&lt;= ($R$7+$R$8)), (PPMT($N$8/12, (L74-$R$8), $R$7, $N$7)), 0)</f>
        <v>0</v>
      </c>
      <c r="P74" s="5">
        <f>IF(CreditAmort1WORST[[#This Row],[Month]]=R$8,N$7,0)</f>
        <v>0</v>
      </c>
      <c r="Q74" s="13">
        <f>IF(AND(L74&gt;='Amort. Sched.-WORST'!$R$8, L74&lt;= ($R$7+$R$8)), Q73+O74, 0)</f>
        <v>0</v>
      </c>
      <c r="R74" s="6" t="str">
        <f>IF(AND(L74&gt;='Amort. Sched.-WORST'!$R$8, L74&lt;= ($R$7+$R$8)), N74/M74, " ")</f>
        <v xml:space="preserve"> </v>
      </c>
      <c r="S74" s="21" t="str">
        <f>IF(AND(L74&gt;='Amort. Sched.-WORST'!$R$8, L74&lt;= ($R$7+$R$8)), O74/M74, " ")</f>
        <v xml:space="preserve"> </v>
      </c>
      <c r="U74" s="20">
        <f t="shared" si="2"/>
        <v>63</v>
      </c>
      <c r="V74" s="5">
        <f>IF(AND(U74&gt;='Amort. Sched.-WORST'!$AA$8, U74&lt;= ($AA$7+$AA$8)), PMT('Amort. Sched.-WORST'!$W$8/12, 'Amort. Sched.-WORST'!$AA$7, 'Amort. Sched.-WORST'!$W$7), 0)</f>
        <v>0</v>
      </c>
      <c r="W74" s="5">
        <f>IF(AND(U74&gt;='Amort. Sched.-WORST'!$AA$8, U74&lt;= ($AA$7+$AA$8)), (IPMT($W$8/12, (U74-$AA$8), $AA$7, $W$7)), 0)</f>
        <v>0</v>
      </c>
      <c r="X74" s="5">
        <f>IF(AND(U74&gt;='Amort. Sched.-WORST'!$AA$8, U74&lt;= ($AA$7+$AA$8)), (PPMT($W$8/12, (U74-$AA$8), $AA$7, $W$7)), 0)</f>
        <v>0</v>
      </c>
      <c r="Y74" s="5">
        <f>IF(CreditAmort2WORST[[#This Row],[Month]]=AA$8,W$7,0)</f>
        <v>0</v>
      </c>
      <c r="Z74" s="13">
        <f>IF(AND(U74&gt;='Amort. Sched.-WORST'!$AA$8, U74&lt;= ($AA$7+$AA$8)), Z73+X74, 0)</f>
        <v>0</v>
      </c>
      <c r="AA74" s="6" t="str">
        <f>IF(AND(U74&gt;='Amort. Sched.-WORST'!$AA$8, U74&lt;= ($AA$7+$AA$8)), W74/V74, " ")</f>
        <v xml:space="preserve"> </v>
      </c>
      <c r="AB74" s="21" t="str">
        <f>IF(AND(U74&gt;='Amort. Sched.-WORST'!$AA$8, U74&lt;= ($AA$7+$AA$8)), X74/V74, " ")</f>
        <v xml:space="preserve"> </v>
      </c>
      <c r="AD74" s="20">
        <f t="shared" si="3"/>
        <v>63</v>
      </c>
      <c r="AE74" s="5">
        <f t="shared" si="4"/>
        <v>0</v>
      </c>
      <c r="AF74" s="5">
        <f t="shared" si="5"/>
        <v>0</v>
      </c>
      <c r="AG74" s="5">
        <f t="shared" si="6"/>
        <v>0</v>
      </c>
      <c r="AH74" s="5">
        <f>IF(CreditAmort3WORST[[#This Row],[Month]]=AJ$8,AF$7,0)</f>
        <v>0</v>
      </c>
      <c r="AI74" s="13">
        <f t="shared" si="7"/>
        <v>0</v>
      </c>
      <c r="AJ74" s="6" t="str">
        <f t="shared" si="8"/>
        <v xml:space="preserve"> </v>
      </c>
      <c r="AK74" s="21" t="str">
        <f t="shared" si="9"/>
        <v xml:space="preserve"> </v>
      </c>
      <c r="AM74" s="20">
        <f t="shared" si="10"/>
        <v>63</v>
      </c>
      <c r="AN74" s="5">
        <f t="shared" si="11"/>
        <v>0</v>
      </c>
      <c r="AO74" s="5">
        <f t="shared" si="12"/>
        <v>0</v>
      </c>
      <c r="AP74" s="5">
        <f t="shared" si="13"/>
        <v>0</v>
      </c>
      <c r="AQ74" s="5">
        <f>IF(CreditAmort4WORST[[#This Row],[Month]]=AS$8,AO$7,0)</f>
        <v>0</v>
      </c>
      <c r="AR74" s="13">
        <f t="shared" si="14"/>
        <v>0</v>
      </c>
      <c r="AS74" s="6" t="str">
        <f t="shared" si="15"/>
        <v xml:space="preserve"> </v>
      </c>
      <c r="AT74" s="21" t="str">
        <f t="shared" si="16"/>
        <v xml:space="preserve"> </v>
      </c>
    </row>
    <row r="75" spans="3:46">
      <c r="C75" s="22">
        <f t="shared" si="1"/>
        <v>64</v>
      </c>
      <c r="D75" s="23">
        <f>IF(AND(C75&gt;='Amort. Sched.-WORST'!$I$8, C75&lt;= ($I$7+$I$8)), PMT('Amort. Sched.-WORST'!$E$8/12, 'Amort. Sched.-WORST'!$I$7, 'Amort. Sched.-WORST'!$E$7), 0)</f>
        <v>-2026.0175758541329</v>
      </c>
      <c r="E75" s="5">
        <f>IF(AND(C75&gt;='Amort. Sched.-WORST'!$I$8, C75&lt;= ($I$7+$I$8)), (IPMT($E$8/12, (C75-$I$8), $I$7, $E$7)), 0)</f>
        <v>-1606.5145513785267</v>
      </c>
      <c r="F75" s="23">
        <f>IF(AND(C75&gt;='Amort. Sched.-WORST'!$I$8, C75&lt;= ($I$7+$I$8)), (PPMT($E$8/12, (C75-$I$8), $I$7, $E$7)), 0)</f>
        <v>-419.50302447560637</v>
      </c>
      <c r="G75" s="5">
        <f>IF(MortgageAmortWORST[[#This Row],[Month]]=I$8,E$7,0)</f>
        <v>0</v>
      </c>
      <c r="H75" s="13">
        <f>IF(AND(C75&gt;='Amort. Sched.-WORST'!$I$8, C75&lt;= ($I$7+$I$8)), H74+F75, 0)</f>
        <v>240557.67968230325</v>
      </c>
      <c r="I75" s="24">
        <f>IF(AND(C75&gt;='Amort. Sched.-WORST'!$I$8, C75&lt;= ($I$7+$I$8)), E75/D75, " ")</f>
        <v>0.79294206058466632</v>
      </c>
      <c r="J75" s="25">
        <f>IF(AND(C75&gt;='Amort. Sched.-WORST'!$I$8, C75&lt;= ($I$7+$I$8)), F75/D75, " ")</f>
        <v>0.20705793941533374</v>
      </c>
      <c r="L75" s="20">
        <f t="shared" si="0"/>
        <v>64</v>
      </c>
      <c r="M75" s="5">
        <f>IF(AND(L75&gt;='Amort. Sched.-WORST'!$R$8, L75&lt;= ($R$7+$R$8)), PMT('Amort. Sched.-WORST'!$N$8/12, 'Amort. Sched.-WORST'!$R$7, 'Amort. Sched.-WORST'!$N$7), 0)</f>
        <v>0</v>
      </c>
      <c r="N75" s="5">
        <f>IF(AND(L75&gt;='Amort. Sched.-WORST'!$R$8, L75&lt;= ($R$7+$R$8)), (IPMT($N$8/12, (L75-$R$8), $R$7, $N$7)), 0)</f>
        <v>0</v>
      </c>
      <c r="O75" s="5">
        <f>IF(AND(L75&gt;='Amort. Sched.-WORST'!$R$8, L75&lt;= ($R$7+$R$8)), (PPMT($N$8/12, (L75-$R$8), $R$7, $N$7)), 0)</f>
        <v>0</v>
      </c>
      <c r="P75" s="5">
        <f>IF(CreditAmort1WORST[[#This Row],[Month]]=R$8,N$7,0)</f>
        <v>0</v>
      </c>
      <c r="Q75" s="13">
        <f>IF(AND(L75&gt;='Amort. Sched.-WORST'!$R$8, L75&lt;= ($R$7+$R$8)), Q74+O75, 0)</f>
        <v>0</v>
      </c>
      <c r="R75" s="6" t="str">
        <f>IF(AND(L75&gt;='Amort. Sched.-WORST'!$R$8, L75&lt;= ($R$7+$R$8)), N75/M75, " ")</f>
        <v xml:space="preserve"> </v>
      </c>
      <c r="S75" s="21" t="str">
        <f>IF(AND(L75&gt;='Amort. Sched.-WORST'!$R$8, L75&lt;= ($R$7+$R$8)), O75/M75, " ")</f>
        <v xml:space="preserve"> </v>
      </c>
      <c r="U75" s="20">
        <f t="shared" si="2"/>
        <v>64</v>
      </c>
      <c r="V75" s="5">
        <f>IF(AND(U75&gt;='Amort. Sched.-WORST'!$AA$8, U75&lt;= ($AA$7+$AA$8)), PMT('Amort. Sched.-WORST'!$W$8/12, 'Amort. Sched.-WORST'!$AA$7, 'Amort. Sched.-WORST'!$W$7), 0)</f>
        <v>0</v>
      </c>
      <c r="W75" s="5">
        <f>IF(AND(U75&gt;='Amort. Sched.-WORST'!$AA$8, U75&lt;= ($AA$7+$AA$8)), (IPMT($W$8/12, (U75-$AA$8), $AA$7, $W$7)), 0)</f>
        <v>0</v>
      </c>
      <c r="X75" s="5">
        <f>IF(AND(U75&gt;='Amort. Sched.-WORST'!$AA$8, U75&lt;= ($AA$7+$AA$8)), (PPMT($W$8/12, (U75-$AA$8), $AA$7, $W$7)), 0)</f>
        <v>0</v>
      </c>
      <c r="Y75" s="5">
        <f>IF(CreditAmort2WORST[[#This Row],[Month]]=AA$8,W$7,0)</f>
        <v>0</v>
      </c>
      <c r="Z75" s="13">
        <f>IF(AND(U75&gt;='Amort. Sched.-WORST'!$AA$8, U75&lt;= ($AA$7+$AA$8)), Z74+X75, 0)</f>
        <v>0</v>
      </c>
      <c r="AA75" s="6" t="str">
        <f>IF(AND(U75&gt;='Amort. Sched.-WORST'!$AA$8, U75&lt;= ($AA$7+$AA$8)), W75/V75, " ")</f>
        <v xml:space="preserve"> </v>
      </c>
      <c r="AB75" s="21" t="str">
        <f>IF(AND(U75&gt;='Amort. Sched.-WORST'!$AA$8, U75&lt;= ($AA$7+$AA$8)), X75/V75, " ")</f>
        <v xml:space="preserve"> </v>
      </c>
      <c r="AD75" s="20">
        <f t="shared" si="3"/>
        <v>64</v>
      </c>
      <c r="AE75" s="5">
        <f t="shared" si="4"/>
        <v>0</v>
      </c>
      <c r="AF75" s="5">
        <f t="shared" si="5"/>
        <v>0</v>
      </c>
      <c r="AG75" s="5">
        <f t="shared" si="6"/>
        <v>0</v>
      </c>
      <c r="AH75" s="5">
        <f>IF(CreditAmort3WORST[[#This Row],[Month]]=AJ$8,AF$7,0)</f>
        <v>0</v>
      </c>
      <c r="AI75" s="13">
        <f t="shared" si="7"/>
        <v>0</v>
      </c>
      <c r="AJ75" s="6" t="str">
        <f t="shared" si="8"/>
        <v xml:space="preserve"> </v>
      </c>
      <c r="AK75" s="21" t="str">
        <f t="shared" si="9"/>
        <v xml:space="preserve"> </v>
      </c>
      <c r="AM75" s="20">
        <f t="shared" si="10"/>
        <v>64</v>
      </c>
      <c r="AN75" s="5">
        <f t="shared" si="11"/>
        <v>0</v>
      </c>
      <c r="AO75" s="5">
        <f t="shared" si="12"/>
        <v>0</v>
      </c>
      <c r="AP75" s="5">
        <f t="shared" si="13"/>
        <v>0</v>
      </c>
      <c r="AQ75" s="5">
        <f>IF(CreditAmort4WORST[[#This Row],[Month]]=AS$8,AO$7,0)</f>
        <v>0</v>
      </c>
      <c r="AR75" s="13">
        <f t="shared" si="14"/>
        <v>0</v>
      </c>
      <c r="AS75" s="6" t="str">
        <f t="shared" si="15"/>
        <v xml:space="preserve"> </v>
      </c>
      <c r="AT75" s="21" t="str">
        <f t="shared" si="16"/>
        <v xml:space="preserve"> </v>
      </c>
    </row>
    <row r="76" spans="3:46">
      <c r="C76" s="22">
        <f t="shared" si="1"/>
        <v>65</v>
      </c>
      <c r="D76" s="23">
        <f>IF(AND(C76&gt;='Amort. Sched.-WORST'!$I$8, C76&lt;= ($I$7+$I$8)), PMT('Amort. Sched.-WORST'!$E$8/12, 'Amort. Sched.-WORST'!$I$7, 'Amort. Sched.-WORST'!$E$7), 0)</f>
        <v>-2026.0175758541329</v>
      </c>
      <c r="E76" s="5">
        <f>IF(AND(C76&gt;='Amort. Sched.-WORST'!$I$8, C76&lt;= ($I$7+$I$8)), (IPMT($E$8/12, (C76-$I$8), $I$7, $E$7)), 0)</f>
        <v>-1603.7178645486892</v>
      </c>
      <c r="F76" s="23">
        <f>IF(AND(C76&gt;='Amort. Sched.-WORST'!$I$8, C76&lt;= ($I$7+$I$8)), (PPMT($E$8/12, (C76-$I$8), $I$7, $E$7)), 0)</f>
        <v>-422.29971130544368</v>
      </c>
      <c r="G76" s="5">
        <f>IF(MortgageAmortWORST[[#This Row],[Month]]=I$8,E$7,0)</f>
        <v>0</v>
      </c>
      <c r="H76" s="13">
        <f>IF(AND(C76&gt;='Amort. Sched.-WORST'!$I$8, C76&lt;= ($I$7+$I$8)), H75+F76, 0)</f>
        <v>240135.3799709978</v>
      </c>
      <c r="I76" s="24">
        <f>IF(AND(C76&gt;='Amort. Sched.-WORST'!$I$8, C76&lt;= ($I$7+$I$8)), E76/D76, " ")</f>
        <v>0.79156167432189739</v>
      </c>
      <c r="J76" s="25">
        <f>IF(AND(C76&gt;='Amort. Sched.-WORST'!$I$8, C76&lt;= ($I$7+$I$8)), F76/D76, " ")</f>
        <v>0.20843832567810258</v>
      </c>
      <c r="L76" s="20">
        <f t="shared" ref="L76:L139" si="17">L75+1</f>
        <v>65</v>
      </c>
      <c r="M76" s="5">
        <f>IF(AND(L76&gt;='Amort. Sched.-WORST'!$R$8, L76&lt;= ($R$7+$R$8)), PMT('Amort. Sched.-WORST'!$N$8/12, 'Amort. Sched.-WORST'!$R$7, 'Amort. Sched.-WORST'!$N$7), 0)</f>
        <v>0</v>
      </c>
      <c r="N76" s="5">
        <f>IF(AND(L76&gt;='Amort. Sched.-WORST'!$R$8, L76&lt;= ($R$7+$R$8)), (IPMT($N$8/12, (L76-$R$8), $R$7, $N$7)), 0)</f>
        <v>0</v>
      </c>
      <c r="O76" s="5">
        <f>IF(AND(L76&gt;='Amort. Sched.-WORST'!$R$8, L76&lt;= ($R$7+$R$8)), (PPMT($N$8/12, (L76-$R$8), $R$7, $N$7)), 0)</f>
        <v>0</v>
      </c>
      <c r="P76" s="5">
        <f>IF(CreditAmort1WORST[[#This Row],[Month]]=R$8,N$7,0)</f>
        <v>0</v>
      </c>
      <c r="Q76" s="13">
        <f>IF(AND(L76&gt;='Amort. Sched.-WORST'!$R$8, L76&lt;= ($R$7+$R$8)), Q75+O76, 0)</f>
        <v>0</v>
      </c>
      <c r="R76" s="6" t="str">
        <f>IF(AND(L76&gt;='Amort. Sched.-WORST'!$R$8, L76&lt;= ($R$7+$R$8)), N76/M76, " ")</f>
        <v xml:space="preserve"> </v>
      </c>
      <c r="S76" s="21" t="str">
        <f>IF(AND(L76&gt;='Amort. Sched.-WORST'!$R$8, L76&lt;= ($R$7+$R$8)), O76/M76, " ")</f>
        <v xml:space="preserve"> </v>
      </c>
      <c r="U76" s="20">
        <f t="shared" si="2"/>
        <v>65</v>
      </c>
      <c r="V76" s="5">
        <f>IF(AND(U76&gt;='Amort. Sched.-WORST'!$AA$8, U76&lt;= ($AA$7+$AA$8)), PMT('Amort. Sched.-WORST'!$W$8/12, 'Amort. Sched.-WORST'!$AA$7, 'Amort. Sched.-WORST'!$W$7), 0)</f>
        <v>0</v>
      </c>
      <c r="W76" s="5">
        <f>IF(AND(U76&gt;='Amort. Sched.-WORST'!$AA$8, U76&lt;= ($AA$7+$AA$8)), (IPMT($W$8/12, (U76-$AA$8), $AA$7, $W$7)), 0)</f>
        <v>0</v>
      </c>
      <c r="X76" s="5">
        <f>IF(AND(U76&gt;='Amort. Sched.-WORST'!$AA$8, U76&lt;= ($AA$7+$AA$8)), (PPMT($W$8/12, (U76-$AA$8), $AA$7, $W$7)), 0)</f>
        <v>0</v>
      </c>
      <c r="Y76" s="5">
        <f>IF(CreditAmort2WORST[[#This Row],[Month]]=AA$8,W$7,0)</f>
        <v>0</v>
      </c>
      <c r="Z76" s="13">
        <f>IF(AND(U76&gt;='Amort. Sched.-WORST'!$AA$8, U76&lt;= ($AA$7+$AA$8)), Z75+X76, 0)</f>
        <v>0</v>
      </c>
      <c r="AA76" s="6" t="str">
        <f>IF(AND(U76&gt;='Amort. Sched.-WORST'!$AA$8, U76&lt;= ($AA$7+$AA$8)), W76/V76, " ")</f>
        <v xml:space="preserve"> </v>
      </c>
      <c r="AB76" s="21" t="str">
        <f>IF(AND(U76&gt;='Amort. Sched.-WORST'!$AA$8, U76&lt;= ($AA$7+$AA$8)), X76/V76, " ")</f>
        <v xml:space="preserve"> </v>
      </c>
      <c r="AD76" s="20">
        <f t="shared" si="3"/>
        <v>65</v>
      </c>
      <c r="AE76" s="5">
        <f t="shared" si="4"/>
        <v>0</v>
      </c>
      <c r="AF76" s="5">
        <f t="shared" si="5"/>
        <v>0</v>
      </c>
      <c r="AG76" s="5">
        <f t="shared" si="6"/>
        <v>0</v>
      </c>
      <c r="AH76" s="5">
        <f>IF(CreditAmort3WORST[[#This Row],[Month]]=AJ$8,AF$7,0)</f>
        <v>0</v>
      </c>
      <c r="AI76" s="13">
        <f t="shared" si="7"/>
        <v>0</v>
      </c>
      <c r="AJ76" s="6" t="str">
        <f t="shared" si="8"/>
        <v xml:space="preserve"> </v>
      </c>
      <c r="AK76" s="21" t="str">
        <f t="shared" si="9"/>
        <v xml:space="preserve"> </v>
      </c>
      <c r="AM76" s="20">
        <f t="shared" si="10"/>
        <v>65</v>
      </c>
      <c r="AN76" s="5">
        <f t="shared" si="11"/>
        <v>0</v>
      </c>
      <c r="AO76" s="5">
        <f t="shared" si="12"/>
        <v>0</v>
      </c>
      <c r="AP76" s="5">
        <f t="shared" si="13"/>
        <v>0</v>
      </c>
      <c r="AQ76" s="5">
        <f>IF(CreditAmort4WORST[[#This Row],[Month]]=AS$8,AO$7,0)</f>
        <v>0</v>
      </c>
      <c r="AR76" s="13">
        <f t="shared" si="14"/>
        <v>0</v>
      </c>
      <c r="AS76" s="6" t="str">
        <f t="shared" si="15"/>
        <v xml:space="preserve"> </v>
      </c>
      <c r="AT76" s="21" t="str">
        <f t="shared" si="16"/>
        <v xml:space="preserve"> </v>
      </c>
    </row>
    <row r="77" spans="3:46">
      <c r="C77" s="22">
        <f t="shared" ref="C77:C140" si="18">C76+1</f>
        <v>66</v>
      </c>
      <c r="D77" s="23">
        <f>IF(AND(C77&gt;='Amort. Sched.-WORST'!$I$8, C77&lt;= ($I$7+$I$8)), PMT('Amort. Sched.-WORST'!$E$8/12, 'Amort. Sched.-WORST'!$I$7, 'Amort. Sched.-WORST'!$E$7), 0)</f>
        <v>-2026.0175758541329</v>
      </c>
      <c r="E77" s="5">
        <f>IF(AND(C77&gt;='Amort. Sched.-WORST'!$I$8, C77&lt;= ($I$7+$I$8)), (IPMT($E$8/12, (C77-$I$8), $I$7, $E$7)), 0)</f>
        <v>-1600.9025331399864</v>
      </c>
      <c r="F77" s="23">
        <f>IF(AND(C77&gt;='Amort. Sched.-WORST'!$I$8, C77&lt;= ($I$7+$I$8)), (PPMT($E$8/12, (C77-$I$8), $I$7, $E$7)), 0)</f>
        <v>-425.11504271414663</v>
      </c>
      <c r="G77" s="5">
        <f>IF(MortgageAmortWORST[[#This Row],[Month]]=I$8,E$7,0)</f>
        <v>0</v>
      </c>
      <c r="H77" s="13">
        <f>IF(AND(C77&gt;='Amort. Sched.-WORST'!$I$8, C77&lt;= ($I$7+$I$8)), H76+F77, 0)</f>
        <v>239710.26492828366</v>
      </c>
      <c r="I77" s="24">
        <f>IF(AND(C77&gt;='Amort. Sched.-WORST'!$I$8, C77&lt;= ($I$7+$I$8)), E77/D77, " ")</f>
        <v>0.7901720854840435</v>
      </c>
      <c r="J77" s="25">
        <f>IF(AND(C77&gt;='Amort. Sched.-WORST'!$I$8, C77&lt;= ($I$7+$I$8)), F77/D77, " ")</f>
        <v>0.20982791451595662</v>
      </c>
      <c r="L77" s="20">
        <f t="shared" si="17"/>
        <v>66</v>
      </c>
      <c r="M77" s="5">
        <f>IF(AND(L77&gt;='Amort. Sched.-WORST'!$R$8, L77&lt;= ($R$7+$R$8)), PMT('Amort. Sched.-WORST'!$N$8/12, 'Amort. Sched.-WORST'!$R$7, 'Amort. Sched.-WORST'!$N$7), 0)</f>
        <v>0</v>
      </c>
      <c r="N77" s="5">
        <f>IF(AND(L77&gt;='Amort. Sched.-WORST'!$R$8, L77&lt;= ($R$7+$R$8)), (IPMT($N$8/12, (L77-$R$8), $R$7, $N$7)), 0)</f>
        <v>0</v>
      </c>
      <c r="O77" s="5">
        <f>IF(AND(L77&gt;='Amort. Sched.-WORST'!$R$8, L77&lt;= ($R$7+$R$8)), (PPMT($N$8/12, (L77-$R$8), $R$7, $N$7)), 0)</f>
        <v>0</v>
      </c>
      <c r="P77" s="5">
        <f>IF(CreditAmort1WORST[[#This Row],[Month]]=R$8,N$7,0)</f>
        <v>0</v>
      </c>
      <c r="Q77" s="13">
        <f>IF(AND(L77&gt;='Amort. Sched.-WORST'!$R$8, L77&lt;= ($R$7+$R$8)), Q76+O77, 0)</f>
        <v>0</v>
      </c>
      <c r="R77" s="6" t="str">
        <f>IF(AND(L77&gt;='Amort. Sched.-WORST'!$R$8, L77&lt;= ($R$7+$R$8)), N77/M77, " ")</f>
        <v xml:space="preserve"> </v>
      </c>
      <c r="S77" s="21" t="str">
        <f>IF(AND(L77&gt;='Amort. Sched.-WORST'!$R$8, L77&lt;= ($R$7+$R$8)), O77/M77, " ")</f>
        <v xml:space="preserve"> </v>
      </c>
      <c r="U77" s="20">
        <f t="shared" ref="U77:U140" si="19">U76+1</f>
        <v>66</v>
      </c>
      <c r="V77" s="5">
        <f>IF(AND(U77&gt;='Amort. Sched.-WORST'!$AA$8, U77&lt;= ($AA$7+$AA$8)), PMT('Amort. Sched.-WORST'!$W$8/12, 'Amort. Sched.-WORST'!$AA$7, 'Amort. Sched.-WORST'!$W$7), 0)</f>
        <v>0</v>
      </c>
      <c r="W77" s="5">
        <f>IF(AND(U77&gt;='Amort. Sched.-WORST'!$AA$8, U77&lt;= ($AA$7+$AA$8)), (IPMT($W$8/12, (U77-$AA$8), $AA$7, $W$7)), 0)</f>
        <v>0</v>
      </c>
      <c r="X77" s="5">
        <f>IF(AND(U77&gt;='Amort. Sched.-WORST'!$AA$8, U77&lt;= ($AA$7+$AA$8)), (PPMT($W$8/12, (U77-$AA$8), $AA$7, $W$7)), 0)</f>
        <v>0</v>
      </c>
      <c r="Y77" s="5">
        <f>IF(CreditAmort2WORST[[#This Row],[Month]]=AA$8,W$7,0)</f>
        <v>0</v>
      </c>
      <c r="Z77" s="13">
        <f>IF(AND(U77&gt;='Amort. Sched.-WORST'!$AA$8, U77&lt;= ($AA$7+$AA$8)), Z76+X77, 0)</f>
        <v>0</v>
      </c>
      <c r="AA77" s="6" t="str">
        <f>IF(AND(U77&gt;='Amort. Sched.-WORST'!$AA$8, U77&lt;= ($AA$7+$AA$8)), W77/V77, " ")</f>
        <v xml:space="preserve"> </v>
      </c>
      <c r="AB77" s="21" t="str">
        <f>IF(AND(U77&gt;='Amort. Sched.-WORST'!$AA$8, U77&lt;= ($AA$7+$AA$8)), X77/V77, " ")</f>
        <v xml:space="preserve"> </v>
      </c>
      <c r="AD77" s="20">
        <f t="shared" ref="AD77:AD140" si="20">AD76+1</f>
        <v>66</v>
      </c>
      <c r="AE77" s="5">
        <f t="shared" ref="AE77:AE140" si="21">IF(AND(AD77&gt;=$AJ$8, AD77&lt;= ($AJ$7+$AJ$8)), PMT($AF$8/12, $AJ$7, $AF$7), 0)</f>
        <v>0</v>
      </c>
      <c r="AF77" s="5">
        <f t="shared" ref="AF77:AF140" si="22">IF(AND(AD77&gt;=$AJ$8, AD77&lt;= ($AJ$7+$AJ$8)), (IPMT($AF$8/12, (AD77-$AJ$8), $AJ$7, $AF$7)), 0)</f>
        <v>0</v>
      </c>
      <c r="AG77" s="5">
        <f t="shared" ref="AG77:AG140" si="23">IF(AND(AD77&gt;=$AJ$8, AD77&lt;= ($AJ$7+$AJ$8)), (PPMT($AF$8/12, (AD77-$AJ$8), $AJ$7, $AF$7)), 0)</f>
        <v>0</v>
      </c>
      <c r="AH77" s="5">
        <f>IF(CreditAmort3WORST[[#This Row],[Month]]=AJ$8,AF$7,0)</f>
        <v>0</v>
      </c>
      <c r="AI77" s="13">
        <f t="shared" ref="AI77:AI140" si="24">IF(AND(AD77&gt;=$AJ$8, AD77&lt;= ($AJ$7+$AA$8)), AI76+AG77, 0)</f>
        <v>0</v>
      </c>
      <c r="AJ77" s="6" t="str">
        <f t="shared" ref="AJ77:AJ140" si="25">IF(AND(AD77&gt;=$AJ$8, AD77&lt;= ($AJ$7+$AJ$8)), AF77/AE77, " ")</f>
        <v xml:space="preserve"> </v>
      </c>
      <c r="AK77" s="21" t="str">
        <f t="shared" ref="AK77:AK140" si="26">IF(AND(AD77&gt;=$AJ$8, AD77&lt;= ($AJ$7+$AJ$8)), AG77/AE77, " ")</f>
        <v xml:space="preserve"> </v>
      </c>
      <c r="AM77" s="20">
        <f t="shared" ref="AM77:AM140" si="27">AM76+1</f>
        <v>66</v>
      </c>
      <c r="AN77" s="5">
        <f t="shared" ref="AN77:AN140" si="28">IF(AND(AM77&gt;=$AS$8, AM77&lt;= ($AS$7+$AS$8)), PMT($AO$8/12, $AS$7, $AO$7), 0)</f>
        <v>0</v>
      </c>
      <c r="AO77" s="5">
        <f t="shared" ref="AO77:AO140" si="29">IF(AND(AM77&gt;=$AS$8, AM77&lt;= ($AS$7+$AS$8)), (IPMT($AO$8/12, (AM77-$AS$8), $AS$7, $AO$7)), 0)</f>
        <v>0</v>
      </c>
      <c r="AP77" s="5">
        <f t="shared" ref="AP77:AP140" si="30">IF(AND(AM77&gt;=$AS$8, AM77&lt;= ($AS$7+$AS$8)), (PPMT($AO$8/12, (AM77-$AS$8), $AS$7, $AO$7)), 0)</f>
        <v>0</v>
      </c>
      <c r="AQ77" s="5">
        <f>IF(CreditAmort4WORST[[#This Row],[Month]]=AS$8,AO$7,0)</f>
        <v>0</v>
      </c>
      <c r="AR77" s="13">
        <f t="shared" ref="AR77:AR140" si="31">IF(AND(AM77&gt;=$AS$8, AM77&lt;= ($AS$7+$AS$8)), AR76+AP77, 0)</f>
        <v>0</v>
      </c>
      <c r="AS77" s="6" t="str">
        <f t="shared" ref="AS77:AS140" si="32">IF(AND(AM77&gt;=$AS$8, AM77&lt;= ($AS$7+$AS$8)), AO77/AN77, " ")</f>
        <v xml:space="preserve"> </v>
      </c>
      <c r="AT77" s="21" t="str">
        <f t="shared" ref="AT77:AT140" si="33">IF(AND(AM77&gt;=$AS$8, AM77&lt;= ($AS$7+$AS$8)), AP77/AN77, " ")</f>
        <v xml:space="preserve"> </v>
      </c>
    </row>
    <row r="78" spans="3:46">
      <c r="C78" s="22">
        <f t="shared" si="18"/>
        <v>67</v>
      </c>
      <c r="D78" s="23">
        <f>IF(AND(C78&gt;='Amort. Sched.-WORST'!$I$8, C78&lt;= ($I$7+$I$8)), PMT('Amort. Sched.-WORST'!$E$8/12, 'Amort. Sched.-WORST'!$I$7, 'Amort. Sched.-WORST'!$E$7), 0)</f>
        <v>-2026.0175758541329</v>
      </c>
      <c r="E78" s="5">
        <f>IF(AND(C78&gt;='Amort. Sched.-WORST'!$I$8, C78&lt;= ($I$7+$I$8)), (IPMT($E$8/12, (C78-$I$8), $I$7, $E$7)), 0)</f>
        <v>-1598.0684328552254</v>
      </c>
      <c r="F78" s="23">
        <f>IF(AND(C78&gt;='Amort. Sched.-WORST'!$I$8, C78&lt;= ($I$7+$I$8)), (PPMT($E$8/12, (C78-$I$8), $I$7, $E$7)), 0)</f>
        <v>-427.94914299890758</v>
      </c>
      <c r="G78" s="5">
        <f>IF(MortgageAmortWORST[[#This Row],[Month]]=I$8,E$7,0)</f>
        <v>0</v>
      </c>
      <c r="H78" s="13">
        <f>IF(AND(C78&gt;='Amort. Sched.-WORST'!$I$8, C78&lt;= ($I$7+$I$8)), H77+F78, 0)</f>
        <v>239282.31578528477</v>
      </c>
      <c r="I78" s="24">
        <f>IF(AND(C78&gt;='Amort. Sched.-WORST'!$I$8, C78&lt;= ($I$7+$I$8)), E78/D78, " ")</f>
        <v>0.78877323272060373</v>
      </c>
      <c r="J78" s="25">
        <f>IF(AND(C78&gt;='Amort. Sched.-WORST'!$I$8, C78&lt;= ($I$7+$I$8)), F78/D78, " ")</f>
        <v>0.21122676727939629</v>
      </c>
      <c r="L78" s="20">
        <f t="shared" si="17"/>
        <v>67</v>
      </c>
      <c r="M78" s="5">
        <f>IF(AND(L78&gt;='Amort. Sched.-WORST'!$R$8, L78&lt;= ($R$7+$R$8)), PMT('Amort. Sched.-WORST'!$N$8/12, 'Amort. Sched.-WORST'!$R$7, 'Amort. Sched.-WORST'!$N$7), 0)</f>
        <v>0</v>
      </c>
      <c r="N78" s="5">
        <f>IF(AND(L78&gt;='Amort. Sched.-WORST'!$R$8, L78&lt;= ($R$7+$R$8)), (IPMT($N$8/12, (L78-$R$8), $R$7, $N$7)), 0)</f>
        <v>0</v>
      </c>
      <c r="O78" s="5">
        <f>IF(AND(L78&gt;='Amort. Sched.-WORST'!$R$8, L78&lt;= ($R$7+$R$8)), (PPMT($N$8/12, (L78-$R$8), $R$7, $N$7)), 0)</f>
        <v>0</v>
      </c>
      <c r="P78" s="5">
        <f>IF(CreditAmort1WORST[[#This Row],[Month]]=R$8,N$7,0)</f>
        <v>0</v>
      </c>
      <c r="Q78" s="13">
        <f>IF(AND(L78&gt;='Amort. Sched.-WORST'!$R$8, L78&lt;= ($R$7+$R$8)), Q77+O78, 0)</f>
        <v>0</v>
      </c>
      <c r="R78" s="6" t="str">
        <f>IF(AND(L78&gt;='Amort. Sched.-WORST'!$R$8, L78&lt;= ($R$7+$R$8)), N78/M78, " ")</f>
        <v xml:space="preserve"> </v>
      </c>
      <c r="S78" s="21" t="str">
        <f>IF(AND(L78&gt;='Amort. Sched.-WORST'!$R$8, L78&lt;= ($R$7+$R$8)), O78/M78, " ")</f>
        <v xml:space="preserve"> </v>
      </c>
      <c r="U78" s="20">
        <f t="shared" si="19"/>
        <v>67</v>
      </c>
      <c r="V78" s="5">
        <f>IF(AND(U78&gt;='Amort. Sched.-WORST'!$AA$8, U78&lt;= ($AA$7+$AA$8)), PMT('Amort. Sched.-WORST'!$W$8/12, 'Amort. Sched.-WORST'!$AA$7, 'Amort. Sched.-WORST'!$W$7), 0)</f>
        <v>0</v>
      </c>
      <c r="W78" s="5">
        <f>IF(AND(U78&gt;='Amort. Sched.-WORST'!$AA$8, U78&lt;= ($AA$7+$AA$8)), (IPMT($W$8/12, (U78-$AA$8), $AA$7, $W$7)), 0)</f>
        <v>0</v>
      </c>
      <c r="X78" s="5">
        <f>IF(AND(U78&gt;='Amort. Sched.-WORST'!$AA$8, U78&lt;= ($AA$7+$AA$8)), (PPMT($W$8/12, (U78-$AA$8), $AA$7, $W$7)), 0)</f>
        <v>0</v>
      </c>
      <c r="Y78" s="5">
        <f>IF(CreditAmort2WORST[[#This Row],[Month]]=AA$8,W$7,0)</f>
        <v>0</v>
      </c>
      <c r="Z78" s="13">
        <f>IF(AND(U78&gt;='Amort. Sched.-WORST'!$AA$8, U78&lt;= ($AA$7+$AA$8)), Z77+X78, 0)</f>
        <v>0</v>
      </c>
      <c r="AA78" s="6" t="str">
        <f>IF(AND(U78&gt;='Amort. Sched.-WORST'!$AA$8, U78&lt;= ($AA$7+$AA$8)), W78/V78, " ")</f>
        <v xml:space="preserve"> </v>
      </c>
      <c r="AB78" s="21" t="str">
        <f>IF(AND(U78&gt;='Amort. Sched.-WORST'!$AA$8, U78&lt;= ($AA$7+$AA$8)), X78/V78, " ")</f>
        <v xml:space="preserve"> </v>
      </c>
      <c r="AD78" s="20">
        <f t="shared" si="20"/>
        <v>67</v>
      </c>
      <c r="AE78" s="5">
        <f t="shared" si="21"/>
        <v>0</v>
      </c>
      <c r="AF78" s="5">
        <f t="shared" si="22"/>
        <v>0</v>
      </c>
      <c r="AG78" s="5">
        <f t="shared" si="23"/>
        <v>0</v>
      </c>
      <c r="AH78" s="5">
        <f>IF(CreditAmort3WORST[[#This Row],[Month]]=AJ$8,AF$7,0)</f>
        <v>0</v>
      </c>
      <c r="AI78" s="13">
        <f t="shared" si="24"/>
        <v>0</v>
      </c>
      <c r="AJ78" s="6" t="str">
        <f t="shared" si="25"/>
        <v xml:space="preserve"> </v>
      </c>
      <c r="AK78" s="21" t="str">
        <f t="shared" si="26"/>
        <v xml:space="preserve"> </v>
      </c>
      <c r="AM78" s="20">
        <f t="shared" si="27"/>
        <v>67</v>
      </c>
      <c r="AN78" s="5">
        <f t="shared" si="28"/>
        <v>0</v>
      </c>
      <c r="AO78" s="5">
        <f t="shared" si="29"/>
        <v>0</v>
      </c>
      <c r="AP78" s="5">
        <f t="shared" si="30"/>
        <v>0</v>
      </c>
      <c r="AQ78" s="5">
        <f>IF(CreditAmort4WORST[[#This Row],[Month]]=AS$8,AO$7,0)</f>
        <v>0</v>
      </c>
      <c r="AR78" s="13">
        <f t="shared" si="31"/>
        <v>0</v>
      </c>
      <c r="AS78" s="6" t="str">
        <f t="shared" si="32"/>
        <v xml:space="preserve"> </v>
      </c>
      <c r="AT78" s="21" t="str">
        <f t="shared" si="33"/>
        <v xml:space="preserve"> </v>
      </c>
    </row>
    <row r="79" spans="3:46">
      <c r="C79" s="22">
        <f t="shared" si="18"/>
        <v>68</v>
      </c>
      <c r="D79" s="23">
        <f>IF(AND(C79&gt;='Amort. Sched.-WORST'!$I$8, C79&lt;= ($I$7+$I$8)), PMT('Amort. Sched.-WORST'!$E$8/12, 'Amort. Sched.-WORST'!$I$7, 'Amort. Sched.-WORST'!$E$7), 0)</f>
        <v>-2026.0175758541329</v>
      </c>
      <c r="E79" s="5">
        <f>IF(AND(C79&gt;='Amort. Sched.-WORST'!$I$8, C79&lt;= ($I$7+$I$8)), (IPMT($E$8/12, (C79-$I$8), $I$7, $E$7)), 0)</f>
        <v>-1595.215438568566</v>
      </c>
      <c r="F79" s="23">
        <f>IF(AND(C79&gt;='Amort. Sched.-WORST'!$I$8, C79&lt;= ($I$7+$I$8)), (PPMT($E$8/12, (C79-$I$8), $I$7, $E$7)), 0)</f>
        <v>-430.80213728556708</v>
      </c>
      <c r="G79" s="5">
        <f>IF(MortgageAmortWORST[[#This Row],[Month]]=I$8,E$7,0)</f>
        <v>0</v>
      </c>
      <c r="H79" s="13">
        <f>IF(AND(C79&gt;='Amort. Sched.-WORST'!$I$8, C79&lt;= ($I$7+$I$8)), H78+F79, 0)</f>
        <v>238851.51364799921</v>
      </c>
      <c r="I79" s="24">
        <f>IF(AND(C79&gt;='Amort. Sched.-WORST'!$I$8, C79&lt;= ($I$7+$I$8)), E79/D79, " ")</f>
        <v>0.78736505427207437</v>
      </c>
      <c r="J79" s="25">
        <f>IF(AND(C79&gt;='Amort. Sched.-WORST'!$I$8, C79&lt;= ($I$7+$I$8)), F79/D79, " ")</f>
        <v>0.21263494572792568</v>
      </c>
      <c r="L79" s="20">
        <f t="shared" si="17"/>
        <v>68</v>
      </c>
      <c r="M79" s="5">
        <f>IF(AND(L79&gt;='Amort. Sched.-WORST'!$R$8, L79&lt;= ($R$7+$R$8)), PMT('Amort. Sched.-WORST'!$N$8/12, 'Amort. Sched.-WORST'!$R$7, 'Amort. Sched.-WORST'!$N$7), 0)</f>
        <v>0</v>
      </c>
      <c r="N79" s="5">
        <f>IF(AND(L79&gt;='Amort. Sched.-WORST'!$R$8, L79&lt;= ($R$7+$R$8)), (IPMT($N$8/12, (L79-$R$8), $R$7, $N$7)), 0)</f>
        <v>0</v>
      </c>
      <c r="O79" s="5">
        <f>IF(AND(L79&gt;='Amort. Sched.-WORST'!$R$8, L79&lt;= ($R$7+$R$8)), (PPMT($N$8/12, (L79-$R$8), $R$7, $N$7)), 0)</f>
        <v>0</v>
      </c>
      <c r="P79" s="5">
        <f>IF(CreditAmort1WORST[[#This Row],[Month]]=R$8,N$7,0)</f>
        <v>0</v>
      </c>
      <c r="Q79" s="13">
        <f>IF(AND(L79&gt;='Amort. Sched.-WORST'!$R$8, L79&lt;= ($R$7+$R$8)), Q78+O79, 0)</f>
        <v>0</v>
      </c>
      <c r="R79" s="6" t="str">
        <f>IF(AND(L79&gt;='Amort. Sched.-WORST'!$R$8, L79&lt;= ($R$7+$R$8)), N79/M79, " ")</f>
        <v xml:space="preserve"> </v>
      </c>
      <c r="S79" s="21" t="str">
        <f>IF(AND(L79&gt;='Amort. Sched.-WORST'!$R$8, L79&lt;= ($R$7+$R$8)), O79/M79, " ")</f>
        <v xml:space="preserve"> </v>
      </c>
      <c r="U79" s="20">
        <f t="shared" si="19"/>
        <v>68</v>
      </c>
      <c r="V79" s="5">
        <f>IF(AND(U79&gt;='Amort. Sched.-WORST'!$AA$8, U79&lt;= ($AA$7+$AA$8)), PMT('Amort. Sched.-WORST'!$W$8/12, 'Amort. Sched.-WORST'!$AA$7, 'Amort. Sched.-WORST'!$W$7), 0)</f>
        <v>0</v>
      </c>
      <c r="W79" s="5">
        <f>IF(AND(U79&gt;='Amort. Sched.-WORST'!$AA$8, U79&lt;= ($AA$7+$AA$8)), (IPMT($W$8/12, (U79-$AA$8), $AA$7, $W$7)), 0)</f>
        <v>0</v>
      </c>
      <c r="X79" s="5">
        <f>IF(AND(U79&gt;='Amort. Sched.-WORST'!$AA$8, U79&lt;= ($AA$7+$AA$8)), (PPMT($W$8/12, (U79-$AA$8), $AA$7, $W$7)), 0)</f>
        <v>0</v>
      </c>
      <c r="Y79" s="5">
        <f>IF(CreditAmort2WORST[[#This Row],[Month]]=AA$8,W$7,0)</f>
        <v>0</v>
      </c>
      <c r="Z79" s="13">
        <f>IF(AND(U79&gt;='Amort. Sched.-WORST'!$AA$8, U79&lt;= ($AA$7+$AA$8)), Z78+X79, 0)</f>
        <v>0</v>
      </c>
      <c r="AA79" s="6" t="str">
        <f>IF(AND(U79&gt;='Amort. Sched.-WORST'!$AA$8, U79&lt;= ($AA$7+$AA$8)), W79/V79, " ")</f>
        <v xml:space="preserve"> </v>
      </c>
      <c r="AB79" s="21" t="str">
        <f>IF(AND(U79&gt;='Amort. Sched.-WORST'!$AA$8, U79&lt;= ($AA$7+$AA$8)), X79/V79, " ")</f>
        <v xml:space="preserve"> </v>
      </c>
      <c r="AD79" s="20">
        <f t="shared" si="20"/>
        <v>68</v>
      </c>
      <c r="AE79" s="5">
        <f t="shared" si="21"/>
        <v>0</v>
      </c>
      <c r="AF79" s="5">
        <f t="shared" si="22"/>
        <v>0</v>
      </c>
      <c r="AG79" s="5">
        <f t="shared" si="23"/>
        <v>0</v>
      </c>
      <c r="AH79" s="5">
        <f>IF(CreditAmort3WORST[[#This Row],[Month]]=AJ$8,AF$7,0)</f>
        <v>0</v>
      </c>
      <c r="AI79" s="13">
        <f t="shared" si="24"/>
        <v>0</v>
      </c>
      <c r="AJ79" s="6" t="str">
        <f t="shared" si="25"/>
        <v xml:space="preserve"> </v>
      </c>
      <c r="AK79" s="21" t="str">
        <f t="shared" si="26"/>
        <v xml:space="preserve"> </v>
      </c>
      <c r="AM79" s="20">
        <f t="shared" si="27"/>
        <v>68</v>
      </c>
      <c r="AN79" s="5">
        <f t="shared" si="28"/>
        <v>0</v>
      </c>
      <c r="AO79" s="5">
        <f t="shared" si="29"/>
        <v>0</v>
      </c>
      <c r="AP79" s="5">
        <f t="shared" si="30"/>
        <v>0</v>
      </c>
      <c r="AQ79" s="5">
        <f>IF(CreditAmort4WORST[[#This Row],[Month]]=AS$8,AO$7,0)</f>
        <v>0</v>
      </c>
      <c r="AR79" s="13">
        <f t="shared" si="31"/>
        <v>0</v>
      </c>
      <c r="AS79" s="6" t="str">
        <f t="shared" si="32"/>
        <v xml:space="preserve"> </v>
      </c>
      <c r="AT79" s="21" t="str">
        <f t="shared" si="33"/>
        <v xml:space="preserve"> </v>
      </c>
    </row>
    <row r="80" spans="3:46">
      <c r="C80" s="22">
        <f t="shared" si="18"/>
        <v>69</v>
      </c>
      <c r="D80" s="23">
        <f>IF(AND(C80&gt;='Amort. Sched.-WORST'!$I$8, C80&lt;= ($I$7+$I$8)), PMT('Amort. Sched.-WORST'!$E$8/12, 'Amort. Sched.-WORST'!$I$7, 'Amort. Sched.-WORST'!$E$7), 0)</f>
        <v>-2026.0175758541329</v>
      </c>
      <c r="E80" s="5">
        <f>IF(AND(C80&gt;='Amort. Sched.-WORST'!$I$8, C80&lt;= ($I$7+$I$8)), (IPMT($E$8/12, (C80-$I$8), $I$7, $E$7)), 0)</f>
        <v>-1592.3434243199954</v>
      </c>
      <c r="F80" s="23">
        <f>IF(AND(C80&gt;='Amort. Sched.-WORST'!$I$8, C80&lt;= ($I$7+$I$8)), (PPMT($E$8/12, (C80-$I$8), $I$7, $E$7)), 0)</f>
        <v>-433.67415153413748</v>
      </c>
      <c r="G80" s="5">
        <f>IF(MortgageAmortWORST[[#This Row],[Month]]=I$8,E$7,0)</f>
        <v>0</v>
      </c>
      <c r="H80" s="13">
        <f>IF(AND(C80&gt;='Amort. Sched.-WORST'!$I$8, C80&lt;= ($I$7+$I$8)), H79+F80, 0)</f>
        <v>238417.83949646508</v>
      </c>
      <c r="I80" s="24">
        <f>IF(AND(C80&gt;='Amort. Sched.-WORST'!$I$8, C80&lt;= ($I$7+$I$8)), E80/D80, " ")</f>
        <v>0.78594748796722147</v>
      </c>
      <c r="J80" s="25">
        <f>IF(AND(C80&gt;='Amort. Sched.-WORST'!$I$8, C80&lt;= ($I$7+$I$8)), F80/D80, " ")</f>
        <v>0.21405251203277847</v>
      </c>
      <c r="L80" s="20">
        <f t="shared" si="17"/>
        <v>69</v>
      </c>
      <c r="M80" s="5">
        <f>IF(AND(L80&gt;='Amort. Sched.-WORST'!$R$8, L80&lt;= ($R$7+$R$8)), PMT('Amort. Sched.-WORST'!$N$8/12, 'Amort. Sched.-WORST'!$R$7, 'Amort. Sched.-WORST'!$N$7), 0)</f>
        <v>0</v>
      </c>
      <c r="N80" s="5">
        <f>IF(AND(L80&gt;='Amort. Sched.-WORST'!$R$8, L80&lt;= ($R$7+$R$8)), (IPMT($N$8/12, (L80-$R$8), $R$7, $N$7)), 0)</f>
        <v>0</v>
      </c>
      <c r="O80" s="5">
        <f>IF(AND(L80&gt;='Amort. Sched.-WORST'!$R$8, L80&lt;= ($R$7+$R$8)), (PPMT($N$8/12, (L80-$R$8), $R$7, $N$7)), 0)</f>
        <v>0</v>
      </c>
      <c r="P80" s="5">
        <f>IF(CreditAmort1WORST[[#This Row],[Month]]=R$8,N$7,0)</f>
        <v>0</v>
      </c>
      <c r="Q80" s="13">
        <f>IF(AND(L80&gt;='Amort. Sched.-WORST'!$R$8, L80&lt;= ($R$7+$R$8)), Q79+O80, 0)</f>
        <v>0</v>
      </c>
      <c r="R80" s="6" t="str">
        <f>IF(AND(L80&gt;='Amort. Sched.-WORST'!$R$8, L80&lt;= ($R$7+$R$8)), N80/M80, " ")</f>
        <v xml:space="preserve"> </v>
      </c>
      <c r="S80" s="21" t="str">
        <f>IF(AND(L80&gt;='Amort. Sched.-WORST'!$R$8, L80&lt;= ($R$7+$R$8)), O80/M80, " ")</f>
        <v xml:space="preserve"> </v>
      </c>
      <c r="U80" s="20">
        <f t="shared" si="19"/>
        <v>69</v>
      </c>
      <c r="V80" s="5">
        <f>IF(AND(U80&gt;='Amort. Sched.-WORST'!$AA$8, U80&lt;= ($AA$7+$AA$8)), PMT('Amort. Sched.-WORST'!$W$8/12, 'Amort. Sched.-WORST'!$AA$7, 'Amort. Sched.-WORST'!$W$7), 0)</f>
        <v>0</v>
      </c>
      <c r="W80" s="5">
        <f>IF(AND(U80&gt;='Amort. Sched.-WORST'!$AA$8, U80&lt;= ($AA$7+$AA$8)), (IPMT($W$8/12, (U80-$AA$8), $AA$7, $W$7)), 0)</f>
        <v>0</v>
      </c>
      <c r="X80" s="5">
        <f>IF(AND(U80&gt;='Amort. Sched.-WORST'!$AA$8, U80&lt;= ($AA$7+$AA$8)), (PPMT($W$8/12, (U80-$AA$8), $AA$7, $W$7)), 0)</f>
        <v>0</v>
      </c>
      <c r="Y80" s="5">
        <f>IF(CreditAmort2WORST[[#This Row],[Month]]=AA$8,W$7,0)</f>
        <v>0</v>
      </c>
      <c r="Z80" s="13">
        <f>IF(AND(U80&gt;='Amort. Sched.-WORST'!$AA$8, U80&lt;= ($AA$7+$AA$8)), Z79+X80, 0)</f>
        <v>0</v>
      </c>
      <c r="AA80" s="6" t="str">
        <f>IF(AND(U80&gt;='Amort. Sched.-WORST'!$AA$8, U80&lt;= ($AA$7+$AA$8)), W80/V80, " ")</f>
        <v xml:space="preserve"> </v>
      </c>
      <c r="AB80" s="21" t="str">
        <f>IF(AND(U80&gt;='Amort. Sched.-WORST'!$AA$8, U80&lt;= ($AA$7+$AA$8)), X80/V80, " ")</f>
        <v xml:space="preserve"> </v>
      </c>
      <c r="AD80" s="20">
        <f t="shared" si="20"/>
        <v>69</v>
      </c>
      <c r="AE80" s="5">
        <f t="shared" si="21"/>
        <v>0</v>
      </c>
      <c r="AF80" s="5">
        <f t="shared" si="22"/>
        <v>0</v>
      </c>
      <c r="AG80" s="5">
        <f t="shared" si="23"/>
        <v>0</v>
      </c>
      <c r="AH80" s="5">
        <f>IF(CreditAmort3WORST[[#This Row],[Month]]=AJ$8,AF$7,0)</f>
        <v>0</v>
      </c>
      <c r="AI80" s="13">
        <f t="shared" si="24"/>
        <v>0</v>
      </c>
      <c r="AJ80" s="6" t="str">
        <f t="shared" si="25"/>
        <v xml:space="preserve"> </v>
      </c>
      <c r="AK80" s="21" t="str">
        <f t="shared" si="26"/>
        <v xml:space="preserve"> </v>
      </c>
      <c r="AM80" s="20">
        <f t="shared" si="27"/>
        <v>69</v>
      </c>
      <c r="AN80" s="5">
        <f t="shared" si="28"/>
        <v>0</v>
      </c>
      <c r="AO80" s="5">
        <f t="shared" si="29"/>
        <v>0</v>
      </c>
      <c r="AP80" s="5">
        <f t="shared" si="30"/>
        <v>0</v>
      </c>
      <c r="AQ80" s="5">
        <f>IF(CreditAmort4WORST[[#This Row],[Month]]=AS$8,AO$7,0)</f>
        <v>0</v>
      </c>
      <c r="AR80" s="13">
        <f t="shared" si="31"/>
        <v>0</v>
      </c>
      <c r="AS80" s="6" t="str">
        <f t="shared" si="32"/>
        <v xml:space="preserve"> </v>
      </c>
      <c r="AT80" s="21" t="str">
        <f t="shared" si="33"/>
        <v xml:space="preserve"> </v>
      </c>
    </row>
    <row r="81" spans="3:46">
      <c r="C81" s="22">
        <f t="shared" si="18"/>
        <v>70</v>
      </c>
      <c r="D81" s="23">
        <f>IF(AND(C81&gt;='Amort. Sched.-WORST'!$I$8, C81&lt;= ($I$7+$I$8)), PMT('Amort. Sched.-WORST'!$E$8/12, 'Amort. Sched.-WORST'!$I$7, 'Amort. Sched.-WORST'!$E$7), 0)</f>
        <v>-2026.0175758541329</v>
      </c>
      <c r="E81" s="5">
        <f>IF(AND(C81&gt;='Amort. Sched.-WORST'!$I$8, C81&lt;= ($I$7+$I$8)), (IPMT($E$8/12, (C81-$I$8), $I$7, $E$7)), 0)</f>
        <v>-1589.4522633097679</v>
      </c>
      <c r="F81" s="23">
        <f>IF(AND(C81&gt;='Amort. Sched.-WORST'!$I$8, C81&lt;= ($I$7+$I$8)), (PPMT($E$8/12, (C81-$I$8), $I$7, $E$7)), 0)</f>
        <v>-436.5653125443651</v>
      </c>
      <c r="G81" s="5">
        <f>IF(MortgageAmortWORST[[#This Row],[Month]]=I$8,E$7,0)</f>
        <v>0</v>
      </c>
      <c r="H81" s="13">
        <f>IF(AND(C81&gt;='Amort. Sched.-WORST'!$I$8, C81&lt;= ($I$7+$I$8)), H80+F81, 0)</f>
        <v>237981.2741839207</v>
      </c>
      <c r="I81" s="24">
        <f>IF(AND(C81&gt;='Amort. Sched.-WORST'!$I$8, C81&lt;= ($I$7+$I$8)), E81/D81, " ")</f>
        <v>0.7845204712203363</v>
      </c>
      <c r="J81" s="25">
        <f>IF(AND(C81&gt;='Amort. Sched.-WORST'!$I$8, C81&lt;= ($I$7+$I$8)), F81/D81, " ")</f>
        <v>0.2154795287796637</v>
      </c>
      <c r="L81" s="20">
        <f t="shared" si="17"/>
        <v>70</v>
      </c>
      <c r="M81" s="5">
        <f>IF(AND(L81&gt;='Amort. Sched.-WORST'!$R$8, L81&lt;= ($R$7+$R$8)), PMT('Amort. Sched.-WORST'!$N$8/12, 'Amort. Sched.-WORST'!$R$7, 'Amort. Sched.-WORST'!$N$7), 0)</f>
        <v>0</v>
      </c>
      <c r="N81" s="5">
        <f>IF(AND(L81&gt;='Amort. Sched.-WORST'!$R$8, L81&lt;= ($R$7+$R$8)), (IPMT($N$8/12, (L81-$R$8), $R$7, $N$7)), 0)</f>
        <v>0</v>
      </c>
      <c r="O81" s="5">
        <f>IF(AND(L81&gt;='Amort. Sched.-WORST'!$R$8, L81&lt;= ($R$7+$R$8)), (PPMT($N$8/12, (L81-$R$8), $R$7, $N$7)), 0)</f>
        <v>0</v>
      </c>
      <c r="P81" s="5">
        <f>IF(CreditAmort1WORST[[#This Row],[Month]]=R$8,N$7,0)</f>
        <v>0</v>
      </c>
      <c r="Q81" s="13">
        <f>IF(AND(L81&gt;='Amort. Sched.-WORST'!$R$8, L81&lt;= ($R$7+$R$8)), Q80+O81, 0)</f>
        <v>0</v>
      </c>
      <c r="R81" s="6" t="str">
        <f>IF(AND(L81&gt;='Amort. Sched.-WORST'!$R$8, L81&lt;= ($R$7+$R$8)), N81/M81, " ")</f>
        <v xml:space="preserve"> </v>
      </c>
      <c r="S81" s="21" t="str">
        <f>IF(AND(L81&gt;='Amort. Sched.-WORST'!$R$8, L81&lt;= ($R$7+$R$8)), O81/M81, " ")</f>
        <v xml:space="preserve"> </v>
      </c>
      <c r="U81" s="20">
        <f t="shared" si="19"/>
        <v>70</v>
      </c>
      <c r="V81" s="5">
        <f>IF(AND(U81&gt;='Amort. Sched.-WORST'!$AA$8, U81&lt;= ($AA$7+$AA$8)), PMT('Amort. Sched.-WORST'!$W$8/12, 'Amort. Sched.-WORST'!$AA$7, 'Amort. Sched.-WORST'!$W$7), 0)</f>
        <v>0</v>
      </c>
      <c r="W81" s="5">
        <f>IF(AND(U81&gt;='Amort. Sched.-WORST'!$AA$8, U81&lt;= ($AA$7+$AA$8)), (IPMT($W$8/12, (U81-$AA$8), $AA$7, $W$7)), 0)</f>
        <v>0</v>
      </c>
      <c r="X81" s="5">
        <f>IF(AND(U81&gt;='Amort. Sched.-WORST'!$AA$8, U81&lt;= ($AA$7+$AA$8)), (PPMT($W$8/12, (U81-$AA$8), $AA$7, $W$7)), 0)</f>
        <v>0</v>
      </c>
      <c r="Y81" s="5">
        <f>IF(CreditAmort2WORST[[#This Row],[Month]]=AA$8,W$7,0)</f>
        <v>0</v>
      </c>
      <c r="Z81" s="13">
        <f>IF(AND(U81&gt;='Amort. Sched.-WORST'!$AA$8, U81&lt;= ($AA$7+$AA$8)), Z80+X81, 0)</f>
        <v>0</v>
      </c>
      <c r="AA81" s="6" t="str">
        <f>IF(AND(U81&gt;='Amort. Sched.-WORST'!$AA$8, U81&lt;= ($AA$7+$AA$8)), W81/V81, " ")</f>
        <v xml:space="preserve"> </v>
      </c>
      <c r="AB81" s="21" t="str">
        <f>IF(AND(U81&gt;='Amort. Sched.-WORST'!$AA$8, U81&lt;= ($AA$7+$AA$8)), X81/V81, " ")</f>
        <v xml:space="preserve"> </v>
      </c>
      <c r="AD81" s="20">
        <f t="shared" si="20"/>
        <v>70</v>
      </c>
      <c r="AE81" s="5">
        <f t="shared" si="21"/>
        <v>0</v>
      </c>
      <c r="AF81" s="5">
        <f t="shared" si="22"/>
        <v>0</v>
      </c>
      <c r="AG81" s="5">
        <f t="shared" si="23"/>
        <v>0</v>
      </c>
      <c r="AH81" s="5">
        <f>IF(CreditAmort3WORST[[#This Row],[Month]]=AJ$8,AF$7,0)</f>
        <v>0</v>
      </c>
      <c r="AI81" s="13">
        <f t="shared" si="24"/>
        <v>0</v>
      </c>
      <c r="AJ81" s="6" t="str">
        <f t="shared" si="25"/>
        <v xml:space="preserve"> </v>
      </c>
      <c r="AK81" s="21" t="str">
        <f t="shared" si="26"/>
        <v xml:space="preserve"> </v>
      </c>
      <c r="AM81" s="20">
        <f t="shared" si="27"/>
        <v>70</v>
      </c>
      <c r="AN81" s="5">
        <f t="shared" si="28"/>
        <v>0</v>
      </c>
      <c r="AO81" s="5">
        <f t="shared" si="29"/>
        <v>0</v>
      </c>
      <c r="AP81" s="5">
        <f t="shared" si="30"/>
        <v>0</v>
      </c>
      <c r="AQ81" s="5">
        <f>IF(CreditAmort4WORST[[#This Row],[Month]]=AS$8,AO$7,0)</f>
        <v>0</v>
      </c>
      <c r="AR81" s="13">
        <f t="shared" si="31"/>
        <v>0</v>
      </c>
      <c r="AS81" s="6" t="str">
        <f t="shared" si="32"/>
        <v xml:space="preserve"> </v>
      </c>
      <c r="AT81" s="21" t="str">
        <f t="shared" si="33"/>
        <v xml:space="preserve"> </v>
      </c>
    </row>
    <row r="82" spans="3:46">
      <c r="C82" s="22">
        <f t="shared" si="18"/>
        <v>71</v>
      </c>
      <c r="D82" s="23">
        <f>IF(AND(C82&gt;='Amort. Sched.-WORST'!$I$8, C82&lt;= ($I$7+$I$8)), PMT('Amort. Sched.-WORST'!$E$8/12, 'Amort. Sched.-WORST'!$I$7, 'Amort. Sched.-WORST'!$E$7), 0)</f>
        <v>-2026.0175758541329</v>
      </c>
      <c r="E82" s="5">
        <f>IF(AND(C82&gt;='Amort. Sched.-WORST'!$I$8, C82&lt;= ($I$7+$I$8)), (IPMT($E$8/12, (C82-$I$8), $I$7, $E$7)), 0)</f>
        <v>-1586.5418278928055</v>
      </c>
      <c r="F82" s="23">
        <f>IF(AND(C82&gt;='Amort. Sched.-WORST'!$I$8, C82&lt;= ($I$7+$I$8)), (PPMT($E$8/12, (C82-$I$8), $I$7, $E$7)), 0)</f>
        <v>-439.47574796132744</v>
      </c>
      <c r="G82" s="5">
        <f>IF(MortgageAmortWORST[[#This Row],[Month]]=I$8,E$7,0)</f>
        <v>0</v>
      </c>
      <c r="H82" s="13">
        <f>IF(AND(C82&gt;='Amort. Sched.-WORST'!$I$8, C82&lt;= ($I$7+$I$8)), H81+F82, 0)</f>
        <v>237541.79843595938</v>
      </c>
      <c r="I82" s="24">
        <f>IF(AND(C82&gt;='Amort. Sched.-WORST'!$I$8, C82&lt;= ($I$7+$I$8)), E82/D82, " ")</f>
        <v>0.7830839410284719</v>
      </c>
      <c r="J82" s="25">
        <f>IF(AND(C82&gt;='Amort. Sched.-WORST'!$I$8, C82&lt;= ($I$7+$I$8)), F82/D82, " ")</f>
        <v>0.21691605897152808</v>
      </c>
      <c r="L82" s="20">
        <f t="shared" si="17"/>
        <v>71</v>
      </c>
      <c r="M82" s="5">
        <f>IF(AND(L82&gt;='Amort. Sched.-WORST'!$R$8, L82&lt;= ($R$7+$R$8)), PMT('Amort. Sched.-WORST'!$N$8/12, 'Amort. Sched.-WORST'!$R$7, 'Amort. Sched.-WORST'!$N$7), 0)</f>
        <v>0</v>
      </c>
      <c r="N82" s="5">
        <f>IF(AND(L82&gt;='Amort. Sched.-WORST'!$R$8, L82&lt;= ($R$7+$R$8)), (IPMT($N$8/12, (L82-$R$8), $R$7, $N$7)), 0)</f>
        <v>0</v>
      </c>
      <c r="O82" s="5">
        <f>IF(AND(L82&gt;='Amort. Sched.-WORST'!$R$8, L82&lt;= ($R$7+$R$8)), (PPMT($N$8/12, (L82-$R$8), $R$7, $N$7)), 0)</f>
        <v>0</v>
      </c>
      <c r="P82" s="5">
        <f>IF(CreditAmort1WORST[[#This Row],[Month]]=R$8,N$7,0)</f>
        <v>0</v>
      </c>
      <c r="Q82" s="13">
        <f>IF(AND(L82&gt;='Amort. Sched.-WORST'!$R$8, L82&lt;= ($R$7+$R$8)), Q81+O82, 0)</f>
        <v>0</v>
      </c>
      <c r="R82" s="6" t="str">
        <f>IF(AND(L82&gt;='Amort. Sched.-WORST'!$R$8, L82&lt;= ($R$7+$R$8)), N82/M82, " ")</f>
        <v xml:space="preserve"> </v>
      </c>
      <c r="S82" s="21" t="str">
        <f>IF(AND(L82&gt;='Amort. Sched.-WORST'!$R$8, L82&lt;= ($R$7+$R$8)), O82/M82, " ")</f>
        <v xml:space="preserve"> </v>
      </c>
      <c r="U82" s="20">
        <f t="shared" si="19"/>
        <v>71</v>
      </c>
      <c r="V82" s="5">
        <f>IF(AND(U82&gt;='Amort. Sched.-WORST'!$AA$8, U82&lt;= ($AA$7+$AA$8)), PMT('Amort. Sched.-WORST'!$W$8/12, 'Amort. Sched.-WORST'!$AA$7, 'Amort. Sched.-WORST'!$W$7), 0)</f>
        <v>0</v>
      </c>
      <c r="W82" s="5">
        <f>IF(AND(U82&gt;='Amort. Sched.-WORST'!$AA$8, U82&lt;= ($AA$7+$AA$8)), (IPMT($W$8/12, (U82-$AA$8), $AA$7, $W$7)), 0)</f>
        <v>0</v>
      </c>
      <c r="X82" s="5">
        <f>IF(AND(U82&gt;='Amort. Sched.-WORST'!$AA$8, U82&lt;= ($AA$7+$AA$8)), (PPMT($W$8/12, (U82-$AA$8), $AA$7, $W$7)), 0)</f>
        <v>0</v>
      </c>
      <c r="Y82" s="5">
        <f>IF(CreditAmort2WORST[[#This Row],[Month]]=AA$8,W$7,0)</f>
        <v>0</v>
      </c>
      <c r="Z82" s="13">
        <f>IF(AND(U82&gt;='Amort. Sched.-WORST'!$AA$8, U82&lt;= ($AA$7+$AA$8)), Z81+X82, 0)</f>
        <v>0</v>
      </c>
      <c r="AA82" s="6" t="str">
        <f>IF(AND(U82&gt;='Amort. Sched.-WORST'!$AA$8, U82&lt;= ($AA$7+$AA$8)), W82/V82, " ")</f>
        <v xml:space="preserve"> </v>
      </c>
      <c r="AB82" s="21" t="str">
        <f>IF(AND(U82&gt;='Amort. Sched.-WORST'!$AA$8, U82&lt;= ($AA$7+$AA$8)), X82/V82, " ")</f>
        <v xml:space="preserve"> </v>
      </c>
      <c r="AD82" s="20">
        <f t="shared" si="20"/>
        <v>71</v>
      </c>
      <c r="AE82" s="5">
        <f t="shared" si="21"/>
        <v>0</v>
      </c>
      <c r="AF82" s="5">
        <f t="shared" si="22"/>
        <v>0</v>
      </c>
      <c r="AG82" s="5">
        <f t="shared" si="23"/>
        <v>0</v>
      </c>
      <c r="AH82" s="5">
        <f>IF(CreditAmort3WORST[[#This Row],[Month]]=AJ$8,AF$7,0)</f>
        <v>0</v>
      </c>
      <c r="AI82" s="13">
        <f t="shared" si="24"/>
        <v>0</v>
      </c>
      <c r="AJ82" s="6" t="str">
        <f t="shared" si="25"/>
        <v xml:space="preserve"> </v>
      </c>
      <c r="AK82" s="21" t="str">
        <f t="shared" si="26"/>
        <v xml:space="preserve"> </v>
      </c>
      <c r="AM82" s="20">
        <f t="shared" si="27"/>
        <v>71</v>
      </c>
      <c r="AN82" s="5">
        <f t="shared" si="28"/>
        <v>0</v>
      </c>
      <c r="AO82" s="5">
        <f t="shared" si="29"/>
        <v>0</v>
      </c>
      <c r="AP82" s="5">
        <f t="shared" si="30"/>
        <v>0</v>
      </c>
      <c r="AQ82" s="5">
        <f>IF(CreditAmort4WORST[[#This Row],[Month]]=AS$8,AO$7,0)</f>
        <v>0</v>
      </c>
      <c r="AR82" s="13">
        <f t="shared" si="31"/>
        <v>0</v>
      </c>
      <c r="AS82" s="6" t="str">
        <f t="shared" si="32"/>
        <v xml:space="preserve"> </v>
      </c>
      <c r="AT82" s="21" t="str">
        <f t="shared" si="33"/>
        <v xml:space="preserve"> </v>
      </c>
    </row>
    <row r="83" spans="3:46">
      <c r="C83" s="22">
        <f t="shared" si="18"/>
        <v>72</v>
      </c>
      <c r="D83" s="23">
        <f>IF(AND(C83&gt;='Amort. Sched.-WORST'!$I$8, C83&lt;= ($I$7+$I$8)), PMT('Amort. Sched.-WORST'!$E$8/12, 'Amort. Sched.-WORST'!$I$7, 'Amort. Sched.-WORST'!$E$7), 0)</f>
        <v>-2026.0175758541329</v>
      </c>
      <c r="E83" s="5">
        <f>IF(AND(C83&gt;='Amort. Sched.-WORST'!$I$8, C83&lt;= ($I$7+$I$8)), (IPMT($E$8/12, (C83-$I$8), $I$7, $E$7)), 0)</f>
        <v>-1583.6119895730633</v>
      </c>
      <c r="F83" s="23">
        <f>IF(AND(C83&gt;='Amort. Sched.-WORST'!$I$8, C83&lt;= ($I$7+$I$8)), (PPMT($E$8/12, (C83-$I$8), $I$7, $E$7)), 0)</f>
        <v>-442.4055862810697</v>
      </c>
      <c r="G83" s="5">
        <f>IF(MortgageAmortWORST[[#This Row],[Month]]=I$8,E$7,0)</f>
        <v>0</v>
      </c>
      <c r="H83" s="13">
        <f>IF(AND(C83&gt;='Amort. Sched.-WORST'!$I$8, C83&lt;= ($I$7+$I$8)), H82+F83, 0)</f>
        <v>237099.39284967832</v>
      </c>
      <c r="I83" s="24">
        <f>IF(AND(C83&gt;='Amort. Sched.-WORST'!$I$8, C83&lt;= ($I$7+$I$8)), E83/D83, " ")</f>
        <v>0.78163783396866171</v>
      </c>
      <c r="J83" s="25">
        <f>IF(AND(C83&gt;='Amort. Sched.-WORST'!$I$8, C83&lt;= ($I$7+$I$8)), F83/D83, " ")</f>
        <v>0.21836216603133829</v>
      </c>
      <c r="L83" s="20">
        <f t="shared" si="17"/>
        <v>72</v>
      </c>
      <c r="M83" s="5">
        <f>IF(AND(L83&gt;='Amort. Sched.-WORST'!$R$8, L83&lt;= ($R$7+$R$8)), PMT('Amort. Sched.-WORST'!$N$8/12, 'Amort. Sched.-WORST'!$R$7, 'Amort. Sched.-WORST'!$N$7), 0)</f>
        <v>0</v>
      </c>
      <c r="N83" s="5">
        <f>IF(AND(L83&gt;='Amort. Sched.-WORST'!$R$8, L83&lt;= ($R$7+$R$8)), (IPMT($N$8/12, (L83-$R$8), $R$7, $N$7)), 0)</f>
        <v>0</v>
      </c>
      <c r="O83" s="5">
        <f>IF(AND(L83&gt;='Amort. Sched.-WORST'!$R$8, L83&lt;= ($R$7+$R$8)), (PPMT($N$8/12, (L83-$R$8), $R$7, $N$7)), 0)</f>
        <v>0</v>
      </c>
      <c r="P83" s="5">
        <f>IF(CreditAmort1WORST[[#This Row],[Month]]=R$8,N$7,0)</f>
        <v>0</v>
      </c>
      <c r="Q83" s="13">
        <f>IF(AND(L83&gt;='Amort. Sched.-WORST'!$R$8, L83&lt;= ($R$7+$R$8)), Q82+O83, 0)</f>
        <v>0</v>
      </c>
      <c r="R83" s="6" t="str">
        <f>IF(AND(L83&gt;='Amort. Sched.-WORST'!$R$8, L83&lt;= ($R$7+$R$8)), N83/M83, " ")</f>
        <v xml:space="preserve"> </v>
      </c>
      <c r="S83" s="21" t="str">
        <f>IF(AND(L83&gt;='Amort. Sched.-WORST'!$R$8, L83&lt;= ($R$7+$R$8)), O83/M83, " ")</f>
        <v xml:space="preserve"> </v>
      </c>
      <c r="U83" s="20">
        <f t="shared" si="19"/>
        <v>72</v>
      </c>
      <c r="V83" s="5">
        <f>IF(AND(U83&gt;='Amort. Sched.-WORST'!$AA$8, U83&lt;= ($AA$7+$AA$8)), PMT('Amort. Sched.-WORST'!$W$8/12, 'Amort. Sched.-WORST'!$AA$7, 'Amort. Sched.-WORST'!$W$7), 0)</f>
        <v>0</v>
      </c>
      <c r="W83" s="5">
        <f>IF(AND(U83&gt;='Amort. Sched.-WORST'!$AA$8, U83&lt;= ($AA$7+$AA$8)), (IPMT($W$8/12, (U83-$AA$8), $AA$7, $W$7)), 0)</f>
        <v>0</v>
      </c>
      <c r="X83" s="5">
        <f>IF(AND(U83&gt;='Amort. Sched.-WORST'!$AA$8, U83&lt;= ($AA$7+$AA$8)), (PPMT($W$8/12, (U83-$AA$8), $AA$7, $W$7)), 0)</f>
        <v>0</v>
      </c>
      <c r="Y83" s="5">
        <f>IF(CreditAmort2WORST[[#This Row],[Month]]=AA$8,W$7,0)</f>
        <v>0</v>
      </c>
      <c r="Z83" s="13">
        <f>IF(AND(U83&gt;='Amort. Sched.-WORST'!$AA$8, U83&lt;= ($AA$7+$AA$8)), Z82+X83, 0)</f>
        <v>0</v>
      </c>
      <c r="AA83" s="6" t="str">
        <f>IF(AND(U83&gt;='Amort. Sched.-WORST'!$AA$8, U83&lt;= ($AA$7+$AA$8)), W83/V83, " ")</f>
        <v xml:space="preserve"> </v>
      </c>
      <c r="AB83" s="21" t="str">
        <f>IF(AND(U83&gt;='Amort. Sched.-WORST'!$AA$8, U83&lt;= ($AA$7+$AA$8)), X83/V83, " ")</f>
        <v xml:space="preserve"> </v>
      </c>
      <c r="AD83" s="20">
        <f t="shared" si="20"/>
        <v>72</v>
      </c>
      <c r="AE83" s="5">
        <f t="shared" si="21"/>
        <v>0</v>
      </c>
      <c r="AF83" s="5">
        <f t="shared" si="22"/>
        <v>0</v>
      </c>
      <c r="AG83" s="5">
        <f t="shared" si="23"/>
        <v>0</v>
      </c>
      <c r="AH83" s="5">
        <f>IF(CreditAmort3WORST[[#This Row],[Month]]=AJ$8,AF$7,0)</f>
        <v>0</v>
      </c>
      <c r="AI83" s="13">
        <f t="shared" si="24"/>
        <v>0</v>
      </c>
      <c r="AJ83" s="6" t="str">
        <f t="shared" si="25"/>
        <v xml:space="preserve"> </v>
      </c>
      <c r="AK83" s="21" t="str">
        <f t="shared" si="26"/>
        <v xml:space="preserve"> </v>
      </c>
      <c r="AM83" s="20">
        <f t="shared" si="27"/>
        <v>72</v>
      </c>
      <c r="AN83" s="5">
        <f t="shared" si="28"/>
        <v>0</v>
      </c>
      <c r="AO83" s="5">
        <f t="shared" si="29"/>
        <v>0</v>
      </c>
      <c r="AP83" s="5">
        <f t="shared" si="30"/>
        <v>0</v>
      </c>
      <c r="AQ83" s="5">
        <f>IF(CreditAmort4WORST[[#This Row],[Month]]=AS$8,AO$7,0)</f>
        <v>0</v>
      </c>
      <c r="AR83" s="13">
        <f t="shared" si="31"/>
        <v>0</v>
      </c>
      <c r="AS83" s="6" t="str">
        <f t="shared" si="32"/>
        <v xml:space="preserve"> </v>
      </c>
      <c r="AT83" s="21" t="str">
        <f t="shared" si="33"/>
        <v xml:space="preserve"> </v>
      </c>
    </row>
    <row r="84" spans="3:46">
      <c r="C84" s="22">
        <f t="shared" si="18"/>
        <v>73</v>
      </c>
      <c r="D84" s="23">
        <f>IF(AND(C84&gt;='Amort. Sched.-WORST'!$I$8, C84&lt;= ($I$7+$I$8)), PMT('Amort. Sched.-WORST'!$E$8/12, 'Amort. Sched.-WORST'!$I$7, 'Amort. Sched.-WORST'!$E$7), 0)</f>
        <v>-2026.0175758541329</v>
      </c>
      <c r="E84" s="5">
        <f>IF(AND(C84&gt;='Amort. Sched.-WORST'!$I$8, C84&lt;= ($I$7+$I$8)), (IPMT($E$8/12, (C84-$I$8), $I$7, $E$7)), 0)</f>
        <v>-1580.6626189978563</v>
      </c>
      <c r="F84" s="23">
        <f>IF(AND(C84&gt;='Amort. Sched.-WORST'!$I$8, C84&lt;= ($I$7+$I$8)), (PPMT($E$8/12, (C84-$I$8), $I$7, $E$7)), 0)</f>
        <v>-445.35495685627677</v>
      </c>
      <c r="G84" s="5">
        <f>IF(MortgageAmortWORST[[#This Row],[Month]]=I$8,E$7,0)</f>
        <v>0</v>
      </c>
      <c r="H84" s="13">
        <f>IF(AND(C84&gt;='Amort. Sched.-WORST'!$I$8, C84&lt;= ($I$7+$I$8)), H83+F84, 0)</f>
        <v>236654.03789282203</v>
      </c>
      <c r="I84" s="24">
        <f>IF(AND(C84&gt;='Amort. Sched.-WORST'!$I$8, C84&lt;= ($I$7+$I$8)), E84/D84, " ")</f>
        <v>0.78018208619511953</v>
      </c>
      <c r="J84" s="25">
        <f>IF(AND(C84&gt;='Amort. Sched.-WORST'!$I$8, C84&lt;= ($I$7+$I$8)), F84/D84, " ")</f>
        <v>0.21981791380488053</v>
      </c>
      <c r="L84" s="20">
        <f t="shared" si="17"/>
        <v>73</v>
      </c>
      <c r="M84" s="5">
        <f>IF(AND(L84&gt;='Amort. Sched.-WORST'!$R$8, L84&lt;= ($R$7+$R$8)), PMT('Amort. Sched.-WORST'!$N$8/12, 'Amort. Sched.-WORST'!$R$7, 'Amort. Sched.-WORST'!$N$7), 0)</f>
        <v>0</v>
      </c>
      <c r="N84" s="5">
        <f>IF(AND(L84&gt;='Amort. Sched.-WORST'!$R$8, L84&lt;= ($R$7+$R$8)), (IPMT($N$8/12, (L84-$R$8), $R$7, $N$7)), 0)</f>
        <v>0</v>
      </c>
      <c r="O84" s="5">
        <f>IF(AND(L84&gt;='Amort. Sched.-WORST'!$R$8, L84&lt;= ($R$7+$R$8)), (PPMT($N$8/12, (L84-$R$8), $R$7, $N$7)), 0)</f>
        <v>0</v>
      </c>
      <c r="P84" s="5">
        <f>IF(CreditAmort1WORST[[#This Row],[Month]]=R$8,N$7,0)</f>
        <v>0</v>
      </c>
      <c r="Q84" s="13">
        <f>IF(AND(L84&gt;='Amort. Sched.-WORST'!$R$8, L84&lt;= ($R$7+$R$8)), Q83+O84, 0)</f>
        <v>0</v>
      </c>
      <c r="R84" s="6" t="str">
        <f>IF(AND(L84&gt;='Amort. Sched.-WORST'!$R$8, L84&lt;= ($R$7+$R$8)), N84/M84, " ")</f>
        <v xml:space="preserve"> </v>
      </c>
      <c r="S84" s="21" t="str">
        <f>IF(AND(L84&gt;='Amort. Sched.-WORST'!$R$8, L84&lt;= ($R$7+$R$8)), O84/M84, " ")</f>
        <v xml:space="preserve"> </v>
      </c>
      <c r="U84" s="20">
        <f t="shared" si="19"/>
        <v>73</v>
      </c>
      <c r="V84" s="5">
        <f>IF(AND(U84&gt;='Amort. Sched.-WORST'!$AA$8, U84&lt;= ($AA$7+$AA$8)), PMT('Amort. Sched.-WORST'!$W$8/12, 'Amort. Sched.-WORST'!$AA$7, 'Amort. Sched.-WORST'!$W$7), 0)</f>
        <v>0</v>
      </c>
      <c r="W84" s="5">
        <f>IF(AND(U84&gt;='Amort. Sched.-WORST'!$AA$8, U84&lt;= ($AA$7+$AA$8)), (IPMT($W$8/12, (U84-$AA$8), $AA$7, $W$7)), 0)</f>
        <v>0</v>
      </c>
      <c r="X84" s="5">
        <f>IF(AND(U84&gt;='Amort. Sched.-WORST'!$AA$8, U84&lt;= ($AA$7+$AA$8)), (PPMT($W$8/12, (U84-$AA$8), $AA$7, $W$7)), 0)</f>
        <v>0</v>
      </c>
      <c r="Y84" s="5">
        <f>IF(CreditAmort2WORST[[#This Row],[Month]]=AA$8,W$7,0)</f>
        <v>0</v>
      </c>
      <c r="Z84" s="13">
        <f>IF(AND(U84&gt;='Amort. Sched.-WORST'!$AA$8, U84&lt;= ($AA$7+$AA$8)), Z83+X84, 0)</f>
        <v>0</v>
      </c>
      <c r="AA84" s="6" t="str">
        <f>IF(AND(U84&gt;='Amort. Sched.-WORST'!$AA$8, U84&lt;= ($AA$7+$AA$8)), W84/V84, " ")</f>
        <v xml:space="preserve"> </v>
      </c>
      <c r="AB84" s="21" t="str">
        <f>IF(AND(U84&gt;='Amort. Sched.-WORST'!$AA$8, U84&lt;= ($AA$7+$AA$8)), X84/V84, " ")</f>
        <v xml:space="preserve"> </v>
      </c>
      <c r="AD84" s="20">
        <f t="shared" si="20"/>
        <v>73</v>
      </c>
      <c r="AE84" s="5">
        <f t="shared" si="21"/>
        <v>0</v>
      </c>
      <c r="AF84" s="5">
        <f t="shared" si="22"/>
        <v>0</v>
      </c>
      <c r="AG84" s="5">
        <f t="shared" si="23"/>
        <v>0</v>
      </c>
      <c r="AH84" s="5">
        <f>IF(CreditAmort3WORST[[#This Row],[Month]]=AJ$8,AF$7,0)</f>
        <v>0</v>
      </c>
      <c r="AI84" s="13">
        <f t="shared" si="24"/>
        <v>0</v>
      </c>
      <c r="AJ84" s="6" t="str">
        <f t="shared" si="25"/>
        <v xml:space="preserve"> </v>
      </c>
      <c r="AK84" s="21" t="str">
        <f t="shared" si="26"/>
        <v xml:space="preserve"> </v>
      </c>
      <c r="AM84" s="20">
        <f t="shared" si="27"/>
        <v>73</v>
      </c>
      <c r="AN84" s="5">
        <f t="shared" si="28"/>
        <v>0</v>
      </c>
      <c r="AO84" s="5">
        <f t="shared" si="29"/>
        <v>0</v>
      </c>
      <c r="AP84" s="5">
        <f t="shared" si="30"/>
        <v>0</v>
      </c>
      <c r="AQ84" s="5">
        <f>IF(CreditAmort4WORST[[#This Row],[Month]]=AS$8,AO$7,0)</f>
        <v>0</v>
      </c>
      <c r="AR84" s="13">
        <f t="shared" si="31"/>
        <v>0</v>
      </c>
      <c r="AS84" s="6" t="str">
        <f t="shared" si="32"/>
        <v xml:space="preserve"> </v>
      </c>
      <c r="AT84" s="21" t="str">
        <f t="shared" si="33"/>
        <v xml:space="preserve"> </v>
      </c>
    </row>
    <row r="85" spans="3:46">
      <c r="C85" s="22">
        <f t="shared" si="18"/>
        <v>74</v>
      </c>
      <c r="D85" s="23">
        <f>IF(AND(C85&gt;='Amort. Sched.-WORST'!$I$8, C85&lt;= ($I$7+$I$8)), PMT('Amort. Sched.-WORST'!$E$8/12, 'Amort. Sched.-WORST'!$I$7, 'Amort. Sched.-WORST'!$E$7), 0)</f>
        <v>-2026.0175758541329</v>
      </c>
      <c r="E85" s="5">
        <f>IF(AND(C85&gt;='Amort. Sched.-WORST'!$I$8, C85&lt;= ($I$7+$I$8)), (IPMT($E$8/12, (C85-$I$8), $I$7, $E$7)), 0)</f>
        <v>-1577.6935859521477</v>
      </c>
      <c r="F85" s="23">
        <f>IF(AND(C85&gt;='Amort. Sched.-WORST'!$I$8, C85&lt;= ($I$7+$I$8)), (PPMT($E$8/12, (C85-$I$8), $I$7, $E$7)), 0)</f>
        <v>-448.32398990198539</v>
      </c>
      <c r="G85" s="5">
        <f>IF(MortgageAmortWORST[[#This Row],[Month]]=I$8,E$7,0)</f>
        <v>0</v>
      </c>
      <c r="H85" s="13">
        <f>IF(AND(C85&gt;='Amort. Sched.-WORST'!$I$8, C85&lt;= ($I$7+$I$8)), H84+F85, 0)</f>
        <v>236205.71390292005</v>
      </c>
      <c r="I85" s="24">
        <f>IF(AND(C85&gt;='Amort. Sched.-WORST'!$I$8, C85&lt;= ($I$7+$I$8)), E85/D85, " ")</f>
        <v>0.77871663343642028</v>
      </c>
      <c r="J85" s="25">
        <f>IF(AND(C85&gt;='Amort. Sched.-WORST'!$I$8, C85&lt;= ($I$7+$I$8)), F85/D85, " ")</f>
        <v>0.22128336656357978</v>
      </c>
      <c r="L85" s="20">
        <f t="shared" si="17"/>
        <v>74</v>
      </c>
      <c r="M85" s="5">
        <f>IF(AND(L85&gt;='Amort. Sched.-WORST'!$R$8, L85&lt;= ($R$7+$R$8)), PMT('Amort. Sched.-WORST'!$N$8/12, 'Amort. Sched.-WORST'!$R$7, 'Amort. Sched.-WORST'!$N$7), 0)</f>
        <v>0</v>
      </c>
      <c r="N85" s="5">
        <f>IF(AND(L85&gt;='Amort. Sched.-WORST'!$R$8, L85&lt;= ($R$7+$R$8)), (IPMT($N$8/12, (L85-$R$8), $R$7, $N$7)), 0)</f>
        <v>0</v>
      </c>
      <c r="O85" s="5">
        <f>IF(AND(L85&gt;='Amort. Sched.-WORST'!$R$8, L85&lt;= ($R$7+$R$8)), (PPMT($N$8/12, (L85-$R$8), $R$7, $N$7)), 0)</f>
        <v>0</v>
      </c>
      <c r="P85" s="5">
        <f>IF(CreditAmort1WORST[[#This Row],[Month]]=R$8,N$7,0)</f>
        <v>0</v>
      </c>
      <c r="Q85" s="13">
        <f>IF(AND(L85&gt;='Amort. Sched.-WORST'!$R$8, L85&lt;= ($R$7+$R$8)), Q84+O85, 0)</f>
        <v>0</v>
      </c>
      <c r="R85" s="6" t="str">
        <f>IF(AND(L85&gt;='Amort. Sched.-WORST'!$R$8, L85&lt;= ($R$7+$R$8)), N85/M85, " ")</f>
        <v xml:space="preserve"> </v>
      </c>
      <c r="S85" s="21" t="str">
        <f>IF(AND(L85&gt;='Amort. Sched.-WORST'!$R$8, L85&lt;= ($R$7+$R$8)), O85/M85, " ")</f>
        <v xml:space="preserve"> </v>
      </c>
      <c r="U85" s="20">
        <f t="shared" si="19"/>
        <v>74</v>
      </c>
      <c r="V85" s="5">
        <f>IF(AND(U85&gt;='Amort. Sched.-WORST'!$AA$8, U85&lt;= ($AA$7+$AA$8)), PMT('Amort. Sched.-WORST'!$W$8/12, 'Amort. Sched.-WORST'!$AA$7, 'Amort. Sched.-WORST'!$W$7), 0)</f>
        <v>0</v>
      </c>
      <c r="W85" s="5">
        <f>IF(AND(U85&gt;='Amort. Sched.-WORST'!$AA$8, U85&lt;= ($AA$7+$AA$8)), (IPMT($W$8/12, (U85-$AA$8), $AA$7, $W$7)), 0)</f>
        <v>0</v>
      </c>
      <c r="X85" s="5">
        <f>IF(AND(U85&gt;='Amort. Sched.-WORST'!$AA$8, U85&lt;= ($AA$7+$AA$8)), (PPMT($W$8/12, (U85-$AA$8), $AA$7, $W$7)), 0)</f>
        <v>0</v>
      </c>
      <c r="Y85" s="5">
        <f>IF(CreditAmort2WORST[[#This Row],[Month]]=AA$8,W$7,0)</f>
        <v>0</v>
      </c>
      <c r="Z85" s="13">
        <f>IF(AND(U85&gt;='Amort. Sched.-WORST'!$AA$8, U85&lt;= ($AA$7+$AA$8)), Z84+X85, 0)</f>
        <v>0</v>
      </c>
      <c r="AA85" s="6" t="str">
        <f>IF(AND(U85&gt;='Amort. Sched.-WORST'!$AA$8, U85&lt;= ($AA$7+$AA$8)), W85/V85, " ")</f>
        <v xml:space="preserve"> </v>
      </c>
      <c r="AB85" s="21" t="str">
        <f>IF(AND(U85&gt;='Amort. Sched.-WORST'!$AA$8, U85&lt;= ($AA$7+$AA$8)), X85/V85, " ")</f>
        <v xml:space="preserve"> </v>
      </c>
      <c r="AD85" s="20">
        <f t="shared" si="20"/>
        <v>74</v>
      </c>
      <c r="AE85" s="5">
        <f t="shared" si="21"/>
        <v>0</v>
      </c>
      <c r="AF85" s="5">
        <f t="shared" si="22"/>
        <v>0</v>
      </c>
      <c r="AG85" s="5">
        <f t="shared" si="23"/>
        <v>0</v>
      </c>
      <c r="AH85" s="5">
        <f>IF(CreditAmort3WORST[[#This Row],[Month]]=AJ$8,AF$7,0)</f>
        <v>0</v>
      </c>
      <c r="AI85" s="13">
        <f t="shared" si="24"/>
        <v>0</v>
      </c>
      <c r="AJ85" s="6" t="str">
        <f t="shared" si="25"/>
        <v xml:space="preserve"> </v>
      </c>
      <c r="AK85" s="21" t="str">
        <f t="shared" si="26"/>
        <v xml:space="preserve"> </v>
      </c>
      <c r="AM85" s="20">
        <f t="shared" si="27"/>
        <v>74</v>
      </c>
      <c r="AN85" s="5">
        <f t="shared" si="28"/>
        <v>0</v>
      </c>
      <c r="AO85" s="5">
        <f t="shared" si="29"/>
        <v>0</v>
      </c>
      <c r="AP85" s="5">
        <f t="shared" si="30"/>
        <v>0</v>
      </c>
      <c r="AQ85" s="5">
        <f>IF(CreditAmort4WORST[[#This Row],[Month]]=AS$8,AO$7,0)</f>
        <v>0</v>
      </c>
      <c r="AR85" s="13">
        <f t="shared" si="31"/>
        <v>0</v>
      </c>
      <c r="AS85" s="6" t="str">
        <f t="shared" si="32"/>
        <v xml:space="preserve"> </v>
      </c>
      <c r="AT85" s="21" t="str">
        <f t="shared" si="33"/>
        <v xml:space="preserve"> </v>
      </c>
    </row>
    <row r="86" spans="3:46">
      <c r="C86" s="22">
        <f t="shared" si="18"/>
        <v>75</v>
      </c>
      <c r="D86" s="23">
        <f>IF(AND(C86&gt;='Amort. Sched.-WORST'!$I$8, C86&lt;= ($I$7+$I$8)), PMT('Amort. Sched.-WORST'!$E$8/12, 'Amort. Sched.-WORST'!$I$7, 'Amort. Sched.-WORST'!$E$7), 0)</f>
        <v>-2026.0175758541329</v>
      </c>
      <c r="E86" s="5">
        <f>IF(AND(C86&gt;='Amort. Sched.-WORST'!$I$8, C86&lt;= ($I$7+$I$8)), (IPMT($E$8/12, (C86-$I$8), $I$7, $E$7)), 0)</f>
        <v>-1574.7047593528011</v>
      </c>
      <c r="F86" s="23">
        <f>IF(AND(C86&gt;='Amort. Sched.-WORST'!$I$8, C86&lt;= ($I$7+$I$8)), (PPMT($E$8/12, (C86-$I$8), $I$7, $E$7)), 0)</f>
        <v>-451.31281650133189</v>
      </c>
      <c r="G86" s="5">
        <f>IF(MortgageAmortWORST[[#This Row],[Month]]=I$8,E$7,0)</f>
        <v>0</v>
      </c>
      <c r="H86" s="13">
        <f>IF(AND(C86&gt;='Amort. Sched.-WORST'!$I$8, C86&lt;= ($I$7+$I$8)), H85+F86, 0)</f>
        <v>235754.40108641871</v>
      </c>
      <c r="I86" s="24">
        <f>IF(AND(C86&gt;='Amort. Sched.-WORST'!$I$8, C86&lt;= ($I$7+$I$8)), E86/D86, " ")</f>
        <v>0.77724141099266308</v>
      </c>
      <c r="J86" s="25">
        <f>IF(AND(C86&gt;='Amort. Sched.-WORST'!$I$8, C86&lt;= ($I$7+$I$8)), F86/D86, " ")</f>
        <v>0.22275858900733694</v>
      </c>
      <c r="L86" s="20">
        <f t="shared" si="17"/>
        <v>75</v>
      </c>
      <c r="M86" s="5">
        <f>IF(AND(L86&gt;='Amort. Sched.-WORST'!$R$8, L86&lt;= ($R$7+$R$8)), PMT('Amort. Sched.-WORST'!$N$8/12, 'Amort. Sched.-WORST'!$R$7, 'Amort. Sched.-WORST'!$N$7), 0)</f>
        <v>0</v>
      </c>
      <c r="N86" s="5">
        <f>IF(AND(L86&gt;='Amort. Sched.-WORST'!$R$8, L86&lt;= ($R$7+$R$8)), (IPMT($N$8/12, (L86-$R$8), $R$7, $N$7)), 0)</f>
        <v>0</v>
      </c>
      <c r="O86" s="5">
        <f>IF(AND(L86&gt;='Amort. Sched.-WORST'!$R$8, L86&lt;= ($R$7+$R$8)), (PPMT($N$8/12, (L86-$R$8), $R$7, $N$7)), 0)</f>
        <v>0</v>
      </c>
      <c r="P86" s="5">
        <f>IF(CreditAmort1WORST[[#This Row],[Month]]=R$8,N$7,0)</f>
        <v>0</v>
      </c>
      <c r="Q86" s="13">
        <f>IF(AND(L86&gt;='Amort. Sched.-WORST'!$R$8, L86&lt;= ($R$7+$R$8)), Q85+O86, 0)</f>
        <v>0</v>
      </c>
      <c r="R86" s="6" t="str">
        <f>IF(AND(L86&gt;='Amort. Sched.-WORST'!$R$8, L86&lt;= ($R$7+$R$8)), N86/M86, " ")</f>
        <v xml:space="preserve"> </v>
      </c>
      <c r="S86" s="21" t="str">
        <f>IF(AND(L86&gt;='Amort. Sched.-WORST'!$R$8, L86&lt;= ($R$7+$R$8)), O86/M86, " ")</f>
        <v xml:space="preserve"> </v>
      </c>
      <c r="U86" s="20">
        <f t="shared" si="19"/>
        <v>75</v>
      </c>
      <c r="V86" s="5">
        <f>IF(AND(U86&gt;='Amort. Sched.-WORST'!$AA$8, U86&lt;= ($AA$7+$AA$8)), PMT('Amort. Sched.-WORST'!$W$8/12, 'Amort. Sched.-WORST'!$AA$7, 'Amort. Sched.-WORST'!$W$7), 0)</f>
        <v>0</v>
      </c>
      <c r="W86" s="5">
        <f>IF(AND(U86&gt;='Amort. Sched.-WORST'!$AA$8, U86&lt;= ($AA$7+$AA$8)), (IPMT($W$8/12, (U86-$AA$8), $AA$7, $W$7)), 0)</f>
        <v>0</v>
      </c>
      <c r="X86" s="5">
        <f>IF(AND(U86&gt;='Amort. Sched.-WORST'!$AA$8, U86&lt;= ($AA$7+$AA$8)), (PPMT($W$8/12, (U86-$AA$8), $AA$7, $W$7)), 0)</f>
        <v>0</v>
      </c>
      <c r="Y86" s="5">
        <f>IF(CreditAmort2WORST[[#This Row],[Month]]=AA$8,W$7,0)</f>
        <v>0</v>
      </c>
      <c r="Z86" s="13">
        <f>IF(AND(U86&gt;='Amort. Sched.-WORST'!$AA$8, U86&lt;= ($AA$7+$AA$8)), Z85+X86, 0)</f>
        <v>0</v>
      </c>
      <c r="AA86" s="6" t="str">
        <f>IF(AND(U86&gt;='Amort. Sched.-WORST'!$AA$8, U86&lt;= ($AA$7+$AA$8)), W86/V86, " ")</f>
        <v xml:space="preserve"> </v>
      </c>
      <c r="AB86" s="21" t="str">
        <f>IF(AND(U86&gt;='Amort. Sched.-WORST'!$AA$8, U86&lt;= ($AA$7+$AA$8)), X86/V86, " ")</f>
        <v xml:space="preserve"> </v>
      </c>
      <c r="AD86" s="20">
        <f t="shared" si="20"/>
        <v>75</v>
      </c>
      <c r="AE86" s="5">
        <f t="shared" si="21"/>
        <v>0</v>
      </c>
      <c r="AF86" s="5">
        <f t="shared" si="22"/>
        <v>0</v>
      </c>
      <c r="AG86" s="5">
        <f t="shared" si="23"/>
        <v>0</v>
      </c>
      <c r="AH86" s="5">
        <f>IF(CreditAmort3WORST[[#This Row],[Month]]=AJ$8,AF$7,0)</f>
        <v>0</v>
      </c>
      <c r="AI86" s="13">
        <f t="shared" si="24"/>
        <v>0</v>
      </c>
      <c r="AJ86" s="6" t="str">
        <f t="shared" si="25"/>
        <v xml:space="preserve"> </v>
      </c>
      <c r="AK86" s="21" t="str">
        <f t="shared" si="26"/>
        <v xml:space="preserve"> </v>
      </c>
      <c r="AM86" s="20">
        <f t="shared" si="27"/>
        <v>75</v>
      </c>
      <c r="AN86" s="5">
        <f t="shared" si="28"/>
        <v>0</v>
      </c>
      <c r="AO86" s="5">
        <f t="shared" si="29"/>
        <v>0</v>
      </c>
      <c r="AP86" s="5">
        <f t="shared" si="30"/>
        <v>0</v>
      </c>
      <c r="AQ86" s="5">
        <f>IF(CreditAmort4WORST[[#This Row],[Month]]=AS$8,AO$7,0)</f>
        <v>0</v>
      </c>
      <c r="AR86" s="13">
        <f t="shared" si="31"/>
        <v>0</v>
      </c>
      <c r="AS86" s="6" t="str">
        <f t="shared" si="32"/>
        <v xml:space="preserve"> </v>
      </c>
      <c r="AT86" s="21" t="str">
        <f t="shared" si="33"/>
        <v xml:space="preserve"> </v>
      </c>
    </row>
    <row r="87" spans="3:46">
      <c r="C87" s="22">
        <f t="shared" si="18"/>
        <v>76</v>
      </c>
      <c r="D87" s="23">
        <f>IF(AND(C87&gt;='Amort. Sched.-WORST'!$I$8, C87&lt;= ($I$7+$I$8)), PMT('Amort. Sched.-WORST'!$E$8/12, 'Amort. Sched.-WORST'!$I$7, 'Amort. Sched.-WORST'!$E$7), 0)</f>
        <v>-2026.0175758541329</v>
      </c>
      <c r="E87" s="5">
        <f>IF(AND(C87&gt;='Amort. Sched.-WORST'!$I$8, C87&lt;= ($I$7+$I$8)), (IPMT($E$8/12, (C87-$I$8), $I$7, $E$7)), 0)</f>
        <v>-1571.6960072427923</v>
      </c>
      <c r="F87" s="23">
        <f>IF(AND(C87&gt;='Amort. Sched.-WORST'!$I$8, C87&lt;= ($I$7+$I$8)), (PPMT($E$8/12, (C87-$I$8), $I$7, $E$7)), 0)</f>
        <v>-454.32156861134081</v>
      </c>
      <c r="G87" s="5">
        <f>IF(MortgageAmortWORST[[#This Row],[Month]]=I$8,E$7,0)</f>
        <v>0</v>
      </c>
      <c r="H87" s="13">
        <f>IF(AND(C87&gt;='Amort. Sched.-WORST'!$I$8, C87&lt;= ($I$7+$I$8)), H86+F87, 0)</f>
        <v>235300.07951780737</v>
      </c>
      <c r="I87" s="24">
        <f>IF(AND(C87&gt;='Amort. Sched.-WORST'!$I$8, C87&lt;= ($I$7+$I$8)), E87/D87, " ")</f>
        <v>0.7757563537326142</v>
      </c>
      <c r="J87" s="25">
        <f>IF(AND(C87&gt;='Amort. Sched.-WORST'!$I$8, C87&lt;= ($I$7+$I$8)), F87/D87, " ")</f>
        <v>0.22424364626738588</v>
      </c>
      <c r="L87" s="20">
        <f t="shared" si="17"/>
        <v>76</v>
      </c>
      <c r="M87" s="5">
        <f>IF(AND(L87&gt;='Amort. Sched.-WORST'!$R$8, L87&lt;= ($R$7+$R$8)), PMT('Amort. Sched.-WORST'!$N$8/12, 'Amort. Sched.-WORST'!$R$7, 'Amort. Sched.-WORST'!$N$7), 0)</f>
        <v>0</v>
      </c>
      <c r="N87" s="5">
        <f>IF(AND(L87&gt;='Amort. Sched.-WORST'!$R$8, L87&lt;= ($R$7+$R$8)), (IPMT($N$8/12, (L87-$R$8), $R$7, $N$7)), 0)</f>
        <v>0</v>
      </c>
      <c r="O87" s="5">
        <f>IF(AND(L87&gt;='Amort. Sched.-WORST'!$R$8, L87&lt;= ($R$7+$R$8)), (PPMT($N$8/12, (L87-$R$8), $R$7, $N$7)), 0)</f>
        <v>0</v>
      </c>
      <c r="P87" s="5">
        <f>IF(CreditAmort1WORST[[#This Row],[Month]]=R$8,N$7,0)</f>
        <v>0</v>
      </c>
      <c r="Q87" s="13">
        <f>IF(AND(L87&gt;='Amort. Sched.-WORST'!$R$8, L87&lt;= ($R$7+$R$8)), Q86+O87, 0)</f>
        <v>0</v>
      </c>
      <c r="R87" s="6" t="str">
        <f>IF(AND(L87&gt;='Amort. Sched.-WORST'!$R$8, L87&lt;= ($R$7+$R$8)), N87/M87, " ")</f>
        <v xml:space="preserve"> </v>
      </c>
      <c r="S87" s="21" t="str">
        <f>IF(AND(L87&gt;='Amort. Sched.-WORST'!$R$8, L87&lt;= ($R$7+$R$8)), O87/M87, " ")</f>
        <v xml:space="preserve"> </v>
      </c>
      <c r="U87" s="20">
        <f t="shared" si="19"/>
        <v>76</v>
      </c>
      <c r="V87" s="5">
        <f>IF(AND(U87&gt;='Amort. Sched.-WORST'!$AA$8, U87&lt;= ($AA$7+$AA$8)), PMT('Amort. Sched.-WORST'!$W$8/12, 'Amort. Sched.-WORST'!$AA$7, 'Amort. Sched.-WORST'!$W$7), 0)</f>
        <v>0</v>
      </c>
      <c r="W87" s="5">
        <f>IF(AND(U87&gt;='Amort. Sched.-WORST'!$AA$8, U87&lt;= ($AA$7+$AA$8)), (IPMT($W$8/12, (U87-$AA$8), $AA$7, $W$7)), 0)</f>
        <v>0</v>
      </c>
      <c r="X87" s="5">
        <f>IF(AND(U87&gt;='Amort. Sched.-WORST'!$AA$8, U87&lt;= ($AA$7+$AA$8)), (PPMT($W$8/12, (U87-$AA$8), $AA$7, $W$7)), 0)</f>
        <v>0</v>
      </c>
      <c r="Y87" s="5">
        <f>IF(CreditAmort2WORST[[#This Row],[Month]]=AA$8,W$7,0)</f>
        <v>0</v>
      </c>
      <c r="Z87" s="13">
        <f>IF(AND(U87&gt;='Amort. Sched.-WORST'!$AA$8, U87&lt;= ($AA$7+$AA$8)), Z86+X87, 0)</f>
        <v>0</v>
      </c>
      <c r="AA87" s="6" t="str">
        <f>IF(AND(U87&gt;='Amort. Sched.-WORST'!$AA$8, U87&lt;= ($AA$7+$AA$8)), W87/V87, " ")</f>
        <v xml:space="preserve"> </v>
      </c>
      <c r="AB87" s="21" t="str">
        <f>IF(AND(U87&gt;='Amort. Sched.-WORST'!$AA$8, U87&lt;= ($AA$7+$AA$8)), X87/V87, " ")</f>
        <v xml:space="preserve"> </v>
      </c>
      <c r="AD87" s="20">
        <f t="shared" si="20"/>
        <v>76</v>
      </c>
      <c r="AE87" s="5">
        <f t="shared" si="21"/>
        <v>0</v>
      </c>
      <c r="AF87" s="5">
        <f t="shared" si="22"/>
        <v>0</v>
      </c>
      <c r="AG87" s="5">
        <f t="shared" si="23"/>
        <v>0</v>
      </c>
      <c r="AH87" s="5">
        <f>IF(CreditAmort3WORST[[#This Row],[Month]]=AJ$8,AF$7,0)</f>
        <v>0</v>
      </c>
      <c r="AI87" s="13">
        <f t="shared" si="24"/>
        <v>0</v>
      </c>
      <c r="AJ87" s="6" t="str">
        <f t="shared" si="25"/>
        <v xml:space="preserve"> </v>
      </c>
      <c r="AK87" s="21" t="str">
        <f t="shared" si="26"/>
        <v xml:space="preserve"> </v>
      </c>
      <c r="AM87" s="20">
        <f t="shared" si="27"/>
        <v>76</v>
      </c>
      <c r="AN87" s="5">
        <f t="shared" si="28"/>
        <v>0</v>
      </c>
      <c r="AO87" s="5">
        <f t="shared" si="29"/>
        <v>0</v>
      </c>
      <c r="AP87" s="5">
        <f t="shared" si="30"/>
        <v>0</v>
      </c>
      <c r="AQ87" s="5">
        <f>IF(CreditAmort4WORST[[#This Row],[Month]]=AS$8,AO$7,0)</f>
        <v>0</v>
      </c>
      <c r="AR87" s="13">
        <f t="shared" si="31"/>
        <v>0</v>
      </c>
      <c r="AS87" s="6" t="str">
        <f t="shared" si="32"/>
        <v xml:space="preserve"> </v>
      </c>
      <c r="AT87" s="21" t="str">
        <f t="shared" si="33"/>
        <v xml:space="preserve"> </v>
      </c>
    </row>
    <row r="88" spans="3:46">
      <c r="C88" s="22">
        <f t="shared" si="18"/>
        <v>77</v>
      </c>
      <c r="D88" s="23">
        <f>IF(AND(C88&gt;='Amort. Sched.-WORST'!$I$8, C88&lt;= ($I$7+$I$8)), PMT('Amort. Sched.-WORST'!$E$8/12, 'Amort. Sched.-WORST'!$I$7, 'Amort. Sched.-WORST'!$E$7), 0)</f>
        <v>-2026.0175758541329</v>
      </c>
      <c r="E88" s="5">
        <f>IF(AND(C88&gt;='Amort. Sched.-WORST'!$I$8, C88&lt;= ($I$7+$I$8)), (IPMT($E$8/12, (C88-$I$8), $I$7, $E$7)), 0)</f>
        <v>-1568.6671967853831</v>
      </c>
      <c r="F88" s="23">
        <f>IF(AND(C88&gt;='Amort. Sched.-WORST'!$I$8, C88&lt;= ($I$7+$I$8)), (PPMT($E$8/12, (C88-$I$8), $I$7, $E$7)), 0)</f>
        <v>-457.35037906874976</v>
      </c>
      <c r="G88" s="5">
        <f>IF(MortgageAmortWORST[[#This Row],[Month]]=I$8,E$7,0)</f>
        <v>0</v>
      </c>
      <c r="H88" s="13">
        <f>IF(AND(C88&gt;='Amort. Sched.-WORST'!$I$8, C88&lt;= ($I$7+$I$8)), H87+F88, 0)</f>
        <v>234842.72913873862</v>
      </c>
      <c r="I88" s="24">
        <f>IF(AND(C88&gt;='Amort. Sched.-WORST'!$I$8, C88&lt;= ($I$7+$I$8)), E88/D88, " ")</f>
        <v>0.77426139609083156</v>
      </c>
      <c r="J88" s="25">
        <f>IF(AND(C88&gt;='Amort. Sched.-WORST'!$I$8, C88&lt;= ($I$7+$I$8)), F88/D88, " ")</f>
        <v>0.22573860390916844</v>
      </c>
      <c r="L88" s="20">
        <f t="shared" si="17"/>
        <v>77</v>
      </c>
      <c r="M88" s="5">
        <f>IF(AND(L88&gt;='Amort. Sched.-WORST'!$R$8, L88&lt;= ($R$7+$R$8)), PMT('Amort. Sched.-WORST'!$N$8/12, 'Amort. Sched.-WORST'!$R$7, 'Amort. Sched.-WORST'!$N$7), 0)</f>
        <v>0</v>
      </c>
      <c r="N88" s="5">
        <f>IF(AND(L88&gt;='Amort. Sched.-WORST'!$R$8, L88&lt;= ($R$7+$R$8)), (IPMT($N$8/12, (L88-$R$8), $R$7, $N$7)), 0)</f>
        <v>0</v>
      </c>
      <c r="O88" s="5">
        <f>IF(AND(L88&gt;='Amort. Sched.-WORST'!$R$8, L88&lt;= ($R$7+$R$8)), (PPMT($N$8/12, (L88-$R$8), $R$7, $N$7)), 0)</f>
        <v>0</v>
      </c>
      <c r="P88" s="5">
        <f>IF(CreditAmort1WORST[[#This Row],[Month]]=R$8,N$7,0)</f>
        <v>0</v>
      </c>
      <c r="Q88" s="13">
        <f>IF(AND(L88&gt;='Amort. Sched.-WORST'!$R$8, L88&lt;= ($R$7+$R$8)), Q87+O88, 0)</f>
        <v>0</v>
      </c>
      <c r="R88" s="6" t="str">
        <f>IF(AND(L88&gt;='Amort. Sched.-WORST'!$R$8, L88&lt;= ($R$7+$R$8)), N88/M88, " ")</f>
        <v xml:space="preserve"> </v>
      </c>
      <c r="S88" s="21" t="str">
        <f>IF(AND(L88&gt;='Amort. Sched.-WORST'!$R$8, L88&lt;= ($R$7+$R$8)), O88/M88, " ")</f>
        <v xml:space="preserve"> </v>
      </c>
      <c r="U88" s="20">
        <f t="shared" si="19"/>
        <v>77</v>
      </c>
      <c r="V88" s="5">
        <f>IF(AND(U88&gt;='Amort. Sched.-WORST'!$AA$8, U88&lt;= ($AA$7+$AA$8)), PMT('Amort. Sched.-WORST'!$W$8/12, 'Amort. Sched.-WORST'!$AA$7, 'Amort. Sched.-WORST'!$W$7), 0)</f>
        <v>0</v>
      </c>
      <c r="W88" s="5">
        <f>IF(AND(U88&gt;='Amort. Sched.-WORST'!$AA$8, U88&lt;= ($AA$7+$AA$8)), (IPMT($W$8/12, (U88-$AA$8), $AA$7, $W$7)), 0)</f>
        <v>0</v>
      </c>
      <c r="X88" s="5">
        <f>IF(AND(U88&gt;='Amort. Sched.-WORST'!$AA$8, U88&lt;= ($AA$7+$AA$8)), (PPMT($W$8/12, (U88-$AA$8), $AA$7, $W$7)), 0)</f>
        <v>0</v>
      </c>
      <c r="Y88" s="5">
        <f>IF(CreditAmort2WORST[[#This Row],[Month]]=AA$8,W$7,0)</f>
        <v>0</v>
      </c>
      <c r="Z88" s="13">
        <f>IF(AND(U88&gt;='Amort. Sched.-WORST'!$AA$8, U88&lt;= ($AA$7+$AA$8)), Z87+X88, 0)</f>
        <v>0</v>
      </c>
      <c r="AA88" s="6" t="str">
        <f>IF(AND(U88&gt;='Amort. Sched.-WORST'!$AA$8, U88&lt;= ($AA$7+$AA$8)), W88/V88, " ")</f>
        <v xml:space="preserve"> </v>
      </c>
      <c r="AB88" s="21" t="str">
        <f>IF(AND(U88&gt;='Amort. Sched.-WORST'!$AA$8, U88&lt;= ($AA$7+$AA$8)), X88/V88, " ")</f>
        <v xml:space="preserve"> </v>
      </c>
      <c r="AD88" s="20">
        <f t="shared" si="20"/>
        <v>77</v>
      </c>
      <c r="AE88" s="5">
        <f t="shared" si="21"/>
        <v>0</v>
      </c>
      <c r="AF88" s="5">
        <f t="shared" si="22"/>
        <v>0</v>
      </c>
      <c r="AG88" s="5">
        <f t="shared" si="23"/>
        <v>0</v>
      </c>
      <c r="AH88" s="5">
        <f>IF(CreditAmort3WORST[[#This Row],[Month]]=AJ$8,AF$7,0)</f>
        <v>0</v>
      </c>
      <c r="AI88" s="13">
        <f t="shared" si="24"/>
        <v>0</v>
      </c>
      <c r="AJ88" s="6" t="str">
        <f t="shared" si="25"/>
        <v xml:space="preserve"> </v>
      </c>
      <c r="AK88" s="21" t="str">
        <f t="shared" si="26"/>
        <v xml:space="preserve"> </v>
      </c>
      <c r="AM88" s="20">
        <f t="shared" si="27"/>
        <v>77</v>
      </c>
      <c r="AN88" s="5">
        <f t="shared" si="28"/>
        <v>0</v>
      </c>
      <c r="AO88" s="5">
        <f t="shared" si="29"/>
        <v>0</v>
      </c>
      <c r="AP88" s="5">
        <f t="shared" si="30"/>
        <v>0</v>
      </c>
      <c r="AQ88" s="5">
        <f>IF(CreditAmort4WORST[[#This Row],[Month]]=AS$8,AO$7,0)</f>
        <v>0</v>
      </c>
      <c r="AR88" s="13">
        <f t="shared" si="31"/>
        <v>0</v>
      </c>
      <c r="AS88" s="6" t="str">
        <f t="shared" si="32"/>
        <v xml:space="preserve"> </v>
      </c>
      <c r="AT88" s="21" t="str">
        <f t="shared" si="33"/>
        <v xml:space="preserve"> </v>
      </c>
    </row>
    <row r="89" spans="3:46">
      <c r="C89" s="22">
        <f t="shared" si="18"/>
        <v>78</v>
      </c>
      <c r="D89" s="23">
        <f>IF(AND(C89&gt;='Amort. Sched.-WORST'!$I$8, C89&lt;= ($I$7+$I$8)), PMT('Amort. Sched.-WORST'!$E$8/12, 'Amort. Sched.-WORST'!$I$7, 'Amort. Sched.-WORST'!$E$7), 0)</f>
        <v>-2026.0175758541329</v>
      </c>
      <c r="E89" s="5">
        <f>IF(AND(C89&gt;='Amort. Sched.-WORST'!$I$8, C89&lt;= ($I$7+$I$8)), (IPMT($E$8/12, (C89-$I$8), $I$7, $E$7)), 0)</f>
        <v>-1565.6181942582584</v>
      </c>
      <c r="F89" s="23">
        <f>IF(AND(C89&gt;='Amort. Sched.-WORST'!$I$8, C89&lt;= ($I$7+$I$8)), (PPMT($E$8/12, (C89-$I$8), $I$7, $E$7)), 0)</f>
        <v>-460.39938159587467</v>
      </c>
      <c r="G89" s="5">
        <f>IF(MortgageAmortWORST[[#This Row],[Month]]=I$8,E$7,0)</f>
        <v>0</v>
      </c>
      <c r="H89" s="13">
        <f>IF(AND(C89&gt;='Amort. Sched.-WORST'!$I$8, C89&lt;= ($I$7+$I$8)), H88+F89, 0)</f>
        <v>234382.32975714275</v>
      </c>
      <c r="I89" s="24">
        <f>IF(AND(C89&gt;='Amort. Sched.-WORST'!$I$8, C89&lt;= ($I$7+$I$8)), E89/D89, " ")</f>
        <v>0.77275647206477061</v>
      </c>
      <c r="J89" s="25">
        <f>IF(AND(C89&gt;='Amort. Sched.-WORST'!$I$8, C89&lt;= ($I$7+$I$8)), F89/D89, " ")</f>
        <v>0.22724352793522953</v>
      </c>
      <c r="L89" s="20">
        <f t="shared" si="17"/>
        <v>78</v>
      </c>
      <c r="M89" s="5">
        <f>IF(AND(L89&gt;='Amort. Sched.-WORST'!$R$8, L89&lt;= ($R$7+$R$8)), PMT('Amort. Sched.-WORST'!$N$8/12, 'Amort. Sched.-WORST'!$R$7, 'Amort. Sched.-WORST'!$N$7), 0)</f>
        <v>0</v>
      </c>
      <c r="N89" s="5">
        <f>IF(AND(L89&gt;='Amort. Sched.-WORST'!$R$8, L89&lt;= ($R$7+$R$8)), (IPMT($N$8/12, (L89-$R$8), $R$7, $N$7)), 0)</f>
        <v>0</v>
      </c>
      <c r="O89" s="5">
        <f>IF(AND(L89&gt;='Amort. Sched.-WORST'!$R$8, L89&lt;= ($R$7+$R$8)), (PPMT($N$8/12, (L89-$R$8), $R$7, $N$7)), 0)</f>
        <v>0</v>
      </c>
      <c r="P89" s="5">
        <f>IF(CreditAmort1WORST[[#This Row],[Month]]=R$8,N$7,0)</f>
        <v>0</v>
      </c>
      <c r="Q89" s="13">
        <f>IF(AND(L89&gt;='Amort. Sched.-WORST'!$R$8, L89&lt;= ($R$7+$R$8)), Q88+O89, 0)</f>
        <v>0</v>
      </c>
      <c r="R89" s="6" t="str">
        <f>IF(AND(L89&gt;='Amort. Sched.-WORST'!$R$8, L89&lt;= ($R$7+$R$8)), N89/M89, " ")</f>
        <v xml:space="preserve"> </v>
      </c>
      <c r="S89" s="21" t="str">
        <f>IF(AND(L89&gt;='Amort. Sched.-WORST'!$R$8, L89&lt;= ($R$7+$R$8)), O89/M89, " ")</f>
        <v xml:space="preserve"> </v>
      </c>
      <c r="U89" s="20">
        <f t="shared" si="19"/>
        <v>78</v>
      </c>
      <c r="V89" s="5">
        <f>IF(AND(U89&gt;='Amort. Sched.-WORST'!$AA$8, U89&lt;= ($AA$7+$AA$8)), PMT('Amort. Sched.-WORST'!$W$8/12, 'Amort. Sched.-WORST'!$AA$7, 'Amort. Sched.-WORST'!$W$7), 0)</f>
        <v>0</v>
      </c>
      <c r="W89" s="5">
        <f>IF(AND(U89&gt;='Amort. Sched.-WORST'!$AA$8, U89&lt;= ($AA$7+$AA$8)), (IPMT($W$8/12, (U89-$AA$8), $AA$7, $W$7)), 0)</f>
        <v>0</v>
      </c>
      <c r="X89" s="5">
        <f>IF(AND(U89&gt;='Amort. Sched.-WORST'!$AA$8, U89&lt;= ($AA$7+$AA$8)), (PPMT($W$8/12, (U89-$AA$8), $AA$7, $W$7)), 0)</f>
        <v>0</v>
      </c>
      <c r="Y89" s="5">
        <f>IF(CreditAmort2WORST[[#This Row],[Month]]=AA$8,W$7,0)</f>
        <v>0</v>
      </c>
      <c r="Z89" s="13">
        <f>IF(AND(U89&gt;='Amort. Sched.-WORST'!$AA$8, U89&lt;= ($AA$7+$AA$8)), Z88+X89, 0)</f>
        <v>0</v>
      </c>
      <c r="AA89" s="6" t="str">
        <f>IF(AND(U89&gt;='Amort. Sched.-WORST'!$AA$8, U89&lt;= ($AA$7+$AA$8)), W89/V89, " ")</f>
        <v xml:space="preserve"> </v>
      </c>
      <c r="AB89" s="21" t="str">
        <f>IF(AND(U89&gt;='Amort. Sched.-WORST'!$AA$8, U89&lt;= ($AA$7+$AA$8)), X89/V89, " ")</f>
        <v xml:space="preserve"> </v>
      </c>
      <c r="AD89" s="20">
        <f t="shared" si="20"/>
        <v>78</v>
      </c>
      <c r="AE89" s="5">
        <f t="shared" si="21"/>
        <v>0</v>
      </c>
      <c r="AF89" s="5">
        <f t="shared" si="22"/>
        <v>0</v>
      </c>
      <c r="AG89" s="5">
        <f t="shared" si="23"/>
        <v>0</v>
      </c>
      <c r="AH89" s="5">
        <f>IF(CreditAmort3WORST[[#This Row],[Month]]=AJ$8,AF$7,0)</f>
        <v>0</v>
      </c>
      <c r="AI89" s="13">
        <f t="shared" si="24"/>
        <v>0</v>
      </c>
      <c r="AJ89" s="6" t="str">
        <f t="shared" si="25"/>
        <v xml:space="preserve"> </v>
      </c>
      <c r="AK89" s="21" t="str">
        <f t="shared" si="26"/>
        <v xml:space="preserve"> </v>
      </c>
      <c r="AM89" s="20">
        <f t="shared" si="27"/>
        <v>78</v>
      </c>
      <c r="AN89" s="5">
        <f t="shared" si="28"/>
        <v>0</v>
      </c>
      <c r="AO89" s="5">
        <f t="shared" si="29"/>
        <v>0</v>
      </c>
      <c r="AP89" s="5">
        <f t="shared" si="30"/>
        <v>0</v>
      </c>
      <c r="AQ89" s="5">
        <f>IF(CreditAmort4WORST[[#This Row],[Month]]=AS$8,AO$7,0)</f>
        <v>0</v>
      </c>
      <c r="AR89" s="13">
        <f t="shared" si="31"/>
        <v>0</v>
      </c>
      <c r="AS89" s="6" t="str">
        <f t="shared" si="32"/>
        <v xml:space="preserve"> </v>
      </c>
      <c r="AT89" s="21" t="str">
        <f t="shared" si="33"/>
        <v xml:space="preserve"> </v>
      </c>
    </row>
    <row r="90" spans="3:46">
      <c r="C90" s="22">
        <f t="shared" si="18"/>
        <v>79</v>
      </c>
      <c r="D90" s="23">
        <f>IF(AND(C90&gt;='Amort. Sched.-WORST'!$I$8, C90&lt;= ($I$7+$I$8)), PMT('Amort. Sched.-WORST'!$E$8/12, 'Amort. Sched.-WORST'!$I$7, 'Amort. Sched.-WORST'!$E$7), 0)</f>
        <v>-2026.0175758541329</v>
      </c>
      <c r="E90" s="5">
        <f>IF(AND(C90&gt;='Amort. Sched.-WORST'!$I$8, C90&lt;= ($I$7+$I$8)), (IPMT($E$8/12, (C90-$I$8), $I$7, $E$7)), 0)</f>
        <v>-1562.5488650476193</v>
      </c>
      <c r="F90" s="23">
        <f>IF(AND(C90&gt;='Amort. Sched.-WORST'!$I$8, C90&lt;= ($I$7+$I$8)), (PPMT($E$8/12, (C90-$I$8), $I$7, $E$7)), 0)</f>
        <v>-463.4687108065138</v>
      </c>
      <c r="G90" s="5">
        <f>IF(MortgageAmortWORST[[#This Row],[Month]]=I$8,E$7,0)</f>
        <v>0</v>
      </c>
      <c r="H90" s="13">
        <f>IF(AND(C90&gt;='Amort. Sched.-WORST'!$I$8, C90&lt;= ($I$7+$I$8)), H89+F90, 0)</f>
        <v>233918.86104633624</v>
      </c>
      <c r="I90" s="24">
        <f>IF(AND(C90&gt;='Amort. Sched.-WORST'!$I$8, C90&lt;= ($I$7+$I$8)), E90/D90, " ")</f>
        <v>0.77124151521186901</v>
      </c>
      <c r="J90" s="25">
        <f>IF(AND(C90&gt;='Amort. Sched.-WORST'!$I$8, C90&lt;= ($I$7+$I$8)), F90/D90, " ")</f>
        <v>0.22875848478813104</v>
      </c>
      <c r="L90" s="20">
        <f t="shared" si="17"/>
        <v>79</v>
      </c>
      <c r="M90" s="5">
        <f>IF(AND(L90&gt;='Amort. Sched.-WORST'!$R$8, L90&lt;= ($R$7+$R$8)), PMT('Amort. Sched.-WORST'!$N$8/12, 'Amort. Sched.-WORST'!$R$7, 'Amort. Sched.-WORST'!$N$7), 0)</f>
        <v>0</v>
      </c>
      <c r="N90" s="5">
        <f>IF(AND(L90&gt;='Amort. Sched.-WORST'!$R$8, L90&lt;= ($R$7+$R$8)), (IPMT($N$8/12, (L90-$R$8), $R$7, $N$7)), 0)</f>
        <v>0</v>
      </c>
      <c r="O90" s="5">
        <f>IF(AND(L90&gt;='Amort. Sched.-WORST'!$R$8, L90&lt;= ($R$7+$R$8)), (PPMT($N$8/12, (L90-$R$8), $R$7, $N$7)), 0)</f>
        <v>0</v>
      </c>
      <c r="P90" s="5">
        <f>IF(CreditAmort1WORST[[#This Row],[Month]]=R$8,N$7,0)</f>
        <v>0</v>
      </c>
      <c r="Q90" s="13">
        <f>IF(AND(L90&gt;='Amort. Sched.-WORST'!$R$8, L90&lt;= ($R$7+$R$8)), Q89+O90, 0)</f>
        <v>0</v>
      </c>
      <c r="R90" s="6" t="str">
        <f>IF(AND(L90&gt;='Amort. Sched.-WORST'!$R$8, L90&lt;= ($R$7+$R$8)), N90/M90, " ")</f>
        <v xml:space="preserve"> </v>
      </c>
      <c r="S90" s="21" t="str">
        <f>IF(AND(L90&gt;='Amort. Sched.-WORST'!$R$8, L90&lt;= ($R$7+$R$8)), O90/M90, " ")</f>
        <v xml:space="preserve"> </v>
      </c>
      <c r="U90" s="20">
        <f t="shared" si="19"/>
        <v>79</v>
      </c>
      <c r="V90" s="5">
        <f>IF(AND(U90&gt;='Amort. Sched.-WORST'!$AA$8, U90&lt;= ($AA$7+$AA$8)), PMT('Amort. Sched.-WORST'!$W$8/12, 'Amort. Sched.-WORST'!$AA$7, 'Amort. Sched.-WORST'!$W$7), 0)</f>
        <v>0</v>
      </c>
      <c r="W90" s="5">
        <f>IF(AND(U90&gt;='Amort. Sched.-WORST'!$AA$8, U90&lt;= ($AA$7+$AA$8)), (IPMT($W$8/12, (U90-$AA$8), $AA$7, $W$7)), 0)</f>
        <v>0</v>
      </c>
      <c r="X90" s="5">
        <f>IF(AND(U90&gt;='Amort. Sched.-WORST'!$AA$8, U90&lt;= ($AA$7+$AA$8)), (PPMT($W$8/12, (U90-$AA$8), $AA$7, $W$7)), 0)</f>
        <v>0</v>
      </c>
      <c r="Y90" s="5">
        <f>IF(CreditAmort2WORST[[#This Row],[Month]]=AA$8,W$7,0)</f>
        <v>0</v>
      </c>
      <c r="Z90" s="13">
        <f>IF(AND(U90&gt;='Amort. Sched.-WORST'!$AA$8, U90&lt;= ($AA$7+$AA$8)), Z89+X90, 0)</f>
        <v>0</v>
      </c>
      <c r="AA90" s="6" t="str">
        <f>IF(AND(U90&gt;='Amort. Sched.-WORST'!$AA$8, U90&lt;= ($AA$7+$AA$8)), W90/V90, " ")</f>
        <v xml:space="preserve"> </v>
      </c>
      <c r="AB90" s="21" t="str">
        <f>IF(AND(U90&gt;='Amort. Sched.-WORST'!$AA$8, U90&lt;= ($AA$7+$AA$8)), X90/V90, " ")</f>
        <v xml:space="preserve"> </v>
      </c>
      <c r="AD90" s="20">
        <f t="shared" si="20"/>
        <v>79</v>
      </c>
      <c r="AE90" s="5">
        <f t="shared" si="21"/>
        <v>0</v>
      </c>
      <c r="AF90" s="5">
        <f t="shared" si="22"/>
        <v>0</v>
      </c>
      <c r="AG90" s="5">
        <f t="shared" si="23"/>
        <v>0</v>
      </c>
      <c r="AH90" s="5">
        <f>IF(CreditAmort3WORST[[#This Row],[Month]]=AJ$8,AF$7,0)</f>
        <v>0</v>
      </c>
      <c r="AI90" s="13">
        <f t="shared" si="24"/>
        <v>0</v>
      </c>
      <c r="AJ90" s="6" t="str">
        <f t="shared" si="25"/>
        <v xml:space="preserve"> </v>
      </c>
      <c r="AK90" s="21" t="str">
        <f t="shared" si="26"/>
        <v xml:space="preserve"> </v>
      </c>
      <c r="AM90" s="20">
        <f t="shared" si="27"/>
        <v>79</v>
      </c>
      <c r="AN90" s="5">
        <f t="shared" si="28"/>
        <v>0</v>
      </c>
      <c r="AO90" s="5">
        <f t="shared" si="29"/>
        <v>0</v>
      </c>
      <c r="AP90" s="5">
        <f t="shared" si="30"/>
        <v>0</v>
      </c>
      <c r="AQ90" s="5">
        <f>IF(CreditAmort4WORST[[#This Row],[Month]]=AS$8,AO$7,0)</f>
        <v>0</v>
      </c>
      <c r="AR90" s="13">
        <f t="shared" si="31"/>
        <v>0</v>
      </c>
      <c r="AS90" s="6" t="str">
        <f t="shared" si="32"/>
        <v xml:space="preserve"> </v>
      </c>
      <c r="AT90" s="21" t="str">
        <f t="shared" si="33"/>
        <v xml:space="preserve"> </v>
      </c>
    </row>
    <row r="91" spans="3:46">
      <c r="C91" s="22">
        <f t="shared" si="18"/>
        <v>80</v>
      </c>
      <c r="D91" s="23">
        <f>IF(AND(C91&gt;='Amort. Sched.-WORST'!$I$8, C91&lt;= ($I$7+$I$8)), PMT('Amort. Sched.-WORST'!$E$8/12, 'Amort. Sched.-WORST'!$I$7, 'Amort. Sched.-WORST'!$E$7), 0)</f>
        <v>-2026.0175758541329</v>
      </c>
      <c r="E91" s="5">
        <f>IF(AND(C91&gt;='Amort. Sched.-WORST'!$I$8, C91&lt;= ($I$7+$I$8)), (IPMT($E$8/12, (C91-$I$8), $I$7, $E$7)), 0)</f>
        <v>-1559.4590736422424</v>
      </c>
      <c r="F91" s="23">
        <f>IF(AND(C91&gt;='Amort. Sched.-WORST'!$I$8, C91&lt;= ($I$7+$I$8)), (PPMT($E$8/12, (C91-$I$8), $I$7, $E$7)), 0)</f>
        <v>-466.55850221189053</v>
      </c>
      <c r="G91" s="5">
        <f>IF(MortgageAmortWORST[[#This Row],[Month]]=I$8,E$7,0)</f>
        <v>0</v>
      </c>
      <c r="H91" s="13">
        <f>IF(AND(C91&gt;='Amort. Sched.-WORST'!$I$8, C91&lt;= ($I$7+$I$8)), H90+F91, 0)</f>
        <v>233452.30254412434</v>
      </c>
      <c r="I91" s="24">
        <f>IF(AND(C91&gt;='Amort. Sched.-WORST'!$I$8, C91&lt;= ($I$7+$I$8)), E91/D91, " ")</f>
        <v>0.76971645864661475</v>
      </c>
      <c r="J91" s="25">
        <f>IF(AND(C91&gt;='Amort. Sched.-WORST'!$I$8, C91&lt;= ($I$7+$I$8)), F91/D91, " ")</f>
        <v>0.23028354135338525</v>
      </c>
      <c r="L91" s="20">
        <f t="shared" si="17"/>
        <v>80</v>
      </c>
      <c r="M91" s="5">
        <f>IF(AND(L91&gt;='Amort. Sched.-WORST'!$R$8, L91&lt;= ($R$7+$R$8)), PMT('Amort. Sched.-WORST'!$N$8/12, 'Amort. Sched.-WORST'!$R$7, 'Amort. Sched.-WORST'!$N$7), 0)</f>
        <v>0</v>
      </c>
      <c r="N91" s="5">
        <f>IF(AND(L91&gt;='Amort. Sched.-WORST'!$R$8, L91&lt;= ($R$7+$R$8)), (IPMT($N$8/12, (L91-$R$8), $R$7, $N$7)), 0)</f>
        <v>0</v>
      </c>
      <c r="O91" s="5">
        <f>IF(AND(L91&gt;='Amort. Sched.-WORST'!$R$8, L91&lt;= ($R$7+$R$8)), (PPMT($N$8/12, (L91-$R$8), $R$7, $N$7)), 0)</f>
        <v>0</v>
      </c>
      <c r="P91" s="5">
        <f>IF(CreditAmort1WORST[[#This Row],[Month]]=R$8,N$7,0)</f>
        <v>0</v>
      </c>
      <c r="Q91" s="13">
        <f>IF(AND(L91&gt;='Amort. Sched.-WORST'!$R$8, L91&lt;= ($R$7+$R$8)), Q90+O91, 0)</f>
        <v>0</v>
      </c>
      <c r="R91" s="6" t="str">
        <f>IF(AND(L91&gt;='Amort. Sched.-WORST'!$R$8, L91&lt;= ($R$7+$R$8)), N91/M91, " ")</f>
        <v xml:space="preserve"> </v>
      </c>
      <c r="S91" s="21" t="str">
        <f>IF(AND(L91&gt;='Amort. Sched.-WORST'!$R$8, L91&lt;= ($R$7+$R$8)), O91/M91, " ")</f>
        <v xml:space="preserve"> </v>
      </c>
      <c r="U91" s="20">
        <f t="shared" si="19"/>
        <v>80</v>
      </c>
      <c r="V91" s="5">
        <f>IF(AND(U91&gt;='Amort. Sched.-WORST'!$AA$8, U91&lt;= ($AA$7+$AA$8)), PMT('Amort. Sched.-WORST'!$W$8/12, 'Amort. Sched.-WORST'!$AA$7, 'Amort. Sched.-WORST'!$W$7), 0)</f>
        <v>0</v>
      </c>
      <c r="W91" s="5">
        <f>IF(AND(U91&gt;='Amort. Sched.-WORST'!$AA$8, U91&lt;= ($AA$7+$AA$8)), (IPMT($W$8/12, (U91-$AA$8), $AA$7, $W$7)), 0)</f>
        <v>0</v>
      </c>
      <c r="X91" s="5">
        <f>IF(AND(U91&gt;='Amort. Sched.-WORST'!$AA$8, U91&lt;= ($AA$7+$AA$8)), (PPMT($W$8/12, (U91-$AA$8), $AA$7, $W$7)), 0)</f>
        <v>0</v>
      </c>
      <c r="Y91" s="5">
        <f>IF(CreditAmort2WORST[[#This Row],[Month]]=AA$8,W$7,0)</f>
        <v>0</v>
      </c>
      <c r="Z91" s="13">
        <f>IF(AND(U91&gt;='Amort. Sched.-WORST'!$AA$8, U91&lt;= ($AA$7+$AA$8)), Z90+X91, 0)</f>
        <v>0</v>
      </c>
      <c r="AA91" s="6" t="str">
        <f>IF(AND(U91&gt;='Amort. Sched.-WORST'!$AA$8, U91&lt;= ($AA$7+$AA$8)), W91/V91, " ")</f>
        <v xml:space="preserve"> </v>
      </c>
      <c r="AB91" s="21" t="str">
        <f>IF(AND(U91&gt;='Amort. Sched.-WORST'!$AA$8, U91&lt;= ($AA$7+$AA$8)), X91/V91, " ")</f>
        <v xml:space="preserve"> </v>
      </c>
      <c r="AD91" s="20">
        <f t="shared" si="20"/>
        <v>80</v>
      </c>
      <c r="AE91" s="5">
        <f t="shared" si="21"/>
        <v>0</v>
      </c>
      <c r="AF91" s="5">
        <f t="shared" si="22"/>
        <v>0</v>
      </c>
      <c r="AG91" s="5">
        <f t="shared" si="23"/>
        <v>0</v>
      </c>
      <c r="AH91" s="5">
        <f>IF(CreditAmort3WORST[[#This Row],[Month]]=AJ$8,AF$7,0)</f>
        <v>0</v>
      </c>
      <c r="AI91" s="13">
        <f t="shared" si="24"/>
        <v>0</v>
      </c>
      <c r="AJ91" s="6" t="str">
        <f t="shared" si="25"/>
        <v xml:space="preserve"> </v>
      </c>
      <c r="AK91" s="21" t="str">
        <f t="shared" si="26"/>
        <v xml:space="preserve"> </v>
      </c>
      <c r="AM91" s="20">
        <f t="shared" si="27"/>
        <v>80</v>
      </c>
      <c r="AN91" s="5">
        <f t="shared" si="28"/>
        <v>0</v>
      </c>
      <c r="AO91" s="5">
        <f t="shared" si="29"/>
        <v>0</v>
      </c>
      <c r="AP91" s="5">
        <f t="shared" si="30"/>
        <v>0</v>
      </c>
      <c r="AQ91" s="5">
        <f>IF(CreditAmort4WORST[[#This Row],[Month]]=AS$8,AO$7,0)</f>
        <v>0</v>
      </c>
      <c r="AR91" s="13">
        <f t="shared" si="31"/>
        <v>0</v>
      </c>
      <c r="AS91" s="6" t="str">
        <f t="shared" si="32"/>
        <v xml:space="preserve"> </v>
      </c>
      <c r="AT91" s="21" t="str">
        <f t="shared" si="33"/>
        <v xml:space="preserve"> </v>
      </c>
    </row>
    <row r="92" spans="3:46">
      <c r="C92" s="22">
        <f t="shared" si="18"/>
        <v>81</v>
      </c>
      <c r="D92" s="23">
        <f>IF(AND(C92&gt;='Amort. Sched.-WORST'!$I$8, C92&lt;= ($I$7+$I$8)), PMT('Amort. Sched.-WORST'!$E$8/12, 'Amort. Sched.-WORST'!$I$7, 'Amort. Sched.-WORST'!$E$7), 0)</f>
        <v>-2026.0175758541329</v>
      </c>
      <c r="E92" s="5">
        <f>IF(AND(C92&gt;='Amort. Sched.-WORST'!$I$8, C92&lt;= ($I$7+$I$8)), (IPMT($E$8/12, (C92-$I$8), $I$7, $E$7)), 0)</f>
        <v>-1556.3486836274965</v>
      </c>
      <c r="F92" s="23">
        <f>IF(AND(C92&gt;='Amort. Sched.-WORST'!$I$8, C92&lt;= ($I$7+$I$8)), (PPMT($E$8/12, (C92-$I$8), $I$7, $E$7)), 0)</f>
        <v>-469.66889222663656</v>
      </c>
      <c r="G92" s="5">
        <f>IF(MortgageAmortWORST[[#This Row],[Month]]=I$8,E$7,0)</f>
        <v>0</v>
      </c>
      <c r="H92" s="13">
        <f>IF(AND(C92&gt;='Amort. Sched.-WORST'!$I$8, C92&lt;= ($I$7+$I$8)), H91+F92, 0)</f>
        <v>232982.63365189769</v>
      </c>
      <c r="I92" s="24">
        <f>IF(AND(C92&gt;='Amort. Sched.-WORST'!$I$8, C92&lt;= ($I$7+$I$8)), E92/D92, " ")</f>
        <v>0.76818123503759217</v>
      </c>
      <c r="J92" s="25">
        <f>IF(AND(C92&gt;='Amort. Sched.-WORST'!$I$8, C92&lt;= ($I$7+$I$8)), F92/D92, " ")</f>
        <v>0.23181876496240786</v>
      </c>
      <c r="L92" s="20">
        <f t="shared" si="17"/>
        <v>81</v>
      </c>
      <c r="M92" s="5">
        <f>IF(AND(L92&gt;='Amort. Sched.-WORST'!$R$8, L92&lt;= ($R$7+$R$8)), PMT('Amort. Sched.-WORST'!$N$8/12, 'Amort. Sched.-WORST'!$R$7, 'Amort. Sched.-WORST'!$N$7), 0)</f>
        <v>0</v>
      </c>
      <c r="N92" s="5">
        <f>IF(AND(L92&gt;='Amort. Sched.-WORST'!$R$8, L92&lt;= ($R$7+$R$8)), (IPMT($N$8/12, (L92-$R$8), $R$7, $N$7)), 0)</f>
        <v>0</v>
      </c>
      <c r="O92" s="5">
        <f>IF(AND(L92&gt;='Amort. Sched.-WORST'!$R$8, L92&lt;= ($R$7+$R$8)), (PPMT($N$8/12, (L92-$R$8), $R$7, $N$7)), 0)</f>
        <v>0</v>
      </c>
      <c r="P92" s="5">
        <f>IF(CreditAmort1WORST[[#This Row],[Month]]=R$8,N$7,0)</f>
        <v>0</v>
      </c>
      <c r="Q92" s="13">
        <f>IF(AND(L92&gt;='Amort. Sched.-WORST'!$R$8, L92&lt;= ($R$7+$R$8)), Q91+O92, 0)</f>
        <v>0</v>
      </c>
      <c r="R92" s="6" t="str">
        <f>IF(AND(L92&gt;='Amort. Sched.-WORST'!$R$8, L92&lt;= ($R$7+$R$8)), N92/M92, " ")</f>
        <v xml:space="preserve"> </v>
      </c>
      <c r="S92" s="21" t="str">
        <f>IF(AND(L92&gt;='Amort. Sched.-WORST'!$R$8, L92&lt;= ($R$7+$R$8)), O92/M92, " ")</f>
        <v xml:space="preserve"> </v>
      </c>
      <c r="U92" s="20">
        <f t="shared" si="19"/>
        <v>81</v>
      </c>
      <c r="V92" s="5">
        <f>IF(AND(U92&gt;='Amort. Sched.-WORST'!$AA$8, U92&lt;= ($AA$7+$AA$8)), PMT('Amort. Sched.-WORST'!$W$8/12, 'Amort. Sched.-WORST'!$AA$7, 'Amort. Sched.-WORST'!$W$7), 0)</f>
        <v>0</v>
      </c>
      <c r="W92" s="5">
        <f>IF(AND(U92&gt;='Amort. Sched.-WORST'!$AA$8, U92&lt;= ($AA$7+$AA$8)), (IPMT($W$8/12, (U92-$AA$8), $AA$7, $W$7)), 0)</f>
        <v>0</v>
      </c>
      <c r="X92" s="5">
        <f>IF(AND(U92&gt;='Amort. Sched.-WORST'!$AA$8, U92&lt;= ($AA$7+$AA$8)), (PPMT($W$8/12, (U92-$AA$8), $AA$7, $W$7)), 0)</f>
        <v>0</v>
      </c>
      <c r="Y92" s="5">
        <f>IF(CreditAmort2WORST[[#This Row],[Month]]=AA$8,W$7,0)</f>
        <v>0</v>
      </c>
      <c r="Z92" s="13">
        <f>IF(AND(U92&gt;='Amort. Sched.-WORST'!$AA$8, U92&lt;= ($AA$7+$AA$8)), Z91+X92, 0)</f>
        <v>0</v>
      </c>
      <c r="AA92" s="6" t="str">
        <f>IF(AND(U92&gt;='Amort. Sched.-WORST'!$AA$8, U92&lt;= ($AA$7+$AA$8)), W92/V92, " ")</f>
        <v xml:space="preserve"> </v>
      </c>
      <c r="AB92" s="21" t="str">
        <f>IF(AND(U92&gt;='Amort. Sched.-WORST'!$AA$8, U92&lt;= ($AA$7+$AA$8)), X92/V92, " ")</f>
        <v xml:space="preserve"> </v>
      </c>
      <c r="AD92" s="20">
        <f t="shared" si="20"/>
        <v>81</v>
      </c>
      <c r="AE92" s="5">
        <f t="shared" si="21"/>
        <v>0</v>
      </c>
      <c r="AF92" s="5">
        <f t="shared" si="22"/>
        <v>0</v>
      </c>
      <c r="AG92" s="5">
        <f t="shared" si="23"/>
        <v>0</v>
      </c>
      <c r="AH92" s="5">
        <f>IF(CreditAmort3WORST[[#This Row],[Month]]=AJ$8,AF$7,0)</f>
        <v>0</v>
      </c>
      <c r="AI92" s="13">
        <f t="shared" si="24"/>
        <v>0</v>
      </c>
      <c r="AJ92" s="6" t="str">
        <f t="shared" si="25"/>
        <v xml:space="preserve"> </v>
      </c>
      <c r="AK92" s="21" t="str">
        <f t="shared" si="26"/>
        <v xml:space="preserve"> </v>
      </c>
      <c r="AM92" s="20">
        <f t="shared" si="27"/>
        <v>81</v>
      </c>
      <c r="AN92" s="5">
        <f t="shared" si="28"/>
        <v>0</v>
      </c>
      <c r="AO92" s="5">
        <f t="shared" si="29"/>
        <v>0</v>
      </c>
      <c r="AP92" s="5">
        <f t="shared" si="30"/>
        <v>0</v>
      </c>
      <c r="AQ92" s="5">
        <f>IF(CreditAmort4WORST[[#This Row],[Month]]=AS$8,AO$7,0)</f>
        <v>0</v>
      </c>
      <c r="AR92" s="13">
        <f t="shared" si="31"/>
        <v>0</v>
      </c>
      <c r="AS92" s="6" t="str">
        <f t="shared" si="32"/>
        <v xml:space="preserve"> </v>
      </c>
      <c r="AT92" s="21" t="str">
        <f t="shared" si="33"/>
        <v xml:space="preserve"> </v>
      </c>
    </row>
    <row r="93" spans="3:46">
      <c r="C93" s="22">
        <f t="shared" si="18"/>
        <v>82</v>
      </c>
      <c r="D93" s="23">
        <f>IF(AND(C93&gt;='Amort. Sched.-WORST'!$I$8, C93&lt;= ($I$7+$I$8)), PMT('Amort. Sched.-WORST'!$E$8/12, 'Amort. Sched.-WORST'!$I$7, 'Amort. Sched.-WORST'!$E$7), 0)</f>
        <v>-2026.0175758541329</v>
      </c>
      <c r="E93" s="5">
        <f>IF(AND(C93&gt;='Amort. Sched.-WORST'!$I$8, C93&lt;= ($I$7+$I$8)), (IPMT($E$8/12, (C93-$I$8), $I$7, $E$7)), 0)</f>
        <v>-1553.2175576793188</v>
      </c>
      <c r="F93" s="23">
        <f>IF(AND(C93&gt;='Amort. Sched.-WORST'!$I$8, C93&lt;= ($I$7+$I$8)), (PPMT($E$8/12, (C93-$I$8), $I$7, $E$7)), 0)</f>
        <v>-472.80001817481411</v>
      </c>
      <c r="G93" s="5">
        <f>IF(MortgageAmortWORST[[#This Row],[Month]]=I$8,E$7,0)</f>
        <v>0</v>
      </c>
      <c r="H93" s="13">
        <f>IF(AND(C93&gt;='Amort. Sched.-WORST'!$I$8, C93&lt;= ($I$7+$I$8)), H92+F93, 0)</f>
        <v>232509.83363372288</v>
      </c>
      <c r="I93" s="24">
        <f>IF(AND(C93&gt;='Amort. Sched.-WORST'!$I$8, C93&lt;= ($I$7+$I$8)), E93/D93, " ")</f>
        <v>0.76663577660450943</v>
      </c>
      <c r="J93" s="25">
        <f>IF(AND(C93&gt;='Amort. Sched.-WORST'!$I$8, C93&lt;= ($I$7+$I$8)), F93/D93, " ")</f>
        <v>0.23336422339549057</v>
      </c>
      <c r="L93" s="20">
        <f t="shared" si="17"/>
        <v>82</v>
      </c>
      <c r="M93" s="5">
        <f>IF(AND(L93&gt;='Amort. Sched.-WORST'!$R$8, L93&lt;= ($R$7+$R$8)), PMT('Amort. Sched.-WORST'!$N$8/12, 'Amort. Sched.-WORST'!$R$7, 'Amort. Sched.-WORST'!$N$7), 0)</f>
        <v>0</v>
      </c>
      <c r="N93" s="5">
        <f>IF(AND(L93&gt;='Amort. Sched.-WORST'!$R$8, L93&lt;= ($R$7+$R$8)), (IPMT($N$8/12, (L93-$R$8), $R$7, $N$7)), 0)</f>
        <v>0</v>
      </c>
      <c r="O93" s="5">
        <f>IF(AND(L93&gt;='Amort. Sched.-WORST'!$R$8, L93&lt;= ($R$7+$R$8)), (PPMT($N$8/12, (L93-$R$8), $R$7, $N$7)), 0)</f>
        <v>0</v>
      </c>
      <c r="P93" s="5">
        <f>IF(CreditAmort1WORST[[#This Row],[Month]]=R$8,N$7,0)</f>
        <v>0</v>
      </c>
      <c r="Q93" s="13">
        <f>IF(AND(L93&gt;='Amort. Sched.-WORST'!$R$8, L93&lt;= ($R$7+$R$8)), Q92+O93, 0)</f>
        <v>0</v>
      </c>
      <c r="R93" s="6" t="str">
        <f>IF(AND(L93&gt;='Amort. Sched.-WORST'!$R$8, L93&lt;= ($R$7+$R$8)), N93/M93, " ")</f>
        <v xml:space="preserve"> </v>
      </c>
      <c r="S93" s="21" t="str">
        <f>IF(AND(L93&gt;='Amort. Sched.-WORST'!$R$8, L93&lt;= ($R$7+$R$8)), O93/M93, " ")</f>
        <v xml:space="preserve"> </v>
      </c>
      <c r="U93" s="20">
        <f t="shared" si="19"/>
        <v>82</v>
      </c>
      <c r="V93" s="5">
        <f>IF(AND(U93&gt;='Amort. Sched.-WORST'!$AA$8, U93&lt;= ($AA$7+$AA$8)), PMT('Amort. Sched.-WORST'!$W$8/12, 'Amort. Sched.-WORST'!$AA$7, 'Amort. Sched.-WORST'!$W$7), 0)</f>
        <v>0</v>
      </c>
      <c r="W93" s="5">
        <f>IF(AND(U93&gt;='Amort. Sched.-WORST'!$AA$8, U93&lt;= ($AA$7+$AA$8)), (IPMT($W$8/12, (U93-$AA$8), $AA$7, $W$7)), 0)</f>
        <v>0</v>
      </c>
      <c r="X93" s="5">
        <f>IF(AND(U93&gt;='Amort. Sched.-WORST'!$AA$8, U93&lt;= ($AA$7+$AA$8)), (PPMT($W$8/12, (U93-$AA$8), $AA$7, $W$7)), 0)</f>
        <v>0</v>
      </c>
      <c r="Y93" s="5">
        <f>IF(CreditAmort2WORST[[#This Row],[Month]]=AA$8,W$7,0)</f>
        <v>0</v>
      </c>
      <c r="Z93" s="13">
        <f>IF(AND(U93&gt;='Amort. Sched.-WORST'!$AA$8, U93&lt;= ($AA$7+$AA$8)), Z92+X93, 0)</f>
        <v>0</v>
      </c>
      <c r="AA93" s="6" t="str">
        <f>IF(AND(U93&gt;='Amort. Sched.-WORST'!$AA$8, U93&lt;= ($AA$7+$AA$8)), W93/V93, " ")</f>
        <v xml:space="preserve"> </v>
      </c>
      <c r="AB93" s="21" t="str">
        <f>IF(AND(U93&gt;='Amort. Sched.-WORST'!$AA$8, U93&lt;= ($AA$7+$AA$8)), X93/V93, " ")</f>
        <v xml:space="preserve"> </v>
      </c>
      <c r="AD93" s="20">
        <f t="shared" si="20"/>
        <v>82</v>
      </c>
      <c r="AE93" s="5">
        <f t="shared" si="21"/>
        <v>0</v>
      </c>
      <c r="AF93" s="5">
        <f t="shared" si="22"/>
        <v>0</v>
      </c>
      <c r="AG93" s="5">
        <f t="shared" si="23"/>
        <v>0</v>
      </c>
      <c r="AH93" s="5">
        <f>IF(CreditAmort3WORST[[#This Row],[Month]]=AJ$8,AF$7,0)</f>
        <v>0</v>
      </c>
      <c r="AI93" s="13">
        <f t="shared" si="24"/>
        <v>0</v>
      </c>
      <c r="AJ93" s="6" t="str">
        <f t="shared" si="25"/>
        <v xml:space="preserve"> </v>
      </c>
      <c r="AK93" s="21" t="str">
        <f t="shared" si="26"/>
        <v xml:space="preserve"> </v>
      </c>
      <c r="AM93" s="20">
        <f t="shared" si="27"/>
        <v>82</v>
      </c>
      <c r="AN93" s="5">
        <f t="shared" si="28"/>
        <v>0</v>
      </c>
      <c r="AO93" s="5">
        <f t="shared" si="29"/>
        <v>0</v>
      </c>
      <c r="AP93" s="5">
        <f t="shared" si="30"/>
        <v>0</v>
      </c>
      <c r="AQ93" s="5">
        <f>IF(CreditAmort4WORST[[#This Row],[Month]]=AS$8,AO$7,0)</f>
        <v>0</v>
      </c>
      <c r="AR93" s="13">
        <f t="shared" si="31"/>
        <v>0</v>
      </c>
      <c r="AS93" s="6" t="str">
        <f t="shared" si="32"/>
        <v xml:space="preserve"> </v>
      </c>
      <c r="AT93" s="21" t="str">
        <f t="shared" si="33"/>
        <v xml:space="preserve"> </v>
      </c>
    </row>
    <row r="94" spans="3:46">
      <c r="C94" s="22">
        <f t="shared" si="18"/>
        <v>83</v>
      </c>
      <c r="D94" s="23">
        <f>IF(AND(C94&gt;='Amort. Sched.-WORST'!$I$8, C94&lt;= ($I$7+$I$8)), PMT('Amort. Sched.-WORST'!$E$8/12, 'Amort. Sched.-WORST'!$I$7, 'Amort. Sched.-WORST'!$E$7), 0)</f>
        <v>-2026.0175758541329</v>
      </c>
      <c r="E94" s="5">
        <f>IF(AND(C94&gt;='Amort. Sched.-WORST'!$I$8, C94&lt;= ($I$7+$I$8)), (IPMT($E$8/12, (C94-$I$8), $I$7, $E$7)), 0)</f>
        <v>-1550.0655575581534</v>
      </c>
      <c r="F94" s="23">
        <f>IF(AND(C94&gt;='Amort. Sched.-WORST'!$I$8, C94&lt;= ($I$7+$I$8)), (PPMT($E$8/12, (C94-$I$8), $I$7, $E$7)), 0)</f>
        <v>-475.9520182959796</v>
      </c>
      <c r="G94" s="5">
        <f>IF(MortgageAmortWORST[[#This Row],[Month]]=I$8,E$7,0)</f>
        <v>0</v>
      </c>
      <c r="H94" s="13">
        <f>IF(AND(C94&gt;='Amort. Sched.-WORST'!$I$8, C94&lt;= ($I$7+$I$8)), H93+F94, 0)</f>
        <v>232033.88161542692</v>
      </c>
      <c r="I94" s="24">
        <f>IF(AND(C94&gt;='Amort. Sched.-WORST'!$I$8, C94&lt;= ($I$7+$I$8)), E94/D94, " ")</f>
        <v>0.76508001511520618</v>
      </c>
      <c r="J94" s="25">
        <f>IF(AND(C94&gt;='Amort. Sched.-WORST'!$I$8, C94&lt;= ($I$7+$I$8)), F94/D94, " ")</f>
        <v>0.23491998488479385</v>
      </c>
      <c r="L94" s="20">
        <f t="shared" si="17"/>
        <v>83</v>
      </c>
      <c r="M94" s="5">
        <f>IF(AND(L94&gt;='Amort. Sched.-WORST'!$R$8, L94&lt;= ($R$7+$R$8)), PMT('Amort. Sched.-WORST'!$N$8/12, 'Amort. Sched.-WORST'!$R$7, 'Amort. Sched.-WORST'!$N$7), 0)</f>
        <v>0</v>
      </c>
      <c r="N94" s="5">
        <f>IF(AND(L94&gt;='Amort. Sched.-WORST'!$R$8, L94&lt;= ($R$7+$R$8)), (IPMT($N$8/12, (L94-$R$8), $R$7, $N$7)), 0)</f>
        <v>0</v>
      </c>
      <c r="O94" s="5">
        <f>IF(AND(L94&gt;='Amort. Sched.-WORST'!$R$8, L94&lt;= ($R$7+$R$8)), (PPMT($N$8/12, (L94-$R$8), $R$7, $N$7)), 0)</f>
        <v>0</v>
      </c>
      <c r="P94" s="5">
        <f>IF(CreditAmort1WORST[[#This Row],[Month]]=R$8,N$7,0)</f>
        <v>0</v>
      </c>
      <c r="Q94" s="13">
        <f>IF(AND(L94&gt;='Amort. Sched.-WORST'!$R$8, L94&lt;= ($R$7+$R$8)), Q93+O94, 0)</f>
        <v>0</v>
      </c>
      <c r="R94" s="6" t="str">
        <f>IF(AND(L94&gt;='Amort. Sched.-WORST'!$R$8, L94&lt;= ($R$7+$R$8)), N94/M94, " ")</f>
        <v xml:space="preserve"> </v>
      </c>
      <c r="S94" s="21" t="str">
        <f>IF(AND(L94&gt;='Amort. Sched.-WORST'!$R$8, L94&lt;= ($R$7+$R$8)), O94/M94, " ")</f>
        <v xml:space="preserve"> </v>
      </c>
      <c r="U94" s="20">
        <f t="shared" si="19"/>
        <v>83</v>
      </c>
      <c r="V94" s="5">
        <f>IF(AND(U94&gt;='Amort. Sched.-WORST'!$AA$8, U94&lt;= ($AA$7+$AA$8)), PMT('Amort. Sched.-WORST'!$W$8/12, 'Amort. Sched.-WORST'!$AA$7, 'Amort. Sched.-WORST'!$W$7), 0)</f>
        <v>0</v>
      </c>
      <c r="W94" s="5">
        <f>IF(AND(U94&gt;='Amort. Sched.-WORST'!$AA$8, U94&lt;= ($AA$7+$AA$8)), (IPMT($W$8/12, (U94-$AA$8), $AA$7, $W$7)), 0)</f>
        <v>0</v>
      </c>
      <c r="X94" s="5">
        <f>IF(AND(U94&gt;='Amort. Sched.-WORST'!$AA$8, U94&lt;= ($AA$7+$AA$8)), (PPMT($W$8/12, (U94-$AA$8), $AA$7, $W$7)), 0)</f>
        <v>0</v>
      </c>
      <c r="Y94" s="5">
        <f>IF(CreditAmort2WORST[[#This Row],[Month]]=AA$8,W$7,0)</f>
        <v>0</v>
      </c>
      <c r="Z94" s="13">
        <f>IF(AND(U94&gt;='Amort. Sched.-WORST'!$AA$8, U94&lt;= ($AA$7+$AA$8)), Z93+X94, 0)</f>
        <v>0</v>
      </c>
      <c r="AA94" s="6" t="str">
        <f>IF(AND(U94&gt;='Amort. Sched.-WORST'!$AA$8, U94&lt;= ($AA$7+$AA$8)), W94/V94, " ")</f>
        <v xml:space="preserve"> </v>
      </c>
      <c r="AB94" s="21" t="str">
        <f>IF(AND(U94&gt;='Amort. Sched.-WORST'!$AA$8, U94&lt;= ($AA$7+$AA$8)), X94/V94, " ")</f>
        <v xml:space="preserve"> </v>
      </c>
      <c r="AD94" s="20">
        <f t="shared" si="20"/>
        <v>83</v>
      </c>
      <c r="AE94" s="5">
        <f t="shared" si="21"/>
        <v>0</v>
      </c>
      <c r="AF94" s="5">
        <f t="shared" si="22"/>
        <v>0</v>
      </c>
      <c r="AG94" s="5">
        <f t="shared" si="23"/>
        <v>0</v>
      </c>
      <c r="AH94" s="5">
        <f>IF(CreditAmort3WORST[[#This Row],[Month]]=AJ$8,AF$7,0)</f>
        <v>0</v>
      </c>
      <c r="AI94" s="13">
        <f t="shared" si="24"/>
        <v>0</v>
      </c>
      <c r="AJ94" s="6" t="str">
        <f t="shared" si="25"/>
        <v xml:space="preserve"> </v>
      </c>
      <c r="AK94" s="21" t="str">
        <f t="shared" si="26"/>
        <v xml:space="preserve"> </v>
      </c>
      <c r="AM94" s="20">
        <f t="shared" si="27"/>
        <v>83</v>
      </c>
      <c r="AN94" s="5">
        <f t="shared" si="28"/>
        <v>0</v>
      </c>
      <c r="AO94" s="5">
        <f t="shared" si="29"/>
        <v>0</v>
      </c>
      <c r="AP94" s="5">
        <f t="shared" si="30"/>
        <v>0</v>
      </c>
      <c r="AQ94" s="5">
        <f>IF(CreditAmort4WORST[[#This Row],[Month]]=AS$8,AO$7,0)</f>
        <v>0</v>
      </c>
      <c r="AR94" s="13">
        <f t="shared" si="31"/>
        <v>0</v>
      </c>
      <c r="AS94" s="6" t="str">
        <f t="shared" si="32"/>
        <v xml:space="preserve"> </v>
      </c>
      <c r="AT94" s="21" t="str">
        <f t="shared" si="33"/>
        <v xml:space="preserve"> </v>
      </c>
    </row>
    <row r="95" spans="3:46">
      <c r="C95" s="22">
        <f t="shared" si="18"/>
        <v>84</v>
      </c>
      <c r="D95" s="23">
        <f>IF(AND(C95&gt;='Amort. Sched.-WORST'!$I$8, C95&lt;= ($I$7+$I$8)), PMT('Amort. Sched.-WORST'!$E$8/12, 'Amort. Sched.-WORST'!$I$7, 'Amort. Sched.-WORST'!$E$7), 0)</f>
        <v>-2026.0175758541329</v>
      </c>
      <c r="E95" s="5">
        <f>IF(AND(C95&gt;='Amort. Sched.-WORST'!$I$8, C95&lt;= ($I$7+$I$8)), (IPMT($E$8/12, (C95-$I$8), $I$7, $E$7)), 0)</f>
        <v>-1546.8925441028471</v>
      </c>
      <c r="F95" s="23">
        <f>IF(AND(C95&gt;='Amort. Sched.-WORST'!$I$8, C95&lt;= ($I$7+$I$8)), (PPMT($E$8/12, (C95-$I$8), $I$7, $E$7)), 0)</f>
        <v>-479.12503175128614</v>
      </c>
      <c r="G95" s="5">
        <f>IF(MortgageAmortWORST[[#This Row],[Month]]=I$8,E$7,0)</f>
        <v>0</v>
      </c>
      <c r="H95" s="13">
        <f>IF(AND(C95&gt;='Amort. Sched.-WORST'!$I$8, C95&lt;= ($I$7+$I$8)), H94+F95, 0)</f>
        <v>231554.75658367563</v>
      </c>
      <c r="I95" s="24">
        <f>IF(AND(C95&gt;='Amort. Sched.-WORST'!$I$8, C95&lt;= ($I$7+$I$8)), E95/D95, " ")</f>
        <v>0.76351388188264102</v>
      </c>
      <c r="J95" s="25">
        <f>IF(AND(C95&gt;='Amort. Sched.-WORST'!$I$8, C95&lt;= ($I$7+$I$8)), F95/D95, " ")</f>
        <v>0.23648611811735915</v>
      </c>
      <c r="L95" s="20">
        <f t="shared" si="17"/>
        <v>84</v>
      </c>
      <c r="M95" s="5">
        <f>IF(AND(L95&gt;='Amort. Sched.-WORST'!$R$8, L95&lt;= ($R$7+$R$8)), PMT('Amort. Sched.-WORST'!$N$8/12, 'Amort. Sched.-WORST'!$R$7, 'Amort. Sched.-WORST'!$N$7), 0)</f>
        <v>0</v>
      </c>
      <c r="N95" s="5">
        <f>IF(AND(L95&gt;='Amort. Sched.-WORST'!$R$8, L95&lt;= ($R$7+$R$8)), (IPMT($N$8/12, (L95-$R$8), $R$7, $N$7)), 0)</f>
        <v>0</v>
      </c>
      <c r="O95" s="5">
        <f>IF(AND(L95&gt;='Amort. Sched.-WORST'!$R$8, L95&lt;= ($R$7+$R$8)), (PPMT($N$8/12, (L95-$R$8), $R$7, $N$7)), 0)</f>
        <v>0</v>
      </c>
      <c r="P95" s="5">
        <f>IF(CreditAmort1WORST[[#This Row],[Month]]=R$8,N$7,0)</f>
        <v>0</v>
      </c>
      <c r="Q95" s="13">
        <f>IF(AND(L95&gt;='Amort. Sched.-WORST'!$R$8, L95&lt;= ($R$7+$R$8)), Q94+O95, 0)</f>
        <v>0</v>
      </c>
      <c r="R95" s="6" t="str">
        <f>IF(AND(L95&gt;='Amort. Sched.-WORST'!$R$8, L95&lt;= ($R$7+$R$8)), N95/M95, " ")</f>
        <v xml:space="preserve"> </v>
      </c>
      <c r="S95" s="21" t="str">
        <f>IF(AND(L95&gt;='Amort. Sched.-WORST'!$R$8, L95&lt;= ($R$7+$R$8)), O95/M95, " ")</f>
        <v xml:space="preserve"> </v>
      </c>
      <c r="U95" s="20">
        <f t="shared" si="19"/>
        <v>84</v>
      </c>
      <c r="V95" s="5">
        <f>IF(AND(U95&gt;='Amort. Sched.-WORST'!$AA$8, U95&lt;= ($AA$7+$AA$8)), PMT('Amort. Sched.-WORST'!$W$8/12, 'Amort. Sched.-WORST'!$AA$7, 'Amort. Sched.-WORST'!$W$7), 0)</f>
        <v>0</v>
      </c>
      <c r="W95" s="5">
        <f>IF(AND(U95&gt;='Amort. Sched.-WORST'!$AA$8, U95&lt;= ($AA$7+$AA$8)), (IPMT($W$8/12, (U95-$AA$8), $AA$7, $W$7)), 0)</f>
        <v>0</v>
      </c>
      <c r="X95" s="5">
        <f>IF(AND(U95&gt;='Amort. Sched.-WORST'!$AA$8, U95&lt;= ($AA$7+$AA$8)), (PPMT($W$8/12, (U95-$AA$8), $AA$7, $W$7)), 0)</f>
        <v>0</v>
      </c>
      <c r="Y95" s="5">
        <f>IF(CreditAmort2WORST[[#This Row],[Month]]=AA$8,W$7,0)</f>
        <v>0</v>
      </c>
      <c r="Z95" s="13">
        <f>IF(AND(U95&gt;='Amort. Sched.-WORST'!$AA$8, U95&lt;= ($AA$7+$AA$8)), Z94+X95, 0)</f>
        <v>0</v>
      </c>
      <c r="AA95" s="6" t="str">
        <f>IF(AND(U95&gt;='Amort. Sched.-WORST'!$AA$8, U95&lt;= ($AA$7+$AA$8)), W95/V95, " ")</f>
        <v xml:space="preserve"> </v>
      </c>
      <c r="AB95" s="21" t="str">
        <f>IF(AND(U95&gt;='Amort. Sched.-WORST'!$AA$8, U95&lt;= ($AA$7+$AA$8)), X95/V95, " ")</f>
        <v xml:space="preserve"> </v>
      </c>
      <c r="AD95" s="20">
        <f t="shared" si="20"/>
        <v>84</v>
      </c>
      <c r="AE95" s="5">
        <f t="shared" si="21"/>
        <v>0</v>
      </c>
      <c r="AF95" s="5">
        <f t="shared" si="22"/>
        <v>0</v>
      </c>
      <c r="AG95" s="5">
        <f t="shared" si="23"/>
        <v>0</v>
      </c>
      <c r="AH95" s="5">
        <f>IF(CreditAmort3WORST[[#This Row],[Month]]=AJ$8,AF$7,0)</f>
        <v>0</v>
      </c>
      <c r="AI95" s="13">
        <f t="shared" si="24"/>
        <v>0</v>
      </c>
      <c r="AJ95" s="6" t="str">
        <f t="shared" si="25"/>
        <v xml:space="preserve"> </v>
      </c>
      <c r="AK95" s="21" t="str">
        <f t="shared" si="26"/>
        <v xml:space="preserve"> </v>
      </c>
      <c r="AM95" s="20">
        <f t="shared" si="27"/>
        <v>84</v>
      </c>
      <c r="AN95" s="5">
        <f t="shared" si="28"/>
        <v>0</v>
      </c>
      <c r="AO95" s="5">
        <f t="shared" si="29"/>
        <v>0</v>
      </c>
      <c r="AP95" s="5">
        <f t="shared" si="30"/>
        <v>0</v>
      </c>
      <c r="AQ95" s="5">
        <f>IF(CreditAmort4WORST[[#This Row],[Month]]=AS$8,AO$7,0)</f>
        <v>0</v>
      </c>
      <c r="AR95" s="13">
        <f t="shared" si="31"/>
        <v>0</v>
      </c>
      <c r="AS95" s="6" t="str">
        <f t="shared" si="32"/>
        <v xml:space="preserve"> </v>
      </c>
      <c r="AT95" s="21" t="str">
        <f t="shared" si="33"/>
        <v xml:space="preserve"> </v>
      </c>
    </row>
    <row r="96" spans="3:46">
      <c r="C96" s="22">
        <f t="shared" si="18"/>
        <v>85</v>
      </c>
      <c r="D96" s="23">
        <f>IF(AND(C96&gt;='Amort. Sched.-WORST'!$I$8, C96&lt;= ($I$7+$I$8)), PMT('Amort. Sched.-WORST'!$E$8/12, 'Amort. Sched.-WORST'!$I$7, 'Amort. Sched.-WORST'!$E$7), 0)</f>
        <v>-2026.0175758541329</v>
      </c>
      <c r="E96" s="5">
        <f>IF(AND(C96&gt;='Amort. Sched.-WORST'!$I$8, C96&lt;= ($I$7+$I$8)), (IPMT($E$8/12, (C96-$I$8), $I$7, $E$7)), 0)</f>
        <v>-1543.6983772245051</v>
      </c>
      <c r="F96" s="23">
        <f>IF(AND(C96&gt;='Amort. Sched.-WORST'!$I$8, C96&lt;= ($I$7+$I$8)), (PPMT($E$8/12, (C96-$I$8), $I$7, $E$7)), 0)</f>
        <v>-482.31919862962798</v>
      </c>
      <c r="G96" s="5">
        <f>IF(MortgageAmortWORST[[#This Row],[Month]]=I$8,E$7,0)</f>
        <v>0</v>
      </c>
      <c r="H96" s="13">
        <f>IF(AND(C96&gt;='Amort. Sched.-WORST'!$I$8, C96&lt;= ($I$7+$I$8)), H95+F96, 0)</f>
        <v>231072.43738504601</v>
      </c>
      <c r="I96" s="24">
        <f>IF(AND(C96&gt;='Amort. Sched.-WORST'!$I$8, C96&lt;= ($I$7+$I$8)), E96/D96, " ")</f>
        <v>0.76193730776185853</v>
      </c>
      <c r="J96" s="25">
        <f>IF(AND(C96&gt;='Amort. Sched.-WORST'!$I$8, C96&lt;= ($I$7+$I$8)), F96/D96, " ")</f>
        <v>0.23806269223814153</v>
      </c>
      <c r="L96" s="20">
        <f t="shared" si="17"/>
        <v>85</v>
      </c>
      <c r="M96" s="5">
        <f>IF(AND(L96&gt;='Amort. Sched.-WORST'!$R$8, L96&lt;= ($R$7+$R$8)), PMT('Amort. Sched.-WORST'!$N$8/12, 'Amort. Sched.-WORST'!$R$7, 'Amort. Sched.-WORST'!$N$7), 0)</f>
        <v>0</v>
      </c>
      <c r="N96" s="5">
        <f>IF(AND(L96&gt;='Amort. Sched.-WORST'!$R$8, L96&lt;= ($R$7+$R$8)), (IPMT($N$8/12, (L96-$R$8), $R$7, $N$7)), 0)</f>
        <v>0</v>
      </c>
      <c r="O96" s="5">
        <f>IF(AND(L96&gt;='Amort. Sched.-WORST'!$R$8, L96&lt;= ($R$7+$R$8)), (PPMT($N$8/12, (L96-$R$8), $R$7, $N$7)), 0)</f>
        <v>0</v>
      </c>
      <c r="P96" s="5">
        <f>IF(CreditAmort1WORST[[#This Row],[Month]]=R$8,N$7,0)</f>
        <v>0</v>
      </c>
      <c r="Q96" s="13">
        <f>IF(AND(L96&gt;='Amort. Sched.-WORST'!$R$8, L96&lt;= ($R$7+$R$8)), Q95+O96, 0)</f>
        <v>0</v>
      </c>
      <c r="R96" s="6" t="str">
        <f>IF(AND(L96&gt;='Amort. Sched.-WORST'!$R$8, L96&lt;= ($R$7+$R$8)), N96/M96, " ")</f>
        <v xml:space="preserve"> </v>
      </c>
      <c r="S96" s="21" t="str">
        <f>IF(AND(L96&gt;='Amort. Sched.-WORST'!$R$8, L96&lt;= ($R$7+$R$8)), O96/M96, " ")</f>
        <v xml:space="preserve"> </v>
      </c>
      <c r="U96" s="20">
        <f t="shared" si="19"/>
        <v>85</v>
      </c>
      <c r="V96" s="5">
        <f>IF(AND(U96&gt;='Amort. Sched.-WORST'!$AA$8, U96&lt;= ($AA$7+$AA$8)), PMT('Amort. Sched.-WORST'!$W$8/12, 'Amort. Sched.-WORST'!$AA$7, 'Amort. Sched.-WORST'!$W$7), 0)</f>
        <v>0</v>
      </c>
      <c r="W96" s="5">
        <f>IF(AND(U96&gt;='Amort. Sched.-WORST'!$AA$8, U96&lt;= ($AA$7+$AA$8)), (IPMT($W$8/12, (U96-$AA$8), $AA$7, $W$7)), 0)</f>
        <v>0</v>
      </c>
      <c r="X96" s="5">
        <f>IF(AND(U96&gt;='Amort. Sched.-WORST'!$AA$8, U96&lt;= ($AA$7+$AA$8)), (PPMT($W$8/12, (U96-$AA$8), $AA$7, $W$7)), 0)</f>
        <v>0</v>
      </c>
      <c r="Y96" s="5">
        <f>IF(CreditAmort2WORST[[#This Row],[Month]]=AA$8,W$7,0)</f>
        <v>0</v>
      </c>
      <c r="Z96" s="13">
        <f>IF(AND(U96&gt;='Amort. Sched.-WORST'!$AA$8, U96&lt;= ($AA$7+$AA$8)), Z95+X96, 0)</f>
        <v>0</v>
      </c>
      <c r="AA96" s="6" t="str">
        <f>IF(AND(U96&gt;='Amort. Sched.-WORST'!$AA$8, U96&lt;= ($AA$7+$AA$8)), W96/V96, " ")</f>
        <v xml:space="preserve"> </v>
      </c>
      <c r="AB96" s="21" t="str">
        <f>IF(AND(U96&gt;='Amort. Sched.-WORST'!$AA$8, U96&lt;= ($AA$7+$AA$8)), X96/V96, " ")</f>
        <v xml:space="preserve"> </v>
      </c>
      <c r="AD96" s="20">
        <f t="shared" si="20"/>
        <v>85</v>
      </c>
      <c r="AE96" s="5">
        <f t="shared" si="21"/>
        <v>0</v>
      </c>
      <c r="AF96" s="5">
        <f t="shared" si="22"/>
        <v>0</v>
      </c>
      <c r="AG96" s="5">
        <f t="shared" si="23"/>
        <v>0</v>
      </c>
      <c r="AH96" s="5">
        <f>IF(CreditAmort3WORST[[#This Row],[Month]]=AJ$8,AF$7,0)</f>
        <v>0</v>
      </c>
      <c r="AI96" s="13">
        <f t="shared" si="24"/>
        <v>0</v>
      </c>
      <c r="AJ96" s="6" t="str">
        <f t="shared" si="25"/>
        <v xml:space="preserve"> </v>
      </c>
      <c r="AK96" s="21" t="str">
        <f t="shared" si="26"/>
        <v xml:space="preserve"> </v>
      </c>
      <c r="AM96" s="20">
        <f t="shared" si="27"/>
        <v>85</v>
      </c>
      <c r="AN96" s="5">
        <f t="shared" si="28"/>
        <v>0</v>
      </c>
      <c r="AO96" s="5">
        <f t="shared" si="29"/>
        <v>0</v>
      </c>
      <c r="AP96" s="5">
        <f t="shared" si="30"/>
        <v>0</v>
      </c>
      <c r="AQ96" s="5">
        <f>IF(CreditAmort4WORST[[#This Row],[Month]]=AS$8,AO$7,0)</f>
        <v>0</v>
      </c>
      <c r="AR96" s="13">
        <f t="shared" si="31"/>
        <v>0</v>
      </c>
      <c r="AS96" s="6" t="str">
        <f t="shared" si="32"/>
        <v xml:space="preserve"> </v>
      </c>
      <c r="AT96" s="21" t="str">
        <f t="shared" si="33"/>
        <v xml:space="preserve"> </v>
      </c>
    </row>
    <row r="97" spans="3:46">
      <c r="C97" s="22">
        <f t="shared" si="18"/>
        <v>86</v>
      </c>
      <c r="D97" s="23">
        <f>IF(AND(C97&gt;='Amort. Sched.-WORST'!$I$8, C97&lt;= ($I$7+$I$8)), PMT('Amort. Sched.-WORST'!$E$8/12, 'Amort. Sched.-WORST'!$I$7, 'Amort. Sched.-WORST'!$E$7), 0)</f>
        <v>-2026.0175758541329</v>
      </c>
      <c r="E97" s="5">
        <f>IF(AND(C97&gt;='Amort. Sched.-WORST'!$I$8, C97&lt;= ($I$7+$I$8)), (IPMT($E$8/12, (C97-$I$8), $I$7, $E$7)), 0)</f>
        <v>-1540.4829159003077</v>
      </c>
      <c r="F97" s="23">
        <f>IF(AND(C97&gt;='Amort. Sched.-WORST'!$I$8, C97&lt;= ($I$7+$I$8)), (PPMT($E$8/12, (C97-$I$8), $I$7, $E$7)), 0)</f>
        <v>-485.5346599538255</v>
      </c>
      <c r="G97" s="5">
        <f>IF(MortgageAmortWORST[[#This Row],[Month]]=I$8,E$7,0)</f>
        <v>0</v>
      </c>
      <c r="H97" s="13">
        <f>IF(AND(C97&gt;='Amort. Sched.-WORST'!$I$8, C97&lt;= ($I$7+$I$8)), H96+F97, 0)</f>
        <v>230586.90272509219</v>
      </c>
      <c r="I97" s="24">
        <f>IF(AND(C97&gt;='Amort. Sched.-WORST'!$I$8, C97&lt;= ($I$7+$I$8)), E97/D97, " ")</f>
        <v>0.76035022314693768</v>
      </c>
      <c r="J97" s="25">
        <f>IF(AND(C97&gt;='Amort. Sched.-WORST'!$I$8, C97&lt;= ($I$7+$I$8)), F97/D97, " ")</f>
        <v>0.23964977685306246</v>
      </c>
      <c r="L97" s="20">
        <f t="shared" si="17"/>
        <v>86</v>
      </c>
      <c r="M97" s="5">
        <f>IF(AND(L97&gt;='Amort. Sched.-WORST'!$R$8, L97&lt;= ($R$7+$R$8)), PMT('Amort. Sched.-WORST'!$N$8/12, 'Amort. Sched.-WORST'!$R$7, 'Amort. Sched.-WORST'!$N$7), 0)</f>
        <v>0</v>
      </c>
      <c r="N97" s="5">
        <f>IF(AND(L97&gt;='Amort. Sched.-WORST'!$R$8, L97&lt;= ($R$7+$R$8)), (IPMT($N$8/12, (L97-$R$8), $R$7, $N$7)), 0)</f>
        <v>0</v>
      </c>
      <c r="O97" s="5">
        <f>IF(AND(L97&gt;='Amort. Sched.-WORST'!$R$8, L97&lt;= ($R$7+$R$8)), (PPMT($N$8/12, (L97-$R$8), $R$7, $N$7)), 0)</f>
        <v>0</v>
      </c>
      <c r="P97" s="5">
        <f>IF(CreditAmort1WORST[[#This Row],[Month]]=R$8,N$7,0)</f>
        <v>0</v>
      </c>
      <c r="Q97" s="13">
        <f>IF(AND(L97&gt;='Amort. Sched.-WORST'!$R$8, L97&lt;= ($R$7+$R$8)), Q96+O97, 0)</f>
        <v>0</v>
      </c>
      <c r="R97" s="6" t="str">
        <f>IF(AND(L97&gt;='Amort. Sched.-WORST'!$R$8, L97&lt;= ($R$7+$R$8)), N97/M97, " ")</f>
        <v xml:space="preserve"> </v>
      </c>
      <c r="S97" s="21" t="str">
        <f>IF(AND(L97&gt;='Amort. Sched.-WORST'!$R$8, L97&lt;= ($R$7+$R$8)), O97/M97, " ")</f>
        <v xml:space="preserve"> </v>
      </c>
      <c r="U97" s="20">
        <f t="shared" si="19"/>
        <v>86</v>
      </c>
      <c r="V97" s="5">
        <f>IF(AND(U97&gt;='Amort. Sched.-WORST'!$AA$8, U97&lt;= ($AA$7+$AA$8)), PMT('Amort. Sched.-WORST'!$W$8/12, 'Amort. Sched.-WORST'!$AA$7, 'Amort. Sched.-WORST'!$W$7), 0)</f>
        <v>0</v>
      </c>
      <c r="W97" s="5">
        <f>IF(AND(U97&gt;='Amort. Sched.-WORST'!$AA$8, U97&lt;= ($AA$7+$AA$8)), (IPMT($W$8/12, (U97-$AA$8), $AA$7, $W$7)), 0)</f>
        <v>0</v>
      </c>
      <c r="X97" s="5">
        <f>IF(AND(U97&gt;='Amort. Sched.-WORST'!$AA$8, U97&lt;= ($AA$7+$AA$8)), (PPMT($W$8/12, (U97-$AA$8), $AA$7, $W$7)), 0)</f>
        <v>0</v>
      </c>
      <c r="Y97" s="5">
        <f>IF(CreditAmort2WORST[[#This Row],[Month]]=AA$8,W$7,0)</f>
        <v>0</v>
      </c>
      <c r="Z97" s="13">
        <f>IF(AND(U97&gt;='Amort. Sched.-WORST'!$AA$8, U97&lt;= ($AA$7+$AA$8)), Z96+X97, 0)</f>
        <v>0</v>
      </c>
      <c r="AA97" s="6" t="str">
        <f>IF(AND(U97&gt;='Amort. Sched.-WORST'!$AA$8, U97&lt;= ($AA$7+$AA$8)), W97/V97, " ")</f>
        <v xml:space="preserve"> </v>
      </c>
      <c r="AB97" s="21" t="str">
        <f>IF(AND(U97&gt;='Amort. Sched.-WORST'!$AA$8, U97&lt;= ($AA$7+$AA$8)), X97/V97, " ")</f>
        <v xml:space="preserve"> </v>
      </c>
      <c r="AD97" s="20">
        <f t="shared" si="20"/>
        <v>86</v>
      </c>
      <c r="AE97" s="5">
        <f t="shared" si="21"/>
        <v>0</v>
      </c>
      <c r="AF97" s="5">
        <f t="shared" si="22"/>
        <v>0</v>
      </c>
      <c r="AG97" s="5">
        <f t="shared" si="23"/>
        <v>0</v>
      </c>
      <c r="AH97" s="5">
        <f>IF(CreditAmort3WORST[[#This Row],[Month]]=AJ$8,AF$7,0)</f>
        <v>0</v>
      </c>
      <c r="AI97" s="13">
        <f t="shared" si="24"/>
        <v>0</v>
      </c>
      <c r="AJ97" s="6" t="str">
        <f t="shared" si="25"/>
        <v xml:space="preserve"> </v>
      </c>
      <c r="AK97" s="21" t="str">
        <f t="shared" si="26"/>
        <v xml:space="preserve"> </v>
      </c>
      <c r="AM97" s="20">
        <f t="shared" si="27"/>
        <v>86</v>
      </c>
      <c r="AN97" s="5">
        <f t="shared" si="28"/>
        <v>0</v>
      </c>
      <c r="AO97" s="5">
        <f t="shared" si="29"/>
        <v>0</v>
      </c>
      <c r="AP97" s="5">
        <f t="shared" si="30"/>
        <v>0</v>
      </c>
      <c r="AQ97" s="5">
        <f>IF(CreditAmort4WORST[[#This Row],[Month]]=AS$8,AO$7,0)</f>
        <v>0</v>
      </c>
      <c r="AR97" s="13">
        <f t="shared" si="31"/>
        <v>0</v>
      </c>
      <c r="AS97" s="6" t="str">
        <f t="shared" si="32"/>
        <v xml:space="preserve"> </v>
      </c>
      <c r="AT97" s="21" t="str">
        <f t="shared" si="33"/>
        <v xml:space="preserve"> </v>
      </c>
    </row>
    <row r="98" spans="3:46">
      <c r="C98" s="22">
        <f t="shared" si="18"/>
        <v>87</v>
      </c>
      <c r="D98" s="23">
        <f>IF(AND(C98&gt;='Amort. Sched.-WORST'!$I$8, C98&lt;= ($I$7+$I$8)), PMT('Amort. Sched.-WORST'!$E$8/12, 'Amort. Sched.-WORST'!$I$7, 'Amort. Sched.-WORST'!$E$7), 0)</f>
        <v>-2026.0175758541329</v>
      </c>
      <c r="E98" s="5">
        <f>IF(AND(C98&gt;='Amort. Sched.-WORST'!$I$8, C98&lt;= ($I$7+$I$8)), (IPMT($E$8/12, (C98-$I$8), $I$7, $E$7)), 0)</f>
        <v>-1537.246018167282</v>
      </c>
      <c r="F98" s="23">
        <f>IF(AND(C98&gt;='Amort. Sched.-WORST'!$I$8, C98&lt;= ($I$7+$I$8)), (PPMT($E$8/12, (C98-$I$8), $I$7, $E$7)), 0)</f>
        <v>-488.77155768685105</v>
      </c>
      <c r="G98" s="5">
        <f>IF(MortgageAmortWORST[[#This Row],[Month]]=I$8,E$7,0)</f>
        <v>0</v>
      </c>
      <c r="H98" s="13">
        <f>IF(AND(C98&gt;='Amort. Sched.-WORST'!$I$8, C98&lt;= ($I$7+$I$8)), H97+F98, 0)</f>
        <v>230098.13116740534</v>
      </c>
      <c r="I98" s="24">
        <f>IF(AND(C98&gt;='Amort. Sched.-WORST'!$I$8, C98&lt;= ($I$7+$I$8)), E98/D98, " ")</f>
        <v>0.75875255796791718</v>
      </c>
      <c r="J98" s="25">
        <f>IF(AND(C98&gt;='Amort. Sched.-WORST'!$I$8, C98&lt;= ($I$7+$I$8)), F98/D98, " ")</f>
        <v>0.2412474420320829</v>
      </c>
      <c r="L98" s="20">
        <f t="shared" si="17"/>
        <v>87</v>
      </c>
      <c r="M98" s="5">
        <f>IF(AND(L98&gt;='Amort. Sched.-WORST'!$R$8, L98&lt;= ($R$7+$R$8)), PMT('Amort. Sched.-WORST'!$N$8/12, 'Amort. Sched.-WORST'!$R$7, 'Amort. Sched.-WORST'!$N$7), 0)</f>
        <v>0</v>
      </c>
      <c r="N98" s="5">
        <f>IF(AND(L98&gt;='Amort. Sched.-WORST'!$R$8, L98&lt;= ($R$7+$R$8)), (IPMT($N$8/12, (L98-$R$8), $R$7, $N$7)), 0)</f>
        <v>0</v>
      </c>
      <c r="O98" s="5">
        <f>IF(AND(L98&gt;='Amort. Sched.-WORST'!$R$8, L98&lt;= ($R$7+$R$8)), (PPMT($N$8/12, (L98-$R$8), $R$7, $N$7)), 0)</f>
        <v>0</v>
      </c>
      <c r="P98" s="5">
        <f>IF(CreditAmort1WORST[[#This Row],[Month]]=R$8,N$7,0)</f>
        <v>0</v>
      </c>
      <c r="Q98" s="13">
        <f>IF(AND(L98&gt;='Amort. Sched.-WORST'!$R$8, L98&lt;= ($R$7+$R$8)), Q97+O98, 0)</f>
        <v>0</v>
      </c>
      <c r="R98" s="6" t="str">
        <f>IF(AND(L98&gt;='Amort. Sched.-WORST'!$R$8, L98&lt;= ($R$7+$R$8)), N98/M98, " ")</f>
        <v xml:space="preserve"> </v>
      </c>
      <c r="S98" s="21" t="str">
        <f>IF(AND(L98&gt;='Amort. Sched.-WORST'!$R$8, L98&lt;= ($R$7+$R$8)), O98/M98, " ")</f>
        <v xml:space="preserve"> </v>
      </c>
      <c r="U98" s="20">
        <f t="shared" si="19"/>
        <v>87</v>
      </c>
      <c r="V98" s="5">
        <f>IF(AND(U98&gt;='Amort. Sched.-WORST'!$AA$8, U98&lt;= ($AA$7+$AA$8)), PMT('Amort. Sched.-WORST'!$W$8/12, 'Amort. Sched.-WORST'!$AA$7, 'Amort. Sched.-WORST'!$W$7), 0)</f>
        <v>0</v>
      </c>
      <c r="W98" s="5">
        <f>IF(AND(U98&gt;='Amort. Sched.-WORST'!$AA$8, U98&lt;= ($AA$7+$AA$8)), (IPMT($W$8/12, (U98-$AA$8), $AA$7, $W$7)), 0)</f>
        <v>0</v>
      </c>
      <c r="X98" s="5">
        <f>IF(AND(U98&gt;='Amort. Sched.-WORST'!$AA$8, U98&lt;= ($AA$7+$AA$8)), (PPMT($W$8/12, (U98-$AA$8), $AA$7, $W$7)), 0)</f>
        <v>0</v>
      </c>
      <c r="Y98" s="5">
        <f>IF(CreditAmort2WORST[[#This Row],[Month]]=AA$8,W$7,0)</f>
        <v>0</v>
      </c>
      <c r="Z98" s="13">
        <f>IF(AND(U98&gt;='Amort. Sched.-WORST'!$AA$8, U98&lt;= ($AA$7+$AA$8)), Z97+X98, 0)</f>
        <v>0</v>
      </c>
      <c r="AA98" s="6" t="str">
        <f>IF(AND(U98&gt;='Amort. Sched.-WORST'!$AA$8, U98&lt;= ($AA$7+$AA$8)), W98/V98, " ")</f>
        <v xml:space="preserve"> </v>
      </c>
      <c r="AB98" s="21" t="str">
        <f>IF(AND(U98&gt;='Amort. Sched.-WORST'!$AA$8, U98&lt;= ($AA$7+$AA$8)), X98/V98, " ")</f>
        <v xml:space="preserve"> </v>
      </c>
      <c r="AD98" s="20">
        <f t="shared" si="20"/>
        <v>87</v>
      </c>
      <c r="AE98" s="5">
        <f t="shared" si="21"/>
        <v>0</v>
      </c>
      <c r="AF98" s="5">
        <f t="shared" si="22"/>
        <v>0</v>
      </c>
      <c r="AG98" s="5">
        <f t="shared" si="23"/>
        <v>0</v>
      </c>
      <c r="AH98" s="5">
        <f>IF(CreditAmort3WORST[[#This Row],[Month]]=AJ$8,AF$7,0)</f>
        <v>0</v>
      </c>
      <c r="AI98" s="13">
        <f t="shared" si="24"/>
        <v>0</v>
      </c>
      <c r="AJ98" s="6" t="str">
        <f t="shared" si="25"/>
        <v xml:space="preserve"> </v>
      </c>
      <c r="AK98" s="21" t="str">
        <f t="shared" si="26"/>
        <v xml:space="preserve"> </v>
      </c>
      <c r="AM98" s="20">
        <f t="shared" si="27"/>
        <v>87</v>
      </c>
      <c r="AN98" s="5">
        <f t="shared" si="28"/>
        <v>0</v>
      </c>
      <c r="AO98" s="5">
        <f t="shared" si="29"/>
        <v>0</v>
      </c>
      <c r="AP98" s="5">
        <f t="shared" si="30"/>
        <v>0</v>
      </c>
      <c r="AQ98" s="5">
        <f>IF(CreditAmort4WORST[[#This Row],[Month]]=AS$8,AO$7,0)</f>
        <v>0</v>
      </c>
      <c r="AR98" s="13">
        <f t="shared" si="31"/>
        <v>0</v>
      </c>
      <c r="AS98" s="6" t="str">
        <f t="shared" si="32"/>
        <v xml:space="preserve"> </v>
      </c>
      <c r="AT98" s="21" t="str">
        <f t="shared" si="33"/>
        <v xml:space="preserve"> </v>
      </c>
    </row>
    <row r="99" spans="3:46">
      <c r="C99" s="22">
        <f t="shared" si="18"/>
        <v>88</v>
      </c>
      <c r="D99" s="23">
        <f>IF(AND(C99&gt;='Amort. Sched.-WORST'!$I$8, C99&lt;= ($I$7+$I$8)), PMT('Amort. Sched.-WORST'!$E$8/12, 'Amort. Sched.-WORST'!$I$7, 'Amort. Sched.-WORST'!$E$7), 0)</f>
        <v>-2026.0175758541329</v>
      </c>
      <c r="E99" s="5">
        <f>IF(AND(C99&gt;='Amort. Sched.-WORST'!$I$8, C99&lt;= ($I$7+$I$8)), (IPMT($E$8/12, (C99-$I$8), $I$7, $E$7)), 0)</f>
        <v>-1533.9875411160363</v>
      </c>
      <c r="F99" s="23">
        <f>IF(AND(C99&gt;='Amort. Sched.-WORST'!$I$8, C99&lt;= ($I$7+$I$8)), (PPMT($E$8/12, (C99-$I$8), $I$7, $E$7)), 0)</f>
        <v>-492.03003473809673</v>
      </c>
      <c r="G99" s="5">
        <f>IF(MortgageAmortWORST[[#This Row],[Month]]=I$8,E$7,0)</f>
        <v>0</v>
      </c>
      <c r="H99" s="13">
        <f>IF(AND(C99&gt;='Amort. Sched.-WORST'!$I$8, C99&lt;= ($I$7+$I$8)), H98+F99, 0)</f>
        <v>229606.10113266725</v>
      </c>
      <c r="I99" s="24">
        <f>IF(AND(C99&gt;='Amort. Sched.-WORST'!$I$8, C99&lt;= ($I$7+$I$8)), E99/D99, " ")</f>
        <v>0.75714424168770322</v>
      </c>
      <c r="J99" s="25">
        <f>IF(AND(C99&gt;='Amort. Sched.-WORST'!$I$8, C99&lt;= ($I$7+$I$8)), F99/D99, " ")</f>
        <v>0.24285575831229678</v>
      </c>
      <c r="L99" s="20">
        <f t="shared" si="17"/>
        <v>88</v>
      </c>
      <c r="M99" s="5">
        <f>IF(AND(L99&gt;='Amort. Sched.-WORST'!$R$8, L99&lt;= ($R$7+$R$8)), PMT('Amort. Sched.-WORST'!$N$8/12, 'Amort. Sched.-WORST'!$R$7, 'Amort. Sched.-WORST'!$N$7), 0)</f>
        <v>0</v>
      </c>
      <c r="N99" s="5">
        <f>IF(AND(L99&gt;='Amort. Sched.-WORST'!$R$8, L99&lt;= ($R$7+$R$8)), (IPMT($N$8/12, (L99-$R$8), $R$7, $N$7)), 0)</f>
        <v>0</v>
      </c>
      <c r="O99" s="5">
        <f>IF(AND(L99&gt;='Amort. Sched.-WORST'!$R$8, L99&lt;= ($R$7+$R$8)), (PPMT($N$8/12, (L99-$R$8), $R$7, $N$7)), 0)</f>
        <v>0</v>
      </c>
      <c r="P99" s="5">
        <f>IF(CreditAmort1WORST[[#This Row],[Month]]=R$8,N$7,0)</f>
        <v>0</v>
      </c>
      <c r="Q99" s="13">
        <f>IF(AND(L99&gt;='Amort. Sched.-WORST'!$R$8, L99&lt;= ($R$7+$R$8)), Q98+O99, 0)</f>
        <v>0</v>
      </c>
      <c r="R99" s="6" t="str">
        <f>IF(AND(L99&gt;='Amort. Sched.-WORST'!$R$8, L99&lt;= ($R$7+$R$8)), N99/M99, " ")</f>
        <v xml:space="preserve"> </v>
      </c>
      <c r="S99" s="21" t="str">
        <f>IF(AND(L99&gt;='Amort. Sched.-WORST'!$R$8, L99&lt;= ($R$7+$R$8)), O99/M99, " ")</f>
        <v xml:space="preserve"> </v>
      </c>
      <c r="U99" s="20">
        <f t="shared" si="19"/>
        <v>88</v>
      </c>
      <c r="V99" s="5">
        <f>IF(AND(U99&gt;='Amort. Sched.-WORST'!$AA$8, U99&lt;= ($AA$7+$AA$8)), PMT('Amort. Sched.-WORST'!$W$8/12, 'Amort. Sched.-WORST'!$AA$7, 'Amort. Sched.-WORST'!$W$7), 0)</f>
        <v>0</v>
      </c>
      <c r="W99" s="5">
        <f>IF(AND(U99&gt;='Amort. Sched.-WORST'!$AA$8, U99&lt;= ($AA$7+$AA$8)), (IPMT($W$8/12, (U99-$AA$8), $AA$7, $W$7)), 0)</f>
        <v>0</v>
      </c>
      <c r="X99" s="5">
        <f>IF(AND(U99&gt;='Amort. Sched.-WORST'!$AA$8, U99&lt;= ($AA$7+$AA$8)), (PPMT($W$8/12, (U99-$AA$8), $AA$7, $W$7)), 0)</f>
        <v>0</v>
      </c>
      <c r="Y99" s="5">
        <f>IF(CreditAmort2WORST[[#This Row],[Month]]=AA$8,W$7,0)</f>
        <v>0</v>
      </c>
      <c r="Z99" s="13">
        <f>IF(AND(U99&gt;='Amort. Sched.-WORST'!$AA$8, U99&lt;= ($AA$7+$AA$8)), Z98+X99, 0)</f>
        <v>0</v>
      </c>
      <c r="AA99" s="6" t="str">
        <f>IF(AND(U99&gt;='Amort. Sched.-WORST'!$AA$8, U99&lt;= ($AA$7+$AA$8)), W99/V99, " ")</f>
        <v xml:space="preserve"> </v>
      </c>
      <c r="AB99" s="21" t="str">
        <f>IF(AND(U99&gt;='Amort. Sched.-WORST'!$AA$8, U99&lt;= ($AA$7+$AA$8)), X99/V99, " ")</f>
        <v xml:space="preserve"> </v>
      </c>
      <c r="AD99" s="20">
        <f t="shared" si="20"/>
        <v>88</v>
      </c>
      <c r="AE99" s="5">
        <f t="shared" si="21"/>
        <v>0</v>
      </c>
      <c r="AF99" s="5">
        <f t="shared" si="22"/>
        <v>0</v>
      </c>
      <c r="AG99" s="5">
        <f t="shared" si="23"/>
        <v>0</v>
      </c>
      <c r="AH99" s="5">
        <f>IF(CreditAmort3WORST[[#This Row],[Month]]=AJ$8,AF$7,0)</f>
        <v>0</v>
      </c>
      <c r="AI99" s="13">
        <f t="shared" si="24"/>
        <v>0</v>
      </c>
      <c r="AJ99" s="6" t="str">
        <f t="shared" si="25"/>
        <v xml:space="preserve"> </v>
      </c>
      <c r="AK99" s="21" t="str">
        <f t="shared" si="26"/>
        <v xml:space="preserve"> </v>
      </c>
      <c r="AM99" s="20">
        <f t="shared" si="27"/>
        <v>88</v>
      </c>
      <c r="AN99" s="5">
        <f t="shared" si="28"/>
        <v>0</v>
      </c>
      <c r="AO99" s="5">
        <f t="shared" si="29"/>
        <v>0</v>
      </c>
      <c r="AP99" s="5">
        <f t="shared" si="30"/>
        <v>0</v>
      </c>
      <c r="AQ99" s="5">
        <f>IF(CreditAmort4WORST[[#This Row],[Month]]=AS$8,AO$7,0)</f>
        <v>0</v>
      </c>
      <c r="AR99" s="13">
        <f t="shared" si="31"/>
        <v>0</v>
      </c>
      <c r="AS99" s="6" t="str">
        <f t="shared" si="32"/>
        <v xml:space="preserve"> </v>
      </c>
      <c r="AT99" s="21" t="str">
        <f t="shared" si="33"/>
        <v xml:space="preserve"> </v>
      </c>
    </row>
    <row r="100" spans="3:46">
      <c r="C100" s="22">
        <f t="shared" si="18"/>
        <v>89</v>
      </c>
      <c r="D100" s="23">
        <f>IF(AND(C100&gt;='Amort. Sched.-WORST'!$I$8, C100&lt;= ($I$7+$I$8)), PMT('Amort. Sched.-WORST'!$E$8/12, 'Amort. Sched.-WORST'!$I$7, 'Amort. Sched.-WORST'!$E$7), 0)</f>
        <v>-2026.0175758541329</v>
      </c>
      <c r="E100" s="5">
        <f>IF(AND(C100&gt;='Amort. Sched.-WORST'!$I$8, C100&lt;= ($I$7+$I$8)), (IPMT($E$8/12, (C100-$I$8), $I$7, $E$7)), 0)</f>
        <v>-1530.707340884449</v>
      </c>
      <c r="F100" s="23">
        <f>IF(AND(C100&gt;='Amort. Sched.-WORST'!$I$8, C100&lt;= ($I$7+$I$8)), (PPMT($E$8/12, (C100-$I$8), $I$7, $E$7)), 0)</f>
        <v>-495.31023496968402</v>
      </c>
      <c r="G100" s="5">
        <f>IF(MortgageAmortWORST[[#This Row],[Month]]=I$8,E$7,0)</f>
        <v>0</v>
      </c>
      <c r="H100" s="13">
        <f>IF(AND(C100&gt;='Amort. Sched.-WORST'!$I$8, C100&lt;= ($I$7+$I$8)), H99+F100, 0)</f>
        <v>229110.79089769756</v>
      </c>
      <c r="I100" s="24">
        <f>IF(AND(C100&gt;='Amort. Sched.-WORST'!$I$8, C100&lt;= ($I$7+$I$8)), E100/D100, " ")</f>
        <v>0.75552520329895456</v>
      </c>
      <c r="J100" s="25">
        <f>IF(AND(C100&gt;='Amort. Sched.-WORST'!$I$8, C100&lt;= ($I$7+$I$8)), F100/D100, " ")</f>
        <v>0.24447479670104541</v>
      </c>
      <c r="L100" s="20">
        <f t="shared" si="17"/>
        <v>89</v>
      </c>
      <c r="M100" s="5">
        <f>IF(AND(L100&gt;='Amort. Sched.-WORST'!$R$8, L100&lt;= ($R$7+$R$8)), PMT('Amort. Sched.-WORST'!$N$8/12, 'Amort. Sched.-WORST'!$R$7, 'Amort. Sched.-WORST'!$N$7), 0)</f>
        <v>0</v>
      </c>
      <c r="N100" s="5">
        <f>IF(AND(L100&gt;='Amort. Sched.-WORST'!$R$8, L100&lt;= ($R$7+$R$8)), (IPMT($N$8/12, (L100-$R$8), $R$7, $N$7)), 0)</f>
        <v>0</v>
      </c>
      <c r="O100" s="5">
        <f>IF(AND(L100&gt;='Amort. Sched.-WORST'!$R$8, L100&lt;= ($R$7+$R$8)), (PPMT($N$8/12, (L100-$R$8), $R$7, $N$7)), 0)</f>
        <v>0</v>
      </c>
      <c r="P100" s="5">
        <f>IF(CreditAmort1WORST[[#This Row],[Month]]=R$8,N$7,0)</f>
        <v>0</v>
      </c>
      <c r="Q100" s="13">
        <f>IF(AND(L100&gt;='Amort. Sched.-WORST'!$R$8, L100&lt;= ($R$7+$R$8)), Q99+O100, 0)</f>
        <v>0</v>
      </c>
      <c r="R100" s="6" t="str">
        <f>IF(AND(L100&gt;='Amort. Sched.-WORST'!$R$8, L100&lt;= ($R$7+$R$8)), N100/M100, " ")</f>
        <v xml:space="preserve"> </v>
      </c>
      <c r="S100" s="21" t="str">
        <f>IF(AND(L100&gt;='Amort. Sched.-WORST'!$R$8, L100&lt;= ($R$7+$R$8)), O100/M100, " ")</f>
        <v xml:space="preserve"> </v>
      </c>
      <c r="U100" s="20">
        <f t="shared" si="19"/>
        <v>89</v>
      </c>
      <c r="V100" s="5">
        <f>IF(AND(U100&gt;='Amort. Sched.-WORST'!$AA$8, U100&lt;= ($AA$7+$AA$8)), PMT('Amort. Sched.-WORST'!$W$8/12, 'Amort. Sched.-WORST'!$AA$7, 'Amort. Sched.-WORST'!$W$7), 0)</f>
        <v>0</v>
      </c>
      <c r="W100" s="5">
        <f>IF(AND(U100&gt;='Amort. Sched.-WORST'!$AA$8, U100&lt;= ($AA$7+$AA$8)), (IPMT($W$8/12, (U100-$AA$8), $AA$7, $W$7)), 0)</f>
        <v>0</v>
      </c>
      <c r="X100" s="5">
        <f>IF(AND(U100&gt;='Amort. Sched.-WORST'!$AA$8, U100&lt;= ($AA$7+$AA$8)), (PPMT($W$8/12, (U100-$AA$8), $AA$7, $W$7)), 0)</f>
        <v>0</v>
      </c>
      <c r="Y100" s="5">
        <f>IF(CreditAmort2WORST[[#This Row],[Month]]=AA$8,W$7,0)</f>
        <v>0</v>
      </c>
      <c r="Z100" s="13">
        <f>IF(AND(U100&gt;='Amort. Sched.-WORST'!$AA$8, U100&lt;= ($AA$7+$AA$8)), Z99+X100, 0)</f>
        <v>0</v>
      </c>
      <c r="AA100" s="6" t="str">
        <f>IF(AND(U100&gt;='Amort. Sched.-WORST'!$AA$8, U100&lt;= ($AA$7+$AA$8)), W100/V100, " ")</f>
        <v xml:space="preserve"> </v>
      </c>
      <c r="AB100" s="21" t="str">
        <f>IF(AND(U100&gt;='Amort. Sched.-WORST'!$AA$8, U100&lt;= ($AA$7+$AA$8)), X100/V100, " ")</f>
        <v xml:space="preserve"> </v>
      </c>
      <c r="AD100" s="20">
        <f t="shared" si="20"/>
        <v>89</v>
      </c>
      <c r="AE100" s="5">
        <f t="shared" si="21"/>
        <v>0</v>
      </c>
      <c r="AF100" s="5">
        <f t="shared" si="22"/>
        <v>0</v>
      </c>
      <c r="AG100" s="5">
        <f t="shared" si="23"/>
        <v>0</v>
      </c>
      <c r="AH100" s="5">
        <f>IF(CreditAmort3WORST[[#This Row],[Month]]=AJ$8,AF$7,0)</f>
        <v>0</v>
      </c>
      <c r="AI100" s="13">
        <f t="shared" si="24"/>
        <v>0</v>
      </c>
      <c r="AJ100" s="6" t="str">
        <f t="shared" si="25"/>
        <v xml:space="preserve"> </v>
      </c>
      <c r="AK100" s="21" t="str">
        <f t="shared" si="26"/>
        <v xml:space="preserve"> </v>
      </c>
      <c r="AM100" s="20">
        <f t="shared" si="27"/>
        <v>89</v>
      </c>
      <c r="AN100" s="5">
        <f t="shared" si="28"/>
        <v>0</v>
      </c>
      <c r="AO100" s="5">
        <f t="shared" si="29"/>
        <v>0</v>
      </c>
      <c r="AP100" s="5">
        <f t="shared" si="30"/>
        <v>0</v>
      </c>
      <c r="AQ100" s="5">
        <f>IF(CreditAmort4WORST[[#This Row],[Month]]=AS$8,AO$7,0)</f>
        <v>0</v>
      </c>
      <c r="AR100" s="13">
        <f t="shared" si="31"/>
        <v>0</v>
      </c>
      <c r="AS100" s="6" t="str">
        <f t="shared" si="32"/>
        <v xml:space="preserve"> </v>
      </c>
      <c r="AT100" s="21" t="str">
        <f t="shared" si="33"/>
        <v xml:space="preserve"> </v>
      </c>
    </row>
    <row r="101" spans="3:46">
      <c r="C101" s="22">
        <f t="shared" si="18"/>
        <v>90</v>
      </c>
      <c r="D101" s="23">
        <f>IF(AND(C101&gt;='Amort. Sched.-WORST'!$I$8, C101&lt;= ($I$7+$I$8)), PMT('Amort. Sched.-WORST'!$E$8/12, 'Amort. Sched.-WORST'!$I$7, 'Amort. Sched.-WORST'!$E$7), 0)</f>
        <v>-2026.0175758541329</v>
      </c>
      <c r="E101" s="5">
        <f>IF(AND(C101&gt;='Amort. Sched.-WORST'!$I$8, C101&lt;= ($I$7+$I$8)), (IPMT($E$8/12, (C101-$I$8), $I$7, $E$7)), 0)</f>
        <v>-1527.4052726513178</v>
      </c>
      <c r="F101" s="23">
        <f>IF(AND(C101&gt;='Amort. Sched.-WORST'!$I$8, C101&lt;= ($I$7+$I$8)), (PPMT($E$8/12, (C101-$I$8), $I$7, $E$7)), 0)</f>
        <v>-498.61230320281516</v>
      </c>
      <c r="G101" s="5">
        <f>IF(MortgageAmortWORST[[#This Row],[Month]]=I$8,E$7,0)</f>
        <v>0</v>
      </c>
      <c r="H101" s="13">
        <f>IF(AND(C101&gt;='Amort. Sched.-WORST'!$I$8, C101&lt;= ($I$7+$I$8)), H100+F101, 0)</f>
        <v>228612.17859449473</v>
      </c>
      <c r="I101" s="24">
        <f>IF(AND(C101&gt;='Amort. Sched.-WORST'!$I$8, C101&lt;= ($I$7+$I$8)), E101/D101, " ")</f>
        <v>0.75389537132094764</v>
      </c>
      <c r="J101" s="25">
        <f>IF(AND(C101&gt;='Amort. Sched.-WORST'!$I$8, C101&lt;= ($I$7+$I$8)), F101/D101, " ")</f>
        <v>0.24610462867905233</v>
      </c>
      <c r="L101" s="20">
        <f t="shared" si="17"/>
        <v>90</v>
      </c>
      <c r="M101" s="5">
        <f>IF(AND(L101&gt;='Amort. Sched.-WORST'!$R$8, L101&lt;= ($R$7+$R$8)), PMT('Amort. Sched.-WORST'!$N$8/12, 'Amort. Sched.-WORST'!$R$7, 'Amort. Sched.-WORST'!$N$7), 0)</f>
        <v>0</v>
      </c>
      <c r="N101" s="5">
        <f>IF(AND(L101&gt;='Amort. Sched.-WORST'!$R$8, L101&lt;= ($R$7+$R$8)), (IPMT($N$8/12, (L101-$R$8), $R$7, $N$7)), 0)</f>
        <v>0</v>
      </c>
      <c r="O101" s="5">
        <f>IF(AND(L101&gt;='Amort. Sched.-WORST'!$R$8, L101&lt;= ($R$7+$R$8)), (PPMT($N$8/12, (L101-$R$8), $R$7, $N$7)), 0)</f>
        <v>0</v>
      </c>
      <c r="P101" s="5">
        <f>IF(CreditAmort1WORST[[#This Row],[Month]]=R$8,N$7,0)</f>
        <v>0</v>
      </c>
      <c r="Q101" s="13">
        <f>IF(AND(L101&gt;='Amort. Sched.-WORST'!$R$8, L101&lt;= ($R$7+$R$8)), Q100+O101, 0)</f>
        <v>0</v>
      </c>
      <c r="R101" s="6" t="str">
        <f>IF(AND(L101&gt;='Amort. Sched.-WORST'!$R$8, L101&lt;= ($R$7+$R$8)), N101/M101, " ")</f>
        <v xml:space="preserve"> </v>
      </c>
      <c r="S101" s="21" t="str">
        <f>IF(AND(L101&gt;='Amort. Sched.-WORST'!$R$8, L101&lt;= ($R$7+$R$8)), O101/M101, " ")</f>
        <v xml:space="preserve"> </v>
      </c>
      <c r="U101" s="20">
        <f t="shared" si="19"/>
        <v>90</v>
      </c>
      <c r="V101" s="5">
        <f>IF(AND(U101&gt;='Amort. Sched.-WORST'!$AA$8, U101&lt;= ($AA$7+$AA$8)), PMT('Amort. Sched.-WORST'!$W$8/12, 'Amort. Sched.-WORST'!$AA$7, 'Amort. Sched.-WORST'!$W$7), 0)</f>
        <v>0</v>
      </c>
      <c r="W101" s="5">
        <f>IF(AND(U101&gt;='Amort. Sched.-WORST'!$AA$8, U101&lt;= ($AA$7+$AA$8)), (IPMT($W$8/12, (U101-$AA$8), $AA$7, $W$7)), 0)</f>
        <v>0</v>
      </c>
      <c r="X101" s="5">
        <f>IF(AND(U101&gt;='Amort. Sched.-WORST'!$AA$8, U101&lt;= ($AA$7+$AA$8)), (PPMT($W$8/12, (U101-$AA$8), $AA$7, $W$7)), 0)</f>
        <v>0</v>
      </c>
      <c r="Y101" s="5">
        <f>IF(CreditAmort2WORST[[#This Row],[Month]]=AA$8,W$7,0)</f>
        <v>0</v>
      </c>
      <c r="Z101" s="13">
        <f>IF(AND(U101&gt;='Amort. Sched.-WORST'!$AA$8, U101&lt;= ($AA$7+$AA$8)), Z100+X101, 0)</f>
        <v>0</v>
      </c>
      <c r="AA101" s="6" t="str">
        <f>IF(AND(U101&gt;='Amort. Sched.-WORST'!$AA$8, U101&lt;= ($AA$7+$AA$8)), W101/V101, " ")</f>
        <v xml:space="preserve"> </v>
      </c>
      <c r="AB101" s="21" t="str">
        <f>IF(AND(U101&gt;='Amort. Sched.-WORST'!$AA$8, U101&lt;= ($AA$7+$AA$8)), X101/V101, " ")</f>
        <v xml:space="preserve"> </v>
      </c>
      <c r="AD101" s="20">
        <f t="shared" si="20"/>
        <v>90</v>
      </c>
      <c r="AE101" s="5">
        <f t="shared" si="21"/>
        <v>0</v>
      </c>
      <c r="AF101" s="5">
        <f t="shared" si="22"/>
        <v>0</v>
      </c>
      <c r="AG101" s="5">
        <f t="shared" si="23"/>
        <v>0</v>
      </c>
      <c r="AH101" s="5">
        <f>IF(CreditAmort3WORST[[#This Row],[Month]]=AJ$8,AF$7,0)</f>
        <v>0</v>
      </c>
      <c r="AI101" s="13">
        <f t="shared" si="24"/>
        <v>0</v>
      </c>
      <c r="AJ101" s="6" t="str">
        <f t="shared" si="25"/>
        <v xml:space="preserve"> </v>
      </c>
      <c r="AK101" s="21" t="str">
        <f t="shared" si="26"/>
        <v xml:space="preserve"> </v>
      </c>
      <c r="AM101" s="20">
        <f t="shared" si="27"/>
        <v>90</v>
      </c>
      <c r="AN101" s="5">
        <f t="shared" si="28"/>
        <v>0</v>
      </c>
      <c r="AO101" s="5">
        <f t="shared" si="29"/>
        <v>0</v>
      </c>
      <c r="AP101" s="5">
        <f t="shared" si="30"/>
        <v>0</v>
      </c>
      <c r="AQ101" s="5">
        <f>IF(CreditAmort4WORST[[#This Row],[Month]]=AS$8,AO$7,0)</f>
        <v>0</v>
      </c>
      <c r="AR101" s="13">
        <f t="shared" si="31"/>
        <v>0</v>
      </c>
      <c r="AS101" s="6" t="str">
        <f t="shared" si="32"/>
        <v xml:space="preserve"> </v>
      </c>
      <c r="AT101" s="21" t="str">
        <f t="shared" si="33"/>
        <v xml:space="preserve"> </v>
      </c>
    </row>
    <row r="102" spans="3:46">
      <c r="C102" s="22">
        <f t="shared" si="18"/>
        <v>91</v>
      </c>
      <c r="D102" s="23">
        <f>IF(AND(C102&gt;='Amort. Sched.-WORST'!$I$8, C102&lt;= ($I$7+$I$8)), PMT('Amort. Sched.-WORST'!$E$8/12, 'Amort. Sched.-WORST'!$I$7, 'Amort. Sched.-WORST'!$E$7), 0)</f>
        <v>-2026.0175758541329</v>
      </c>
      <c r="E102" s="5">
        <f>IF(AND(C102&gt;='Amort. Sched.-WORST'!$I$8, C102&lt;= ($I$7+$I$8)), (IPMT($E$8/12, (C102-$I$8), $I$7, $E$7)), 0)</f>
        <v>-1524.0811906299657</v>
      </c>
      <c r="F102" s="23">
        <f>IF(AND(C102&gt;='Amort. Sched.-WORST'!$I$8, C102&lt;= ($I$7+$I$8)), (PPMT($E$8/12, (C102-$I$8), $I$7, $E$7)), 0)</f>
        <v>-501.93638522416734</v>
      </c>
      <c r="G102" s="5">
        <f>IF(MortgageAmortWORST[[#This Row],[Month]]=I$8,E$7,0)</f>
        <v>0</v>
      </c>
      <c r="H102" s="13">
        <f>IF(AND(C102&gt;='Amort. Sched.-WORST'!$I$8, C102&lt;= ($I$7+$I$8)), H101+F102, 0)</f>
        <v>228110.24220927057</v>
      </c>
      <c r="I102" s="24">
        <f>IF(AND(C102&gt;='Amort. Sched.-WORST'!$I$8, C102&lt;= ($I$7+$I$8)), E102/D102, " ")</f>
        <v>0.75225467379642064</v>
      </c>
      <c r="J102" s="25">
        <f>IF(AND(C102&gt;='Amort. Sched.-WORST'!$I$8, C102&lt;= ($I$7+$I$8)), F102/D102, " ")</f>
        <v>0.24774532620357939</v>
      </c>
      <c r="L102" s="20">
        <f t="shared" si="17"/>
        <v>91</v>
      </c>
      <c r="M102" s="5">
        <f>IF(AND(L102&gt;='Amort. Sched.-WORST'!$R$8, L102&lt;= ($R$7+$R$8)), PMT('Amort. Sched.-WORST'!$N$8/12, 'Amort. Sched.-WORST'!$R$7, 'Amort. Sched.-WORST'!$N$7), 0)</f>
        <v>0</v>
      </c>
      <c r="N102" s="5">
        <f>IF(AND(L102&gt;='Amort. Sched.-WORST'!$R$8, L102&lt;= ($R$7+$R$8)), (IPMT($N$8/12, (L102-$R$8), $R$7, $N$7)), 0)</f>
        <v>0</v>
      </c>
      <c r="O102" s="5">
        <f>IF(AND(L102&gt;='Amort. Sched.-WORST'!$R$8, L102&lt;= ($R$7+$R$8)), (PPMT($N$8/12, (L102-$R$8), $R$7, $N$7)), 0)</f>
        <v>0</v>
      </c>
      <c r="P102" s="5">
        <f>IF(CreditAmort1WORST[[#This Row],[Month]]=R$8,N$7,0)</f>
        <v>0</v>
      </c>
      <c r="Q102" s="13">
        <f>IF(AND(L102&gt;='Amort. Sched.-WORST'!$R$8, L102&lt;= ($R$7+$R$8)), Q101+O102, 0)</f>
        <v>0</v>
      </c>
      <c r="R102" s="6" t="str">
        <f>IF(AND(L102&gt;='Amort. Sched.-WORST'!$R$8, L102&lt;= ($R$7+$R$8)), N102/M102, " ")</f>
        <v xml:space="preserve"> </v>
      </c>
      <c r="S102" s="21" t="str">
        <f>IF(AND(L102&gt;='Amort. Sched.-WORST'!$R$8, L102&lt;= ($R$7+$R$8)), O102/M102, " ")</f>
        <v xml:space="preserve"> </v>
      </c>
      <c r="U102" s="20">
        <f t="shared" si="19"/>
        <v>91</v>
      </c>
      <c r="V102" s="5">
        <f>IF(AND(U102&gt;='Amort. Sched.-WORST'!$AA$8, U102&lt;= ($AA$7+$AA$8)), PMT('Amort. Sched.-WORST'!$W$8/12, 'Amort. Sched.-WORST'!$AA$7, 'Amort. Sched.-WORST'!$W$7), 0)</f>
        <v>0</v>
      </c>
      <c r="W102" s="5">
        <f>IF(AND(U102&gt;='Amort. Sched.-WORST'!$AA$8, U102&lt;= ($AA$7+$AA$8)), (IPMT($W$8/12, (U102-$AA$8), $AA$7, $W$7)), 0)</f>
        <v>0</v>
      </c>
      <c r="X102" s="5">
        <f>IF(AND(U102&gt;='Amort. Sched.-WORST'!$AA$8, U102&lt;= ($AA$7+$AA$8)), (PPMT($W$8/12, (U102-$AA$8), $AA$7, $W$7)), 0)</f>
        <v>0</v>
      </c>
      <c r="Y102" s="5">
        <f>IF(CreditAmort2WORST[[#This Row],[Month]]=AA$8,W$7,0)</f>
        <v>0</v>
      </c>
      <c r="Z102" s="13">
        <f>IF(AND(U102&gt;='Amort. Sched.-WORST'!$AA$8, U102&lt;= ($AA$7+$AA$8)), Z101+X102, 0)</f>
        <v>0</v>
      </c>
      <c r="AA102" s="6" t="str">
        <f>IF(AND(U102&gt;='Amort. Sched.-WORST'!$AA$8, U102&lt;= ($AA$7+$AA$8)), W102/V102, " ")</f>
        <v xml:space="preserve"> </v>
      </c>
      <c r="AB102" s="21" t="str">
        <f>IF(AND(U102&gt;='Amort. Sched.-WORST'!$AA$8, U102&lt;= ($AA$7+$AA$8)), X102/V102, " ")</f>
        <v xml:space="preserve"> </v>
      </c>
      <c r="AD102" s="20">
        <f t="shared" si="20"/>
        <v>91</v>
      </c>
      <c r="AE102" s="5">
        <f t="shared" si="21"/>
        <v>0</v>
      </c>
      <c r="AF102" s="5">
        <f t="shared" si="22"/>
        <v>0</v>
      </c>
      <c r="AG102" s="5">
        <f t="shared" si="23"/>
        <v>0</v>
      </c>
      <c r="AH102" s="5">
        <f>IF(CreditAmort3WORST[[#This Row],[Month]]=AJ$8,AF$7,0)</f>
        <v>0</v>
      </c>
      <c r="AI102" s="13">
        <f t="shared" si="24"/>
        <v>0</v>
      </c>
      <c r="AJ102" s="6" t="str">
        <f t="shared" si="25"/>
        <v xml:space="preserve"> </v>
      </c>
      <c r="AK102" s="21" t="str">
        <f t="shared" si="26"/>
        <v xml:space="preserve"> </v>
      </c>
      <c r="AM102" s="20">
        <f t="shared" si="27"/>
        <v>91</v>
      </c>
      <c r="AN102" s="5">
        <f t="shared" si="28"/>
        <v>0</v>
      </c>
      <c r="AO102" s="5">
        <f t="shared" si="29"/>
        <v>0</v>
      </c>
      <c r="AP102" s="5">
        <f t="shared" si="30"/>
        <v>0</v>
      </c>
      <c r="AQ102" s="5">
        <f>IF(CreditAmort4WORST[[#This Row],[Month]]=AS$8,AO$7,0)</f>
        <v>0</v>
      </c>
      <c r="AR102" s="13">
        <f t="shared" si="31"/>
        <v>0</v>
      </c>
      <c r="AS102" s="6" t="str">
        <f t="shared" si="32"/>
        <v xml:space="preserve"> </v>
      </c>
      <c r="AT102" s="21" t="str">
        <f t="shared" si="33"/>
        <v xml:space="preserve"> </v>
      </c>
    </row>
    <row r="103" spans="3:46">
      <c r="C103" s="22">
        <f t="shared" si="18"/>
        <v>92</v>
      </c>
      <c r="D103" s="23">
        <f>IF(AND(C103&gt;='Amort. Sched.-WORST'!$I$8, C103&lt;= ($I$7+$I$8)), PMT('Amort. Sched.-WORST'!$E$8/12, 'Amort. Sched.-WORST'!$I$7, 'Amort. Sched.-WORST'!$E$7), 0)</f>
        <v>-2026.0175758541329</v>
      </c>
      <c r="E103" s="5">
        <f>IF(AND(C103&gt;='Amort. Sched.-WORST'!$I$8, C103&lt;= ($I$7+$I$8)), (IPMT($E$8/12, (C103-$I$8), $I$7, $E$7)), 0)</f>
        <v>-1520.7349480618047</v>
      </c>
      <c r="F103" s="23">
        <f>IF(AND(C103&gt;='Amort. Sched.-WORST'!$I$8, C103&lt;= ($I$7+$I$8)), (PPMT($E$8/12, (C103-$I$8), $I$7, $E$7)), 0)</f>
        <v>-505.28262779232836</v>
      </c>
      <c r="G103" s="5">
        <f>IF(MortgageAmortWORST[[#This Row],[Month]]=I$8,E$7,0)</f>
        <v>0</v>
      </c>
      <c r="H103" s="13">
        <f>IF(AND(C103&gt;='Amort. Sched.-WORST'!$I$8, C103&lt;= ($I$7+$I$8)), H102+F103, 0)</f>
        <v>227604.95958147824</v>
      </c>
      <c r="I103" s="24">
        <f>IF(AND(C103&gt;='Amort. Sched.-WORST'!$I$8, C103&lt;= ($I$7+$I$8)), E103/D103, " ")</f>
        <v>0.75060303828839692</v>
      </c>
      <c r="J103" s="25">
        <f>IF(AND(C103&gt;='Amort. Sched.-WORST'!$I$8, C103&lt;= ($I$7+$I$8)), F103/D103, " ")</f>
        <v>0.24939696171160322</v>
      </c>
      <c r="L103" s="20">
        <f t="shared" si="17"/>
        <v>92</v>
      </c>
      <c r="M103" s="5">
        <f>IF(AND(L103&gt;='Amort. Sched.-WORST'!$R$8, L103&lt;= ($R$7+$R$8)), PMT('Amort. Sched.-WORST'!$N$8/12, 'Amort. Sched.-WORST'!$R$7, 'Amort. Sched.-WORST'!$N$7), 0)</f>
        <v>0</v>
      </c>
      <c r="N103" s="5">
        <f>IF(AND(L103&gt;='Amort. Sched.-WORST'!$R$8, L103&lt;= ($R$7+$R$8)), (IPMT($N$8/12, (L103-$R$8), $R$7, $N$7)), 0)</f>
        <v>0</v>
      </c>
      <c r="O103" s="5">
        <f>IF(AND(L103&gt;='Amort. Sched.-WORST'!$R$8, L103&lt;= ($R$7+$R$8)), (PPMT($N$8/12, (L103-$R$8), $R$7, $N$7)), 0)</f>
        <v>0</v>
      </c>
      <c r="P103" s="5">
        <f>IF(CreditAmort1WORST[[#This Row],[Month]]=R$8,N$7,0)</f>
        <v>0</v>
      </c>
      <c r="Q103" s="13">
        <f>IF(AND(L103&gt;='Amort. Sched.-WORST'!$R$8, L103&lt;= ($R$7+$R$8)), Q102+O103, 0)</f>
        <v>0</v>
      </c>
      <c r="R103" s="6" t="str">
        <f>IF(AND(L103&gt;='Amort. Sched.-WORST'!$R$8, L103&lt;= ($R$7+$R$8)), N103/M103, " ")</f>
        <v xml:space="preserve"> </v>
      </c>
      <c r="S103" s="21" t="str">
        <f>IF(AND(L103&gt;='Amort. Sched.-WORST'!$R$8, L103&lt;= ($R$7+$R$8)), O103/M103, " ")</f>
        <v xml:space="preserve"> </v>
      </c>
      <c r="U103" s="20">
        <f t="shared" si="19"/>
        <v>92</v>
      </c>
      <c r="V103" s="5">
        <f>IF(AND(U103&gt;='Amort. Sched.-WORST'!$AA$8, U103&lt;= ($AA$7+$AA$8)), PMT('Amort. Sched.-WORST'!$W$8/12, 'Amort. Sched.-WORST'!$AA$7, 'Amort. Sched.-WORST'!$W$7), 0)</f>
        <v>0</v>
      </c>
      <c r="W103" s="5">
        <f>IF(AND(U103&gt;='Amort. Sched.-WORST'!$AA$8, U103&lt;= ($AA$7+$AA$8)), (IPMT($W$8/12, (U103-$AA$8), $AA$7, $W$7)), 0)</f>
        <v>0</v>
      </c>
      <c r="X103" s="5">
        <f>IF(AND(U103&gt;='Amort. Sched.-WORST'!$AA$8, U103&lt;= ($AA$7+$AA$8)), (PPMT($W$8/12, (U103-$AA$8), $AA$7, $W$7)), 0)</f>
        <v>0</v>
      </c>
      <c r="Y103" s="5">
        <f>IF(CreditAmort2WORST[[#This Row],[Month]]=AA$8,W$7,0)</f>
        <v>0</v>
      </c>
      <c r="Z103" s="13">
        <f>IF(AND(U103&gt;='Amort. Sched.-WORST'!$AA$8, U103&lt;= ($AA$7+$AA$8)), Z102+X103, 0)</f>
        <v>0</v>
      </c>
      <c r="AA103" s="6" t="str">
        <f>IF(AND(U103&gt;='Amort. Sched.-WORST'!$AA$8, U103&lt;= ($AA$7+$AA$8)), W103/V103, " ")</f>
        <v xml:space="preserve"> </v>
      </c>
      <c r="AB103" s="21" t="str">
        <f>IF(AND(U103&gt;='Amort. Sched.-WORST'!$AA$8, U103&lt;= ($AA$7+$AA$8)), X103/V103, " ")</f>
        <v xml:space="preserve"> </v>
      </c>
      <c r="AD103" s="20">
        <f t="shared" si="20"/>
        <v>92</v>
      </c>
      <c r="AE103" s="5">
        <f t="shared" si="21"/>
        <v>0</v>
      </c>
      <c r="AF103" s="5">
        <f t="shared" si="22"/>
        <v>0</v>
      </c>
      <c r="AG103" s="5">
        <f t="shared" si="23"/>
        <v>0</v>
      </c>
      <c r="AH103" s="5">
        <f>IF(CreditAmort3WORST[[#This Row],[Month]]=AJ$8,AF$7,0)</f>
        <v>0</v>
      </c>
      <c r="AI103" s="13">
        <f t="shared" si="24"/>
        <v>0</v>
      </c>
      <c r="AJ103" s="6" t="str">
        <f t="shared" si="25"/>
        <v xml:space="preserve"> </v>
      </c>
      <c r="AK103" s="21" t="str">
        <f t="shared" si="26"/>
        <v xml:space="preserve"> </v>
      </c>
      <c r="AM103" s="20">
        <f t="shared" si="27"/>
        <v>92</v>
      </c>
      <c r="AN103" s="5">
        <f t="shared" si="28"/>
        <v>0</v>
      </c>
      <c r="AO103" s="5">
        <f t="shared" si="29"/>
        <v>0</v>
      </c>
      <c r="AP103" s="5">
        <f t="shared" si="30"/>
        <v>0</v>
      </c>
      <c r="AQ103" s="5">
        <f>IF(CreditAmort4WORST[[#This Row],[Month]]=AS$8,AO$7,0)</f>
        <v>0</v>
      </c>
      <c r="AR103" s="13">
        <f t="shared" si="31"/>
        <v>0</v>
      </c>
      <c r="AS103" s="6" t="str">
        <f t="shared" si="32"/>
        <v xml:space="preserve"> </v>
      </c>
      <c r="AT103" s="21" t="str">
        <f t="shared" si="33"/>
        <v xml:space="preserve"> </v>
      </c>
    </row>
    <row r="104" spans="3:46">
      <c r="C104" s="22">
        <f t="shared" si="18"/>
        <v>93</v>
      </c>
      <c r="D104" s="23">
        <f>IF(AND(C104&gt;='Amort. Sched.-WORST'!$I$8, C104&lt;= ($I$7+$I$8)), PMT('Amort. Sched.-WORST'!$E$8/12, 'Amort. Sched.-WORST'!$I$7, 'Amort. Sched.-WORST'!$E$7), 0)</f>
        <v>-2026.0175758541329</v>
      </c>
      <c r="E104" s="5">
        <f>IF(AND(C104&gt;='Amort. Sched.-WORST'!$I$8, C104&lt;= ($I$7+$I$8)), (IPMT($E$8/12, (C104-$I$8), $I$7, $E$7)), 0)</f>
        <v>-1517.3663972098557</v>
      </c>
      <c r="F104" s="23">
        <f>IF(AND(C104&gt;='Amort. Sched.-WORST'!$I$8, C104&lt;= ($I$7+$I$8)), (PPMT($E$8/12, (C104-$I$8), $I$7, $E$7)), 0)</f>
        <v>-508.65117864427742</v>
      </c>
      <c r="G104" s="5">
        <f>IF(MortgageAmortWORST[[#This Row],[Month]]=I$8,E$7,0)</f>
        <v>0</v>
      </c>
      <c r="H104" s="13">
        <f>IF(AND(C104&gt;='Amort. Sched.-WORST'!$I$8, C104&lt;= ($I$7+$I$8)), H103+F104, 0)</f>
        <v>227096.30840283397</v>
      </c>
      <c r="I104" s="24">
        <f>IF(AND(C104&gt;='Amort. Sched.-WORST'!$I$8, C104&lt;= ($I$7+$I$8)), E104/D104, " ")</f>
        <v>0.74894039187698602</v>
      </c>
      <c r="J104" s="25">
        <f>IF(AND(C104&gt;='Amort. Sched.-WORST'!$I$8, C104&lt;= ($I$7+$I$8)), F104/D104, " ")</f>
        <v>0.25105960812301403</v>
      </c>
      <c r="L104" s="20">
        <f t="shared" si="17"/>
        <v>93</v>
      </c>
      <c r="M104" s="5">
        <f>IF(AND(L104&gt;='Amort. Sched.-WORST'!$R$8, L104&lt;= ($R$7+$R$8)), PMT('Amort. Sched.-WORST'!$N$8/12, 'Amort. Sched.-WORST'!$R$7, 'Amort. Sched.-WORST'!$N$7), 0)</f>
        <v>0</v>
      </c>
      <c r="N104" s="5">
        <f>IF(AND(L104&gt;='Amort. Sched.-WORST'!$R$8, L104&lt;= ($R$7+$R$8)), (IPMT($N$8/12, (L104-$R$8), $R$7, $N$7)), 0)</f>
        <v>0</v>
      </c>
      <c r="O104" s="5">
        <f>IF(AND(L104&gt;='Amort. Sched.-WORST'!$R$8, L104&lt;= ($R$7+$R$8)), (PPMT($N$8/12, (L104-$R$8), $R$7, $N$7)), 0)</f>
        <v>0</v>
      </c>
      <c r="P104" s="5">
        <f>IF(CreditAmort1WORST[[#This Row],[Month]]=R$8,N$7,0)</f>
        <v>0</v>
      </c>
      <c r="Q104" s="13">
        <f>IF(AND(L104&gt;='Amort. Sched.-WORST'!$R$8, L104&lt;= ($R$7+$R$8)), Q103+O104, 0)</f>
        <v>0</v>
      </c>
      <c r="R104" s="6" t="str">
        <f>IF(AND(L104&gt;='Amort. Sched.-WORST'!$R$8, L104&lt;= ($R$7+$R$8)), N104/M104, " ")</f>
        <v xml:space="preserve"> </v>
      </c>
      <c r="S104" s="21" t="str">
        <f>IF(AND(L104&gt;='Amort. Sched.-WORST'!$R$8, L104&lt;= ($R$7+$R$8)), O104/M104, " ")</f>
        <v xml:space="preserve"> </v>
      </c>
      <c r="U104" s="20">
        <f t="shared" si="19"/>
        <v>93</v>
      </c>
      <c r="V104" s="5">
        <f>IF(AND(U104&gt;='Amort. Sched.-WORST'!$AA$8, U104&lt;= ($AA$7+$AA$8)), PMT('Amort. Sched.-WORST'!$W$8/12, 'Amort. Sched.-WORST'!$AA$7, 'Amort. Sched.-WORST'!$W$7), 0)</f>
        <v>0</v>
      </c>
      <c r="W104" s="5">
        <f>IF(AND(U104&gt;='Amort. Sched.-WORST'!$AA$8, U104&lt;= ($AA$7+$AA$8)), (IPMT($W$8/12, (U104-$AA$8), $AA$7, $W$7)), 0)</f>
        <v>0</v>
      </c>
      <c r="X104" s="5">
        <f>IF(AND(U104&gt;='Amort. Sched.-WORST'!$AA$8, U104&lt;= ($AA$7+$AA$8)), (PPMT($W$8/12, (U104-$AA$8), $AA$7, $W$7)), 0)</f>
        <v>0</v>
      </c>
      <c r="Y104" s="5">
        <f>IF(CreditAmort2WORST[[#This Row],[Month]]=AA$8,W$7,0)</f>
        <v>0</v>
      </c>
      <c r="Z104" s="13">
        <f>IF(AND(U104&gt;='Amort. Sched.-WORST'!$AA$8, U104&lt;= ($AA$7+$AA$8)), Z103+X104, 0)</f>
        <v>0</v>
      </c>
      <c r="AA104" s="6" t="str">
        <f>IF(AND(U104&gt;='Amort. Sched.-WORST'!$AA$8, U104&lt;= ($AA$7+$AA$8)), W104/V104, " ")</f>
        <v xml:space="preserve"> </v>
      </c>
      <c r="AB104" s="21" t="str">
        <f>IF(AND(U104&gt;='Amort. Sched.-WORST'!$AA$8, U104&lt;= ($AA$7+$AA$8)), X104/V104, " ")</f>
        <v xml:space="preserve"> </v>
      </c>
      <c r="AD104" s="20">
        <f t="shared" si="20"/>
        <v>93</v>
      </c>
      <c r="AE104" s="5">
        <f t="shared" si="21"/>
        <v>0</v>
      </c>
      <c r="AF104" s="5">
        <f t="shared" si="22"/>
        <v>0</v>
      </c>
      <c r="AG104" s="5">
        <f t="shared" si="23"/>
        <v>0</v>
      </c>
      <c r="AH104" s="5">
        <f>IF(CreditAmort3WORST[[#This Row],[Month]]=AJ$8,AF$7,0)</f>
        <v>0</v>
      </c>
      <c r="AI104" s="13">
        <f t="shared" si="24"/>
        <v>0</v>
      </c>
      <c r="AJ104" s="6" t="str">
        <f t="shared" si="25"/>
        <v xml:space="preserve"> </v>
      </c>
      <c r="AK104" s="21" t="str">
        <f t="shared" si="26"/>
        <v xml:space="preserve"> </v>
      </c>
      <c r="AM104" s="20">
        <f t="shared" si="27"/>
        <v>93</v>
      </c>
      <c r="AN104" s="5">
        <f t="shared" si="28"/>
        <v>0</v>
      </c>
      <c r="AO104" s="5">
        <f t="shared" si="29"/>
        <v>0</v>
      </c>
      <c r="AP104" s="5">
        <f t="shared" si="30"/>
        <v>0</v>
      </c>
      <c r="AQ104" s="5">
        <f>IF(CreditAmort4WORST[[#This Row],[Month]]=AS$8,AO$7,0)</f>
        <v>0</v>
      </c>
      <c r="AR104" s="13">
        <f t="shared" si="31"/>
        <v>0</v>
      </c>
      <c r="AS104" s="6" t="str">
        <f t="shared" si="32"/>
        <v xml:space="preserve"> </v>
      </c>
      <c r="AT104" s="21" t="str">
        <f t="shared" si="33"/>
        <v xml:space="preserve"> </v>
      </c>
    </row>
    <row r="105" spans="3:46">
      <c r="C105" s="22">
        <f t="shared" si="18"/>
        <v>94</v>
      </c>
      <c r="D105" s="23">
        <f>IF(AND(C105&gt;='Amort. Sched.-WORST'!$I$8, C105&lt;= ($I$7+$I$8)), PMT('Amort. Sched.-WORST'!$E$8/12, 'Amort. Sched.-WORST'!$I$7, 'Amort. Sched.-WORST'!$E$7), 0)</f>
        <v>-2026.0175758541329</v>
      </c>
      <c r="E105" s="5">
        <f>IF(AND(C105&gt;='Amort. Sched.-WORST'!$I$8, C105&lt;= ($I$7+$I$8)), (IPMT($E$8/12, (C105-$I$8), $I$7, $E$7)), 0)</f>
        <v>-1513.9753893522272</v>
      </c>
      <c r="F105" s="23">
        <f>IF(AND(C105&gt;='Amort. Sched.-WORST'!$I$8, C105&lt;= ($I$7+$I$8)), (PPMT($E$8/12, (C105-$I$8), $I$7, $E$7)), 0)</f>
        <v>-512.0421865019058</v>
      </c>
      <c r="G105" s="5">
        <f>IF(MortgageAmortWORST[[#This Row],[Month]]=I$8,E$7,0)</f>
        <v>0</v>
      </c>
      <c r="H105" s="13">
        <f>IF(AND(C105&gt;='Amort. Sched.-WORST'!$I$8, C105&lt;= ($I$7+$I$8)), H104+F105, 0)</f>
        <v>226584.26621633206</v>
      </c>
      <c r="I105" s="24">
        <f>IF(AND(C105&gt;='Amort. Sched.-WORST'!$I$8, C105&lt;= ($I$7+$I$8)), E105/D105, " ")</f>
        <v>0.74726666115616602</v>
      </c>
      <c r="J105" s="25">
        <f>IF(AND(C105&gt;='Amort. Sched.-WORST'!$I$8, C105&lt;= ($I$7+$I$8)), F105/D105, " ")</f>
        <v>0.25273333884383403</v>
      </c>
      <c r="L105" s="20">
        <f t="shared" si="17"/>
        <v>94</v>
      </c>
      <c r="M105" s="5">
        <f>IF(AND(L105&gt;='Amort. Sched.-WORST'!$R$8, L105&lt;= ($R$7+$R$8)), PMT('Amort. Sched.-WORST'!$N$8/12, 'Amort. Sched.-WORST'!$R$7, 'Amort. Sched.-WORST'!$N$7), 0)</f>
        <v>0</v>
      </c>
      <c r="N105" s="5">
        <f>IF(AND(L105&gt;='Amort. Sched.-WORST'!$R$8, L105&lt;= ($R$7+$R$8)), (IPMT($N$8/12, (L105-$R$8), $R$7, $N$7)), 0)</f>
        <v>0</v>
      </c>
      <c r="O105" s="5">
        <f>IF(AND(L105&gt;='Amort. Sched.-WORST'!$R$8, L105&lt;= ($R$7+$R$8)), (PPMT($N$8/12, (L105-$R$8), $R$7, $N$7)), 0)</f>
        <v>0</v>
      </c>
      <c r="P105" s="5">
        <f>IF(CreditAmort1WORST[[#This Row],[Month]]=R$8,N$7,0)</f>
        <v>0</v>
      </c>
      <c r="Q105" s="13">
        <f>IF(AND(L105&gt;='Amort. Sched.-WORST'!$R$8, L105&lt;= ($R$7+$R$8)), Q104+O105, 0)</f>
        <v>0</v>
      </c>
      <c r="R105" s="6" t="str">
        <f>IF(AND(L105&gt;='Amort. Sched.-WORST'!$R$8, L105&lt;= ($R$7+$R$8)), N105/M105, " ")</f>
        <v xml:space="preserve"> </v>
      </c>
      <c r="S105" s="21" t="str">
        <f>IF(AND(L105&gt;='Amort. Sched.-WORST'!$R$8, L105&lt;= ($R$7+$R$8)), O105/M105, " ")</f>
        <v xml:space="preserve"> </v>
      </c>
      <c r="U105" s="20">
        <f t="shared" si="19"/>
        <v>94</v>
      </c>
      <c r="V105" s="5">
        <f>IF(AND(U105&gt;='Amort. Sched.-WORST'!$AA$8, U105&lt;= ($AA$7+$AA$8)), PMT('Amort. Sched.-WORST'!$W$8/12, 'Amort. Sched.-WORST'!$AA$7, 'Amort. Sched.-WORST'!$W$7), 0)</f>
        <v>0</v>
      </c>
      <c r="W105" s="5">
        <f>IF(AND(U105&gt;='Amort. Sched.-WORST'!$AA$8, U105&lt;= ($AA$7+$AA$8)), (IPMT($W$8/12, (U105-$AA$8), $AA$7, $W$7)), 0)</f>
        <v>0</v>
      </c>
      <c r="X105" s="5">
        <f>IF(AND(U105&gt;='Amort. Sched.-WORST'!$AA$8, U105&lt;= ($AA$7+$AA$8)), (PPMT($W$8/12, (U105-$AA$8), $AA$7, $W$7)), 0)</f>
        <v>0</v>
      </c>
      <c r="Y105" s="5">
        <f>IF(CreditAmort2WORST[[#This Row],[Month]]=AA$8,W$7,0)</f>
        <v>0</v>
      </c>
      <c r="Z105" s="13">
        <f>IF(AND(U105&gt;='Amort. Sched.-WORST'!$AA$8, U105&lt;= ($AA$7+$AA$8)), Z104+X105, 0)</f>
        <v>0</v>
      </c>
      <c r="AA105" s="6" t="str">
        <f>IF(AND(U105&gt;='Amort. Sched.-WORST'!$AA$8, U105&lt;= ($AA$7+$AA$8)), W105/V105, " ")</f>
        <v xml:space="preserve"> </v>
      </c>
      <c r="AB105" s="21" t="str">
        <f>IF(AND(U105&gt;='Amort. Sched.-WORST'!$AA$8, U105&lt;= ($AA$7+$AA$8)), X105/V105, " ")</f>
        <v xml:space="preserve"> </v>
      </c>
      <c r="AD105" s="20">
        <f t="shared" si="20"/>
        <v>94</v>
      </c>
      <c r="AE105" s="5">
        <f t="shared" si="21"/>
        <v>0</v>
      </c>
      <c r="AF105" s="5">
        <f t="shared" si="22"/>
        <v>0</v>
      </c>
      <c r="AG105" s="5">
        <f t="shared" si="23"/>
        <v>0</v>
      </c>
      <c r="AH105" s="5">
        <f>IF(CreditAmort3WORST[[#This Row],[Month]]=AJ$8,AF$7,0)</f>
        <v>0</v>
      </c>
      <c r="AI105" s="13">
        <f t="shared" si="24"/>
        <v>0</v>
      </c>
      <c r="AJ105" s="6" t="str">
        <f t="shared" si="25"/>
        <v xml:space="preserve"> </v>
      </c>
      <c r="AK105" s="21" t="str">
        <f t="shared" si="26"/>
        <v xml:space="preserve"> </v>
      </c>
      <c r="AM105" s="20">
        <f t="shared" si="27"/>
        <v>94</v>
      </c>
      <c r="AN105" s="5">
        <f t="shared" si="28"/>
        <v>0</v>
      </c>
      <c r="AO105" s="5">
        <f t="shared" si="29"/>
        <v>0</v>
      </c>
      <c r="AP105" s="5">
        <f t="shared" si="30"/>
        <v>0</v>
      </c>
      <c r="AQ105" s="5">
        <f>IF(CreditAmort4WORST[[#This Row],[Month]]=AS$8,AO$7,0)</f>
        <v>0</v>
      </c>
      <c r="AR105" s="13">
        <f t="shared" si="31"/>
        <v>0</v>
      </c>
      <c r="AS105" s="6" t="str">
        <f t="shared" si="32"/>
        <v xml:space="preserve"> </v>
      </c>
      <c r="AT105" s="21" t="str">
        <f t="shared" si="33"/>
        <v xml:space="preserve"> </v>
      </c>
    </row>
    <row r="106" spans="3:46">
      <c r="C106" s="22">
        <f t="shared" si="18"/>
        <v>95</v>
      </c>
      <c r="D106" s="23">
        <f>IF(AND(C106&gt;='Amort. Sched.-WORST'!$I$8, C106&lt;= ($I$7+$I$8)), PMT('Amort. Sched.-WORST'!$E$8/12, 'Amort. Sched.-WORST'!$I$7, 'Amort. Sched.-WORST'!$E$7), 0)</f>
        <v>-2026.0175758541329</v>
      </c>
      <c r="E106" s="5">
        <f>IF(AND(C106&gt;='Amort. Sched.-WORST'!$I$8, C106&lt;= ($I$7+$I$8)), (IPMT($E$8/12, (C106-$I$8), $I$7, $E$7)), 0)</f>
        <v>-1510.561774775548</v>
      </c>
      <c r="F106" s="23">
        <f>IF(AND(C106&gt;='Amort. Sched.-WORST'!$I$8, C106&lt;= ($I$7+$I$8)), (PPMT($E$8/12, (C106-$I$8), $I$7, $E$7)), 0)</f>
        <v>-515.4558010785853</v>
      </c>
      <c r="G106" s="5">
        <f>IF(MortgageAmortWORST[[#This Row],[Month]]=I$8,E$7,0)</f>
        <v>0</v>
      </c>
      <c r="H106" s="13">
        <f>IF(AND(C106&gt;='Amort. Sched.-WORST'!$I$8, C106&lt;= ($I$7+$I$8)), H105+F106, 0)</f>
        <v>226068.81041525348</v>
      </c>
      <c r="I106" s="24">
        <f>IF(AND(C106&gt;='Amort. Sched.-WORST'!$I$8, C106&lt;= ($I$7+$I$8)), E106/D106, " ")</f>
        <v>0.74558177223054056</v>
      </c>
      <c r="J106" s="25">
        <f>IF(AND(C106&gt;='Amort. Sched.-WORST'!$I$8, C106&lt;= ($I$7+$I$8)), F106/D106, " ")</f>
        <v>0.25441822776945966</v>
      </c>
      <c r="L106" s="20">
        <f t="shared" si="17"/>
        <v>95</v>
      </c>
      <c r="M106" s="5">
        <f>IF(AND(L106&gt;='Amort. Sched.-WORST'!$R$8, L106&lt;= ($R$7+$R$8)), PMT('Amort. Sched.-WORST'!$N$8/12, 'Amort. Sched.-WORST'!$R$7, 'Amort. Sched.-WORST'!$N$7), 0)</f>
        <v>0</v>
      </c>
      <c r="N106" s="5">
        <f>IF(AND(L106&gt;='Amort. Sched.-WORST'!$R$8, L106&lt;= ($R$7+$R$8)), (IPMT($N$8/12, (L106-$R$8), $R$7, $N$7)), 0)</f>
        <v>0</v>
      </c>
      <c r="O106" s="5">
        <f>IF(AND(L106&gt;='Amort. Sched.-WORST'!$R$8, L106&lt;= ($R$7+$R$8)), (PPMT($N$8/12, (L106-$R$8), $R$7, $N$7)), 0)</f>
        <v>0</v>
      </c>
      <c r="P106" s="5">
        <f>IF(CreditAmort1WORST[[#This Row],[Month]]=R$8,N$7,0)</f>
        <v>0</v>
      </c>
      <c r="Q106" s="13">
        <f>IF(AND(L106&gt;='Amort. Sched.-WORST'!$R$8, L106&lt;= ($R$7+$R$8)), Q105+O106, 0)</f>
        <v>0</v>
      </c>
      <c r="R106" s="6" t="str">
        <f>IF(AND(L106&gt;='Amort. Sched.-WORST'!$R$8, L106&lt;= ($R$7+$R$8)), N106/M106, " ")</f>
        <v xml:space="preserve"> </v>
      </c>
      <c r="S106" s="21" t="str">
        <f>IF(AND(L106&gt;='Amort. Sched.-WORST'!$R$8, L106&lt;= ($R$7+$R$8)), O106/M106, " ")</f>
        <v xml:space="preserve"> </v>
      </c>
      <c r="U106" s="20">
        <f t="shared" si="19"/>
        <v>95</v>
      </c>
      <c r="V106" s="5">
        <f>IF(AND(U106&gt;='Amort. Sched.-WORST'!$AA$8, U106&lt;= ($AA$7+$AA$8)), PMT('Amort. Sched.-WORST'!$W$8/12, 'Amort. Sched.-WORST'!$AA$7, 'Amort. Sched.-WORST'!$W$7), 0)</f>
        <v>0</v>
      </c>
      <c r="W106" s="5">
        <f>IF(AND(U106&gt;='Amort. Sched.-WORST'!$AA$8, U106&lt;= ($AA$7+$AA$8)), (IPMT($W$8/12, (U106-$AA$8), $AA$7, $W$7)), 0)</f>
        <v>0</v>
      </c>
      <c r="X106" s="5">
        <f>IF(AND(U106&gt;='Amort. Sched.-WORST'!$AA$8, U106&lt;= ($AA$7+$AA$8)), (PPMT($W$8/12, (U106-$AA$8), $AA$7, $W$7)), 0)</f>
        <v>0</v>
      </c>
      <c r="Y106" s="5">
        <f>IF(CreditAmort2WORST[[#This Row],[Month]]=AA$8,W$7,0)</f>
        <v>0</v>
      </c>
      <c r="Z106" s="13">
        <f>IF(AND(U106&gt;='Amort. Sched.-WORST'!$AA$8, U106&lt;= ($AA$7+$AA$8)), Z105+X106, 0)</f>
        <v>0</v>
      </c>
      <c r="AA106" s="6" t="str">
        <f>IF(AND(U106&gt;='Amort. Sched.-WORST'!$AA$8, U106&lt;= ($AA$7+$AA$8)), W106/V106, " ")</f>
        <v xml:space="preserve"> </v>
      </c>
      <c r="AB106" s="21" t="str">
        <f>IF(AND(U106&gt;='Amort. Sched.-WORST'!$AA$8, U106&lt;= ($AA$7+$AA$8)), X106/V106, " ")</f>
        <v xml:space="preserve"> </v>
      </c>
      <c r="AD106" s="20">
        <f t="shared" si="20"/>
        <v>95</v>
      </c>
      <c r="AE106" s="5">
        <f t="shared" si="21"/>
        <v>0</v>
      </c>
      <c r="AF106" s="5">
        <f t="shared" si="22"/>
        <v>0</v>
      </c>
      <c r="AG106" s="5">
        <f t="shared" si="23"/>
        <v>0</v>
      </c>
      <c r="AH106" s="5">
        <f>IF(CreditAmort3WORST[[#This Row],[Month]]=AJ$8,AF$7,0)</f>
        <v>0</v>
      </c>
      <c r="AI106" s="13">
        <f t="shared" si="24"/>
        <v>0</v>
      </c>
      <c r="AJ106" s="6" t="str">
        <f t="shared" si="25"/>
        <v xml:space="preserve"> </v>
      </c>
      <c r="AK106" s="21" t="str">
        <f t="shared" si="26"/>
        <v xml:space="preserve"> </v>
      </c>
      <c r="AM106" s="20">
        <f t="shared" si="27"/>
        <v>95</v>
      </c>
      <c r="AN106" s="5">
        <f t="shared" si="28"/>
        <v>0</v>
      </c>
      <c r="AO106" s="5">
        <f t="shared" si="29"/>
        <v>0</v>
      </c>
      <c r="AP106" s="5">
        <f t="shared" si="30"/>
        <v>0</v>
      </c>
      <c r="AQ106" s="5">
        <f>IF(CreditAmort4WORST[[#This Row],[Month]]=AS$8,AO$7,0)</f>
        <v>0</v>
      </c>
      <c r="AR106" s="13">
        <f t="shared" si="31"/>
        <v>0</v>
      </c>
      <c r="AS106" s="6" t="str">
        <f t="shared" si="32"/>
        <v xml:space="preserve"> </v>
      </c>
      <c r="AT106" s="21" t="str">
        <f t="shared" si="33"/>
        <v xml:space="preserve"> </v>
      </c>
    </row>
    <row r="107" spans="3:46">
      <c r="C107" s="22">
        <f t="shared" si="18"/>
        <v>96</v>
      </c>
      <c r="D107" s="23">
        <f>IF(AND(C107&gt;='Amort. Sched.-WORST'!$I$8, C107&lt;= ($I$7+$I$8)), PMT('Amort. Sched.-WORST'!$E$8/12, 'Amort. Sched.-WORST'!$I$7, 'Amort. Sched.-WORST'!$E$7), 0)</f>
        <v>-2026.0175758541329</v>
      </c>
      <c r="E107" s="5">
        <f>IF(AND(C107&gt;='Amort. Sched.-WORST'!$I$8, C107&lt;= ($I$7+$I$8)), (IPMT($E$8/12, (C107-$I$8), $I$7, $E$7)), 0)</f>
        <v>-1507.1254027683572</v>
      </c>
      <c r="F107" s="23">
        <f>IF(AND(C107&gt;='Amort. Sched.-WORST'!$I$8, C107&lt;= ($I$7+$I$8)), (PPMT($E$8/12, (C107-$I$8), $I$7, $E$7)), 0)</f>
        <v>-518.89217308577565</v>
      </c>
      <c r="G107" s="5">
        <f>IF(MortgageAmortWORST[[#This Row],[Month]]=I$8,E$7,0)</f>
        <v>0</v>
      </c>
      <c r="H107" s="13">
        <f>IF(AND(C107&gt;='Amort. Sched.-WORST'!$I$8, C107&lt;= ($I$7+$I$8)), H106+F107, 0)</f>
        <v>225549.91824216771</v>
      </c>
      <c r="I107" s="24">
        <f>IF(AND(C107&gt;='Amort. Sched.-WORST'!$I$8, C107&lt;= ($I$7+$I$8)), E107/D107, " ")</f>
        <v>0.74388565071207735</v>
      </c>
      <c r="J107" s="25">
        <f>IF(AND(C107&gt;='Amort. Sched.-WORST'!$I$8, C107&lt;= ($I$7+$I$8)), F107/D107, " ")</f>
        <v>0.25611434928792259</v>
      </c>
      <c r="L107" s="20">
        <f t="shared" si="17"/>
        <v>96</v>
      </c>
      <c r="M107" s="5">
        <f>IF(AND(L107&gt;='Amort. Sched.-WORST'!$R$8, L107&lt;= ($R$7+$R$8)), PMT('Amort. Sched.-WORST'!$N$8/12, 'Amort. Sched.-WORST'!$R$7, 'Amort. Sched.-WORST'!$N$7), 0)</f>
        <v>0</v>
      </c>
      <c r="N107" s="5">
        <f>IF(AND(L107&gt;='Amort. Sched.-WORST'!$R$8, L107&lt;= ($R$7+$R$8)), (IPMT($N$8/12, (L107-$R$8), $R$7, $N$7)), 0)</f>
        <v>0</v>
      </c>
      <c r="O107" s="5">
        <f>IF(AND(L107&gt;='Amort. Sched.-WORST'!$R$8, L107&lt;= ($R$7+$R$8)), (PPMT($N$8/12, (L107-$R$8), $R$7, $N$7)), 0)</f>
        <v>0</v>
      </c>
      <c r="P107" s="5">
        <f>IF(CreditAmort1WORST[[#This Row],[Month]]=R$8,N$7,0)</f>
        <v>0</v>
      </c>
      <c r="Q107" s="13">
        <f>IF(AND(L107&gt;='Amort. Sched.-WORST'!$R$8, L107&lt;= ($R$7+$R$8)), Q106+O107, 0)</f>
        <v>0</v>
      </c>
      <c r="R107" s="6" t="str">
        <f>IF(AND(L107&gt;='Amort. Sched.-WORST'!$R$8, L107&lt;= ($R$7+$R$8)), N107/M107, " ")</f>
        <v xml:space="preserve"> </v>
      </c>
      <c r="S107" s="21" t="str">
        <f>IF(AND(L107&gt;='Amort. Sched.-WORST'!$R$8, L107&lt;= ($R$7+$R$8)), O107/M107, " ")</f>
        <v xml:space="preserve"> </v>
      </c>
      <c r="U107" s="20">
        <f t="shared" si="19"/>
        <v>96</v>
      </c>
      <c r="V107" s="5">
        <f>IF(AND(U107&gt;='Amort. Sched.-WORST'!$AA$8, U107&lt;= ($AA$7+$AA$8)), PMT('Amort. Sched.-WORST'!$W$8/12, 'Amort. Sched.-WORST'!$AA$7, 'Amort. Sched.-WORST'!$W$7), 0)</f>
        <v>0</v>
      </c>
      <c r="W107" s="5">
        <f>IF(AND(U107&gt;='Amort. Sched.-WORST'!$AA$8, U107&lt;= ($AA$7+$AA$8)), (IPMT($W$8/12, (U107-$AA$8), $AA$7, $W$7)), 0)</f>
        <v>0</v>
      </c>
      <c r="X107" s="5">
        <f>IF(AND(U107&gt;='Amort. Sched.-WORST'!$AA$8, U107&lt;= ($AA$7+$AA$8)), (PPMT($W$8/12, (U107-$AA$8), $AA$7, $W$7)), 0)</f>
        <v>0</v>
      </c>
      <c r="Y107" s="5">
        <f>IF(CreditAmort2WORST[[#This Row],[Month]]=AA$8,W$7,0)</f>
        <v>0</v>
      </c>
      <c r="Z107" s="13">
        <f>IF(AND(U107&gt;='Amort. Sched.-WORST'!$AA$8, U107&lt;= ($AA$7+$AA$8)), Z106+X107, 0)</f>
        <v>0</v>
      </c>
      <c r="AA107" s="6" t="str">
        <f>IF(AND(U107&gt;='Amort. Sched.-WORST'!$AA$8, U107&lt;= ($AA$7+$AA$8)), W107/V107, " ")</f>
        <v xml:space="preserve"> </v>
      </c>
      <c r="AB107" s="21" t="str">
        <f>IF(AND(U107&gt;='Amort. Sched.-WORST'!$AA$8, U107&lt;= ($AA$7+$AA$8)), X107/V107, " ")</f>
        <v xml:space="preserve"> </v>
      </c>
      <c r="AD107" s="20">
        <f t="shared" si="20"/>
        <v>96</v>
      </c>
      <c r="AE107" s="5">
        <f t="shared" si="21"/>
        <v>0</v>
      </c>
      <c r="AF107" s="5">
        <f t="shared" si="22"/>
        <v>0</v>
      </c>
      <c r="AG107" s="5">
        <f t="shared" si="23"/>
        <v>0</v>
      </c>
      <c r="AH107" s="5">
        <f>IF(CreditAmort3WORST[[#This Row],[Month]]=AJ$8,AF$7,0)</f>
        <v>0</v>
      </c>
      <c r="AI107" s="13">
        <f t="shared" si="24"/>
        <v>0</v>
      </c>
      <c r="AJ107" s="6" t="str">
        <f t="shared" si="25"/>
        <v xml:space="preserve"> </v>
      </c>
      <c r="AK107" s="21" t="str">
        <f t="shared" si="26"/>
        <v xml:space="preserve"> </v>
      </c>
      <c r="AM107" s="20">
        <f t="shared" si="27"/>
        <v>96</v>
      </c>
      <c r="AN107" s="5">
        <f t="shared" si="28"/>
        <v>0</v>
      </c>
      <c r="AO107" s="5">
        <f t="shared" si="29"/>
        <v>0</v>
      </c>
      <c r="AP107" s="5">
        <f t="shared" si="30"/>
        <v>0</v>
      </c>
      <c r="AQ107" s="5">
        <f>IF(CreditAmort4WORST[[#This Row],[Month]]=AS$8,AO$7,0)</f>
        <v>0</v>
      </c>
      <c r="AR107" s="13">
        <f t="shared" si="31"/>
        <v>0</v>
      </c>
      <c r="AS107" s="6" t="str">
        <f t="shared" si="32"/>
        <v xml:space="preserve"> </v>
      </c>
      <c r="AT107" s="21" t="str">
        <f t="shared" si="33"/>
        <v xml:space="preserve"> </v>
      </c>
    </row>
    <row r="108" spans="3:46">
      <c r="C108" s="22">
        <f t="shared" si="18"/>
        <v>97</v>
      </c>
      <c r="D108" s="23">
        <f>IF(AND(C108&gt;='Amort. Sched.-WORST'!$I$8, C108&lt;= ($I$7+$I$8)), PMT('Amort. Sched.-WORST'!$E$8/12, 'Amort. Sched.-WORST'!$I$7, 'Amort. Sched.-WORST'!$E$7), 0)</f>
        <v>-2026.0175758541329</v>
      </c>
      <c r="E108" s="5">
        <f>IF(AND(C108&gt;='Amort. Sched.-WORST'!$I$8, C108&lt;= ($I$7+$I$8)), (IPMT($E$8/12, (C108-$I$8), $I$7, $E$7)), 0)</f>
        <v>-1503.6661216144519</v>
      </c>
      <c r="F108" s="23">
        <f>IF(AND(C108&gt;='Amort. Sched.-WORST'!$I$8, C108&lt;= ($I$7+$I$8)), (PPMT($E$8/12, (C108-$I$8), $I$7, $E$7)), 0)</f>
        <v>-522.35145423968095</v>
      </c>
      <c r="G108" s="5">
        <f>IF(MortgageAmortWORST[[#This Row],[Month]]=I$8,E$7,0)</f>
        <v>0</v>
      </c>
      <c r="H108" s="13">
        <f>IF(AND(C108&gt;='Amort. Sched.-WORST'!$I$8, C108&lt;= ($I$7+$I$8)), H107+F108, 0)</f>
        <v>225027.56678792802</v>
      </c>
      <c r="I108" s="24">
        <f>IF(AND(C108&gt;='Amort. Sched.-WORST'!$I$8, C108&lt;= ($I$7+$I$8)), E108/D108, " ")</f>
        <v>0.74217822171682446</v>
      </c>
      <c r="J108" s="25">
        <f>IF(AND(C108&gt;='Amort. Sched.-WORST'!$I$8, C108&lt;= ($I$7+$I$8)), F108/D108, " ")</f>
        <v>0.25782177828317548</v>
      </c>
      <c r="L108" s="20">
        <f t="shared" si="17"/>
        <v>97</v>
      </c>
      <c r="M108" s="5">
        <f>IF(AND(L108&gt;='Amort. Sched.-WORST'!$R$8, L108&lt;= ($R$7+$R$8)), PMT('Amort. Sched.-WORST'!$N$8/12, 'Amort. Sched.-WORST'!$R$7, 'Amort. Sched.-WORST'!$N$7), 0)</f>
        <v>0</v>
      </c>
      <c r="N108" s="5">
        <f>IF(AND(L108&gt;='Amort. Sched.-WORST'!$R$8, L108&lt;= ($R$7+$R$8)), (IPMT($N$8/12, (L108-$R$8), $R$7, $N$7)), 0)</f>
        <v>0</v>
      </c>
      <c r="O108" s="5">
        <f>IF(AND(L108&gt;='Amort. Sched.-WORST'!$R$8, L108&lt;= ($R$7+$R$8)), (PPMT($N$8/12, (L108-$R$8), $R$7, $N$7)), 0)</f>
        <v>0</v>
      </c>
      <c r="P108" s="5">
        <f>IF(CreditAmort1WORST[[#This Row],[Month]]=R$8,N$7,0)</f>
        <v>0</v>
      </c>
      <c r="Q108" s="13">
        <f>IF(AND(L108&gt;='Amort. Sched.-WORST'!$R$8, L108&lt;= ($R$7+$R$8)), Q107+O108, 0)</f>
        <v>0</v>
      </c>
      <c r="R108" s="6" t="str">
        <f>IF(AND(L108&gt;='Amort. Sched.-WORST'!$R$8, L108&lt;= ($R$7+$R$8)), N108/M108, " ")</f>
        <v xml:space="preserve"> </v>
      </c>
      <c r="S108" s="21" t="str">
        <f>IF(AND(L108&gt;='Amort. Sched.-WORST'!$R$8, L108&lt;= ($R$7+$R$8)), O108/M108, " ")</f>
        <v xml:space="preserve"> </v>
      </c>
      <c r="U108" s="20">
        <f t="shared" si="19"/>
        <v>97</v>
      </c>
      <c r="V108" s="5">
        <f>IF(AND(U108&gt;='Amort. Sched.-WORST'!$AA$8, U108&lt;= ($AA$7+$AA$8)), PMT('Amort. Sched.-WORST'!$W$8/12, 'Amort. Sched.-WORST'!$AA$7, 'Amort. Sched.-WORST'!$W$7), 0)</f>
        <v>0</v>
      </c>
      <c r="W108" s="5">
        <f>IF(AND(U108&gt;='Amort. Sched.-WORST'!$AA$8, U108&lt;= ($AA$7+$AA$8)), (IPMT($W$8/12, (U108-$AA$8), $AA$7, $W$7)), 0)</f>
        <v>0</v>
      </c>
      <c r="X108" s="5">
        <f>IF(AND(U108&gt;='Amort. Sched.-WORST'!$AA$8, U108&lt;= ($AA$7+$AA$8)), (PPMT($W$8/12, (U108-$AA$8), $AA$7, $W$7)), 0)</f>
        <v>0</v>
      </c>
      <c r="Y108" s="5">
        <f>IF(CreditAmort2WORST[[#This Row],[Month]]=AA$8,W$7,0)</f>
        <v>0</v>
      </c>
      <c r="Z108" s="13">
        <f>IF(AND(U108&gt;='Amort. Sched.-WORST'!$AA$8, U108&lt;= ($AA$7+$AA$8)), Z107+X108, 0)</f>
        <v>0</v>
      </c>
      <c r="AA108" s="6" t="str">
        <f>IF(AND(U108&gt;='Amort. Sched.-WORST'!$AA$8, U108&lt;= ($AA$7+$AA$8)), W108/V108, " ")</f>
        <v xml:space="preserve"> </v>
      </c>
      <c r="AB108" s="21" t="str">
        <f>IF(AND(U108&gt;='Amort. Sched.-WORST'!$AA$8, U108&lt;= ($AA$7+$AA$8)), X108/V108, " ")</f>
        <v xml:space="preserve"> </v>
      </c>
      <c r="AD108" s="20">
        <f t="shared" si="20"/>
        <v>97</v>
      </c>
      <c r="AE108" s="5">
        <f t="shared" si="21"/>
        <v>0</v>
      </c>
      <c r="AF108" s="5">
        <f t="shared" si="22"/>
        <v>0</v>
      </c>
      <c r="AG108" s="5">
        <f t="shared" si="23"/>
        <v>0</v>
      </c>
      <c r="AH108" s="5">
        <f>IF(CreditAmort3WORST[[#This Row],[Month]]=AJ$8,AF$7,0)</f>
        <v>0</v>
      </c>
      <c r="AI108" s="13">
        <f t="shared" si="24"/>
        <v>0</v>
      </c>
      <c r="AJ108" s="6" t="str">
        <f t="shared" si="25"/>
        <v xml:space="preserve"> </v>
      </c>
      <c r="AK108" s="21" t="str">
        <f t="shared" si="26"/>
        <v xml:space="preserve"> </v>
      </c>
      <c r="AM108" s="20">
        <f t="shared" si="27"/>
        <v>97</v>
      </c>
      <c r="AN108" s="5">
        <f t="shared" si="28"/>
        <v>0</v>
      </c>
      <c r="AO108" s="5">
        <f t="shared" si="29"/>
        <v>0</v>
      </c>
      <c r="AP108" s="5">
        <f t="shared" si="30"/>
        <v>0</v>
      </c>
      <c r="AQ108" s="5">
        <f>IF(CreditAmort4WORST[[#This Row],[Month]]=AS$8,AO$7,0)</f>
        <v>0</v>
      </c>
      <c r="AR108" s="13">
        <f t="shared" si="31"/>
        <v>0</v>
      </c>
      <c r="AS108" s="6" t="str">
        <f t="shared" si="32"/>
        <v xml:space="preserve"> </v>
      </c>
      <c r="AT108" s="21" t="str">
        <f t="shared" si="33"/>
        <v xml:space="preserve"> </v>
      </c>
    </row>
    <row r="109" spans="3:46">
      <c r="C109" s="22">
        <f t="shared" si="18"/>
        <v>98</v>
      </c>
      <c r="D109" s="23">
        <f>IF(AND(C109&gt;='Amort. Sched.-WORST'!$I$8, C109&lt;= ($I$7+$I$8)), PMT('Amort. Sched.-WORST'!$E$8/12, 'Amort. Sched.-WORST'!$I$7, 'Amort. Sched.-WORST'!$E$7), 0)</f>
        <v>-2026.0175758541329</v>
      </c>
      <c r="E109" s="5">
        <f>IF(AND(C109&gt;='Amort. Sched.-WORST'!$I$8, C109&lt;= ($I$7+$I$8)), (IPMT($E$8/12, (C109-$I$8), $I$7, $E$7)), 0)</f>
        <v>-1500.1837785861876</v>
      </c>
      <c r="F109" s="23">
        <f>IF(AND(C109&gt;='Amort. Sched.-WORST'!$I$8, C109&lt;= ($I$7+$I$8)), (PPMT($E$8/12, (C109-$I$8), $I$7, $E$7)), 0)</f>
        <v>-525.83379726794544</v>
      </c>
      <c r="G109" s="5">
        <f>IF(MortgageAmortWORST[[#This Row],[Month]]=I$8,E$7,0)</f>
        <v>0</v>
      </c>
      <c r="H109" s="13">
        <f>IF(AND(C109&gt;='Amort. Sched.-WORST'!$I$8, C109&lt;= ($I$7+$I$8)), H108+F109, 0)</f>
        <v>224501.73299066006</v>
      </c>
      <c r="I109" s="24">
        <f>IF(AND(C109&gt;='Amort. Sched.-WORST'!$I$8, C109&lt;= ($I$7+$I$8)), E109/D109, " ")</f>
        <v>0.74045940986160341</v>
      </c>
      <c r="J109" s="25">
        <f>IF(AND(C109&gt;='Amort. Sched.-WORST'!$I$8, C109&lt;= ($I$7+$I$8)), F109/D109, " ")</f>
        <v>0.25954059013839664</v>
      </c>
      <c r="L109" s="20">
        <f t="shared" si="17"/>
        <v>98</v>
      </c>
      <c r="M109" s="5">
        <f>IF(AND(L109&gt;='Amort. Sched.-WORST'!$R$8, L109&lt;= ($R$7+$R$8)), PMT('Amort. Sched.-WORST'!$N$8/12, 'Amort. Sched.-WORST'!$R$7, 'Amort. Sched.-WORST'!$N$7), 0)</f>
        <v>0</v>
      </c>
      <c r="N109" s="5">
        <f>IF(AND(L109&gt;='Amort. Sched.-WORST'!$R$8, L109&lt;= ($R$7+$R$8)), (IPMT($N$8/12, (L109-$R$8), $R$7, $N$7)), 0)</f>
        <v>0</v>
      </c>
      <c r="O109" s="5">
        <f>IF(AND(L109&gt;='Amort. Sched.-WORST'!$R$8, L109&lt;= ($R$7+$R$8)), (PPMT($N$8/12, (L109-$R$8), $R$7, $N$7)), 0)</f>
        <v>0</v>
      </c>
      <c r="P109" s="5">
        <f>IF(CreditAmort1WORST[[#This Row],[Month]]=R$8,N$7,0)</f>
        <v>0</v>
      </c>
      <c r="Q109" s="13">
        <f>IF(AND(L109&gt;='Amort. Sched.-WORST'!$R$8, L109&lt;= ($R$7+$R$8)), Q108+O109, 0)</f>
        <v>0</v>
      </c>
      <c r="R109" s="6" t="str">
        <f>IF(AND(L109&gt;='Amort. Sched.-WORST'!$R$8, L109&lt;= ($R$7+$R$8)), N109/M109, " ")</f>
        <v xml:space="preserve"> </v>
      </c>
      <c r="S109" s="21" t="str">
        <f>IF(AND(L109&gt;='Amort. Sched.-WORST'!$R$8, L109&lt;= ($R$7+$R$8)), O109/M109, " ")</f>
        <v xml:space="preserve"> </v>
      </c>
      <c r="U109" s="20">
        <f t="shared" si="19"/>
        <v>98</v>
      </c>
      <c r="V109" s="5">
        <f>IF(AND(U109&gt;='Amort. Sched.-WORST'!$AA$8, U109&lt;= ($AA$7+$AA$8)), PMT('Amort. Sched.-WORST'!$W$8/12, 'Amort. Sched.-WORST'!$AA$7, 'Amort. Sched.-WORST'!$W$7), 0)</f>
        <v>0</v>
      </c>
      <c r="W109" s="5">
        <f>IF(AND(U109&gt;='Amort. Sched.-WORST'!$AA$8, U109&lt;= ($AA$7+$AA$8)), (IPMT($W$8/12, (U109-$AA$8), $AA$7, $W$7)), 0)</f>
        <v>0</v>
      </c>
      <c r="X109" s="5">
        <f>IF(AND(U109&gt;='Amort. Sched.-WORST'!$AA$8, U109&lt;= ($AA$7+$AA$8)), (PPMT($W$8/12, (U109-$AA$8), $AA$7, $W$7)), 0)</f>
        <v>0</v>
      </c>
      <c r="Y109" s="5">
        <f>IF(CreditAmort2WORST[[#This Row],[Month]]=AA$8,W$7,0)</f>
        <v>0</v>
      </c>
      <c r="Z109" s="13">
        <f>IF(AND(U109&gt;='Amort. Sched.-WORST'!$AA$8, U109&lt;= ($AA$7+$AA$8)), Z108+X109, 0)</f>
        <v>0</v>
      </c>
      <c r="AA109" s="6" t="str">
        <f>IF(AND(U109&gt;='Amort. Sched.-WORST'!$AA$8, U109&lt;= ($AA$7+$AA$8)), W109/V109, " ")</f>
        <v xml:space="preserve"> </v>
      </c>
      <c r="AB109" s="21" t="str">
        <f>IF(AND(U109&gt;='Amort. Sched.-WORST'!$AA$8, U109&lt;= ($AA$7+$AA$8)), X109/V109, " ")</f>
        <v xml:space="preserve"> </v>
      </c>
      <c r="AD109" s="20">
        <f t="shared" si="20"/>
        <v>98</v>
      </c>
      <c r="AE109" s="5">
        <f t="shared" si="21"/>
        <v>0</v>
      </c>
      <c r="AF109" s="5">
        <f t="shared" si="22"/>
        <v>0</v>
      </c>
      <c r="AG109" s="5">
        <f t="shared" si="23"/>
        <v>0</v>
      </c>
      <c r="AH109" s="5">
        <f>IF(CreditAmort3WORST[[#This Row],[Month]]=AJ$8,AF$7,0)</f>
        <v>0</v>
      </c>
      <c r="AI109" s="13">
        <f t="shared" si="24"/>
        <v>0</v>
      </c>
      <c r="AJ109" s="6" t="str">
        <f t="shared" si="25"/>
        <v xml:space="preserve"> </v>
      </c>
      <c r="AK109" s="21" t="str">
        <f t="shared" si="26"/>
        <v xml:space="preserve"> </v>
      </c>
      <c r="AM109" s="20">
        <f t="shared" si="27"/>
        <v>98</v>
      </c>
      <c r="AN109" s="5">
        <f t="shared" si="28"/>
        <v>0</v>
      </c>
      <c r="AO109" s="5">
        <f t="shared" si="29"/>
        <v>0</v>
      </c>
      <c r="AP109" s="5">
        <f t="shared" si="30"/>
        <v>0</v>
      </c>
      <c r="AQ109" s="5">
        <f>IF(CreditAmort4WORST[[#This Row],[Month]]=AS$8,AO$7,0)</f>
        <v>0</v>
      </c>
      <c r="AR109" s="13">
        <f t="shared" si="31"/>
        <v>0</v>
      </c>
      <c r="AS109" s="6" t="str">
        <f t="shared" si="32"/>
        <v xml:space="preserve"> </v>
      </c>
      <c r="AT109" s="21" t="str">
        <f t="shared" si="33"/>
        <v xml:space="preserve"> </v>
      </c>
    </row>
    <row r="110" spans="3:46">
      <c r="C110" s="22">
        <f t="shared" si="18"/>
        <v>99</v>
      </c>
      <c r="D110" s="23">
        <f>IF(AND(C110&gt;='Amort. Sched.-WORST'!$I$8, C110&lt;= ($I$7+$I$8)), PMT('Amort. Sched.-WORST'!$E$8/12, 'Amort. Sched.-WORST'!$I$7, 'Amort. Sched.-WORST'!$E$7), 0)</f>
        <v>-2026.0175758541329</v>
      </c>
      <c r="E110" s="5">
        <f>IF(AND(C110&gt;='Amort. Sched.-WORST'!$I$8, C110&lt;= ($I$7+$I$8)), (IPMT($E$8/12, (C110-$I$8), $I$7, $E$7)), 0)</f>
        <v>-1496.6782199377346</v>
      </c>
      <c r="F110" s="23">
        <f>IF(AND(C110&gt;='Amort. Sched.-WORST'!$I$8, C110&lt;= ($I$7+$I$8)), (PPMT($E$8/12, (C110-$I$8), $I$7, $E$7)), 0)</f>
        <v>-529.3393559163984</v>
      </c>
      <c r="G110" s="5">
        <f>IF(MortgageAmortWORST[[#This Row],[Month]]=I$8,E$7,0)</f>
        <v>0</v>
      </c>
      <c r="H110" s="13">
        <f>IF(AND(C110&gt;='Amort. Sched.-WORST'!$I$8, C110&lt;= ($I$7+$I$8)), H109+F110, 0)</f>
        <v>223972.39363474367</v>
      </c>
      <c r="I110" s="24">
        <f>IF(AND(C110&gt;='Amort. Sched.-WORST'!$I$8, C110&lt;= ($I$7+$I$8)), E110/D110, " ")</f>
        <v>0.73872913926068073</v>
      </c>
      <c r="J110" s="25">
        <f>IF(AND(C110&gt;='Amort. Sched.-WORST'!$I$8, C110&lt;= ($I$7+$I$8)), F110/D110, " ")</f>
        <v>0.26127086073931927</v>
      </c>
      <c r="L110" s="20">
        <f t="shared" si="17"/>
        <v>99</v>
      </c>
      <c r="M110" s="5">
        <f>IF(AND(L110&gt;='Amort. Sched.-WORST'!$R$8, L110&lt;= ($R$7+$R$8)), PMT('Amort. Sched.-WORST'!$N$8/12, 'Amort. Sched.-WORST'!$R$7, 'Amort. Sched.-WORST'!$N$7), 0)</f>
        <v>0</v>
      </c>
      <c r="N110" s="5">
        <f>IF(AND(L110&gt;='Amort. Sched.-WORST'!$R$8, L110&lt;= ($R$7+$R$8)), (IPMT($N$8/12, (L110-$R$8), $R$7, $N$7)), 0)</f>
        <v>0</v>
      </c>
      <c r="O110" s="5">
        <f>IF(AND(L110&gt;='Amort. Sched.-WORST'!$R$8, L110&lt;= ($R$7+$R$8)), (PPMT($N$8/12, (L110-$R$8), $R$7, $N$7)), 0)</f>
        <v>0</v>
      </c>
      <c r="P110" s="5">
        <f>IF(CreditAmort1WORST[[#This Row],[Month]]=R$8,N$7,0)</f>
        <v>0</v>
      </c>
      <c r="Q110" s="13">
        <f>IF(AND(L110&gt;='Amort. Sched.-WORST'!$R$8, L110&lt;= ($R$7+$R$8)), Q109+O110, 0)</f>
        <v>0</v>
      </c>
      <c r="R110" s="6" t="str">
        <f>IF(AND(L110&gt;='Amort. Sched.-WORST'!$R$8, L110&lt;= ($R$7+$R$8)), N110/M110, " ")</f>
        <v xml:space="preserve"> </v>
      </c>
      <c r="S110" s="21" t="str">
        <f>IF(AND(L110&gt;='Amort. Sched.-WORST'!$R$8, L110&lt;= ($R$7+$R$8)), O110/M110, " ")</f>
        <v xml:space="preserve"> </v>
      </c>
      <c r="U110" s="20">
        <f t="shared" si="19"/>
        <v>99</v>
      </c>
      <c r="V110" s="5">
        <f>IF(AND(U110&gt;='Amort. Sched.-WORST'!$AA$8, U110&lt;= ($AA$7+$AA$8)), PMT('Amort. Sched.-WORST'!$W$8/12, 'Amort. Sched.-WORST'!$AA$7, 'Amort. Sched.-WORST'!$W$7), 0)</f>
        <v>0</v>
      </c>
      <c r="W110" s="5">
        <f>IF(AND(U110&gt;='Amort. Sched.-WORST'!$AA$8, U110&lt;= ($AA$7+$AA$8)), (IPMT($W$8/12, (U110-$AA$8), $AA$7, $W$7)), 0)</f>
        <v>0</v>
      </c>
      <c r="X110" s="5">
        <f>IF(AND(U110&gt;='Amort. Sched.-WORST'!$AA$8, U110&lt;= ($AA$7+$AA$8)), (PPMT($W$8/12, (U110-$AA$8), $AA$7, $W$7)), 0)</f>
        <v>0</v>
      </c>
      <c r="Y110" s="5">
        <f>IF(CreditAmort2WORST[[#This Row],[Month]]=AA$8,W$7,0)</f>
        <v>0</v>
      </c>
      <c r="Z110" s="13">
        <f>IF(AND(U110&gt;='Amort. Sched.-WORST'!$AA$8, U110&lt;= ($AA$7+$AA$8)), Z109+X110, 0)</f>
        <v>0</v>
      </c>
      <c r="AA110" s="6" t="str">
        <f>IF(AND(U110&gt;='Amort. Sched.-WORST'!$AA$8, U110&lt;= ($AA$7+$AA$8)), W110/V110, " ")</f>
        <v xml:space="preserve"> </v>
      </c>
      <c r="AB110" s="21" t="str">
        <f>IF(AND(U110&gt;='Amort. Sched.-WORST'!$AA$8, U110&lt;= ($AA$7+$AA$8)), X110/V110, " ")</f>
        <v xml:space="preserve"> </v>
      </c>
      <c r="AD110" s="20">
        <f t="shared" si="20"/>
        <v>99</v>
      </c>
      <c r="AE110" s="5">
        <f t="shared" si="21"/>
        <v>0</v>
      </c>
      <c r="AF110" s="5">
        <f t="shared" si="22"/>
        <v>0</v>
      </c>
      <c r="AG110" s="5">
        <f t="shared" si="23"/>
        <v>0</v>
      </c>
      <c r="AH110" s="5">
        <f>IF(CreditAmort3WORST[[#This Row],[Month]]=AJ$8,AF$7,0)</f>
        <v>0</v>
      </c>
      <c r="AI110" s="13">
        <f t="shared" si="24"/>
        <v>0</v>
      </c>
      <c r="AJ110" s="6" t="str">
        <f t="shared" si="25"/>
        <v xml:space="preserve"> </v>
      </c>
      <c r="AK110" s="21" t="str">
        <f t="shared" si="26"/>
        <v xml:space="preserve"> </v>
      </c>
      <c r="AM110" s="20">
        <f t="shared" si="27"/>
        <v>99</v>
      </c>
      <c r="AN110" s="5">
        <f t="shared" si="28"/>
        <v>0</v>
      </c>
      <c r="AO110" s="5">
        <f t="shared" si="29"/>
        <v>0</v>
      </c>
      <c r="AP110" s="5">
        <f t="shared" si="30"/>
        <v>0</v>
      </c>
      <c r="AQ110" s="5">
        <f>IF(CreditAmort4WORST[[#This Row],[Month]]=AS$8,AO$7,0)</f>
        <v>0</v>
      </c>
      <c r="AR110" s="13">
        <f t="shared" si="31"/>
        <v>0</v>
      </c>
      <c r="AS110" s="6" t="str">
        <f t="shared" si="32"/>
        <v xml:space="preserve"> </v>
      </c>
      <c r="AT110" s="21" t="str">
        <f t="shared" si="33"/>
        <v xml:space="preserve"> </v>
      </c>
    </row>
    <row r="111" spans="3:46">
      <c r="C111" s="22">
        <f t="shared" si="18"/>
        <v>100</v>
      </c>
      <c r="D111" s="23">
        <f>IF(AND(C111&gt;='Amort. Sched.-WORST'!$I$8, C111&lt;= ($I$7+$I$8)), PMT('Amort. Sched.-WORST'!$E$8/12, 'Amort. Sched.-WORST'!$I$7, 'Amort. Sched.-WORST'!$E$7), 0)</f>
        <v>-2026.0175758541329</v>
      </c>
      <c r="E111" s="5">
        <f>IF(AND(C111&gt;='Amort. Sched.-WORST'!$I$8, C111&lt;= ($I$7+$I$8)), (IPMT($E$8/12, (C111-$I$8), $I$7, $E$7)), 0)</f>
        <v>-1493.1492908982921</v>
      </c>
      <c r="F111" s="23">
        <f>IF(AND(C111&gt;='Amort. Sched.-WORST'!$I$8, C111&lt;= ($I$7+$I$8)), (PPMT($E$8/12, (C111-$I$8), $I$7, $E$7)), 0)</f>
        <v>-532.86828495584109</v>
      </c>
      <c r="G111" s="5">
        <f>IF(MortgageAmortWORST[[#This Row],[Month]]=I$8,E$7,0)</f>
        <v>0</v>
      </c>
      <c r="H111" s="13">
        <f>IF(AND(C111&gt;='Amort. Sched.-WORST'!$I$8, C111&lt;= ($I$7+$I$8)), H110+F111, 0)</f>
        <v>223439.52534978781</v>
      </c>
      <c r="I111" s="24">
        <f>IF(AND(C111&gt;='Amort. Sched.-WORST'!$I$8, C111&lt;= ($I$7+$I$8)), E111/D111, " ")</f>
        <v>0.73698733352241874</v>
      </c>
      <c r="J111" s="25">
        <f>IF(AND(C111&gt;='Amort. Sched.-WORST'!$I$8, C111&lt;= ($I$7+$I$8)), F111/D111, " ")</f>
        <v>0.26301266647758142</v>
      </c>
      <c r="L111" s="20">
        <f t="shared" si="17"/>
        <v>100</v>
      </c>
      <c r="M111" s="5">
        <f>IF(AND(L111&gt;='Amort. Sched.-WORST'!$R$8, L111&lt;= ($R$7+$R$8)), PMT('Amort. Sched.-WORST'!$N$8/12, 'Amort. Sched.-WORST'!$R$7, 'Amort. Sched.-WORST'!$N$7), 0)</f>
        <v>0</v>
      </c>
      <c r="N111" s="5">
        <f>IF(AND(L111&gt;='Amort. Sched.-WORST'!$R$8, L111&lt;= ($R$7+$R$8)), (IPMT($N$8/12, (L111-$R$8), $R$7, $N$7)), 0)</f>
        <v>0</v>
      </c>
      <c r="O111" s="5">
        <f>IF(AND(L111&gt;='Amort. Sched.-WORST'!$R$8, L111&lt;= ($R$7+$R$8)), (PPMT($N$8/12, (L111-$R$8), $R$7, $N$7)), 0)</f>
        <v>0</v>
      </c>
      <c r="P111" s="5">
        <f>IF(CreditAmort1WORST[[#This Row],[Month]]=R$8,N$7,0)</f>
        <v>0</v>
      </c>
      <c r="Q111" s="13">
        <f>IF(AND(L111&gt;='Amort. Sched.-WORST'!$R$8, L111&lt;= ($R$7+$R$8)), Q110+O111, 0)</f>
        <v>0</v>
      </c>
      <c r="R111" s="6" t="str">
        <f>IF(AND(L111&gt;='Amort. Sched.-WORST'!$R$8, L111&lt;= ($R$7+$R$8)), N111/M111, " ")</f>
        <v xml:space="preserve"> </v>
      </c>
      <c r="S111" s="21" t="str">
        <f>IF(AND(L111&gt;='Amort. Sched.-WORST'!$R$8, L111&lt;= ($R$7+$R$8)), O111/M111, " ")</f>
        <v xml:space="preserve"> </v>
      </c>
      <c r="U111" s="20">
        <f t="shared" si="19"/>
        <v>100</v>
      </c>
      <c r="V111" s="5">
        <f>IF(AND(U111&gt;='Amort. Sched.-WORST'!$AA$8, U111&lt;= ($AA$7+$AA$8)), PMT('Amort. Sched.-WORST'!$W$8/12, 'Amort. Sched.-WORST'!$AA$7, 'Amort. Sched.-WORST'!$W$7), 0)</f>
        <v>0</v>
      </c>
      <c r="W111" s="5">
        <f>IF(AND(U111&gt;='Amort. Sched.-WORST'!$AA$8, U111&lt;= ($AA$7+$AA$8)), (IPMT($W$8/12, (U111-$AA$8), $AA$7, $W$7)), 0)</f>
        <v>0</v>
      </c>
      <c r="X111" s="5">
        <f>IF(AND(U111&gt;='Amort. Sched.-WORST'!$AA$8, U111&lt;= ($AA$7+$AA$8)), (PPMT($W$8/12, (U111-$AA$8), $AA$7, $W$7)), 0)</f>
        <v>0</v>
      </c>
      <c r="Y111" s="5">
        <f>IF(CreditAmort2WORST[[#This Row],[Month]]=AA$8,W$7,0)</f>
        <v>0</v>
      </c>
      <c r="Z111" s="13">
        <f>IF(AND(U111&gt;='Amort. Sched.-WORST'!$AA$8, U111&lt;= ($AA$7+$AA$8)), Z110+X111, 0)</f>
        <v>0</v>
      </c>
      <c r="AA111" s="6" t="str">
        <f>IF(AND(U111&gt;='Amort. Sched.-WORST'!$AA$8, U111&lt;= ($AA$7+$AA$8)), W111/V111, " ")</f>
        <v xml:space="preserve"> </v>
      </c>
      <c r="AB111" s="21" t="str">
        <f>IF(AND(U111&gt;='Amort. Sched.-WORST'!$AA$8, U111&lt;= ($AA$7+$AA$8)), X111/V111, " ")</f>
        <v xml:space="preserve"> </v>
      </c>
      <c r="AD111" s="20">
        <f t="shared" si="20"/>
        <v>100</v>
      </c>
      <c r="AE111" s="5">
        <f t="shared" si="21"/>
        <v>0</v>
      </c>
      <c r="AF111" s="5">
        <f t="shared" si="22"/>
        <v>0</v>
      </c>
      <c r="AG111" s="5">
        <f t="shared" si="23"/>
        <v>0</v>
      </c>
      <c r="AH111" s="5">
        <f>IF(CreditAmort3WORST[[#This Row],[Month]]=AJ$8,AF$7,0)</f>
        <v>0</v>
      </c>
      <c r="AI111" s="13">
        <f t="shared" si="24"/>
        <v>0</v>
      </c>
      <c r="AJ111" s="6" t="str">
        <f t="shared" si="25"/>
        <v xml:space="preserve"> </v>
      </c>
      <c r="AK111" s="21" t="str">
        <f t="shared" si="26"/>
        <v xml:space="preserve"> </v>
      </c>
      <c r="AM111" s="20">
        <f t="shared" si="27"/>
        <v>100</v>
      </c>
      <c r="AN111" s="5">
        <f t="shared" si="28"/>
        <v>0</v>
      </c>
      <c r="AO111" s="5">
        <f t="shared" si="29"/>
        <v>0</v>
      </c>
      <c r="AP111" s="5">
        <f t="shared" si="30"/>
        <v>0</v>
      </c>
      <c r="AQ111" s="5">
        <f>IF(CreditAmort4WORST[[#This Row],[Month]]=AS$8,AO$7,0)</f>
        <v>0</v>
      </c>
      <c r="AR111" s="13">
        <f t="shared" si="31"/>
        <v>0</v>
      </c>
      <c r="AS111" s="6" t="str">
        <f t="shared" si="32"/>
        <v xml:space="preserve"> </v>
      </c>
      <c r="AT111" s="21" t="str">
        <f t="shared" si="33"/>
        <v xml:space="preserve"> </v>
      </c>
    </row>
    <row r="112" spans="3:46">
      <c r="C112" s="22">
        <f t="shared" si="18"/>
        <v>101</v>
      </c>
      <c r="D112" s="23">
        <f>IF(AND(C112&gt;='Amort. Sched.-WORST'!$I$8, C112&lt;= ($I$7+$I$8)), PMT('Amort. Sched.-WORST'!$E$8/12, 'Amort. Sched.-WORST'!$I$7, 'Amort. Sched.-WORST'!$E$7), 0)</f>
        <v>-2026.0175758541329</v>
      </c>
      <c r="E112" s="5">
        <f>IF(AND(C112&gt;='Amort. Sched.-WORST'!$I$8, C112&lt;= ($I$7+$I$8)), (IPMT($E$8/12, (C112-$I$8), $I$7, $E$7)), 0)</f>
        <v>-1489.5968356652529</v>
      </c>
      <c r="F112" s="23">
        <f>IF(AND(C112&gt;='Amort. Sched.-WORST'!$I$8, C112&lt;= ($I$7+$I$8)), (PPMT($E$8/12, (C112-$I$8), $I$7, $E$7)), 0)</f>
        <v>-536.42074018888002</v>
      </c>
      <c r="G112" s="5">
        <f>IF(MortgageAmortWORST[[#This Row],[Month]]=I$8,E$7,0)</f>
        <v>0</v>
      </c>
      <c r="H112" s="13">
        <f>IF(AND(C112&gt;='Amort. Sched.-WORST'!$I$8, C112&lt;= ($I$7+$I$8)), H111+F112, 0)</f>
        <v>222903.10460959893</v>
      </c>
      <c r="I112" s="24">
        <f>IF(AND(C112&gt;='Amort. Sched.-WORST'!$I$8, C112&lt;= ($I$7+$I$8)), E112/D112, " ")</f>
        <v>0.73523391574590136</v>
      </c>
      <c r="J112" s="25">
        <f>IF(AND(C112&gt;='Amort. Sched.-WORST'!$I$8, C112&lt;= ($I$7+$I$8)), F112/D112, " ")</f>
        <v>0.26476608425409864</v>
      </c>
      <c r="L112" s="20">
        <f t="shared" si="17"/>
        <v>101</v>
      </c>
      <c r="M112" s="5">
        <f>IF(AND(L112&gt;='Amort. Sched.-WORST'!$R$8, L112&lt;= ($R$7+$R$8)), PMT('Amort. Sched.-WORST'!$N$8/12, 'Amort. Sched.-WORST'!$R$7, 'Amort. Sched.-WORST'!$N$7), 0)</f>
        <v>0</v>
      </c>
      <c r="N112" s="5">
        <f>IF(AND(L112&gt;='Amort. Sched.-WORST'!$R$8, L112&lt;= ($R$7+$R$8)), (IPMT($N$8/12, (L112-$R$8), $R$7, $N$7)), 0)</f>
        <v>0</v>
      </c>
      <c r="O112" s="5">
        <f>IF(AND(L112&gt;='Amort. Sched.-WORST'!$R$8, L112&lt;= ($R$7+$R$8)), (PPMT($N$8/12, (L112-$R$8), $R$7, $N$7)), 0)</f>
        <v>0</v>
      </c>
      <c r="P112" s="5">
        <f>IF(CreditAmort1WORST[[#This Row],[Month]]=R$8,N$7,0)</f>
        <v>0</v>
      </c>
      <c r="Q112" s="13">
        <f>IF(AND(L112&gt;='Amort. Sched.-WORST'!$R$8, L112&lt;= ($R$7+$R$8)), Q111+O112, 0)</f>
        <v>0</v>
      </c>
      <c r="R112" s="6" t="str">
        <f>IF(AND(L112&gt;='Amort. Sched.-WORST'!$R$8, L112&lt;= ($R$7+$R$8)), N112/M112, " ")</f>
        <v xml:space="preserve"> </v>
      </c>
      <c r="S112" s="21" t="str">
        <f>IF(AND(L112&gt;='Amort. Sched.-WORST'!$R$8, L112&lt;= ($R$7+$R$8)), O112/M112, " ")</f>
        <v xml:space="preserve"> </v>
      </c>
      <c r="U112" s="20">
        <f t="shared" si="19"/>
        <v>101</v>
      </c>
      <c r="V112" s="5">
        <f>IF(AND(U112&gt;='Amort. Sched.-WORST'!$AA$8, U112&lt;= ($AA$7+$AA$8)), PMT('Amort. Sched.-WORST'!$W$8/12, 'Amort. Sched.-WORST'!$AA$7, 'Amort. Sched.-WORST'!$W$7), 0)</f>
        <v>0</v>
      </c>
      <c r="W112" s="5">
        <f>IF(AND(U112&gt;='Amort. Sched.-WORST'!$AA$8, U112&lt;= ($AA$7+$AA$8)), (IPMT($W$8/12, (U112-$AA$8), $AA$7, $W$7)), 0)</f>
        <v>0</v>
      </c>
      <c r="X112" s="5">
        <f>IF(AND(U112&gt;='Amort. Sched.-WORST'!$AA$8, U112&lt;= ($AA$7+$AA$8)), (PPMT($W$8/12, (U112-$AA$8), $AA$7, $W$7)), 0)</f>
        <v>0</v>
      </c>
      <c r="Y112" s="5">
        <f>IF(CreditAmort2WORST[[#This Row],[Month]]=AA$8,W$7,0)</f>
        <v>0</v>
      </c>
      <c r="Z112" s="13">
        <f>IF(AND(U112&gt;='Amort. Sched.-WORST'!$AA$8, U112&lt;= ($AA$7+$AA$8)), Z111+X112, 0)</f>
        <v>0</v>
      </c>
      <c r="AA112" s="6" t="str">
        <f>IF(AND(U112&gt;='Amort. Sched.-WORST'!$AA$8, U112&lt;= ($AA$7+$AA$8)), W112/V112, " ")</f>
        <v xml:space="preserve"> </v>
      </c>
      <c r="AB112" s="21" t="str">
        <f>IF(AND(U112&gt;='Amort. Sched.-WORST'!$AA$8, U112&lt;= ($AA$7+$AA$8)), X112/V112, " ")</f>
        <v xml:space="preserve"> </v>
      </c>
      <c r="AD112" s="20">
        <f t="shared" si="20"/>
        <v>101</v>
      </c>
      <c r="AE112" s="5">
        <f t="shared" si="21"/>
        <v>0</v>
      </c>
      <c r="AF112" s="5">
        <f t="shared" si="22"/>
        <v>0</v>
      </c>
      <c r="AG112" s="5">
        <f t="shared" si="23"/>
        <v>0</v>
      </c>
      <c r="AH112" s="5">
        <f>IF(CreditAmort3WORST[[#This Row],[Month]]=AJ$8,AF$7,0)</f>
        <v>0</v>
      </c>
      <c r="AI112" s="13">
        <f t="shared" si="24"/>
        <v>0</v>
      </c>
      <c r="AJ112" s="6" t="str">
        <f t="shared" si="25"/>
        <v xml:space="preserve"> </v>
      </c>
      <c r="AK112" s="21" t="str">
        <f t="shared" si="26"/>
        <v xml:space="preserve"> </v>
      </c>
      <c r="AM112" s="20">
        <f t="shared" si="27"/>
        <v>101</v>
      </c>
      <c r="AN112" s="5">
        <f t="shared" si="28"/>
        <v>0</v>
      </c>
      <c r="AO112" s="5">
        <f t="shared" si="29"/>
        <v>0</v>
      </c>
      <c r="AP112" s="5">
        <f t="shared" si="30"/>
        <v>0</v>
      </c>
      <c r="AQ112" s="5">
        <f>IF(CreditAmort4WORST[[#This Row],[Month]]=AS$8,AO$7,0)</f>
        <v>0</v>
      </c>
      <c r="AR112" s="13">
        <f t="shared" si="31"/>
        <v>0</v>
      </c>
      <c r="AS112" s="6" t="str">
        <f t="shared" si="32"/>
        <v xml:space="preserve"> </v>
      </c>
      <c r="AT112" s="21" t="str">
        <f t="shared" si="33"/>
        <v xml:space="preserve"> </v>
      </c>
    </row>
    <row r="113" spans="3:46">
      <c r="C113" s="22">
        <f t="shared" si="18"/>
        <v>102</v>
      </c>
      <c r="D113" s="23">
        <f>IF(AND(C113&gt;='Amort. Sched.-WORST'!$I$8, C113&lt;= ($I$7+$I$8)), PMT('Amort. Sched.-WORST'!$E$8/12, 'Amort. Sched.-WORST'!$I$7, 'Amort. Sched.-WORST'!$E$7), 0)</f>
        <v>-2026.0175758541329</v>
      </c>
      <c r="E113" s="5">
        <f>IF(AND(C113&gt;='Amort. Sched.-WORST'!$I$8, C113&lt;= ($I$7+$I$8)), (IPMT($E$8/12, (C113-$I$8), $I$7, $E$7)), 0)</f>
        <v>-1486.020697397327</v>
      </c>
      <c r="F113" s="23">
        <f>IF(AND(C113&gt;='Amort. Sched.-WORST'!$I$8, C113&lt;= ($I$7+$I$8)), (PPMT($E$8/12, (C113-$I$8), $I$7, $E$7)), 0)</f>
        <v>-539.99687845680592</v>
      </c>
      <c r="G113" s="5">
        <f>IF(MortgageAmortWORST[[#This Row],[Month]]=I$8,E$7,0)</f>
        <v>0</v>
      </c>
      <c r="H113" s="13">
        <f>IF(AND(C113&gt;='Amort. Sched.-WORST'!$I$8, C113&lt;= ($I$7+$I$8)), H112+F113, 0)</f>
        <v>222363.10773114211</v>
      </c>
      <c r="I113" s="24">
        <f>IF(AND(C113&gt;='Amort. Sched.-WORST'!$I$8, C113&lt;= ($I$7+$I$8)), E113/D113, " ")</f>
        <v>0.7334688085175407</v>
      </c>
      <c r="J113" s="25">
        <f>IF(AND(C113&gt;='Amort. Sched.-WORST'!$I$8, C113&lt;= ($I$7+$I$8)), F113/D113, " ")</f>
        <v>0.2665311914824593</v>
      </c>
      <c r="L113" s="20">
        <f t="shared" si="17"/>
        <v>102</v>
      </c>
      <c r="M113" s="5">
        <f>IF(AND(L113&gt;='Amort. Sched.-WORST'!$R$8, L113&lt;= ($R$7+$R$8)), PMT('Amort. Sched.-WORST'!$N$8/12, 'Amort. Sched.-WORST'!$R$7, 'Amort. Sched.-WORST'!$N$7), 0)</f>
        <v>0</v>
      </c>
      <c r="N113" s="5">
        <f>IF(AND(L113&gt;='Amort. Sched.-WORST'!$R$8, L113&lt;= ($R$7+$R$8)), (IPMT($N$8/12, (L113-$R$8), $R$7, $N$7)), 0)</f>
        <v>0</v>
      </c>
      <c r="O113" s="5">
        <f>IF(AND(L113&gt;='Amort. Sched.-WORST'!$R$8, L113&lt;= ($R$7+$R$8)), (PPMT($N$8/12, (L113-$R$8), $R$7, $N$7)), 0)</f>
        <v>0</v>
      </c>
      <c r="P113" s="5">
        <f>IF(CreditAmort1WORST[[#This Row],[Month]]=R$8,N$7,0)</f>
        <v>0</v>
      </c>
      <c r="Q113" s="13">
        <f>IF(AND(L113&gt;='Amort. Sched.-WORST'!$R$8, L113&lt;= ($R$7+$R$8)), Q112+O113, 0)</f>
        <v>0</v>
      </c>
      <c r="R113" s="6" t="str">
        <f>IF(AND(L113&gt;='Amort. Sched.-WORST'!$R$8, L113&lt;= ($R$7+$R$8)), N113/M113, " ")</f>
        <v xml:space="preserve"> </v>
      </c>
      <c r="S113" s="21" t="str">
        <f>IF(AND(L113&gt;='Amort. Sched.-WORST'!$R$8, L113&lt;= ($R$7+$R$8)), O113/M113, " ")</f>
        <v xml:space="preserve"> </v>
      </c>
      <c r="U113" s="20">
        <f t="shared" si="19"/>
        <v>102</v>
      </c>
      <c r="V113" s="5">
        <f>IF(AND(U113&gt;='Amort. Sched.-WORST'!$AA$8, U113&lt;= ($AA$7+$AA$8)), PMT('Amort. Sched.-WORST'!$W$8/12, 'Amort. Sched.-WORST'!$AA$7, 'Amort. Sched.-WORST'!$W$7), 0)</f>
        <v>0</v>
      </c>
      <c r="W113" s="5">
        <f>IF(AND(U113&gt;='Amort. Sched.-WORST'!$AA$8, U113&lt;= ($AA$7+$AA$8)), (IPMT($W$8/12, (U113-$AA$8), $AA$7, $W$7)), 0)</f>
        <v>0</v>
      </c>
      <c r="X113" s="5">
        <f>IF(AND(U113&gt;='Amort. Sched.-WORST'!$AA$8, U113&lt;= ($AA$7+$AA$8)), (PPMT($W$8/12, (U113-$AA$8), $AA$7, $W$7)), 0)</f>
        <v>0</v>
      </c>
      <c r="Y113" s="5">
        <f>IF(CreditAmort2WORST[[#This Row],[Month]]=AA$8,W$7,0)</f>
        <v>0</v>
      </c>
      <c r="Z113" s="13">
        <f>IF(AND(U113&gt;='Amort. Sched.-WORST'!$AA$8, U113&lt;= ($AA$7+$AA$8)), Z112+X113, 0)</f>
        <v>0</v>
      </c>
      <c r="AA113" s="6" t="str">
        <f>IF(AND(U113&gt;='Amort. Sched.-WORST'!$AA$8, U113&lt;= ($AA$7+$AA$8)), W113/V113, " ")</f>
        <v xml:space="preserve"> </v>
      </c>
      <c r="AB113" s="21" t="str">
        <f>IF(AND(U113&gt;='Amort. Sched.-WORST'!$AA$8, U113&lt;= ($AA$7+$AA$8)), X113/V113, " ")</f>
        <v xml:space="preserve"> </v>
      </c>
      <c r="AD113" s="20">
        <f t="shared" si="20"/>
        <v>102</v>
      </c>
      <c r="AE113" s="5">
        <f t="shared" si="21"/>
        <v>0</v>
      </c>
      <c r="AF113" s="5">
        <f t="shared" si="22"/>
        <v>0</v>
      </c>
      <c r="AG113" s="5">
        <f t="shared" si="23"/>
        <v>0</v>
      </c>
      <c r="AH113" s="5">
        <f>IF(CreditAmort3WORST[[#This Row],[Month]]=AJ$8,AF$7,0)</f>
        <v>0</v>
      </c>
      <c r="AI113" s="13">
        <f t="shared" si="24"/>
        <v>0</v>
      </c>
      <c r="AJ113" s="6" t="str">
        <f t="shared" si="25"/>
        <v xml:space="preserve"> </v>
      </c>
      <c r="AK113" s="21" t="str">
        <f t="shared" si="26"/>
        <v xml:space="preserve"> </v>
      </c>
      <c r="AM113" s="20">
        <f t="shared" si="27"/>
        <v>102</v>
      </c>
      <c r="AN113" s="5">
        <f t="shared" si="28"/>
        <v>0</v>
      </c>
      <c r="AO113" s="5">
        <f t="shared" si="29"/>
        <v>0</v>
      </c>
      <c r="AP113" s="5">
        <f t="shared" si="30"/>
        <v>0</v>
      </c>
      <c r="AQ113" s="5">
        <f>IF(CreditAmort4WORST[[#This Row],[Month]]=AS$8,AO$7,0)</f>
        <v>0</v>
      </c>
      <c r="AR113" s="13">
        <f t="shared" si="31"/>
        <v>0</v>
      </c>
      <c r="AS113" s="6" t="str">
        <f t="shared" si="32"/>
        <v xml:space="preserve"> </v>
      </c>
      <c r="AT113" s="21" t="str">
        <f t="shared" si="33"/>
        <v xml:space="preserve"> </v>
      </c>
    </row>
    <row r="114" spans="3:46">
      <c r="C114" s="22">
        <f t="shared" si="18"/>
        <v>103</v>
      </c>
      <c r="D114" s="23">
        <f>IF(AND(C114&gt;='Amort. Sched.-WORST'!$I$8, C114&lt;= ($I$7+$I$8)), PMT('Amort. Sched.-WORST'!$E$8/12, 'Amort. Sched.-WORST'!$I$7, 'Amort. Sched.-WORST'!$E$7), 0)</f>
        <v>-2026.0175758541329</v>
      </c>
      <c r="E114" s="5">
        <f>IF(AND(C114&gt;='Amort. Sched.-WORST'!$I$8, C114&lt;= ($I$7+$I$8)), (IPMT($E$8/12, (C114-$I$8), $I$7, $E$7)), 0)</f>
        <v>-1482.420718207615</v>
      </c>
      <c r="F114" s="23">
        <f>IF(AND(C114&gt;='Amort. Sched.-WORST'!$I$8, C114&lt;= ($I$7+$I$8)), (PPMT($E$8/12, (C114-$I$8), $I$7, $E$7)), 0)</f>
        <v>-543.59685764651795</v>
      </c>
      <c r="G114" s="5">
        <f>IF(MortgageAmortWORST[[#This Row],[Month]]=I$8,E$7,0)</f>
        <v>0</v>
      </c>
      <c r="H114" s="13">
        <f>IF(AND(C114&gt;='Amort. Sched.-WORST'!$I$8, C114&lt;= ($I$7+$I$8)), H113+F114, 0)</f>
        <v>221819.5108734956</v>
      </c>
      <c r="I114" s="24">
        <f>IF(AND(C114&gt;='Amort. Sched.-WORST'!$I$8, C114&lt;= ($I$7+$I$8)), E114/D114, " ")</f>
        <v>0.73169193390765763</v>
      </c>
      <c r="J114" s="25">
        <f>IF(AND(C114&gt;='Amort. Sched.-WORST'!$I$8, C114&lt;= ($I$7+$I$8)), F114/D114, " ")</f>
        <v>0.26830806609234237</v>
      </c>
      <c r="L114" s="20">
        <f t="shared" si="17"/>
        <v>103</v>
      </c>
      <c r="M114" s="5">
        <f>IF(AND(L114&gt;='Amort. Sched.-WORST'!$R$8, L114&lt;= ($R$7+$R$8)), PMT('Amort. Sched.-WORST'!$N$8/12, 'Amort. Sched.-WORST'!$R$7, 'Amort. Sched.-WORST'!$N$7), 0)</f>
        <v>0</v>
      </c>
      <c r="N114" s="5">
        <f>IF(AND(L114&gt;='Amort. Sched.-WORST'!$R$8, L114&lt;= ($R$7+$R$8)), (IPMT($N$8/12, (L114-$R$8), $R$7, $N$7)), 0)</f>
        <v>0</v>
      </c>
      <c r="O114" s="5">
        <f>IF(AND(L114&gt;='Amort. Sched.-WORST'!$R$8, L114&lt;= ($R$7+$R$8)), (PPMT($N$8/12, (L114-$R$8), $R$7, $N$7)), 0)</f>
        <v>0</v>
      </c>
      <c r="P114" s="5">
        <f>IF(CreditAmort1WORST[[#This Row],[Month]]=R$8,N$7,0)</f>
        <v>0</v>
      </c>
      <c r="Q114" s="13">
        <f>IF(AND(L114&gt;='Amort. Sched.-WORST'!$R$8, L114&lt;= ($R$7+$R$8)), Q113+O114, 0)</f>
        <v>0</v>
      </c>
      <c r="R114" s="6" t="str">
        <f>IF(AND(L114&gt;='Amort. Sched.-WORST'!$R$8, L114&lt;= ($R$7+$R$8)), N114/M114, " ")</f>
        <v xml:space="preserve"> </v>
      </c>
      <c r="S114" s="21" t="str">
        <f>IF(AND(L114&gt;='Amort. Sched.-WORST'!$R$8, L114&lt;= ($R$7+$R$8)), O114/M114, " ")</f>
        <v xml:space="preserve"> </v>
      </c>
      <c r="U114" s="20">
        <f t="shared" si="19"/>
        <v>103</v>
      </c>
      <c r="V114" s="5">
        <f>IF(AND(U114&gt;='Amort. Sched.-WORST'!$AA$8, U114&lt;= ($AA$7+$AA$8)), PMT('Amort. Sched.-WORST'!$W$8/12, 'Amort. Sched.-WORST'!$AA$7, 'Amort. Sched.-WORST'!$W$7), 0)</f>
        <v>0</v>
      </c>
      <c r="W114" s="5">
        <f>IF(AND(U114&gt;='Amort. Sched.-WORST'!$AA$8, U114&lt;= ($AA$7+$AA$8)), (IPMT($W$8/12, (U114-$AA$8), $AA$7, $W$7)), 0)</f>
        <v>0</v>
      </c>
      <c r="X114" s="5">
        <f>IF(AND(U114&gt;='Amort. Sched.-WORST'!$AA$8, U114&lt;= ($AA$7+$AA$8)), (PPMT($W$8/12, (U114-$AA$8), $AA$7, $W$7)), 0)</f>
        <v>0</v>
      </c>
      <c r="Y114" s="5">
        <f>IF(CreditAmort2WORST[[#This Row],[Month]]=AA$8,W$7,0)</f>
        <v>0</v>
      </c>
      <c r="Z114" s="13">
        <f>IF(AND(U114&gt;='Amort. Sched.-WORST'!$AA$8, U114&lt;= ($AA$7+$AA$8)), Z113+X114, 0)</f>
        <v>0</v>
      </c>
      <c r="AA114" s="6" t="str">
        <f>IF(AND(U114&gt;='Amort. Sched.-WORST'!$AA$8, U114&lt;= ($AA$7+$AA$8)), W114/V114, " ")</f>
        <v xml:space="preserve"> </v>
      </c>
      <c r="AB114" s="21" t="str">
        <f>IF(AND(U114&gt;='Amort. Sched.-WORST'!$AA$8, U114&lt;= ($AA$7+$AA$8)), X114/V114, " ")</f>
        <v xml:space="preserve"> </v>
      </c>
      <c r="AD114" s="20">
        <f t="shared" si="20"/>
        <v>103</v>
      </c>
      <c r="AE114" s="5">
        <f t="shared" si="21"/>
        <v>0</v>
      </c>
      <c r="AF114" s="5">
        <f t="shared" si="22"/>
        <v>0</v>
      </c>
      <c r="AG114" s="5">
        <f t="shared" si="23"/>
        <v>0</v>
      </c>
      <c r="AH114" s="5">
        <f>IF(CreditAmort3WORST[[#This Row],[Month]]=AJ$8,AF$7,0)</f>
        <v>0</v>
      </c>
      <c r="AI114" s="13">
        <f t="shared" si="24"/>
        <v>0</v>
      </c>
      <c r="AJ114" s="6" t="str">
        <f t="shared" si="25"/>
        <v xml:space="preserve"> </v>
      </c>
      <c r="AK114" s="21" t="str">
        <f t="shared" si="26"/>
        <v xml:space="preserve"> </v>
      </c>
      <c r="AM114" s="20">
        <f t="shared" si="27"/>
        <v>103</v>
      </c>
      <c r="AN114" s="5">
        <f t="shared" si="28"/>
        <v>0</v>
      </c>
      <c r="AO114" s="5">
        <f t="shared" si="29"/>
        <v>0</v>
      </c>
      <c r="AP114" s="5">
        <f t="shared" si="30"/>
        <v>0</v>
      </c>
      <c r="AQ114" s="5">
        <f>IF(CreditAmort4WORST[[#This Row],[Month]]=AS$8,AO$7,0)</f>
        <v>0</v>
      </c>
      <c r="AR114" s="13">
        <f t="shared" si="31"/>
        <v>0</v>
      </c>
      <c r="AS114" s="6" t="str">
        <f t="shared" si="32"/>
        <v xml:space="preserve"> </v>
      </c>
      <c r="AT114" s="21" t="str">
        <f t="shared" si="33"/>
        <v xml:space="preserve"> </v>
      </c>
    </row>
    <row r="115" spans="3:46">
      <c r="C115" s="22">
        <f t="shared" si="18"/>
        <v>104</v>
      </c>
      <c r="D115" s="23">
        <f>IF(AND(C115&gt;='Amort. Sched.-WORST'!$I$8, C115&lt;= ($I$7+$I$8)), PMT('Amort. Sched.-WORST'!$E$8/12, 'Amort. Sched.-WORST'!$I$7, 'Amort. Sched.-WORST'!$E$7), 0)</f>
        <v>-2026.0175758541329</v>
      </c>
      <c r="E115" s="5">
        <f>IF(AND(C115&gt;='Amort. Sched.-WORST'!$I$8, C115&lt;= ($I$7+$I$8)), (IPMT($E$8/12, (C115-$I$8), $I$7, $E$7)), 0)</f>
        <v>-1478.7967391566383</v>
      </c>
      <c r="F115" s="23">
        <f>IF(AND(C115&gt;='Amort. Sched.-WORST'!$I$8, C115&lt;= ($I$7+$I$8)), (PPMT($E$8/12, (C115-$I$8), $I$7, $E$7)), 0)</f>
        <v>-547.22083669749475</v>
      </c>
      <c r="G115" s="5">
        <f>IF(MortgageAmortWORST[[#This Row],[Month]]=I$8,E$7,0)</f>
        <v>0</v>
      </c>
      <c r="H115" s="13">
        <f>IF(AND(C115&gt;='Amort. Sched.-WORST'!$I$8, C115&lt;= ($I$7+$I$8)), H114+F115, 0)</f>
        <v>221272.29003679811</v>
      </c>
      <c r="I115" s="24">
        <f>IF(AND(C115&gt;='Amort. Sched.-WORST'!$I$8, C115&lt;= ($I$7+$I$8)), E115/D115, " ")</f>
        <v>0.72990321346704212</v>
      </c>
      <c r="J115" s="25">
        <f>IF(AND(C115&gt;='Amort. Sched.-WORST'!$I$8, C115&lt;= ($I$7+$I$8)), F115/D115, " ")</f>
        <v>0.27009678653295799</v>
      </c>
      <c r="L115" s="20">
        <f t="shared" si="17"/>
        <v>104</v>
      </c>
      <c r="M115" s="5">
        <f>IF(AND(L115&gt;='Amort. Sched.-WORST'!$R$8, L115&lt;= ($R$7+$R$8)), PMT('Amort. Sched.-WORST'!$N$8/12, 'Amort. Sched.-WORST'!$R$7, 'Amort. Sched.-WORST'!$N$7), 0)</f>
        <v>0</v>
      </c>
      <c r="N115" s="5">
        <f>IF(AND(L115&gt;='Amort. Sched.-WORST'!$R$8, L115&lt;= ($R$7+$R$8)), (IPMT($N$8/12, (L115-$R$8), $R$7, $N$7)), 0)</f>
        <v>0</v>
      </c>
      <c r="O115" s="5">
        <f>IF(AND(L115&gt;='Amort. Sched.-WORST'!$R$8, L115&lt;= ($R$7+$R$8)), (PPMT($N$8/12, (L115-$R$8), $R$7, $N$7)), 0)</f>
        <v>0</v>
      </c>
      <c r="P115" s="5">
        <f>IF(CreditAmort1WORST[[#This Row],[Month]]=R$8,N$7,0)</f>
        <v>0</v>
      </c>
      <c r="Q115" s="13">
        <f>IF(AND(L115&gt;='Amort. Sched.-WORST'!$R$8, L115&lt;= ($R$7+$R$8)), Q114+O115, 0)</f>
        <v>0</v>
      </c>
      <c r="R115" s="6" t="str">
        <f>IF(AND(L115&gt;='Amort. Sched.-WORST'!$R$8, L115&lt;= ($R$7+$R$8)), N115/M115, " ")</f>
        <v xml:space="preserve"> </v>
      </c>
      <c r="S115" s="21" t="str">
        <f>IF(AND(L115&gt;='Amort. Sched.-WORST'!$R$8, L115&lt;= ($R$7+$R$8)), O115/M115, " ")</f>
        <v xml:space="preserve"> </v>
      </c>
      <c r="U115" s="20">
        <f t="shared" si="19"/>
        <v>104</v>
      </c>
      <c r="V115" s="5">
        <f>IF(AND(U115&gt;='Amort. Sched.-WORST'!$AA$8, U115&lt;= ($AA$7+$AA$8)), PMT('Amort. Sched.-WORST'!$W$8/12, 'Amort. Sched.-WORST'!$AA$7, 'Amort. Sched.-WORST'!$W$7), 0)</f>
        <v>0</v>
      </c>
      <c r="W115" s="5">
        <f>IF(AND(U115&gt;='Amort. Sched.-WORST'!$AA$8, U115&lt;= ($AA$7+$AA$8)), (IPMT($W$8/12, (U115-$AA$8), $AA$7, $W$7)), 0)</f>
        <v>0</v>
      </c>
      <c r="X115" s="5">
        <f>IF(AND(U115&gt;='Amort. Sched.-WORST'!$AA$8, U115&lt;= ($AA$7+$AA$8)), (PPMT($W$8/12, (U115-$AA$8), $AA$7, $W$7)), 0)</f>
        <v>0</v>
      </c>
      <c r="Y115" s="5">
        <f>IF(CreditAmort2WORST[[#This Row],[Month]]=AA$8,W$7,0)</f>
        <v>0</v>
      </c>
      <c r="Z115" s="13">
        <f>IF(AND(U115&gt;='Amort. Sched.-WORST'!$AA$8, U115&lt;= ($AA$7+$AA$8)), Z114+X115, 0)</f>
        <v>0</v>
      </c>
      <c r="AA115" s="6" t="str">
        <f>IF(AND(U115&gt;='Amort. Sched.-WORST'!$AA$8, U115&lt;= ($AA$7+$AA$8)), W115/V115, " ")</f>
        <v xml:space="preserve"> </v>
      </c>
      <c r="AB115" s="21" t="str">
        <f>IF(AND(U115&gt;='Amort. Sched.-WORST'!$AA$8, U115&lt;= ($AA$7+$AA$8)), X115/V115, " ")</f>
        <v xml:space="preserve"> </v>
      </c>
      <c r="AD115" s="20">
        <f t="shared" si="20"/>
        <v>104</v>
      </c>
      <c r="AE115" s="5">
        <f t="shared" si="21"/>
        <v>0</v>
      </c>
      <c r="AF115" s="5">
        <f t="shared" si="22"/>
        <v>0</v>
      </c>
      <c r="AG115" s="5">
        <f t="shared" si="23"/>
        <v>0</v>
      </c>
      <c r="AH115" s="5">
        <f>IF(CreditAmort3WORST[[#This Row],[Month]]=AJ$8,AF$7,0)</f>
        <v>0</v>
      </c>
      <c r="AI115" s="13">
        <f t="shared" si="24"/>
        <v>0</v>
      </c>
      <c r="AJ115" s="6" t="str">
        <f t="shared" si="25"/>
        <v xml:space="preserve"> </v>
      </c>
      <c r="AK115" s="21" t="str">
        <f t="shared" si="26"/>
        <v xml:space="preserve"> </v>
      </c>
      <c r="AM115" s="20">
        <f t="shared" si="27"/>
        <v>104</v>
      </c>
      <c r="AN115" s="5">
        <f t="shared" si="28"/>
        <v>0</v>
      </c>
      <c r="AO115" s="5">
        <f t="shared" si="29"/>
        <v>0</v>
      </c>
      <c r="AP115" s="5">
        <f t="shared" si="30"/>
        <v>0</v>
      </c>
      <c r="AQ115" s="5">
        <f>IF(CreditAmort4WORST[[#This Row],[Month]]=AS$8,AO$7,0)</f>
        <v>0</v>
      </c>
      <c r="AR115" s="13">
        <f t="shared" si="31"/>
        <v>0</v>
      </c>
      <c r="AS115" s="6" t="str">
        <f t="shared" si="32"/>
        <v xml:space="preserve"> </v>
      </c>
      <c r="AT115" s="21" t="str">
        <f t="shared" si="33"/>
        <v xml:space="preserve"> </v>
      </c>
    </row>
    <row r="116" spans="3:46">
      <c r="C116" s="22">
        <f t="shared" si="18"/>
        <v>105</v>
      </c>
      <c r="D116" s="23">
        <f>IF(AND(C116&gt;='Amort. Sched.-WORST'!$I$8, C116&lt;= ($I$7+$I$8)), PMT('Amort. Sched.-WORST'!$E$8/12, 'Amort. Sched.-WORST'!$I$7, 'Amort. Sched.-WORST'!$E$7), 0)</f>
        <v>-2026.0175758541329</v>
      </c>
      <c r="E116" s="5">
        <f>IF(AND(C116&gt;='Amort. Sched.-WORST'!$I$8, C116&lt;= ($I$7+$I$8)), (IPMT($E$8/12, (C116-$I$8), $I$7, $E$7)), 0)</f>
        <v>-1475.1486002453216</v>
      </c>
      <c r="F116" s="23">
        <f>IF(AND(C116&gt;='Amort. Sched.-WORST'!$I$8, C116&lt;= ($I$7+$I$8)), (PPMT($E$8/12, (C116-$I$8), $I$7, $E$7)), 0)</f>
        <v>-550.8689756088113</v>
      </c>
      <c r="G116" s="5">
        <f>IF(MortgageAmortWORST[[#This Row],[Month]]=I$8,E$7,0)</f>
        <v>0</v>
      </c>
      <c r="H116" s="13">
        <f>IF(AND(C116&gt;='Amort. Sched.-WORST'!$I$8, C116&lt;= ($I$7+$I$8)), H115+F116, 0)</f>
        <v>220721.42106118929</v>
      </c>
      <c r="I116" s="24">
        <f>IF(AND(C116&gt;='Amort. Sched.-WORST'!$I$8, C116&lt;= ($I$7+$I$8)), E116/D116, " ")</f>
        <v>0.72810256822348896</v>
      </c>
      <c r="J116" s="25">
        <f>IF(AND(C116&gt;='Amort. Sched.-WORST'!$I$8, C116&lt;= ($I$7+$I$8)), F116/D116, " ")</f>
        <v>0.27189743177651099</v>
      </c>
      <c r="L116" s="20">
        <f t="shared" si="17"/>
        <v>105</v>
      </c>
      <c r="M116" s="5">
        <f>IF(AND(L116&gt;='Amort. Sched.-WORST'!$R$8, L116&lt;= ($R$7+$R$8)), PMT('Amort. Sched.-WORST'!$N$8/12, 'Amort. Sched.-WORST'!$R$7, 'Amort. Sched.-WORST'!$N$7), 0)</f>
        <v>0</v>
      </c>
      <c r="N116" s="5">
        <f>IF(AND(L116&gt;='Amort. Sched.-WORST'!$R$8, L116&lt;= ($R$7+$R$8)), (IPMT($N$8/12, (L116-$R$8), $R$7, $N$7)), 0)</f>
        <v>0</v>
      </c>
      <c r="O116" s="5">
        <f>IF(AND(L116&gt;='Amort. Sched.-WORST'!$R$8, L116&lt;= ($R$7+$R$8)), (PPMT($N$8/12, (L116-$R$8), $R$7, $N$7)), 0)</f>
        <v>0</v>
      </c>
      <c r="P116" s="5">
        <f>IF(CreditAmort1WORST[[#This Row],[Month]]=R$8,N$7,0)</f>
        <v>0</v>
      </c>
      <c r="Q116" s="13">
        <f>IF(AND(L116&gt;='Amort. Sched.-WORST'!$R$8, L116&lt;= ($R$7+$R$8)), Q115+O116, 0)</f>
        <v>0</v>
      </c>
      <c r="R116" s="6" t="str">
        <f>IF(AND(L116&gt;='Amort. Sched.-WORST'!$R$8, L116&lt;= ($R$7+$R$8)), N116/M116, " ")</f>
        <v xml:space="preserve"> </v>
      </c>
      <c r="S116" s="21" t="str">
        <f>IF(AND(L116&gt;='Amort. Sched.-WORST'!$R$8, L116&lt;= ($R$7+$R$8)), O116/M116, " ")</f>
        <v xml:space="preserve"> </v>
      </c>
      <c r="U116" s="20">
        <f t="shared" si="19"/>
        <v>105</v>
      </c>
      <c r="V116" s="5">
        <f>IF(AND(U116&gt;='Amort. Sched.-WORST'!$AA$8, U116&lt;= ($AA$7+$AA$8)), PMT('Amort. Sched.-WORST'!$W$8/12, 'Amort. Sched.-WORST'!$AA$7, 'Amort. Sched.-WORST'!$W$7), 0)</f>
        <v>0</v>
      </c>
      <c r="W116" s="5">
        <f>IF(AND(U116&gt;='Amort. Sched.-WORST'!$AA$8, U116&lt;= ($AA$7+$AA$8)), (IPMT($W$8/12, (U116-$AA$8), $AA$7, $W$7)), 0)</f>
        <v>0</v>
      </c>
      <c r="X116" s="5">
        <f>IF(AND(U116&gt;='Amort. Sched.-WORST'!$AA$8, U116&lt;= ($AA$7+$AA$8)), (PPMT($W$8/12, (U116-$AA$8), $AA$7, $W$7)), 0)</f>
        <v>0</v>
      </c>
      <c r="Y116" s="5">
        <f>IF(CreditAmort2WORST[[#This Row],[Month]]=AA$8,W$7,0)</f>
        <v>0</v>
      </c>
      <c r="Z116" s="13">
        <f>IF(AND(U116&gt;='Amort. Sched.-WORST'!$AA$8, U116&lt;= ($AA$7+$AA$8)), Z115+X116, 0)</f>
        <v>0</v>
      </c>
      <c r="AA116" s="6" t="str">
        <f>IF(AND(U116&gt;='Amort. Sched.-WORST'!$AA$8, U116&lt;= ($AA$7+$AA$8)), W116/V116, " ")</f>
        <v xml:space="preserve"> </v>
      </c>
      <c r="AB116" s="21" t="str">
        <f>IF(AND(U116&gt;='Amort. Sched.-WORST'!$AA$8, U116&lt;= ($AA$7+$AA$8)), X116/V116, " ")</f>
        <v xml:space="preserve"> </v>
      </c>
      <c r="AD116" s="20">
        <f t="shared" si="20"/>
        <v>105</v>
      </c>
      <c r="AE116" s="5">
        <f t="shared" si="21"/>
        <v>0</v>
      </c>
      <c r="AF116" s="5">
        <f t="shared" si="22"/>
        <v>0</v>
      </c>
      <c r="AG116" s="5">
        <f t="shared" si="23"/>
        <v>0</v>
      </c>
      <c r="AH116" s="5">
        <f>IF(CreditAmort3WORST[[#This Row],[Month]]=AJ$8,AF$7,0)</f>
        <v>0</v>
      </c>
      <c r="AI116" s="13">
        <f t="shared" si="24"/>
        <v>0</v>
      </c>
      <c r="AJ116" s="6" t="str">
        <f t="shared" si="25"/>
        <v xml:space="preserve"> </v>
      </c>
      <c r="AK116" s="21" t="str">
        <f t="shared" si="26"/>
        <v xml:space="preserve"> </v>
      </c>
      <c r="AM116" s="20">
        <f t="shared" si="27"/>
        <v>105</v>
      </c>
      <c r="AN116" s="5">
        <f t="shared" si="28"/>
        <v>0</v>
      </c>
      <c r="AO116" s="5">
        <f t="shared" si="29"/>
        <v>0</v>
      </c>
      <c r="AP116" s="5">
        <f t="shared" si="30"/>
        <v>0</v>
      </c>
      <c r="AQ116" s="5">
        <f>IF(CreditAmort4WORST[[#This Row],[Month]]=AS$8,AO$7,0)</f>
        <v>0</v>
      </c>
      <c r="AR116" s="13">
        <f t="shared" si="31"/>
        <v>0</v>
      </c>
      <c r="AS116" s="6" t="str">
        <f t="shared" si="32"/>
        <v xml:space="preserve"> </v>
      </c>
      <c r="AT116" s="21" t="str">
        <f t="shared" si="33"/>
        <v xml:space="preserve"> </v>
      </c>
    </row>
    <row r="117" spans="3:46">
      <c r="C117" s="22">
        <f t="shared" si="18"/>
        <v>106</v>
      </c>
      <c r="D117" s="23">
        <f>IF(AND(C117&gt;='Amort. Sched.-WORST'!$I$8, C117&lt;= ($I$7+$I$8)), PMT('Amort. Sched.-WORST'!$E$8/12, 'Amort. Sched.-WORST'!$I$7, 'Amort. Sched.-WORST'!$E$7), 0)</f>
        <v>-2026.0175758541329</v>
      </c>
      <c r="E117" s="5">
        <f>IF(AND(C117&gt;='Amort. Sched.-WORST'!$I$8, C117&lt;= ($I$7+$I$8)), (IPMT($E$8/12, (C117-$I$8), $I$7, $E$7)), 0)</f>
        <v>-1471.4761404079297</v>
      </c>
      <c r="F117" s="23">
        <f>IF(AND(C117&gt;='Amort. Sched.-WORST'!$I$8, C117&lt;= ($I$7+$I$8)), (PPMT($E$8/12, (C117-$I$8), $I$7, $E$7)), 0)</f>
        <v>-554.54143544620354</v>
      </c>
      <c r="G117" s="5">
        <f>IF(MortgageAmortWORST[[#This Row],[Month]]=I$8,E$7,0)</f>
        <v>0</v>
      </c>
      <c r="H117" s="13">
        <f>IF(AND(C117&gt;='Amort. Sched.-WORST'!$I$8, C117&lt;= ($I$7+$I$8)), H116+F117, 0)</f>
        <v>220166.87962574308</v>
      </c>
      <c r="I117" s="24">
        <f>IF(AND(C117&gt;='Amort. Sched.-WORST'!$I$8, C117&lt;= ($I$7+$I$8)), E117/D117, " ")</f>
        <v>0.72628991867831239</v>
      </c>
      <c r="J117" s="25">
        <f>IF(AND(C117&gt;='Amort. Sched.-WORST'!$I$8, C117&lt;= ($I$7+$I$8)), F117/D117, " ")</f>
        <v>0.27371008132168784</v>
      </c>
      <c r="L117" s="20">
        <f t="shared" si="17"/>
        <v>106</v>
      </c>
      <c r="M117" s="5">
        <f>IF(AND(L117&gt;='Amort. Sched.-WORST'!$R$8, L117&lt;= ($R$7+$R$8)), PMT('Amort. Sched.-WORST'!$N$8/12, 'Amort. Sched.-WORST'!$R$7, 'Amort. Sched.-WORST'!$N$7), 0)</f>
        <v>0</v>
      </c>
      <c r="N117" s="5">
        <f>IF(AND(L117&gt;='Amort. Sched.-WORST'!$R$8, L117&lt;= ($R$7+$R$8)), (IPMT($N$8/12, (L117-$R$8), $R$7, $N$7)), 0)</f>
        <v>0</v>
      </c>
      <c r="O117" s="5">
        <f>IF(AND(L117&gt;='Amort. Sched.-WORST'!$R$8, L117&lt;= ($R$7+$R$8)), (PPMT($N$8/12, (L117-$R$8), $R$7, $N$7)), 0)</f>
        <v>0</v>
      </c>
      <c r="P117" s="5">
        <f>IF(CreditAmort1WORST[[#This Row],[Month]]=R$8,N$7,0)</f>
        <v>0</v>
      </c>
      <c r="Q117" s="13">
        <f>IF(AND(L117&gt;='Amort. Sched.-WORST'!$R$8, L117&lt;= ($R$7+$R$8)), Q116+O117, 0)</f>
        <v>0</v>
      </c>
      <c r="R117" s="6" t="str">
        <f>IF(AND(L117&gt;='Amort. Sched.-WORST'!$R$8, L117&lt;= ($R$7+$R$8)), N117/M117, " ")</f>
        <v xml:space="preserve"> </v>
      </c>
      <c r="S117" s="21" t="str">
        <f>IF(AND(L117&gt;='Amort. Sched.-WORST'!$R$8, L117&lt;= ($R$7+$R$8)), O117/M117, " ")</f>
        <v xml:space="preserve"> </v>
      </c>
      <c r="U117" s="20">
        <f t="shared" si="19"/>
        <v>106</v>
      </c>
      <c r="V117" s="5">
        <f>IF(AND(U117&gt;='Amort. Sched.-WORST'!$AA$8, U117&lt;= ($AA$7+$AA$8)), PMT('Amort. Sched.-WORST'!$W$8/12, 'Amort. Sched.-WORST'!$AA$7, 'Amort. Sched.-WORST'!$W$7), 0)</f>
        <v>0</v>
      </c>
      <c r="W117" s="5">
        <f>IF(AND(U117&gt;='Amort. Sched.-WORST'!$AA$8, U117&lt;= ($AA$7+$AA$8)), (IPMT($W$8/12, (U117-$AA$8), $AA$7, $W$7)), 0)</f>
        <v>0</v>
      </c>
      <c r="X117" s="5">
        <f>IF(AND(U117&gt;='Amort. Sched.-WORST'!$AA$8, U117&lt;= ($AA$7+$AA$8)), (PPMT($W$8/12, (U117-$AA$8), $AA$7, $W$7)), 0)</f>
        <v>0</v>
      </c>
      <c r="Y117" s="5">
        <f>IF(CreditAmort2WORST[[#This Row],[Month]]=AA$8,W$7,0)</f>
        <v>0</v>
      </c>
      <c r="Z117" s="13">
        <f>IF(AND(U117&gt;='Amort. Sched.-WORST'!$AA$8, U117&lt;= ($AA$7+$AA$8)), Z116+X117, 0)</f>
        <v>0</v>
      </c>
      <c r="AA117" s="6" t="str">
        <f>IF(AND(U117&gt;='Amort. Sched.-WORST'!$AA$8, U117&lt;= ($AA$7+$AA$8)), W117/V117, " ")</f>
        <v xml:space="preserve"> </v>
      </c>
      <c r="AB117" s="21" t="str">
        <f>IF(AND(U117&gt;='Amort. Sched.-WORST'!$AA$8, U117&lt;= ($AA$7+$AA$8)), X117/V117, " ")</f>
        <v xml:space="preserve"> </v>
      </c>
      <c r="AD117" s="20">
        <f t="shared" si="20"/>
        <v>106</v>
      </c>
      <c r="AE117" s="5">
        <f t="shared" si="21"/>
        <v>0</v>
      </c>
      <c r="AF117" s="5">
        <f t="shared" si="22"/>
        <v>0</v>
      </c>
      <c r="AG117" s="5">
        <f t="shared" si="23"/>
        <v>0</v>
      </c>
      <c r="AH117" s="5">
        <f>IF(CreditAmort3WORST[[#This Row],[Month]]=AJ$8,AF$7,0)</f>
        <v>0</v>
      </c>
      <c r="AI117" s="13">
        <f t="shared" si="24"/>
        <v>0</v>
      </c>
      <c r="AJ117" s="6" t="str">
        <f t="shared" si="25"/>
        <v xml:space="preserve"> </v>
      </c>
      <c r="AK117" s="21" t="str">
        <f t="shared" si="26"/>
        <v xml:space="preserve"> </v>
      </c>
      <c r="AM117" s="20">
        <f t="shared" si="27"/>
        <v>106</v>
      </c>
      <c r="AN117" s="5">
        <f t="shared" si="28"/>
        <v>0</v>
      </c>
      <c r="AO117" s="5">
        <f t="shared" si="29"/>
        <v>0</v>
      </c>
      <c r="AP117" s="5">
        <f t="shared" si="30"/>
        <v>0</v>
      </c>
      <c r="AQ117" s="5">
        <f>IF(CreditAmort4WORST[[#This Row],[Month]]=AS$8,AO$7,0)</f>
        <v>0</v>
      </c>
      <c r="AR117" s="13">
        <f t="shared" si="31"/>
        <v>0</v>
      </c>
      <c r="AS117" s="6" t="str">
        <f t="shared" si="32"/>
        <v xml:space="preserve"> </v>
      </c>
      <c r="AT117" s="21" t="str">
        <f t="shared" si="33"/>
        <v xml:space="preserve"> </v>
      </c>
    </row>
    <row r="118" spans="3:46">
      <c r="C118" s="22">
        <f t="shared" si="18"/>
        <v>107</v>
      </c>
      <c r="D118" s="23">
        <f>IF(AND(C118&gt;='Amort. Sched.-WORST'!$I$8, C118&lt;= ($I$7+$I$8)), PMT('Amort. Sched.-WORST'!$E$8/12, 'Amort. Sched.-WORST'!$I$7, 'Amort. Sched.-WORST'!$E$7), 0)</f>
        <v>-2026.0175758541329</v>
      </c>
      <c r="E118" s="5">
        <f>IF(AND(C118&gt;='Amort. Sched.-WORST'!$I$8, C118&lt;= ($I$7+$I$8)), (IPMT($E$8/12, (C118-$I$8), $I$7, $E$7)), 0)</f>
        <v>-1467.7791975049547</v>
      </c>
      <c r="F118" s="23">
        <f>IF(AND(C118&gt;='Amort. Sched.-WORST'!$I$8, C118&lt;= ($I$7+$I$8)), (PPMT($E$8/12, (C118-$I$8), $I$7, $E$7)), 0)</f>
        <v>-558.23837834917822</v>
      </c>
      <c r="G118" s="5">
        <f>IF(MortgageAmortWORST[[#This Row],[Month]]=I$8,E$7,0)</f>
        <v>0</v>
      </c>
      <c r="H118" s="13">
        <f>IF(AND(C118&gt;='Amort. Sched.-WORST'!$I$8, C118&lt;= ($I$7+$I$8)), H117+F118, 0)</f>
        <v>219608.64124739391</v>
      </c>
      <c r="I118" s="24">
        <f>IF(AND(C118&gt;='Amort. Sched.-WORST'!$I$8, C118&lt;= ($I$7+$I$8)), E118/D118, " ")</f>
        <v>0.72446518480283428</v>
      </c>
      <c r="J118" s="25">
        <f>IF(AND(C118&gt;='Amort. Sched.-WORST'!$I$8, C118&lt;= ($I$7+$I$8)), F118/D118, " ")</f>
        <v>0.27553481519716572</v>
      </c>
      <c r="L118" s="20">
        <f t="shared" si="17"/>
        <v>107</v>
      </c>
      <c r="M118" s="5">
        <f>IF(AND(L118&gt;='Amort. Sched.-WORST'!$R$8, L118&lt;= ($R$7+$R$8)), PMT('Amort. Sched.-WORST'!$N$8/12, 'Amort. Sched.-WORST'!$R$7, 'Amort. Sched.-WORST'!$N$7), 0)</f>
        <v>0</v>
      </c>
      <c r="N118" s="5">
        <f>IF(AND(L118&gt;='Amort. Sched.-WORST'!$R$8, L118&lt;= ($R$7+$R$8)), (IPMT($N$8/12, (L118-$R$8), $R$7, $N$7)), 0)</f>
        <v>0</v>
      </c>
      <c r="O118" s="5">
        <f>IF(AND(L118&gt;='Amort. Sched.-WORST'!$R$8, L118&lt;= ($R$7+$R$8)), (PPMT($N$8/12, (L118-$R$8), $R$7, $N$7)), 0)</f>
        <v>0</v>
      </c>
      <c r="P118" s="5">
        <f>IF(CreditAmort1WORST[[#This Row],[Month]]=R$8,N$7,0)</f>
        <v>0</v>
      </c>
      <c r="Q118" s="13">
        <f>IF(AND(L118&gt;='Amort. Sched.-WORST'!$R$8, L118&lt;= ($R$7+$R$8)), Q117+O118, 0)</f>
        <v>0</v>
      </c>
      <c r="R118" s="6" t="str">
        <f>IF(AND(L118&gt;='Amort. Sched.-WORST'!$R$8, L118&lt;= ($R$7+$R$8)), N118/M118, " ")</f>
        <v xml:space="preserve"> </v>
      </c>
      <c r="S118" s="21" t="str">
        <f>IF(AND(L118&gt;='Amort. Sched.-WORST'!$R$8, L118&lt;= ($R$7+$R$8)), O118/M118, " ")</f>
        <v xml:space="preserve"> </v>
      </c>
      <c r="U118" s="20">
        <f t="shared" si="19"/>
        <v>107</v>
      </c>
      <c r="V118" s="5">
        <f>IF(AND(U118&gt;='Amort. Sched.-WORST'!$AA$8, U118&lt;= ($AA$7+$AA$8)), PMT('Amort. Sched.-WORST'!$W$8/12, 'Amort. Sched.-WORST'!$AA$7, 'Amort. Sched.-WORST'!$W$7), 0)</f>
        <v>0</v>
      </c>
      <c r="W118" s="5">
        <f>IF(AND(U118&gt;='Amort. Sched.-WORST'!$AA$8, U118&lt;= ($AA$7+$AA$8)), (IPMT($W$8/12, (U118-$AA$8), $AA$7, $W$7)), 0)</f>
        <v>0</v>
      </c>
      <c r="X118" s="5">
        <f>IF(AND(U118&gt;='Amort. Sched.-WORST'!$AA$8, U118&lt;= ($AA$7+$AA$8)), (PPMT($W$8/12, (U118-$AA$8), $AA$7, $W$7)), 0)</f>
        <v>0</v>
      </c>
      <c r="Y118" s="5">
        <f>IF(CreditAmort2WORST[[#This Row],[Month]]=AA$8,W$7,0)</f>
        <v>0</v>
      </c>
      <c r="Z118" s="13">
        <f>IF(AND(U118&gt;='Amort. Sched.-WORST'!$AA$8, U118&lt;= ($AA$7+$AA$8)), Z117+X118, 0)</f>
        <v>0</v>
      </c>
      <c r="AA118" s="6" t="str">
        <f>IF(AND(U118&gt;='Amort. Sched.-WORST'!$AA$8, U118&lt;= ($AA$7+$AA$8)), W118/V118, " ")</f>
        <v xml:space="preserve"> </v>
      </c>
      <c r="AB118" s="21" t="str">
        <f>IF(AND(U118&gt;='Amort. Sched.-WORST'!$AA$8, U118&lt;= ($AA$7+$AA$8)), X118/V118, " ")</f>
        <v xml:space="preserve"> </v>
      </c>
      <c r="AD118" s="20">
        <f t="shared" si="20"/>
        <v>107</v>
      </c>
      <c r="AE118" s="5">
        <f t="shared" si="21"/>
        <v>0</v>
      </c>
      <c r="AF118" s="5">
        <f t="shared" si="22"/>
        <v>0</v>
      </c>
      <c r="AG118" s="5">
        <f t="shared" si="23"/>
        <v>0</v>
      </c>
      <c r="AH118" s="5">
        <f>IF(CreditAmort3WORST[[#This Row],[Month]]=AJ$8,AF$7,0)</f>
        <v>0</v>
      </c>
      <c r="AI118" s="13">
        <f t="shared" si="24"/>
        <v>0</v>
      </c>
      <c r="AJ118" s="6" t="str">
        <f t="shared" si="25"/>
        <v xml:space="preserve"> </v>
      </c>
      <c r="AK118" s="21" t="str">
        <f t="shared" si="26"/>
        <v xml:space="preserve"> </v>
      </c>
      <c r="AM118" s="20">
        <f t="shared" si="27"/>
        <v>107</v>
      </c>
      <c r="AN118" s="5">
        <f t="shared" si="28"/>
        <v>0</v>
      </c>
      <c r="AO118" s="5">
        <f t="shared" si="29"/>
        <v>0</v>
      </c>
      <c r="AP118" s="5">
        <f t="shared" si="30"/>
        <v>0</v>
      </c>
      <c r="AQ118" s="5">
        <f>IF(CreditAmort4WORST[[#This Row],[Month]]=AS$8,AO$7,0)</f>
        <v>0</v>
      </c>
      <c r="AR118" s="13">
        <f t="shared" si="31"/>
        <v>0</v>
      </c>
      <c r="AS118" s="6" t="str">
        <f t="shared" si="32"/>
        <v xml:space="preserve"> </v>
      </c>
      <c r="AT118" s="21" t="str">
        <f t="shared" si="33"/>
        <v xml:space="preserve"> </v>
      </c>
    </row>
    <row r="119" spans="3:46">
      <c r="C119" s="22">
        <f t="shared" si="18"/>
        <v>108</v>
      </c>
      <c r="D119" s="23">
        <f>IF(AND(C119&gt;='Amort. Sched.-WORST'!$I$8, C119&lt;= ($I$7+$I$8)), PMT('Amort. Sched.-WORST'!$E$8/12, 'Amort. Sched.-WORST'!$I$7, 'Amort. Sched.-WORST'!$E$7), 0)</f>
        <v>-2026.0175758541329</v>
      </c>
      <c r="E119" s="5">
        <f>IF(AND(C119&gt;='Amort. Sched.-WORST'!$I$8, C119&lt;= ($I$7+$I$8)), (IPMT($E$8/12, (C119-$I$8), $I$7, $E$7)), 0)</f>
        <v>-1464.0576083159604</v>
      </c>
      <c r="F119" s="23">
        <f>IF(AND(C119&gt;='Amort. Sched.-WORST'!$I$8, C119&lt;= ($I$7+$I$8)), (PPMT($E$8/12, (C119-$I$8), $I$7, $E$7)), 0)</f>
        <v>-561.95996753817269</v>
      </c>
      <c r="G119" s="5">
        <f>IF(MortgageAmortWORST[[#This Row],[Month]]=I$8,E$7,0)</f>
        <v>0</v>
      </c>
      <c r="H119" s="13">
        <f>IF(AND(C119&gt;='Amort. Sched.-WORST'!$I$8, C119&lt;= ($I$7+$I$8)), H118+F119, 0)</f>
        <v>219046.68127985575</v>
      </c>
      <c r="I119" s="24">
        <f>IF(AND(C119&gt;='Amort. Sched.-WORST'!$I$8, C119&lt;= ($I$7+$I$8)), E119/D119, " ")</f>
        <v>0.7226282860348533</v>
      </c>
      <c r="J119" s="25">
        <f>IF(AND(C119&gt;='Amort. Sched.-WORST'!$I$8, C119&lt;= ($I$7+$I$8)), F119/D119, " ")</f>
        <v>0.27737171396514682</v>
      </c>
      <c r="L119" s="20">
        <f t="shared" si="17"/>
        <v>108</v>
      </c>
      <c r="M119" s="5">
        <f>IF(AND(L119&gt;='Amort. Sched.-WORST'!$R$8, L119&lt;= ($R$7+$R$8)), PMT('Amort. Sched.-WORST'!$N$8/12, 'Amort. Sched.-WORST'!$R$7, 'Amort. Sched.-WORST'!$N$7), 0)</f>
        <v>0</v>
      </c>
      <c r="N119" s="5">
        <f>IF(AND(L119&gt;='Amort. Sched.-WORST'!$R$8, L119&lt;= ($R$7+$R$8)), (IPMT($N$8/12, (L119-$R$8), $R$7, $N$7)), 0)</f>
        <v>0</v>
      </c>
      <c r="O119" s="5">
        <f>IF(AND(L119&gt;='Amort. Sched.-WORST'!$R$8, L119&lt;= ($R$7+$R$8)), (PPMT($N$8/12, (L119-$R$8), $R$7, $N$7)), 0)</f>
        <v>0</v>
      </c>
      <c r="P119" s="5">
        <f>IF(CreditAmort1WORST[[#This Row],[Month]]=R$8,N$7,0)</f>
        <v>0</v>
      </c>
      <c r="Q119" s="13">
        <f>IF(AND(L119&gt;='Amort. Sched.-WORST'!$R$8, L119&lt;= ($R$7+$R$8)), Q118+O119, 0)</f>
        <v>0</v>
      </c>
      <c r="R119" s="6" t="str">
        <f>IF(AND(L119&gt;='Amort. Sched.-WORST'!$R$8, L119&lt;= ($R$7+$R$8)), N119/M119, " ")</f>
        <v xml:space="preserve"> </v>
      </c>
      <c r="S119" s="21" t="str">
        <f>IF(AND(L119&gt;='Amort. Sched.-WORST'!$R$8, L119&lt;= ($R$7+$R$8)), O119/M119, " ")</f>
        <v xml:space="preserve"> </v>
      </c>
      <c r="U119" s="20">
        <f t="shared" si="19"/>
        <v>108</v>
      </c>
      <c r="V119" s="5">
        <f>IF(AND(U119&gt;='Amort. Sched.-WORST'!$AA$8, U119&lt;= ($AA$7+$AA$8)), PMT('Amort. Sched.-WORST'!$W$8/12, 'Amort. Sched.-WORST'!$AA$7, 'Amort. Sched.-WORST'!$W$7), 0)</f>
        <v>0</v>
      </c>
      <c r="W119" s="5">
        <f>IF(AND(U119&gt;='Amort. Sched.-WORST'!$AA$8, U119&lt;= ($AA$7+$AA$8)), (IPMT($W$8/12, (U119-$AA$8), $AA$7, $W$7)), 0)</f>
        <v>0</v>
      </c>
      <c r="X119" s="5">
        <f>IF(AND(U119&gt;='Amort. Sched.-WORST'!$AA$8, U119&lt;= ($AA$7+$AA$8)), (PPMT($W$8/12, (U119-$AA$8), $AA$7, $W$7)), 0)</f>
        <v>0</v>
      </c>
      <c r="Y119" s="5">
        <f>IF(CreditAmort2WORST[[#This Row],[Month]]=AA$8,W$7,0)</f>
        <v>0</v>
      </c>
      <c r="Z119" s="13">
        <f>IF(AND(U119&gt;='Amort. Sched.-WORST'!$AA$8, U119&lt;= ($AA$7+$AA$8)), Z118+X119, 0)</f>
        <v>0</v>
      </c>
      <c r="AA119" s="6" t="str">
        <f>IF(AND(U119&gt;='Amort. Sched.-WORST'!$AA$8, U119&lt;= ($AA$7+$AA$8)), W119/V119, " ")</f>
        <v xml:space="preserve"> </v>
      </c>
      <c r="AB119" s="21" t="str">
        <f>IF(AND(U119&gt;='Amort. Sched.-WORST'!$AA$8, U119&lt;= ($AA$7+$AA$8)), X119/V119, " ")</f>
        <v xml:space="preserve"> </v>
      </c>
      <c r="AD119" s="20">
        <f t="shared" si="20"/>
        <v>108</v>
      </c>
      <c r="AE119" s="5">
        <f t="shared" si="21"/>
        <v>0</v>
      </c>
      <c r="AF119" s="5">
        <f t="shared" si="22"/>
        <v>0</v>
      </c>
      <c r="AG119" s="5">
        <f t="shared" si="23"/>
        <v>0</v>
      </c>
      <c r="AH119" s="5">
        <f>IF(CreditAmort3WORST[[#This Row],[Month]]=AJ$8,AF$7,0)</f>
        <v>0</v>
      </c>
      <c r="AI119" s="13">
        <f t="shared" si="24"/>
        <v>0</v>
      </c>
      <c r="AJ119" s="6" t="str">
        <f t="shared" si="25"/>
        <v xml:space="preserve"> </v>
      </c>
      <c r="AK119" s="21" t="str">
        <f t="shared" si="26"/>
        <v xml:space="preserve"> </v>
      </c>
      <c r="AM119" s="20">
        <f t="shared" si="27"/>
        <v>108</v>
      </c>
      <c r="AN119" s="5">
        <f t="shared" si="28"/>
        <v>0</v>
      </c>
      <c r="AO119" s="5">
        <f t="shared" si="29"/>
        <v>0</v>
      </c>
      <c r="AP119" s="5">
        <f t="shared" si="30"/>
        <v>0</v>
      </c>
      <c r="AQ119" s="5">
        <f>IF(CreditAmort4WORST[[#This Row],[Month]]=AS$8,AO$7,0)</f>
        <v>0</v>
      </c>
      <c r="AR119" s="13">
        <f t="shared" si="31"/>
        <v>0</v>
      </c>
      <c r="AS119" s="6" t="str">
        <f t="shared" si="32"/>
        <v xml:space="preserve"> </v>
      </c>
      <c r="AT119" s="21" t="str">
        <f t="shared" si="33"/>
        <v xml:space="preserve"> </v>
      </c>
    </row>
    <row r="120" spans="3:46">
      <c r="C120" s="22">
        <f t="shared" si="18"/>
        <v>109</v>
      </c>
      <c r="D120" s="23">
        <f>IF(AND(C120&gt;='Amort. Sched.-WORST'!$I$8, C120&lt;= ($I$7+$I$8)), PMT('Amort. Sched.-WORST'!$E$8/12, 'Amort. Sched.-WORST'!$I$7, 'Amort. Sched.-WORST'!$E$7), 0)</f>
        <v>-2026.0175758541329</v>
      </c>
      <c r="E120" s="5">
        <f>IF(AND(C120&gt;='Amort. Sched.-WORST'!$I$8, C120&lt;= ($I$7+$I$8)), (IPMT($E$8/12, (C120-$I$8), $I$7, $E$7)), 0)</f>
        <v>-1460.3112085323726</v>
      </c>
      <c r="F120" s="23">
        <f>IF(AND(C120&gt;='Amort. Sched.-WORST'!$I$8, C120&lt;= ($I$7+$I$8)), (PPMT($E$8/12, (C120-$I$8), $I$7, $E$7)), 0)</f>
        <v>-565.70636732176047</v>
      </c>
      <c r="G120" s="5">
        <f>IF(MortgageAmortWORST[[#This Row],[Month]]=I$8,E$7,0)</f>
        <v>0</v>
      </c>
      <c r="H120" s="13">
        <f>IF(AND(C120&gt;='Amort. Sched.-WORST'!$I$8, C120&lt;= ($I$7+$I$8)), H119+F120, 0)</f>
        <v>218480.974912534</v>
      </c>
      <c r="I120" s="24">
        <f>IF(AND(C120&gt;='Amort. Sched.-WORST'!$I$8, C120&lt;= ($I$7+$I$8)), E120/D120, " ")</f>
        <v>0.72077914127508558</v>
      </c>
      <c r="J120" s="25">
        <f>IF(AND(C120&gt;='Amort. Sched.-WORST'!$I$8, C120&lt;= ($I$7+$I$8)), F120/D120, " ")</f>
        <v>0.27922085872491442</v>
      </c>
      <c r="L120" s="20">
        <f t="shared" si="17"/>
        <v>109</v>
      </c>
      <c r="M120" s="5">
        <f>IF(AND(L120&gt;='Amort. Sched.-WORST'!$R$8, L120&lt;= ($R$7+$R$8)), PMT('Amort. Sched.-WORST'!$N$8/12, 'Amort. Sched.-WORST'!$R$7, 'Amort. Sched.-WORST'!$N$7), 0)</f>
        <v>0</v>
      </c>
      <c r="N120" s="5">
        <f>IF(AND(L120&gt;='Amort. Sched.-WORST'!$R$8, L120&lt;= ($R$7+$R$8)), (IPMT($N$8/12, (L120-$R$8), $R$7, $N$7)), 0)</f>
        <v>0</v>
      </c>
      <c r="O120" s="5">
        <f>IF(AND(L120&gt;='Amort. Sched.-WORST'!$R$8, L120&lt;= ($R$7+$R$8)), (PPMT($N$8/12, (L120-$R$8), $R$7, $N$7)), 0)</f>
        <v>0</v>
      </c>
      <c r="P120" s="5">
        <f>IF(CreditAmort1WORST[[#This Row],[Month]]=R$8,N$7,0)</f>
        <v>0</v>
      </c>
      <c r="Q120" s="13">
        <f>IF(AND(L120&gt;='Amort. Sched.-WORST'!$R$8, L120&lt;= ($R$7+$R$8)), Q119+O120, 0)</f>
        <v>0</v>
      </c>
      <c r="R120" s="6" t="str">
        <f>IF(AND(L120&gt;='Amort. Sched.-WORST'!$R$8, L120&lt;= ($R$7+$R$8)), N120/M120, " ")</f>
        <v xml:space="preserve"> </v>
      </c>
      <c r="S120" s="21" t="str">
        <f>IF(AND(L120&gt;='Amort. Sched.-WORST'!$R$8, L120&lt;= ($R$7+$R$8)), O120/M120, " ")</f>
        <v xml:space="preserve"> </v>
      </c>
      <c r="U120" s="20">
        <f t="shared" si="19"/>
        <v>109</v>
      </c>
      <c r="V120" s="5">
        <f>IF(AND(U120&gt;='Amort. Sched.-WORST'!$AA$8, U120&lt;= ($AA$7+$AA$8)), PMT('Amort. Sched.-WORST'!$W$8/12, 'Amort. Sched.-WORST'!$AA$7, 'Amort. Sched.-WORST'!$W$7), 0)</f>
        <v>0</v>
      </c>
      <c r="W120" s="5">
        <f>IF(AND(U120&gt;='Amort. Sched.-WORST'!$AA$8, U120&lt;= ($AA$7+$AA$8)), (IPMT($W$8/12, (U120-$AA$8), $AA$7, $W$7)), 0)</f>
        <v>0</v>
      </c>
      <c r="X120" s="5">
        <f>IF(AND(U120&gt;='Amort. Sched.-WORST'!$AA$8, U120&lt;= ($AA$7+$AA$8)), (PPMT($W$8/12, (U120-$AA$8), $AA$7, $W$7)), 0)</f>
        <v>0</v>
      </c>
      <c r="Y120" s="5">
        <f>IF(CreditAmort2WORST[[#This Row],[Month]]=AA$8,W$7,0)</f>
        <v>0</v>
      </c>
      <c r="Z120" s="13">
        <f>IF(AND(U120&gt;='Amort. Sched.-WORST'!$AA$8, U120&lt;= ($AA$7+$AA$8)), Z119+X120, 0)</f>
        <v>0</v>
      </c>
      <c r="AA120" s="6" t="str">
        <f>IF(AND(U120&gt;='Amort. Sched.-WORST'!$AA$8, U120&lt;= ($AA$7+$AA$8)), W120/V120, " ")</f>
        <v xml:space="preserve"> </v>
      </c>
      <c r="AB120" s="21" t="str">
        <f>IF(AND(U120&gt;='Amort. Sched.-WORST'!$AA$8, U120&lt;= ($AA$7+$AA$8)), X120/V120, " ")</f>
        <v xml:space="preserve"> </v>
      </c>
      <c r="AD120" s="20">
        <f t="shared" si="20"/>
        <v>109</v>
      </c>
      <c r="AE120" s="5">
        <f t="shared" si="21"/>
        <v>0</v>
      </c>
      <c r="AF120" s="5">
        <f t="shared" si="22"/>
        <v>0</v>
      </c>
      <c r="AG120" s="5">
        <f t="shared" si="23"/>
        <v>0</v>
      </c>
      <c r="AH120" s="5">
        <f>IF(CreditAmort3WORST[[#This Row],[Month]]=AJ$8,AF$7,0)</f>
        <v>0</v>
      </c>
      <c r="AI120" s="13">
        <f t="shared" si="24"/>
        <v>0</v>
      </c>
      <c r="AJ120" s="6" t="str">
        <f t="shared" si="25"/>
        <v xml:space="preserve"> </v>
      </c>
      <c r="AK120" s="21" t="str">
        <f t="shared" si="26"/>
        <v xml:space="preserve"> </v>
      </c>
      <c r="AM120" s="20">
        <f t="shared" si="27"/>
        <v>109</v>
      </c>
      <c r="AN120" s="5">
        <f t="shared" si="28"/>
        <v>0</v>
      </c>
      <c r="AO120" s="5">
        <f t="shared" si="29"/>
        <v>0</v>
      </c>
      <c r="AP120" s="5">
        <f t="shared" si="30"/>
        <v>0</v>
      </c>
      <c r="AQ120" s="5">
        <f>IF(CreditAmort4WORST[[#This Row],[Month]]=AS$8,AO$7,0)</f>
        <v>0</v>
      </c>
      <c r="AR120" s="13">
        <f t="shared" si="31"/>
        <v>0</v>
      </c>
      <c r="AS120" s="6" t="str">
        <f t="shared" si="32"/>
        <v xml:space="preserve"> </v>
      </c>
      <c r="AT120" s="21" t="str">
        <f t="shared" si="33"/>
        <v xml:space="preserve"> </v>
      </c>
    </row>
    <row r="121" spans="3:46">
      <c r="C121" s="22">
        <f t="shared" si="18"/>
        <v>110</v>
      </c>
      <c r="D121" s="23">
        <f>IF(AND(C121&gt;='Amort. Sched.-WORST'!$I$8, C121&lt;= ($I$7+$I$8)), PMT('Amort. Sched.-WORST'!$E$8/12, 'Amort. Sched.-WORST'!$I$7, 'Amort. Sched.-WORST'!$E$7), 0)</f>
        <v>-2026.0175758541329</v>
      </c>
      <c r="E121" s="5">
        <f>IF(AND(C121&gt;='Amort. Sched.-WORST'!$I$8, C121&lt;= ($I$7+$I$8)), (IPMT($E$8/12, (C121-$I$8), $I$7, $E$7)), 0)</f>
        <v>-1456.5398327502273</v>
      </c>
      <c r="F121" s="23">
        <f>IF(AND(C121&gt;='Amort. Sched.-WORST'!$I$8, C121&lt;= ($I$7+$I$8)), (PPMT($E$8/12, (C121-$I$8), $I$7, $E$7)), 0)</f>
        <v>-569.4777431039056</v>
      </c>
      <c r="G121" s="5">
        <f>IF(MortgageAmortWORST[[#This Row],[Month]]=I$8,E$7,0)</f>
        <v>0</v>
      </c>
      <c r="H121" s="13">
        <f>IF(AND(C121&gt;='Amort. Sched.-WORST'!$I$8, C121&lt;= ($I$7+$I$8)), H120+F121, 0)</f>
        <v>217911.49716943011</v>
      </c>
      <c r="I121" s="24">
        <f>IF(AND(C121&gt;='Amort. Sched.-WORST'!$I$8, C121&lt;= ($I$7+$I$8)), E121/D121, " ")</f>
        <v>0.7189176688835861</v>
      </c>
      <c r="J121" s="25">
        <f>IF(AND(C121&gt;='Amort. Sched.-WORST'!$I$8, C121&lt;= ($I$7+$I$8)), F121/D121, " ")</f>
        <v>0.2810823311164139</v>
      </c>
      <c r="L121" s="20">
        <f t="shared" si="17"/>
        <v>110</v>
      </c>
      <c r="M121" s="5">
        <f>IF(AND(L121&gt;='Amort. Sched.-WORST'!$R$8, L121&lt;= ($R$7+$R$8)), PMT('Amort. Sched.-WORST'!$N$8/12, 'Amort. Sched.-WORST'!$R$7, 'Amort. Sched.-WORST'!$N$7), 0)</f>
        <v>0</v>
      </c>
      <c r="N121" s="5">
        <f>IF(AND(L121&gt;='Amort. Sched.-WORST'!$R$8, L121&lt;= ($R$7+$R$8)), (IPMT($N$8/12, (L121-$R$8), $R$7, $N$7)), 0)</f>
        <v>0</v>
      </c>
      <c r="O121" s="5">
        <f>IF(AND(L121&gt;='Amort. Sched.-WORST'!$R$8, L121&lt;= ($R$7+$R$8)), (PPMT($N$8/12, (L121-$R$8), $R$7, $N$7)), 0)</f>
        <v>0</v>
      </c>
      <c r="P121" s="5">
        <f>IF(CreditAmort1WORST[[#This Row],[Month]]=R$8,N$7,0)</f>
        <v>0</v>
      </c>
      <c r="Q121" s="13">
        <f>IF(AND(L121&gt;='Amort. Sched.-WORST'!$R$8, L121&lt;= ($R$7+$R$8)), Q120+O121, 0)</f>
        <v>0</v>
      </c>
      <c r="R121" s="6" t="str">
        <f>IF(AND(L121&gt;='Amort. Sched.-WORST'!$R$8, L121&lt;= ($R$7+$R$8)), N121/M121, " ")</f>
        <v xml:space="preserve"> </v>
      </c>
      <c r="S121" s="21" t="str">
        <f>IF(AND(L121&gt;='Amort. Sched.-WORST'!$R$8, L121&lt;= ($R$7+$R$8)), O121/M121, " ")</f>
        <v xml:space="preserve"> </v>
      </c>
      <c r="U121" s="20">
        <f t="shared" si="19"/>
        <v>110</v>
      </c>
      <c r="V121" s="5">
        <f>IF(AND(U121&gt;='Amort. Sched.-WORST'!$AA$8, U121&lt;= ($AA$7+$AA$8)), PMT('Amort. Sched.-WORST'!$W$8/12, 'Amort. Sched.-WORST'!$AA$7, 'Amort. Sched.-WORST'!$W$7), 0)</f>
        <v>0</v>
      </c>
      <c r="W121" s="5">
        <f>IF(AND(U121&gt;='Amort. Sched.-WORST'!$AA$8, U121&lt;= ($AA$7+$AA$8)), (IPMT($W$8/12, (U121-$AA$8), $AA$7, $W$7)), 0)</f>
        <v>0</v>
      </c>
      <c r="X121" s="5">
        <f>IF(AND(U121&gt;='Amort. Sched.-WORST'!$AA$8, U121&lt;= ($AA$7+$AA$8)), (PPMT($W$8/12, (U121-$AA$8), $AA$7, $W$7)), 0)</f>
        <v>0</v>
      </c>
      <c r="Y121" s="5">
        <f>IF(CreditAmort2WORST[[#This Row],[Month]]=AA$8,W$7,0)</f>
        <v>0</v>
      </c>
      <c r="Z121" s="13">
        <f>IF(AND(U121&gt;='Amort. Sched.-WORST'!$AA$8, U121&lt;= ($AA$7+$AA$8)), Z120+X121, 0)</f>
        <v>0</v>
      </c>
      <c r="AA121" s="6" t="str">
        <f>IF(AND(U121&gt;='Amort. Sched.-WORST'!$AA$8, U121&lt;= ($AA$7+$AA$8)), W121/V121, " ")</f>
        <v xml:space="preserve"> </v>
      </c>
      <c r="AB121" s="21" t="str">
        <f>IF(AND(U121&gt;='Amort. Sched.-WORST'!$AA$8, U121&lt;= ($AA$7+$AA$8)), X121/V121, " ")</f>
        <v xml:space="preserve"> </v>
      </c>
      <c r="AD121" s="20">
        <f t="shared" si="20"/>
        <v>110</v>
      </c>
      <c r="AE121" s="5">
        <f t="shared" si="21"/>
        <v>0</v>
      </c>
      <c r="AF121" s="5">
        <f t="shared" si="22"/>
        <v>0</v>
      </c>
      <c r="AG121" s="5">
        <f t="shared" si="23"/>
        <v>0</v>
      </c>
      <c r="AH121" s="5">
        <f>IF(CreditAmort3WORST[[#This Row],[Month]]=AJ$8,AF$7,0)</f>
        <v>0</v>
      </c>
      <c r="AI121" s="13">
        <f t="shared" si="24"/>
        <v>0</v>
      </c>
      <c r="AJ121" s="6" t="str">
        <f t="shared" si="25"/>
        <v xml:space="preserve"> </v>
      </c>
      <c r="AK121" s="21" t="str">
        <f t="shared" si="26"/>
        <v xml:space="preserve"> </v>
      </c>
      <c r="AM121" s="20">
        <f t="shared" si="27"/>
        <v>110</v>
      </c>
      <c r="AN121" s="5">
        <f t="shared" si="28"/>
        <v>0</v>
      </c>
      <c r="AO121" s="5">
        <f t="shared" si="29"/>
        <v>0</v>
      </c>
      <c r="AP121" s="5">
        <f t="shared" si="30"/>
        <v>0</v>
      </c>
      <c r="AQ121" s="5">
        <f>IF(CreditAmort4WORST[[#This Row],[Month]]=AS$8,AO$7,0)</f>
        <v>0</v>
      </c>
      <c r="AR121" s="13">
        <f t="shared" si="31"/>
        <v>0</v>
      </c>
      <c r="AS121" s="6" t="str">
        <f t="shared" si="32"/>
        <v xml:space="preserve"> </v>
      </c>
      <c r="AT121" s="21" t="str">
        <f t="shared" si="33"/>
        <v xml:space="preserve"> </v>
      </c>
    </row>
    <row r="122" spans="3:46">
      <c r="C122" s="22">
        <f t="shared" si="18"/>
        <v>111</v>
      </c>
      <c r="D122" s="23">
        <f>IF(AND(C122&gt;='Amort. Sched.-WORST'!$I$8, C122&lt;= ($I$7+$I$8)), PMT('Amort. Sched.-WORST'!$E$8/12, 'Amort. Sched.-WORST'!$I$7, 'Amort. Sched.-WORST'!$E$7), 0)</f>
        <v>-2026.0175758541329</v>
      </c>
      <c r="E122" s="5">
        <f>IF(AND(C122&gt;='Amort. Sched.-WORST'!$I$8, C122&lt;= ($I$7+$I$8)), (IPMT($E$8/12, (C122-$I$8), $I$7, $E$7)), 0)</f>
        <v>-1452.7433144628683</v>
      </c>
      <c r="F122" s="23">
        <f>IF(AND(C122&gt;='Amort. Sched.-WORST'!$I$8, C122&lt;= ($I$7+$I$8)), (PPMT($E$8/12, (C122-$I$8), $I$7, $E$7)), 0)</f>
        <v>-573.27426139126499</v>
      </c>
      <c r="G122" s="5">
        <f>IF(MortgageAmortWORST[[#This Row],[Month]]=I$8,E$7,0)</f>
        <v>0</v>
      </c>
      <c r="H122" s="13">
        <f>IF(AND(C122&gt;='Amort. Sched.-WORST'!$I$8, C122&lt;= ($I$7+$I$8)), H121+F122, 0)</f>
        <v>217338.22290803885</v>
      </c>
      <c r="I122" s="24">
        <f>IF(AND(C122&gt;='Amort. Sched.-WORST'!$I$8, C122&lt;= ($I$7+$I$8)), E122/D122, " ")</f>
        <v>0.71704378667614355</v>
      </c>
      <c r="J122" s="25">
        <f>IF(AND(C122&gt;='Amort. Sched.-WORST'!$I$8, C122&lt;= ($I$7+$I$8)), F122/D122, " ")</f>
        <v>0.28295621332385668</v>
      </c>
      <c r="L122" s="20">
        <f t="shared" si="17"/>
        <v>111</v>
      </c>
      <c r="M122" s="5">
        <f>IF(AND(L122&gt;='Amort. Sched.-WORST'!$R$8, L122&lt;= ($R$7+$R$8)), PMT('Amort. Sched.-WORST'!$N$8/12, 'Amort. Sched.-WORST'!$R$7, 'Amort. Sched.-WORST'!$N$7), 0)</f>
        <v>0</v>
      </c>
      <c r="N122" s="5">
        <f>IF(AND(L122&gt;='Amort. Sched.-WORST'!$R$8, L122&lt;= ($R$7+$R$8)), (IPMT($N$8/12, (L122-$R$8), $R$7, $N$7)), 0)</f>
        <v>0</v>
      </c>
      <c r="O122" s="5">
        <f>IF(AND(L122&gt;='Amort. Sched.-WORST'!$R$8, L122&lt;= ($R$7+$R$8)), (PPMT($N$8/12, (L122-$R$8), $R$7, $N$7)), 0)</f>
        <v>0</v>
      </c>
      <c r="P122" s="5">
        <f>IF(CreditAmort1WORST[[#This Row],[Month]]=R$8,N$7,0)</f>
        <v>0</v>
      </c>
      <c r="Q122" s="13">
        <f>IF(AND(L122&gt;='Amort. Sched.-WORST'!$R$8, L122&lt;= ($R$7+$R$8)), Q121+O122, 0)</f>
        <v>0</v>
      </c>
      <c r="R122" s="6" t="str">
        <f>IF(AND(L122&gt;='Amort. Sched.-WORST'!$R$8, L122&lt;= ($R$7+$R$8)), N122/M122, " ")</f>
        <v xml:space="preserve"> </v>
      </c>
      <c r="S122" s="21" t="str">
        <f>IF(AND(L122&gt;='Amort. Sched.-WORST'!$R$8, L122&lt;= ($R$7+$R$8)), O122/M122, " ")</f>
        <v xml:space="preserve"> </v>
      </c>
      <c r="U122" s="20">
        <f t="shared" si="19"/>
        <v>111</v>
      </c>
      <c r="V122" s="5">
        <f>IF(AND(U122&gt;='Amort. Sched.-WORST'!$AA$8, U122&lt;= ($AA$7+$AA$8)), PMT('Amort. Sched.-WORST'!$W$8/12, 'Amort. Sched.-WORST'!$AA$7, 'Amort. Sched.-WORST'!$W$7), 0)</f>
        <v>0</v>
      </c>
      <c r="W122" s="5">
        <f>IF(AND(U122&gt;='Amort. Sched.-WORST'!$AA$8, U122&lt;= ($AA$7+$AA$8)), (IPMT($W$8/12, (U122-$AA$8), $AA$7, $W$7)), 0)</f>
        <v>0</v>
      </c>
      <c r="X122" s="5">
        <f>IF(AND(U122&gt;='Amort. Sched.-WORST'!$AA$8, U122&lt;= ($AA$7+$AA$8)), (PPMT($W$8/12, (U122-$AA$8), $AA$7, $W$7)), 0)</f>
        <v>0</v>
      </c>
      <c r="Y122" s="5">
        <f>IF(CreditAmort2WORST[[#This Row],[Month]]=AA$8,W$7,0)</f>
        <v>0</v>
      </c>
      <c r="Z122" s="13">
        <f>IF(AND(U122&gt;='Amort. Sched.-WORST'!$AA$8, U122&lt;= ($AA$7+$AA$8)), Z121+X122, 0)</f>
        <v>0</v>
      </c>
      <c r="AA122" s="6" t="str">
        <f>IF(AND(U122&gt;='Amort. Sched.-WORST'!$AA$8, U122&lt;= ($AA$7+$AA$8)), W122/V122, " ")</f>
        <v xml:space="preserve"> </v>
      </c>
      <c r="AB122" s="21" t="str">
        <f>IF(AND(U122&gt;='Amort. Sched.-WORST'!$AA$8, U122&lt;= ($AA$7+$AA$8)), X122/V122, " ")</f>
        <v xml:space="preserve"> </v>
      </c>
      <c r="AD122" s="20">
        <f t="shared" si="20"/>
        <v>111</v>
      </c>
      <c r="AE122" s="5">
        <f t="shared" si="21"/>
        <v>0</v>
      </c>
      <c r="AF122" s="5">
        <f t="shared" si="22"/>
        <v>0</v>
      </c>
      <c r="AG122" s="5">
        <f t="shared" si="23"/>
        <v>0</v>
      </c>
      <c r="AH122" s="5">
        <f>IF(CreditAmort3WORST[[#This Row],[Month]]=AJ$8,AF$7,0)</f>
        <v>0</v>
      </c>
      <c r="AI122" s="13">
        <f t="shared" si="24"/>
        <v>0</v>
      </c>
      <c r="AJ122" s="6" t="str">
        <f t="shared" si="25"/>
        <v xml:space="preserve"> </v>
      </c>
      <c r="AK122" s="21" t="str">
        <f t="shared" si="26"/>
        <v xml:space="preserve"> </v>
      </c>
      <c r="AM122" s="20">
        <f t="shared" si="27"/>
        <v>111</v>
      </c>
      <c r="AN122" s="5">
        <f t="shared" si="28"/>
        <v>0</v>
      </c>
      <c r="AO122" s="5">
        <f t="shared" si="29"/>
        <v>0</v>
      </c>
      <c r="AP122" s="5">
        <f t="shared" si="30"/>
        <v>0</v>
      </c>
      <c r="AQ122" s="5">
        <f>IF(CreditAmort4WORST[[#This Row],[Month]]=AS$8,AO$7,0)</f>
        <v>0</v>
      </c>
      <c r="AR122" s="13">
        <f t="shared" si="31"/>
        <v>0</v>
      </c>
      <c r="AS122" s="6" t="str">
        <f t="shared" si="32"/>
        <v xml:space="preserve"> </v>
      </c>
      <c r="AT122" s="21" t="str">
        <f t="shared" si="33"/>
        <v xml:space="preserve"> </v>
      </c>
    </row>
    <row r="123" spans="3:46">
      <c r="C123" s="22">
        <f t="shared" si="18"/>
        <v>112</v>
      </c>
      <c r="D123" s="23">
        <f>IF(AND(C123&gt;='Amort. Sched.-WORST'!$I$8, C123&lt;= ($I$7+$I$8)), PMT('Amort. Sched.-WORST'!$E$8/12, 'Amort. Sched.-WORST'!$I$7, 'Amort. Sched.-WORST'!$E$7), 0)</f>
        <v>-2026.0175758541329</v>
      </c>
      <c r="E123" s="5">
        <f>IF(AND(C123&gt;='Amort. Sched.-WORST'!$I$8, C123&lt;= ($I$7+$I$8)), (IPMT($E$8/12, (C123-$I$8), $I$7, $E$7)), 0)</f>
        <v>-1448.9214860535931</v>
      </c>
      <c r="F123" s="23">
        <f>IF(AND(C123&gt;='Amort. Sched.-WORST'!$I$8, C123&lt;= ($I$7+$I$8)), (PPMT($E$8/12, (C123-$I$8), $I$7, $E$7)), 0)</f>
        <v>-577.09608980053997</v>
      </c>
      <c r="G123" s="5">
        <f>IF(MortgageAmortWORST[[#This Row],[Month]]=I$8,E$7,0)</f>
        <v>0</v>
      </c>
      <c r="H123" s="13">
        <f>IF(AND(C123&gt;='Amort. Sched.-WORST'!$I$8, C123&lt;= ($I$7+$I$8)), H122+F123, 0)</f>
        <v>216761.12681823832</v>
      </c>
      <c r="I123" s="24">
        <f>IF(AND(C123&gt;='Amort. Sched.-WORST'!$I$8, C123&lt;= ($I$7+$I$8)), E123/D123, " ")</f>
        <v>0.71515741192065108</v>
      </c>
      <c r="J123" s="25">
        <f>IF(AND(C123&gt;='Amort. Sched.-WORST'!$I$8, C123&lt;= ($I$7+$I$8)), F123/D123, " ")</f>
        <v>0.28484258807934898</v>
      </c>
      <c r="L123" s="20">
        <f t="shared" si="17"/>
        <v>112</v>
      </c>
      <c r="M123" s="5">
        <f>IF(AND(L123&gt;='Amort. Sched.-WORST'!$R$8, L123&lt;= ($R$7+$R$8)), PMT('Amort. Sched.-WORST'!$N$8/12, 'Amort. Sched.-WORST'!$R$7, 'Amort. Sched.-WORST'!$N$7), 0)</f>
        <v>0</v>
      </c>
      <c r="N123" s="5">
        <f>IF(AND(L123&gt;='Amort. Sched.-WORST'!$R$8, L123&lt;= ($R$7+$R$8)), (IPMT($N$8/12, (L123-$R$8), $R$7, $N$7)), 0)</f>
        <v>0</v>
      </c>
      <c r="O123" s="5">
        <f>IF(AND(L123&gt;='Amort. Sched.-WORST'!$R$8, L123&lt;= ($R$7+$R$8)), (PPMT($N$8/12, (L123-$R$8), $R$7, $N$7)), 0)</f>
        <v>0</v>
      </c>
      <c r="P123" s="5">
        <f>IF(CreditAmort1WORST[[#This Row],[Month]]=R$8,N$7,0)</f>
        <v>0</v>
      </c>
      <c r="Q123" s="13">
        <f>IF(AND(L123&gt;='Amort. Sched.-WORST'!$R$8, L123&lt;= ($R$7+$R$8)), Q122+O123, 0)</f>
        <v>0</v>
      </c>
      <c r="R123" s="6" t="str">
        <f>IF(AND(L123&gt;='Amort. Sched.-WORST'!$R$8, L123&lt;= ($R$7+$R$8)), N123/M123, " ")</f>
        <v xml:space="preserve"> </v>
      </c>
      <c r="S123" s="21" t="str">
        <f>IF(AND(L123&gt;='Amort. Sched.-WORST'!$R$8, L123&lt;= ($R$7+$R$8)), O123/M123, " ")</f>
        <v xml:space="preserve"> </v>
      </c>
      <c r="U123" s="20">
        <f t="shared" si="19"/>
        <v>112</v>
      </c>
      <c r="V123" s="5">
        <f>IF(AND(U123&gt;='Amort. Sched.-WORST'!$AA$8, U123&lt;= ($AA$7+$AA$8)), PMT('Amort. Sched.-WORST'!$W$8/12, 'Amort. Sched.-WORST'!$AA$7, 'Amort. Sched.-WORST'!$W$7), 0)</f>
        <v>0</v>
      </c>
      <c r="W123" s="5">
        <f>IF(AND(U123&gt;='Amort. Sched.-WORST'!$AA$8, U123&lt;= ($AA$7+$AA$8)), (IPMT($W$8/12, (U123-$AA$8), $AA$7, $W$7)), 0)</f>
        <v>0</v>
      </c>
      <c r="X123" s="5">
        <f>IF(AND(U123&gt;='Amort. Sched.-WORST'!$AA$8, U123&lt;= ($AA$7+$AA$8)), (PPMT($W$8/12, (U123-$AA$8), $AA$7, $W$7)), 0)</f>
        <v>0</v>
      </c>
      <c r="Y123" s="5">
        <f>IF(CreditAmort2WORST[[#This Row],[Month]]=AA$8,W$7,0)</f>
        <v>0</v>
      </c>
      <c r="Z123" s="13">
        <f>IF(AND(U123&gt;='Amort. Sched.-WORST'!$AA$8, U123&lt;= ($AA$7+$AA$8)), Z122+X123, 0)</f>
        <v>0</v>
      </c>
      <c r="AA123" s="6" t="str">
        <f>IF(AND(U123&gt;='Amort. Sched.-WORST'!$AA$8, U123&lt;= ($AA$7+$AA$8)), W123/V123, " ")</f>
        <v xml:space="preserve"> </v>
      </c>
      <c r="AB123" s="21" t="str">
        <f>IF(AND(U123&gt;='Amort. Sched.-WORST'!$AA$8, U123&lt;= ($AA$7+$AA$8)), X123/V123, " ")</f>
        <v xml:space="preserve"> </v>
      </c>
      <c r="AD123" s="20">
        <f t="shared" si="20"/>
        <v>112</v>
      </c>
      <c r="AE123" s="5">
        <f t="shared" si="21"/>
        <v>0</v>
      </c>
      <c r="AF123" s="5">
        <f t="shared" si="22"/>
        <v>0</v>
      </c>
      <c r="AG123" s="5">
        <f t="shared" si="23"/>
        <v>0</v>
      </c>
      <c r="AH123" s="5">
        <f>IF(CreditAmort3WORST[[#This Row],[Month]]=AJ$8,AF$7,0)</f>
        <v>0</v>
      </c>
      <c r="AI123" s="13">
        <f t="shared" si="24"/>
        <v>0</v>
      </c>
      <c r="AJ123" s="6" t="str">
        <f t="shared" si="25"/>
        <v xml:space="preserve"> </v>
      </c>
      <c r="AK123" s="21" t="str">
        <f t="shared" si="26"/>
        <v xml:space="preserve"> </v>
      </c>
      <c r="AM123" s="20">
        <f t="shared" si="27"/>
        <v>112</v>
      </c>
      <c r="AN123" s="5">
        <f t="shared" si="28"/>
        <v>0</v>
      </c>
      <c r="AO123" s="5">
        <f t="shared" si="29"/>
        <v>0</v>
      </c>
      <c r="AP123" s="5">
        <f t="shared" si="30"/>
        <v>0</v>
      </c>
      <c r="AQ123" s="5">
        <f>IF(CreditAmort4WORST[[#This Row],[Month]]=AS$8,AO$7,0)</f>
        <v>0</v>
      </c>
      <c r="AR123" s="13">
        <f t="shared" si="31"/>
        <v>0</v>
      </c>
      <c r="AS123" s="6" t="str">
        <f t="shared" si="32"/>
        <v xml:space="preserve"> </v>
      </c>
      <c r="AT123" s="21" t="str">
        <f t="shared" si="33"/>
        <v xml:space="preserve"> </v>
      </c>
    </row>
    <row r="124" spans="3:46">
      <c r="C124" s="22">
        <f t="shared" si="18"/>
        <v>113</v>
      </c>
      <c r="D124" s="23">
        <f>IF(AND(C124&gt;='Amort. Sched.-WORST'!$I$8, C124&lt;= ($I$7+$I$8)), PMT('Amort. Sched.-WORST'!$E$8/12, 'Amort. Sched.-WORST'!$I$7, 'Amort. Sched.-WORST'!$E$7), 0)</f>
        <v>-2026.0175758541329</v>
      </c>
      <c r="E124" s="5">
        <f>IF(AND(C124&gt;='Amort. Sched.-WORST'!$I$8, C124&lt;= ($I$7+$I$8)), (IPMT($E$8/12, (C124-$I$8), $I$7, $E$7)), 0)</f>
        <v>-1445.0741787882562</v>
      </c>
      <c r="F124" s="23">
        <f>IF(AND(C124&gt;='Amort. Sched.-WORST'!$I$8, C124&lt;= ($I$7+$I$8)), (PPMT($E$8/12, (C124-$I$8), $I$7, $E$7)), 0)</f>
        <v>-580.94339706587698</v>
      </c>
      <c r="G124" s="5">
        <f>IF(MortgageAmortWORST[[#This Row],[Month]]=I$8,E$7,0)</f>
        <v>0</v>
      </c>
      <c r="H124" s="13">
        <f>IF(AND(C124&gt;='Amort. Sched.-WORST'!$I$8, C124&lt;= ($I$7+$I$8)), H123+F124, 0)</f>
        <v>216180.18342117243</v>
      </c>
      <c r="I124" s="24">
        <f>IF(AND(C124&gt;='Amort. Sched.-WORST'!$I$8, C124&lt;= ($I$7+$I$8)), E124/D124, " ")</f>
        <v>0.71325846133345538</v>
      </c>
      <c r="J124" s="25">
        <f>IF(AND(C124&gt;='Amort. Sched.-WORST'!$I$8, C124&lt;= ($I$7+$I$8)), F124/D124, " ")</f>
        <v>0.28674153866654467</v>
      </c>
      <c r="L124" s="20">
        <f t="shared" si="17"/>
        <v>113</v>
      </c>
      <c r="M124" s="5">
        <f>IF(AND(L124&gt;='Amort. Sched.-WORST'!$R$8, L124&lt;= ($R$7+$R$8)), PMT('Amort. Sched.-WORST'!$N$8/12, 'Amort. Sched.-WORST'!$R$7, 'Amort. Sched.-WORST'!$N$7), 0)</f>
        <v>0</v>
      </c>
      <c r="N124" s="5">
        <f>IF(AND(L124&gt;='Amort. Sched.-WORST'!$R$8, L124&lt;= ($R$7+$R$8)), (IPMT($N$8/12, (L124-$R$8), $R$7, $N$7)), 0)</f>
        <v>0</v>
      </c>
      <c r="O124" s="5">
        <f>IF(AND(L124&gt;='Amort. Sched.-WORST'!$R$8, L124&lt;= ($R$7+$R$8)), (PPMT($N$8/12, (L124-$R$8), $R$7, $N$7)), 0)</f>
        <v>0</v>
      </c>
      <c r="P124" s="5">
        <f>IF(CreditAmort1WORST[[#This Row],[Month]]=R$8,N$7,0)</f>
        <v>0</v>
      </c>
      <c r="Q124" s="13">
        <f>IF(AND(L124&gt;='Amort. Sched.-WORST'!$R$8, L124&lt;= ($R$7+$R$8)), Q123+O124, 0)</f>
        <v>0</v>
      </c>
      <c r="R124" s="6" t="str">
        <f>IF(AND(L124&gt;='Amort. Sched.-WORST'!$R$8, L124&lt;= ($R$7+$R$8)), N124/M124, " ")</f>
        <v xml:space="preserve"> </v>
      </c>
      <c r="S124" s="21" t="str">
        <f>IF(AND(L124&gt;='Amort. Sched.-WORST'!$R$8, L124&lt;= ($R$7+$R$8)), O124/M124, " ")</f>
        <v xml:space="preserve"> </v>
      </c>
      <c r="U124" s="20">
        <f t="shared" si="19"/>
        <v>113</v>
      </c>
      <c r="V124" s="5">
        <f>IF(AND(U124&gt;='Amort. Sched.-WORST'!$AA$8, U124&lt;= ($AA$7+$AA$8)), PMT('Amort. Sched.-WORST'!$W$8/12, 'Amort. Sched.-WORST'!$AA$7, 'Amort. Sched.-WORST'!$W$7), 0)</f>
        <v>0</v>
      </c>
      <c r="W124" s="5">
        <f>IF(AND(U124&gt;='Amort. Sched.-WORST'!$AA$8, U124&lt;= ($AA$7+$AA$8)), (IPMT($W$8/12, (U124-$AA$8), $AA$7, $W$7)), 0)</f>
        <v>0</v>
      </c>
      <c r="X124" s="5">
        <f>IF(AND(U124&gt;='Amort. Sched.-WORST'!$AA$8, U124&lt;= ($AA$7+$AA$8)), (PPMT($W$8/12, (U124-$AA$8), $AA$7, $W$7)), 0)</f>
        <v>0</v>
      </c>
      <c r="Y124" s="5">
        <f>IF(CreditAmort2WORST[[#This Row],[Month]]=AA$8,W$7,0)</f>
        <v>0</v>
      </c>
      <c r="Z124" s="13">
        <f>IF(AND(U124&gt;='Amort. Sched.-WORST'!$AA$8, U124&lt;= ($AA$7+$AA$8)), Z123+X124, 0)</f>
        <v>0</v>
      </c>
      <c r="AA124" s="6" t="str">
        <f>IF(AND(U124&gt;='Amort. Sched.-WORST'!$AA$8, U124&lt;= ($AA$7+$AA$8)), W124/V124, " ")</f>
        <v xml:space="preserve"> </v>
      </c>
      <c r="AB124" s="21" t="str">
        <f>IF(AND(U124&gt;='Amort. Sched.-WORST'!$AA$8, U124&lt;= ($AA$7+$AA$8)), X124/V124, " ")</f>
        <v xml:space="preserve"> </v>
      </c>
      <c r="AD124" s="20">
        <f t="shared" si="20"/>
        <v>113</v>
      </c>
      <c r="AE124" s="5">
        <f t="shared" si="21"/>
        <v>0</v>
      </c>
      <c r="AF124" s="5">
        <f t="shared" si="22"/>
        <v>0</v>
      </c>
      <c r="AG124" s="5">
        <f t="shared" si="23"/>
        <v>0</v>
      </c>
      <c r="AH124" s="5">
        <f>IF(CreditAmort3WORST[[#This Row],[Month]]=AJ$8,AF$7,0)</f>
        <v>0</v>
      </c>
      <c r="AI124" s="13">
        <f t="shared" si="24"/>
        <v>0</v>
      </c>
      <c r="AJ124" s="6" t="str">
        <f t="shared" si="25"/>
        <v xml:space="preserve"> </v>
      </c>
      <c r="AK124" s="21" t="str">
        <f t="shared" si="26"/>
        <v xml:space="preserve"> </v>
      </c>
      <c r="AM124" s="20">
        <f t="shared" si="27"/>
        <v>113</v>
      </c>
      <c r="AN124" s="5">
        <f t="shared" si="28"/>
        <v>0</v>
      </c>
      <c r="AO124" s="5">
        <f t="shared" si="29"/>
        <v>0</v>
      </c>
      <c r="AP124" s="5">
        <f t="shared" si="30"/>
        <v>0</v>
      </c>
      <c r="AQ124" s="5">
        <f>IF(CreditAmort4WORST[[#This Row],[Month]]=AS$8,AO$7,0)</f>
        <v>0</v>
      </c>
      <c r="AR124" s="13">
        <f t="shared" si="31"/>
        <v>0</v>
      </c>
      <c r="AS124" s="6" t="str">
        <f t="shared" si="32"/>
        <v xml:space="preserve"> </v>
      </c>
      <c r="AT124" s="21" t="str">
        <f t="shared" si="33"/>
        <v xml:space="preserve"> </v>
      </c>
    </row>
    <row r="125" spans="3:46">
      <c r="C125" s="22">
        <f t="shared" si="18"/>
        <v>114</v>
      </c>
      <c r="D125" s="23">
        <f>IF(AND(C125&gt;='Amort. Sched.-WORST'!$I$8, C125&lt;= ($I$7+$I$8)), PMT('Amort. Sched.-WORST'!$E$8/12, 'Amort. Sched.-WORST'!$I$7, 'Amort. Sched.-WORST'!$E$7), 0)</f>
        <v>-2026.0175758541329</v>
      </c>
      <c r="E125" s="5">
        <f>IF(AND(C125&gt;='Amort. Sched.-WORST'!$I$8, C125&lt;= ($I$7+$I$8)), (IPMT($E$8/12, (C125-$I$8), $I$7, $E$7)), 0)</f>
        <v>-1441.201222807817</v>
      </c>
      <c r="F125" s="23">
        <f>IF(AND(C125&gt;='Amort. Sched.-WORST'!$I$8, C125&lt;= ($I$7+$I$8)), (PPMT($E$8/12, (C125-$I$8), $I$7, $E$7)), 0)</f>
        <v>-584.81635304631618</v>
      </c>
      <c r="G125" s="5">
        <f>IF(MortgageAmortWORST[[#This Row],[Month]]=I$8,E$7,0)</f>
        <v>0</v>
      </c>
      <c r="H125" s="13">
        <f>IF(AND(C125&gt;='Amort. Sched.-WORST'!$I$8, C125&lt;= ($I$7+$I$8)), H124+F125, 0)</f>
        <v>215595.36706812613</v>
      </c>
      <c r="I125" s="24">
        <f>IF(AND(C125&gt;='Amort. Sched.-WORST'!$I$8, C125&lt;= ($I$7+$I$8)), E125/D125, " ")</f>
        <v>0.71134685107567841</v>
      </c>
      <c r="J125" s="25">
        <f>IF(AND(C125&gt;='Amort. Sched.-WORST'!$I$8, C125&lt;= ($I$7+$I$8)), F125/D125, " ")</f>
        <v>0.28865314892432165</v>
      </c>
      <c r="L125" s="20">
        <f t="shared" si="17"/>
        <v>114</v>
      </c>
      <c r="M125" s="5">
        <f>IF(AND(L125&gt;='Amort. Sched.-WORST'!$R$8, L125&lt;= ($R$7+$R$8)), PMT('Amort. Sched.-WORST'!$N$8/12, 'Amort. Sched.-WORST'!$R$7, 'Amort. Sched.-WORST'!$N$7), 0)</f>
        <v>0</v>
      </c>
      <c r="N125" s="5">
        <f>IF(AND(L125&gt;='Amort. Sched.-WORST'!$R$8, L125&lt;= ($R$7+$R$8)), (IPMT($N$8/12, (L125-$R$8), $R$7, $N$7)), 0)</f>
        <v>0</v>
      </c>
      <c r="O125" s="5">
        <f>IF(AND(L125&gt;='Amort. Sched.-WORST'!$R$8, L125&lt;= ($R$7+$R$8)), (PPMT($N$8/12, (L125-$R$8), $R$7, $N$7)), 0)</f>
        <v>0</v>
      </c>
      <c r="P125" s="5">
        <f>IF(CreditAmort1WORST[[#This Row],[Month]]=R$8,N$7,0)</f>
        <v>0</v>
      </c>
      <c r="Q125" s="13">
        <f>IF(AND(L125&gt;='Amort. Sched.-WORST'!$R$8, L125&lt;= ($R$7+$R$8)), Q124+O125, 0)</f>
        <v>0</v>
      </c>
      <c r="R125" s="6" t="str">
        <f>IF(AND(L125&gt;='Amort. Sched.-WORST'!$R$8, L125&lt;= ($R$7+$R$8)), N125/M125, " ")</f>
        <v xml:space="preserve"> </v>
      </c>
      <c r="S125" s="21" t="str">
        <f>IF(AND(L125&gt;='Amort. Sched.-WORST'!$R$8, L125&lt;= ($R$7+$R$8)), O125/M125, " ")</f>
        <v xml:space="preserve"> </v>
      </c>
      <c r="U125" s="20">
        <f t="shared" si="19"/>
        <v>114</v>
      </c>
      <c r="V125" s="5">
        <f>IF(AND(U125&gt;='Amort. Sched.-WORST'!$AA$8, U125&lt;= ($AA$7+$AA$8)), PMT('Amort. Sched.-WORST'!$W$8/12, 'Amort. Sched.-WORST'!$AA$7, 'Amort. Sched.-WORST'!$W$7), 0)</f>
        <v>0</v>
      </c>
      <c r="W125" s="5">
        <f>IF(AND(U125&gt;='Amort. Sched.-WORST'!$AA$8, U125&lt;= ($AA$7+$AA$8)), (IPMT($W$8/12, (U125-$AA$8), $AA$7, $W$7)), 0)</f>
        <v>0</v>
      </c>
      <c r="X125" s="5">
        <f>IF(AND(U125&gt;='Amort. Sched.-WORST'!$AA$8, U125&lt;= ($AA$7+$AA$8)), (PPMT($W$8/12, (U125-$AA$8), $AA$7, $W$7)), 0)</f>
        <v>0</v>
      </c>
      <c r="Y125" s="5">
        <f>IF(CreditAmort2WORST[[#This Row],[Month]]=AA$8,W$7,0)</f>
        <v>0</v>
      </c>
      <c r="Z125" s="13">
        <f>IF(AND(U125&gt;='Amort. Sched.-WORST'!$AA$8, U125&lt;= ($AA$7+$AA$8)), Z124+X125, 0)</f>
        <v>0</v>
      </c>
      <c r="AA125" s="6" t="str">
        <f>IF(AND(U125&gt;='Amort. Sched.-WORST'!$AA$8, U125&lt;= ($AA$7+$AA$8)), W125/V125, " ")</f>
        <v xml:space="preserve"> </v>
      </c>
      <c r="AB125" s="21" t="str">
        <f>IF(AND(U125&gt;='Amort. Sched.-WORST'!$AA$8, U125&lt;= ($AA$7+$AA$8)), X125/V125, " ")</f>
        <v xml:space="preserve"> </v>
      </c>
      <c r="AD125" s="20">
        <f t="shared" si="20"/>
        <v>114</v>
      </c>
      <c r="AE125" s="5">
        <f t="shared" si="21"/>
        <v>0</v>
      </c>
      <c r="AF125" s="5">
        <f t="shared" si="22"/>
        <v>0</v>
      </c>
      <c r="AG125" s="5">
        <f t="shared" si="23"/>
        <v>0</v>
      </c>
      <c r="AH125" s="5">
        <f>IF(CreditAmort3WORST[[#This Row],[Month]]=AJ$8,AF$7,0)</f>
        <v>0</v>
      </c>
      <c r="AI125" s="13">
        <f t="shared" si="24"/>
        <v>0</v>
      </c>
      <c r="AJ125" s="6" t="str">
        <f t="shared" si="25"/>
        <v xml:space="preserve"> </v>
      </c>
      <c r="AK125" s="21" t="str">
        <f t="shared" si="26"/>
        <v xml:space="preserve"> </v>
      </c>
      <c r="AM125" s="20">
        <f t="shared" si="27"/>
        <v>114</v>
      </c>
      <c r="AN125" s="5">
        <f t="shared" si="28"/>
        <v>0</v>
      </c>
      <c r="AO125" s="5">
        <f t="shared" si="29"/>
        <v>0</v>
      </c>
      <c r="AP125" s="5">
        <f t="shared" si="30"/>
        <v>0</v>
      </c>
      <c r="AQ125" s="5">
        <f>IF(CreditAmort4WORST[[#This Row],[Month]]=AS$8,AO$7,0)</f>
        <v>0</v>
      </c>
      <c r="AR125" s="13">
        <f t="shared" si="31"/>
        <v>0</v>
      </c>
      <c r="AS125" s="6" t="str">
        <f t="shared" si="32"/>
        <v xml:space="preserve"> </v>
      </c>
      <c r="AT125" s="21" t="str">
        <f t="shared" si="33"/>
        <v xml:space="preserve"> </v>
      </c>
    </row>
    <row r="126" spans="3:46">
      <c r="C126" s="22">
        <f t="shared" si="18"/>
        <v>115</v>
      </c>
      <c r="D126" s="23">
        <f>IF(AND(C126&gt;='Amort. Sched.-WORST'!$I$8, C126&lt;= ($I$7+$I$8)), PMT('Amort. Sched.-WORST'!$E$8/12, 'Amort. Sched.-WORST'!$I$7, 'Amort. Sched.-WORST'!$E$7), 0)</f>
        <v>-2026.0175758541329</v>
      </c>
      <c r="E126" s="5">
        <f>IF(AND(C126&gt;='Amort. Sched.-WORST'!$I$8, C126&lt;= ($I$7+$I$8)), (IPMT($E$8/12, (C126-$I$8), $I$7, $E$7)), 0)</f>
        <v>-1437.3024471208414</v>
      </c>
      <c r="F126" s="23">
        <f>IF(AND(C126&gt;='Amort. Sched.-WORST'!$I$8, C126&lt;= ($I$7+$I$8)), (PPMT($E$8/12, (C126-$I$8), $I$7, $E$7)), 0)</f>
        <v>-588.71512873329164</v>
      </c>
      <c r="G126" s="5">
        <f>IF(MortgageAmortWORST[[#This Row],[Month]]=I$8,E$7,0)</f>
        <v>0</v>
      </c>
      <c r="H126" s="13">
        <f>IF(AND(C126&gt;='Amort. Sched.-WORST'!$I$8, C126&lt;= ($I$7+$I$8)), H125+F126, 0)</f>
        <v>215006.65193939285</v>
      </c>
      <c r="I126" s="24">
        <f>IF(AND(C126&gt;='Amort. Sched.-WORST'!$I$8, C126&lt;= ($I$7+$I$8)), E126/D126, " ")</f>
        <v>0.7094224967495163</v>
      </c>
      <c r="J126" s="25">
        <f>IF(AND(C126&gt;='Amort. Sched.-WORST'!$I$8, C126&lt;= ($I$7+$I$8)), F126/D126, " ")</f>
        <v>0.29057750325048382</v>
      </c>
      <c r="L126" s="20">
        <f t="shared" si="17"/>
        <v>115</v>
      </c>
      <c r="M126" s="5">
        <f>IF(AND(L126&gt;='Amort. Sched.-WORST'!$R$8, L126&lt;= ($R$7+$R$8)), PMT('Amort. Sched.-WORST'!$N$8/12, 'Amort. Sched.-WORST'!$R$7, 'Amort. Sched.-WORST'!$N$7), 0)</f>
        <v>0</v>
      </c>
      <c r="N126" s="5">
        <f>IF(AND(L126&gt;='Amort. Sched.-WORST'!$R$8, L126&lt;= ($R$7+$R$8)), (IPMT($N$8/12, (L126-$R$8), $R$7, $N$7)), 0)</f>
        <v>0</v>
      </c>
      <c r="O126" s="5">
        <f>IF(AND(L126&gt;='Amort. Sched.-WORST'!$R$8, L126&lt;= ($R$7+$R$8)), (PPMT($N$8/12, (L126-$R$8), $R$7, $N$7)), 0)</f>
        <v>0</v>
      </c>
      <c r="P126" s="5">
        <f>IF(CreditAmort1WORST[[#This Row],[Month]]=R$8,N$7,0)</f>
        <v>0</v>
      </c>
      <c r="Q126" s="13">
        <f>IF(AND(L126&gt;='Amort. Sched.-WORST'!$R$8, L126&lt;= ($R$7+$R$8)), Q125+O126, 0)</f>
        <v>0</v>
      </c>
      <c r="R126" s="6" t="str">
        <f>IF(AND(L126&gt;='Amort. Sched.-WORST'!$R$8, L126&lt;= ($R$7+$R$8)), N126/M126, " ")</f>
        <v xml:space="preserve"> </v>
      </c>
      <c r="S126" s="21" t="str">
        <f>IF(AND(L126&gt;='Amort. Sched.-WORST'!$R$8, L126&lt;= ($R$7+$R$8)), O126/M126, " ")</f>
        <v xml:space="preserve"> </v>
      </c>
      <c r="U126" s="20">
        <f t="shared" si="19"/>
        <v>115</v>
      </c>
      <c r="V126" s="5">
        <f>IF(AND(U126&gt;='Amort. Sched.-WORST'!$AA$8, U126&lt;= ($AA$7+$AA$8)), PMT('Amort. Sched.-WORST'!$W$8/12, 'Amort. Sched.-WORST'!$AA$7, 'Amort. Sched.-WORST'!$W$7), 0)</f>
        <v>0</v>
      </c>
      <c r="W126" s="5">
        <f>IF(AND(U126&gt;='Amort. Sched.-WORST'!$AA$8, U126&lt;= ($AA$7+$AA$8)), (IPMT($W$8/12, (U126-$AA$8), $AA$7, $W$7)), 0)</f>
        <v>0</v>
      </c>
      <c r="X126" s="5">
        <f>IF(AND(U126&gt;='Amort. Sched.-WORST'!$AA$8, U126&lt;= ($AA$7+$AA$8)), (PPMT($W$8/12, (U126-$AA$8), $AA$7, $W$7)), 0)</f>
        <v>0</v>
      </c>
      <c r="Y126" s="5">
        <f>IF(CreditAmort2WORST[[#This Row],[Month]]=AA$8,W$7,0)</f>
        <v>0</v>
      </c>
      <c r="Z126" s="13">
        <f>IF(AND(U126&gt;='Amort. Sched.-WORST'!$AA$8, U126&lt;= ($AA$7+$AA$8)), Z125+X126, 0)</f>
        <v>0</v>
      </c>
      <c r="AA126" s="6" t="str">
        <f>IF(AND(U126&gt;='Amort. Sched.-WORST'!$AA$8, U126&lt;= ($AA$7+$AA$8)), W126/V126, " ")</f>
        <v xml:space="preserve"> </v>
      </c>
      <c r="AB126" s="21" t="str">
        <f>IF(AND(U126&gt;='Amort. Sched.-WORST'!$AA$8, U126&lt;= ($AA$7+$AA$8)), X126/V126, " ")</f>
        <v xml:space="preserve"> </v>
      </c>
      <c r="AD126" s="20">
        <f t="shared" si="20"/>
        <v>115</v>
      </c>
      <c r="AE126" s="5">
        <f t="shared" si="21"/>
        <v>0</v>
      </c>
      <c r="AF126" s="5">
        <f t="shared" si="22"/>
        <v>0</v>
      </c>
      <c r="AG126" s="5">
        <f t="shared" si="23"/>
        <v>0</v>
      </c>
      <c r="AH126" s="5">
        <f>IF(CreditAmort3WORST[[#This Row],[Month]]=AJ$8,AF$7,0)</f>
        <v>0</v>
      </c>
      <c r="AI126" s="13">
        <f t="shared" si="24"/>
        <v>0</v>
      </c>
      <c r="AJ126" s="6" t="str">
        <f t="shared" si="25"/>
        <v xml:space="preserve"> </v>
      </c>
      <c r="AK126" s="21" t="str">
        <f t="shared" si="26"/>
        <v xml:space="preserve"> </v>
      </c>
      <c r="AM126" s="20">
        <f t="shared" si="27"/>
        <v>115</v>
      </c>
      <c r="AN126" s="5">
        <f t="shared" si="28"/>
        <v>0</v>
      </c>
      <c r="AO126" s="5">
        <f t="shared" si="29"/>
        <v>0</v>
      </c>
      <c r="AP126" s="5">
        <f t="shared" si="30"/>
        <v>0</v>
      </c>
      <c r="AQ126" s="5">
        <f>IF(CreditAmort4WORST[[#This Row],[Month]]=AS$8,AO$7,0)</f>
        <v>0</v>
      </c>
      <c r="AR126" s="13">
        <f t="shared" si="31"/>
        <v>0</v>
      </c>
      <c r="AS126" s="6" t="str">
        <f t="shared" si="32"/>
        <v xml:space="preserve"> </v>
      </c>
      <c r="AT126" s="21" t="str">
        <f t="shared" si="33"/>
        <v xml:space="preserve"> </v>
      </c>
    </row>
    <row r="127" spans="3:46">
      <c r="C127" s="22">
        <f t="shared" si="18"/>
        <v>116</v>
      </c>
      <c r="D127" s="23">
        <f>IF(AND(C127&gt;='Amort. Sched.-WORST'!$I$8, C127&lt;= ($I$7+$I$8)), PMT('Amort. Sched.-WORST'!$E$8/12, 'Amort. Sched.-WORST'!$I$7, 'Amort. Sched.-WORST'!$E$7), 0)</f>
        <v>-2026.0175758541329</v>
      </c>
      <c r="E127" s="5">
        <f>IF(AND(C127&gt;='Amort. Sched.-WORST'!$I$8, C127&lt;= ($I$7+$I$8)), (IPMT($E$8/12, (C127-$I$8), $I$7, $E$7)), 0)</f>
        <v>-1433.3776795959527</v>
      </c>
      <c r="F127" s="23">
        <f>IF(AND(C127&gt;='Amort. Sched.-WORST'!$I$8, C127&lt;= ($I$7+$I$8)), (PPMT($E$8/12, (C127-$I$8), $I$7, $E$7)), 0)</f>
        <v>-592.6398962581801</v>
      </c>
      <c r="G127" s="5">
        <f>IF(MortgageAmortWORST[[#This Row],[Month]]=I$8,E$7,0)</f>
        <v>0</v>
      </c>
      <c r="H127" s="13">
        <f>IF(AND(C127&gt;='Amort. Sched.-WORST'!$I$8, C127&lt;= ($I$7+$I$8)), H126+F127, 0)</f>
        <v>214414.01204313466</v>
      </c>
      <c r="I127" s="24">
        <f>IF(AND(C127&gt;='Amort. Sched.-WORST'!$I$8, C127&lt;= ($I$7+$I$8)), E127/D127, " ")</f>
        <v>0.70748531339451293</v>
      </c>
      <c r="J127" s="25">
        <f>IF(AND(C127&gt;='Amort. Sched.-WORST'!$I$8, C127&lt;= ($I$7+$I$8)), F127/D127, " ")</f>
        <v>0.29251468660548696</v>
      </c>
      <c r="L127" s="20">
        <f t="shared" si="17"/>
        <v>116</v>
      </c>
      <c r="M127" s="5">
        <f>IF(AND(L127&gt;='Amort. Sched.-WORST'!$R$8, L127&lt;= ($R$7+$R$8)), PMT('Amort. Sched.-WORST'!$N$8/12, 'Amort. Sched.-WORST'!$R$7, 'Amort. Sched.-WORST'!$N$7), 0)</f>
        <v>0</v>
      </c>
      <c r="N127" s="5">
        <f>IF(AND(L127&gt;='Amort. Sched.-WORST'!$R$8, L127&lt;= ($R$7+$R$8)), (IPMT($N$8/12, (L127-$R$8), $R$7, $N$7)), 0)</f>
        <v>0</v>
      </c>
      <c r="O127" s="5">
        <f>IF(AND(L127&gt;='Amort. Sched.-WORST'!$R$8, L127&lt;= ($R$7+$R$8)), (PPMT($N$8/12, (L127-$R$8), $R$7, $N$7)), 0)</f>
        <v>0</v>
      </c>
      <c r="P127" s="5">
        <f>IF(CreditAmort1WORST[[#This Row],[Month]]=R$8,N$7,0)</f>
        <v>0</v>
      </c>
      <c r="Q127" s="13">
        <f>IF(AND(L127&gt;='Amort. Sched.-WORST'!$R$8, L127&lt;= ($R$7+$R$8)), Q126+O127, 0)</f>
        <v>0</v>
      </c>
      <c r="R127" s="6" t="str">
        <f>IF(AND(L127&gt;='Amort. Sched.-WORST'!$R$8, L127&lt;= ($R$7+$R$8)), N127/M127, " ")</f>
        <v xml:space="preserve"> </v>
      </c>
      <c r="S127" s="21" t="str">
        <f>IF(AND(L127&gt;='Amort. Sched.-WORST'!$R$8, L127&lt;= ($R$7+$R$8)), O127/M127, " ")</f>
        <v xml:space="preserve"> </v>
      </c>
      <c r="U127" s="20">
        <f t="shared" si="19"/>
        <v>116</v>
      </c>
      <c r="V127" s="5">
        <f>IF(AND(U127&gt;='Amort. Sched.-WORST'!$AA$8, U127&lt;= ($AA$7+$AA$8)), PMT('Amort. Sched.-WORST'!$W$8/12, 'Amort. Sched.-WORST'!$AA$7, 'Amort. Sched.-WORST'!$W$7), 0)</f>
        <v>0</v>
      </c>
      <c r="W127" s="5">
        <f>IF(AND(U127&gt;='Amort. Sched.-WORST'!$AA$8, U127&lt;= ($AA$7+$AA$8)), (IPMT($W$8/12, (U127-$AA$8), $AA$7, $W$7)), 0)</f>
        <v>0</v>
      </c>
      <c r="X127" s="5">
        <f>IF(AND(U127&gt;='Amort. Sched.-WORST'!$AA$8, U127&lt;= ($AA$7+$AA$8)), (PPMT($W$8/12, (U127-$AA$8), $AA$7, $W$7)), 0)</f>
        <v>0</v>
      </c>
      <c r="Y127" s="5">
        <f>IF(CreditAmort2WORST[[#This Row],[Month]]=AA$8,W$7,0)</f>
        <v>0</v>
      </c>
      <c r="Z127" s="13">
        <f>IF(AND(U127&gt;='Amort. Sched.-WORST'!$AA$8, U127&lt;= ($AA$7+$AA$8)), Z126+X127, 0)</f>
        <v>0</v>
      </c>
      <c r="AA127" s="6" t="str">
        <f>IF(AND(U127&gt;='Amort. Sched.-WORST'!$AA$8, U127&lt;= ($AA$7+$AA$8)), W127/V127, " ")</f>
        <v xml:space="preserve"> </v>
      </c>
      <c r="AB127" s="21" t="str">
        <f>IF(AND(U127&gt;='Amort. Sched.-WORST'!$AA$8, U127&lt;= ($AA$7+$AA$8)), X127/V127, " ")</f>
        <v xml:space="preserve"> </v>
      </c>
      <c r="AD127" s="20">
        <f t="shared" si="20"/>
        <v>116</v>
      </c>
      <c r="AE127" s="5">
        <f t="shared" si="21"/>
        <v>0</v>
      </c>
      <c r="AF127" s="5">
        <f t="shared" si="22"/>
        <v>0</v>
      </c>
      <c r="AG127" s="5">
        <f t="shared" si="23"/>
        <v>0</v>
      </c>
      <c r="AH127" s="5">
        <f>IF(CreditAmort3WORST[[#This Row],[Month]]=AJ$8,AF$7,0)</f>
        <v>0</v>
      </c>
      <c r="AI127" s="13">
        <f t="shared" si="24"/>
        <v>0</v>
      </c>
      <c r="AJ127" s="6" t="str">
        <f t="shared" si="25"/>
        <v xml:space="preserve"> </v>
      </c>
      <c r="AK127" s="21" t="str">
        <f t="shared" si="26"/>
        <v xml:space="preserve"> </v>
      </c>
      <c r="AM127" s="20">
        <f t="shared" si="27"/>
        <v>116</v>
      </c>
      <c r="AN127" s="5">
        <f t="shared" si="28"/>
        <v>0</v>
      </c>
      <c r="AO127" s="5">
        <f t="shared" si="29"/>
        <v>0</v>
      </c>
      <c r="AP127" s="5">
        <f t="shared" si="30"/>
        <v>0</v>
      </c>
      <c r="AQ127" s="5">
        <f>IF(CreditAmort4WORST[[#This Row],[Month]]=AS$8,AO$7,0)</f>
        <v>0</v>
      </c>
      <c r="AR127" s="13">
        <f t="shared" si="31"/>
        <v>0</v>
      </c>
      <c r="AS127" s="6" t="str">
        <f t="shared" si="32"/>
        <v xml:space="preserve"> </v>
      </c>
      <c r="AT127" s="21" t="str">
        <f t="shared" si="33"/>
        <v xml:space="preserve"> </v>
      </c>
    </row>
    <row r="128" spans="3:46">
      <c r="C128" s="22">
        <f t="shared" si="18"/>
        <v>117</v>
      </c>
      <c r="D128" s="23">
        <f>IF(AND(C128&gt;='Amort. Sched.-WORST'!$I$8, C128&lt;= ($I$7+$I$8)), PMT('Amort. Sched.-WORST'!$E$8/12, 'Amort. Sched.-WORST'!$I$7, 'Amort. Sched.-WORST'!$E$7), 0)</f>
        <v>-2026.0175758541329</v>
      </c>
      <c r="E128" s="5">
        <f>IF(AND(C128&gt;='Amort. Sched.-WORST'!$I$8, C128&lt;= ($I$7+$I$8)), (IPMT($E$8/12, (C128-$I$8), $I$7, $E$7)), 0)</f>
        <v>-1429.4267469542315</v>
      </c>
      <c r="F128" s="23">
        <f>IF(AND(C128&gt;='Amort. Sched.-WORST'!$I$8, C128&lt;= ($I$7+$I$8)), (PPMT($E$8/12, (C128-$I$8), $I$7, $E$7)), 0)</f>
        <v>-596.59082889990134</v>
      </c>
      <c r="G128" s="5">
        <f>IF(MortgageAmortWORST[[#This Row],[Month]]=I$8,E$7,0)</f>
        <v>0</v>
      </c>
      <c r="H128" s="13">
        <f>IF(AND(C128&gt;='Amort. Sched.-WORST'!$I$8, C128&lt;= ($I$7+$I$8)), H127+F128, 0)</f>
        <v>213817.42121423475</v>
      </c>
      <c r="I128" s="24">
        <f>IF(AND(C128&gt;='Amort. Sched.-WORST'!$I$8, C128&lt;= ($I$7+$I$8)), E128/D128, " ")</f>
        <v>0.70553521548380971</v>
      </c>
      <c r="J128" s="25">
        <f>IF(AND(C128&gt;='Amort. Sched.-WORST'!$I$8, C128&lt;= ($I$7+$I$8)), F128/D128, " ")</f>
        <v>0.29446478451619024</v>
      </c>
      <c r="L128" s="20">
        <f t="shared" si="17"/>
        <v>117</v>
      </c>
      <c r="M128" s="5">
        <f>IF(AND(L128&gt;='Amort. Sched.-WORST'!$R$8, L128&lt;= ($R$7+$R$8)), PMT('Amort. Sched.-WORST'!$N$8/12, 'Amort. Sched.-WORST'!$R$7, 'Amort. Sched.-WORST'!$N$7), 0)</f>
        <v>0</v>
      </c>
      <c r="N128" s="5">
        <f>IF(AND(L128&gt;='Amort. Sched.-WORST'!$R$8, L128&lt;= ($R$7+$R$8)), (IPMT($N$8/12, (L128-$R$8), $R$7, $N$7)), 0)</f>
        <v>0</v>
      </c>
      <c r="O128" s="5">
        <f>IF(AND(L128&gt;='Amort. Sched.-WORST'!$R$8, L128&lt;= ($R$7+$R$8)), (PPMT($N$8/12, (L128-$R$8), $R$7, $N$7)), 0)</f>
        <v>0</v>
      </c>
      <c r="P128" s="5">
        <f>IF(CreditAmort1WORST[[#This Row],[Month]]=R$8,N$7,0)</f>
        <v>0</v>
      </c>
      <c r="Q128" s="13">
        <f>IF(AND(L128&gt;='Amort. Sched.-WORST'!$R$8, L128&lt;= ($R$7+$R$8)), Q127+O128, 0)</f>
        <v>0</v>
      </c>
      <c r="R128" s="6" t="str">
        <f>IF(AND(L128&gt;='Amort. Sched.-WORST'!$R$8, L128&lt;= ($R$7+$R$8)), N128/M128, " ")</f>
        <v xml:space="preserve"> </v>
      </c>
      <c r="S128" s="21" t="str">
        <f>IF(AND(L128&gt;='Amort. Sched.-WORST'!$R$8, L128&lt;= ($R$7+$R$8)), O128/M128, " ")</f>
        <v xml:space="preserve"> </v>
      </c>
      <c r="U128" s="20">
        <f t="shared" si="19"/>
        <v>117</v>
      </c>
      <c r="V128" s="5">
        <f>IF(AND(U128&gt;='Amort. Sched.-WORST'!$AA$8, U128&lt;= ($AA$7+$AA$8)), PMT('Amort. Sched.-WORST'!$W$8/12, 'Amort. Sched.-WORST'!$AA$7, 'Amort. Sched.-WORST'!$W$7), 0)</f>
        <v>0</v>
      </c>
      <c r="W128" s="5">
        <f>IF(AND(U128&gt;='Amort. Sched.-WORST'!$AA$8, U128&lt;= ($AA$7+$AA$8)), (IPMT($W$8/12, (U128-$AA$8), $AA$7, $W$7)), 0)</f>
        <v>0</v>
      </c>
      <c r="X128" s="5">
        <f>IF(AND(U128&gt;='Amort. Sched.-WORST'!$AA$8, U128&lt;= ($AA$7+$AA$8)), (PPMT($W$8/12, (U128-$AA$8), $AA$7, $W$7)), 0)</f>
        <v>0</v>
      </c>
      <c r="Y128" s="5">
        <f>IF(CreditAmort2WORST[[#This Row],[Month]]=AA$8,W$7,0)</f>
        <v>0</v>
      </c>
      <c r="Z128" s="13">
        <f>IF(AND(U128&gt;='Amort. Sched.-WORST'!$AA$8, U128&lt;= ($AA$7+$AA$8)), Z127+X128, 0)</f>
        <v>0</v>
      </c>
      <c r="AA128" s="6" t="str">
        <f>IF(AND(U128&gt;='Amort. Sched.-WORST'!$AA$8, U128&lt;= ($AA$7+$AA$8)), W128/V128, " ")</f>
        <v xml:space="preserve"> </v>
      </c>
      <c r="AB128" s="21" t="str">
        <f>IF(AND(U128&gt;='Amort. Sched.-WORST'!$AA$8, U128&lt;= ($AA$7+$AA$8)), X128/V128, " ")</f>
        <v xml:space="preserve"> </v>
      </c>
      <c r="AD128" s="20">
        <f t="shared" si="20"/>
        <v>117</v>
      </c>
      <c r="AE128" s="5">
        <f t="shared" si="21"/>
        <v>0</v>
      </c>
      <c r="AF128" s="5">
        <f t="shared" si="22"/>
        <v>0</v>
      </c>
      <c r="AG128" s="5">
        <f t="shared" si="23"/>
        <v>0</v>
      </c>
      <c r="AH128" s="5">
        <f>IF(CreditAmort3WORST[[#This Row],[Month]]=AJ$8,AF$7,0)</f>
        <v>0</v>
      </c>
      <c r="AI128" s="13">
        <f t="shared" si="24"/>
        <v>0</v>
      </c>
      <c r="AJ128" s="6" t="str">
        <f t="shared" si="25"/>
        <v xml:space="preserve"> </v>
      </c>
      <c r="AK128" s="21" t="str">
        <f t="shared" si="26"/>
        <v xml:space="preserve"> </v>
      </c>
      <c r="AM128" s="20">
        <f t="shared" si="27"/>
        <v>117</v>
      </c>
      <c r="AN128" s="5">
        <f t="shared" si="28"/>
        <v>0</v>
      </c>
      <c r="AO128" s="5">
        <f t="shared" si="29"/>
        <v>0</v>
      </c>
      <c r="AP128" s="5">
        <f t="shared" si="30"/>
        <v>0</v>
      </c>
      <c r="AQ128" s="5">
        <f>IF(CreditAmort4WORST[[#This Row],[Month]]=AS$8,AO$7,0)</f>
        <v>0</v>
      </c>
      <c r="AR128" s="13">
        <f t="shared" si="31"/>
        <v>0</v>
      </c>
      <c r="AS128" s="6" t="str">
        <f t="shared" si="32"/>
        <v xml:space="preserve"> </v>
      </c>
      <c r="AT128" s="21" t="str">
        <f t="shared" si="33"/>
        <v xml:space="preserve"> </v>
      </c>
    </row>
    <row r="129" spans="3:46">
      <c r="C129" s="22">
        <f t="shared" si="18"/>
        <v>118</v>
      </c>
      <c r="D129" s="23">
        <f>IF(AND(C129&gt;='Amort. Sched.-WORST'!$I$8, C129&lt;= ($I$7+$I$8)), PMT('Amort. Sched.-WORST'!$E$8/12, 'Amort. Sched.-WORST'!$I$7, 'Amort. Sched.-WORST'!$E$7), 0)</f>
        <v>-2026.0175758541329</v>
      </c>
      <c r="E129" s="5">
        <f>IF(AND(C129&gt;='Amort. Sched.-WORST'!$I$8, C129&lt;= ($I$7+$I$8)), (IPMT($E$8/12, (C129-$I$8), $I$7, $E$7)), 0)</f>
        <v>-1425.4494747615659</v>
      </c>
      <c r="F129" s="23">
        <f>IF(AND(C129&gt;='Amort. Sched.-WORST'!$I$8, C129&lt;= ($I$7+$I$8)), (PPMT($E$8/12, (C129-$I$8), $I$7, $E$7)), 0)</f>
        <v>-600.5681010925673</v>
      </c>
      <c r="G129" s="5">
        <f>IF(MortgageAmortWORST[[#This Row],[Month]]=I$8,E$7,0)</f>
        <v>0</v>
      </c>
      <c r="H129" s="13">
        <f>IF(AND(C129&gt;='Amort. Sched.-WORST'!$I$8, C129&lt;= ($I$7+$I$8)), H128+F129, 0)</f>
        <v>213216.85311314219</v>
      </c>
      <c r="I129" s="24">
        <f>IF(AND(C129&gt;='Amort. Sched.-WORST'!$I$8, C129&lt;= ($I$7+$I$8)), E129/D129, " ")</f>
        <v>0.70357211692036858</v>
      </c>
      <c r="J129" s="25">
        <f>IF(AND(C129&gt;='Amort. Sched.-WORST'!$I$8, C129&lt;= ($I$7+$I$8)), F129/D129, " ")</f>
        <v>0.29642788307963147</v>
      </c>
      <c r="L129" s="20">
        <f t="shared" si="17"/>
        <v>118</v>
      </c>
      <c r="M129" s="5">
        <f>IF(AND(L129&gt;='Amort. Sched.-WORST'!$R$8, L129&lt;= ($R$7+$R$8)), PMT('Amort. Sched.-WORST'!$N$8/12, 'Amort. Sched.-WORST'!$R$7, 'Amort. Sched.-WORST'!$N$7), 0)</f>
        <v>0</v>
      </c>
      <c r="N129" s="5">
        <f>IF(AND(L129&gt;='Amort. Sched.-WORST'!$R$8, L129&lt;= ($R$7+$R$8)), (IPMT($N$8/12, (L129-$R$8), $R$7, $N$7)), 0)</f>
        <v>0</v>
      </c>
      <c r="O129" s="5">
        <f>IF(AND(L129&gt;='Amort. Sched.-WORST'!$R$8, L129&lt;= ($R$7+$R$8)), (PPMT($N$8/12, (L129-$R$8), $R$7, $N$7)), 0)</f>
        <v>0</v>
      </c>
      <c r="P129" s="5">
        <f>IF(CreditAmort1WORST[[#This Row],[Month]]=R$8,N$7,0)</f>
        <v>0</v>
      </c>
      <c r="Q129" s="13">
        <f>IF(AND(L129&gt;='Amort. Sched.-WORST'!$R$8, L129&lt;= ($R$7+$R$8)), Q128+O129, 0)</f>
        <v>0</v>
      </c>
      <c r="R129" s="6" t="str">
        <f>IF(AND(L129&gt;='Amort. Sched.-WORST'!$R$8, L129&lt;= ($R$7+$R$8)), N129/M129, " ")</f>
        <v xml:space="preserve"> </v>
      </c>
      <c r="S129" s="21" t="str">
        <f>IF(AND(L129&gt;='Amort. Sched.-WORST'!$R$8, L129&lt;= ($R$7+$R$8)), O129/M129, " ")</f>
        <v xml:space="preserve"> </v>
      </c>
      <c r="U129" s="20">
        <f t="shared" si="19"/>
        <v>118</v>
      </c>
      <c r="V129" s="5">
        <f>IF(AND(U129&gt;='Amort. Sched.-WORST'!$AA$8, U129&lt;= ($AA$7+$AA$8)), PMT('Amort. Sched.-WORST'!$W$8/12, 'Amort. Sched.-WORST'!$AA$7, 'Amort. Sched.-WORST'!$W$7), 0)</f>
        <v>0</v>
      </c>
      <c r="W129" s="5">
        <f>IF(AND(U129&gt;='Amort. Sched.-WORST'!$AA$8, U129&lt;= ($AA$7+$AA$8)), (IPMT($W$8/12, (U129-$AA$8), $AA$7, $W$7)), 0)</f>
        <v>0</v>
      </c>
      <c r="X129" s="5">
        <f>IF(AND(U129&gt;='Amort. Sched.-WORST'!$AA$8, U129&lt;= ($AA$7+$AA$8)), (PPMT($W$8/12, (U129-$AA$8), $AA$7, $W$7)), 0)</f>
        <v>0</v>
      </c>
      <c r="Y129" s="5">
        <f>IF(CreditAmort2WORST[[#This Row],[Month]]=AA$8,W$7,0)</f>
        <v>0</v>
      </c>
      <c r="Z129" s="13">
        <f>IF(AND(U129&gt;='Amort. Sched.-WORST'!$AA$8, U129&lt;= ($AA$7+$AA$8)), Z128+X129, 0)</f>
        <v>0</v>
      </c>
      <c r="AA129" s="6" t="str">
        <f>IF(AND(U129&gt;='Amort. Sched.-WORST'!$AA$8, U129&lt;= ($AA$7+$AA$8)), W129/V129, " ")</f>
        <v xml:space="preserve"> </v>
      </c>
      <c r="AB129" s="21" t="str">
        <f>IF(AND(U129&gt;='Amort. Sched.-WORST'!$AA$8, U129&lt;= ($AA$7+$AA$8)), X129/V129, " ")</f>
        <v xml:space="preserve"> </v>
      </c>
      <c r="AD129" s="20">
        <f t="shared" si="20"/>
        <v>118</v>
      </c>
      <c r="AE129" s="5">
        <f t="shared" si="21"/>
        <v>0</v>
      </c>
      <c r="AF129" s="5">
        <f t="shared" si="22"/>
        <v>0</v>
      </c>
      <c r="AG129" s="5">
        <f t="shared" si="23"/>
        <v>0</v>
      </c>
      <c r="AH129" s="5">
        <f>IF(CreditAmort3WORST[[#This Row],[Month]]=AJ$8,AF$7,0)</f>
        <v>0</v>
      </c>
      <c r="AI129" s="13">
        <f t="shared" si="24"/>
        <v>0</v>
      </c>
      <c r="AJ129" s="6" t="str">
        <f t="shared" si="25"/>
        <v xml:space="preserve"> </v>
      </c>
      <c r="AK129" s="21" t="str">
        <f t="shared" si="26"/>
        <v xml:space="preserve"> </v>
      </c>
      <c r="AM129" s="20">
        <f t="shared" si="27"/>
        <v>118</v>
      </c>
      <c r="AN129" s="5">
        <f t="shared" si="28"/>
        <v>0</v>
      </c>
      <c r="AO129" s="5">
        <f t="shared" si="29"/>
        <v>0</v>
      </c>
      <c r="AP129" s="5">
        <f t="shared" si="30"/>
        <v>0</v>
      </c>
      <c r="AQ129" s="5">
        <f>IF(CreditAmort4WORST[[#This Row],[Month]]=AS$8,AO$7,0)</f>
        <v>0</v>
      </c>
      <c r="AR129" s="13">
        <f t="shared" si="31"/>
        <v>0</v>
      </c>
      <c r="AS129" s="6" t="str">
        <f t="shared" si="32"/>
        <v xml:space="preserve"> </v>
      </c>
      <c r="AT129" s="21" t="str">
        <f t="shared" si="33"/>
        <v xml:space="preserve"> </v>
      </c>
    </row>
    <row r="130" spans="3:46">
      <c r="C130" s="22">
        <f t="shared" si="18"/>
        <v>119</v>
      </c>
      <c r="D130" s="23">
        <f>IF(AND(C130&gt;='Amort. Sched.-WORST'!$I$8, C130&lt;= ($I$7+$I$8)), PMT('Amort. Sched.-WORST'!$E$8/12, 'Amort. Sched.-WORST'!$I$7, 'Amort. Sched.-WORST'!$E$7), 0)</f>
        <v>-2026.0175758541329</v>
      </c>
      <c r="E130" s="5">
        <f>IF(AND(C130&gt;='Amort. Sched.-WORST'!$I$8, C130&lt;= ($I$7+$I$8)), (IPMT($E$8/12, (C130-$I$8), $I$7, $E$7)), 0)</f>
        <v>-1421.4456874209486</v>
      </c>
      <c r="F130" s="23">
        <f>IF(AND(C130&gt;='Amort. Sched.-WORST'!$I$8, C130&lt;= ($I$7+$I$8)), (PPMT($E$8/12, (C130-$I$8), $I$7, $E$7)), 0)</f>
        <v>-604.57188843318454</v>
      </c>
      <c r="G130" s="5">
        <f>IF(MortgageAmortWORST[[#This Row],[Month]]=I$8,E$7,0)</f>
        <v>0</v>
      </c>
      <c r="H130" s="13">
        <f>IF(AND(C130&gt;='Amort. Sched.-WORST'!$I$8, C130&lt;= ($I$7+$I$8)), H129+F130, 0)</f>
        <v>212612.281224709</v>
      </c>
      <c r="I130" s="24">
        <f>IF(AND(C130&gt;='Amort. Sched.-WORST'!$I$8, C130&lt;= ($I$7+$I$8)), E130/D130, " ")</f>
        <v>0.70159593103317108</v>
      </c>
      <c r="J130" s="25">
        <f>IF(AND(C130&gt;='Amort. Sched.-WORST'!$I$8, C130&lt;= ($I$7+$I$8)), F130/D130, " ")</f>
        <v>0.29840406896682908</v>
      </c>
      <c r="L130" s="20">
        <f t="shared" si="17"/>
        <v>119</v>
      </c>
      <c r="M130" s="5">
        <f>IF(AND(L130&gt;='Amort. Sched.-WORST'!$R$8, L130&lt;= ($R$7+$R$8)), PMT('Amort. Sched.-WORST'!$N$8/12, 'Amort. Sched.-WORST'!$R$7, 'Amort. Sched.-WORST'!$N$7), 0)</f>
        <v>0</v>
      </c>
      <c r="N130" s="5">
        <f>IF(AND(L130&gt;='Amort. Sched.-WORST'!$R$8, L130&lt;= ($R$7+$R$8)), (IPMT($N$8/12, (L130-$R$8), $R$7, $N$7)), 0)</f>
        <v>0</v>
      </c>
      <c r="O130" s="5">
        <f>IF(AND(L130&gt;='Amort. Sched.-WORST'!$R$8, L130&lt;= ($R$7+$R$8)), (PPMT($N$8/12, (L130-$R$8), $R$7, $N$7)), 0)</f>
        <v>0</v>
      </c>
      <c r="P130" s="5">
        <f>IF(CreditAmort1WORST[[#This Row],[Month]]=R$8,N$7,0)</f>
        <v>0</v>
      </c>
      <c r="Q130" s="13">
        <f>IF(AND(L130&gt;='Amort. Sched.-WORST'!$R$8, L130&lt;= ($R$7+$R$8)), Q129+O130, 0)</f>
        <v>0</v>
      </c>
      <c r="R130" s="6" t="str">
        <f>IF(AND(L130&gt;='Amort. Sched.-WORST'!$R$8, L130&lt;= ($R$7+$R$8)), N130/M130, " ")</f>
        <v xml:space="preserve"> </v>
      </c>
      <c r="S130" s="21" t="str">
        <f>IF(AND(L130&gt;='Amort. Sched.-WORST'!$R$8, L130&lt;= ($R$7+$R$8)), O130/M130, " ")</f>
        <v xml:space="preserve"> </v>
      </c>
      <c r="U130" s="22">
        <f t="shared" si="19"/>
        <v>119</v>
      </c>
      <c r="V130" s="23">
        <f>IF(AND(U130&gt;='Amort. Sched.-WORST'!$AA$8, U130&lt;= ($AA$7+$AA$8)), PMT('Amort. Sched.-WORST'!$W$8/12, 'Amort. Sched.-WORST'!$AA$7, 'Amort. Sched.-WORST'!$W$7), 0)</f>
        <v>0</v>
      </c>
      <c r="W130" s="5">
        <f>IF(AND(U130&gt;='Amort. Sched.-WORST'!$AA$8, U130&lt;= ($AA$7+$AA$8)), (IPMT($W$8/12, (U130-$AA$8), $AA$7, $W$7)), 0)</f>
        <v>0</v>
      </c>
      <c r="X130" s="23">
        <f>IF(AND(U130&gt;='Amort. Sched.-WORST'!$AA$8, U130&lt;= ($AA$7+$AA$8)), (PPMT($W$8/12, (U130-$AA$8), $AA$7, $W$7)), 0)</f>
        <v>0</v>
      </c>
      <c r="Y130" s="5">
        <f>IF(CreditAmort2WORST[[#This Row],[Month]]=AA$8,W$7,0)</f>
        <v>0</v>
      </c>
      <c r="Z130" s="13">
        <f>IF(AND(U130&gt;='Amort. Sched.-WORST'!$AA$8, U130&lt;= ($AA$7+$AA$8)), Z129+X130, 0)</f>
        <v>0</v>
      </c>
      <c r="AA130" s="24" t="str">
        <f>IF(AND(U130&gt;='Amort. Sched.-WORST'!$AA$8, U130&lt;= ($AA$7+$AA$8)), W130/V130, " ")</f>
        <v xml:space="preserve"> </v>
      </c>
      <c r="AB130" s="25" t="str">
        <f>IF(AND(U130&gt;='Amort. Sched.-WORST'!$AA$8, U130&lt;= ($AA$7+$AA$8)), X130/V130, " ")</f>
        <v xml:space="preserve"> </v>
      </c>
      <c r="AD130" s="20">
        <f t="shared" si="20"/>
        <v>119</v>
      </c>
      <c r="AE130" s="5">
        <f t="shared" si="21"/>
        <v>0</v>
      </c>
      <c r="AF130" s="5">
        <f t="shared" si="22"/>
        <v>0</v>
      </c>
      <c r="AG130" s="5">
        <f t="shared" si="23"/>
        <v>0</v>
      </c>
      <c r="AH130" s="5">
        <f>IF(CreditAmort3WORST[[#This Row],[Month]]=AJ$8,AF$7,0)</f>
        <v>0</v>
      </c>
      <c r="AI130" s="13">
        <f t="shared" si="24"/>
        <v>0</v>
      </c>
      <c r="AJ130" s="6" t="str">
        <f t="shared" si="25"/>
        <v xml:space="preserve"> </v>
      </c>
      <c r="AK130" s="21" t="str">
        <f t="shared" si="26"/>
        <v xml:space="preserve"> </v>
      </c>
      <c r="AM130" s="20">
        <f t="shared" si="27"/>
        <v>119</v>
      </c>
      <c r="AN130" s="5">
        <f t="shared" si="28"/>
        <v>0</v>
      </c>
      <c r="AO130" s="5">
        <f t="shared" si="29"/>
        <v>0</v>
      </c>
      <c r="AP130" s="5">
        <f t="shared" si="30"/>
        <v>0</v>
      </c>
      <c r="AQ130" s="5">
        <f>IF(CreditAmort4WORST[[#This Row],[Month]]=AS$8,AO$7,0)</f>
        <v>0</v>
      </c>
      <c r="AR130" s="13">
        <f t="shared" si="31"/>
        <v>0</v>
      </c>
      <c r="AS130" s="6" t="str">
        <f t="shared" si="32"/>
        <v xml:space="preserve"> </v>
      </c>
      <c r="AT130" s="21" t="str">
        <f t="shared" si="33"/>
        <v xml:space="preserve"> </v>
      </c>
    </row>
    <row r="131" spans="3:46">
      <c r="C131" s="22">
        <f t="shared" si="18"/>
        <v>120</v>
      </c>
      <c r="D131" s="23">
        <f>IF(AND(C131&gt;='Amort. Sched.-WORST'!$I$8, C131&lt;= ($I$7+$I$8)), PMT('Amort. Sched.-WORST'!$E$8/12, 'Amort. Sched.-WORST'!$I$7, 'Amort. Sched.-WORST'!$E$7), 0)</f>
        <v>-2026.0175758541329</v>
      </c>
      <c r="E131" s="5">
        <f>IF(AND(C131&gt;='Amort. Sched.-WORST'!$I$8, C131&lt;= ($I$7+$I$8)), (IPMT($E$8/12, (C131-$I$8), $I$7, $E$7)), 0)</f>
        <v>-1417.4152081647271</v>
      </c>
      <c r="F131" s="23">
        <f>IF(AND(C131&gt;='Amort. Sched.-WORST'!$I$8, C131&lt;= ($I$7+$I$8)), (PPMT($E$8/12, (C131-$I$8), $I$7, $E$7)), 0)</f>
        <v>-608.6023676894057</v>
      </c>
      <c r="G131" s="5">
        <f>IF(MortgageAmortWORST[[#This Row],[Month]]=I$8,E$7,0)</f>
        <v>0</v>
      </c>
      <c r="H131" s="13">
        <f>IF(AND(C131&gt;='Amort. Sched.-WORST'!$I$8, C131&lt;= ($I$7+$I$8)), H130+F131, 0)</f>
        <v>212003.67885701961</v>
      </c>
      <c r="I131" s="24">
        <f>IF(AND(C131&gt;='Amort. Sched.-WORST'!$I$8, C131&lt;= ($I$7+$I$8)), E131/D131, " ")</f>
        <v>0.69960657057339204</v>
      </c>
      <c r="J131" s="25">
        <f>IF(AND(C131&gt;='Amort. Sched.-WORST'!$I$8, C131&lt;= ($I$7+$I$8)), F131/D131, " ")</f>
        <v>0.30039342942660791</v>
      </c>
      <c r="L131" s="20">
        <f t="shared" si="17"/>
        <v>120</v>
      </c>
      <c r="M131" s="5">
        <f>IF(AND(L131&gt;='Amort. Sched.-WORST'!$R$8, L131&lt;= ($R$7+$R$8)), PMT('Amort. Sched.-WORST'!$N$8/12, 'Amort. Sched.-WORST'!$R$7, 'Amort. Sched.-WORST'!$N$7), 0)</f>
        <v>0</v>
      </c>
      <c r="N131" s="5">
        <f>IF(AND(L131&gt;='Amort. Sched.-WORST'!$R$8, L131&lt;= ($R$7+$R$8)), (IPMT($N$8/12, (L131-$R$8), $R$7, $N$7)), 0)</f>
        <v>0</v>
      </c>
      <c r="O131" s="5">
        <f>IF(AND(L131&gt;='Amort. Sched.-WORST'!$R$8, L131&lt;= ($R$7+$R$8)), (PPMT($N$8/12, (L131-$R$8), $R$7, $N$7)), 0)</f>
        <v>0</v>
      </c>
      <c r="P131" s="5">
        <f>IF(CreditAmort1WORST[[#This Row],[Month]]=R$8,N$7,0)</f>
        <v>0</v>
      </c>
      <c r="Q131" s="13">
        <f>IF(AND(L131&gt;='Amort. Sched.-WORST'!$R$8, L131&lt;= ($R$7+$R$8)), Q130+O131, 0)</f>
        <v>0</v>
      </c>
      <c r="R131" s="6" t="str">
        <f>IF(AND(L131&gt;='Amort. Sched.-WORST'!$R$8, L131&lt;= ($R$7+$R$8)), N131/M131, " ")</f>
        <v xml:space="preserve"> </v>
      </c>
      <c r="S131" s="21" t="str">
        <f>IF(AND(L131&gt;='Amort. Sched.-WORST'!$R$8, L131&lt;= ($R$7+$R$8)), O131/M131, " ")</f>
        <v xml:space="preserve"> </v>
      </c>
      <c r="U131" s="22">
        <f t="shared" si="19"/>
        <v>120</v>
      </c>
      <c r="V131" s="23">
        <f>IF(AND(U131&gt;='Amort. Sched.-WORST'!$AA$8, U131&lt;= ($AA$7+$AA$8)), PMT('Amort. Sched.-WORST'!$W$8/12, 'Amort. Sched.-WORST'!$AA$7, 'Amort. Sched.-WORST'!$W$7), 0)</f>
        <v>0</v>
      </c>
      <c r="W131" s="5">
        <f>IF(AND(U131&gt;='Amort. Sched.-WORST'!$AA$8, U131&lt;= ($AA$7+$AA$8)), (IPMT($W$8/12, (U131-$AA$8), $AA$7, $W$7)), 0)</f>
        <v>0</v>
      </c>
      <c r="X131" s="23">
        <f>IF(AND(U131&gt;='Amort. Sched.-WORST'!$AA$8, U131&lt;= ($AA$7+$AA$8)), (PPMT($W$8/12, (U131-$AA$8), $AA$7, $W$7)), 0)</f>
        <v>0</v>
      </c>
      <c r="Y131" s="5">
        <f>IF(CreditAmort2WORST[[#This Row],[Month]]=AA$8,W$7,0)</f>
        <v>0</v>
      </c>
      <c r="Z131" s="13">
        <f>IF(AND(U131&gt;='Amort. Sched.-WORST'!$AA$8, U131&lt;= ($AA$7+$AA$8)), Z130+X131, 0)</f>
        <v>0</v>
      </c>
      <c r="AA131" s="24" t="str">
        <f>IF(AND(U131&gt;='Amort. Sched.-WORST'!$AA$8, U131&lt;= ($AA$7+$AA$8)), W131/V131, " ")</f>
        <v xml:space="preserve"> </v>
      </c>
      <c r="AB131" s="25" t="str">
        <f>IF(AND(U131&gt;='Amort. Sched.-WORST'!$AA$8, U131&lt;= ($AA$7+$AA$8)), X131/V131, " ")</f>
        <v xml:space="preserve"> </v>
      </c>
      <c r="AD131" s="20">
        <f t="shared" si="20"/>
        <v>120</v>
      </c>
      <c r="AE131" s="5">
        <f t="shared" si="21"/>
        <v>0</v>
      </c>
      <c r="AF131" s="5">
        <f t="shared" si="22"/>
        <v>0</v>
      </c>
      <c r="AG131" s="5">
        <f t="shared" si="23"/>
        <v>0</v>
      </c>
      <c r="AH131" s="5">
        <f>IF(CreditAmort3WORST[[#This Row],[Month]]=AJ$8,AF$7,0)</f>
        <v>0</v>
      </c>
      <c r="AI131" s="13">
        <f t="shared" si="24"/>
        <v>0</v>
      </c>
      <c r="AJ131" s="6" t="str">
        <f t="shared" si="25"/>
        <v xml:space="preserve"> </v>
      </c>
      <c r="AK131" s="21" t="str">
        <f t="shared" si="26"/>
        <v xml:space="preserve"> </v>
      </c>
      <c r="AM131" s="20">
        <f t="shared" si="27"/>
        <v>120</v>
      </c>
      <c r="AN131" s="5">
        <f t="shared" si="28"/>
        <v>0</v>
      </c>
      <c r="AO131" s="5">
        <f t="shared" si="29"/>
        <v>0</v>
      </c>
      <c r="AP131" s="5">
        <f t="shared" si="30"/>
        <v>0</v>
      </c>
      <c r="AQ131" s="5">
        <f>IF(CreditAmort4WORST[[#This Row],[Month]]=AS$8,AO$7,0)</f>
        <v>0</v>
      </c>
      <c r="AR131" s="13">
        <f t="shared" si="31"/>
        <v>0</v>
      </c>
      <c r="AS131" s="6" t="str">
        <f t="shared" si="32"/>
        <v xml:space="preserve"> </v>
      </c>
      <c r="AT131" s="21" t="str">
        <f t="shared" si="33"/>
        <v xml:space="preserve"> </v>
      </c>
    </row>
    <row r="132" spans="3:46">
      <c r="C132" s="22">
        <f t="shared" si="18"/>
        <v>121</v>
      </c>
      <c r="D132" s="23">
        <f>IF(AND(C132&gt;='Amort. Sched.-WORST'!$I$8, C132&lt;= ($I$7+$I$8)), PMT('Amort. Sched.-WORST'!$E$8/12, 'Amort. Sched.-WORST'!$I$7, 'Amort. Sched.-WORST'!$E$7), 0)</f>
        <v>-2026.0175758541329</v>
      </c>
      <c r="E132" s="5">
        <f>IF(AND(C132&gt;='Amort. Sched.-WORST'!$I$8, C132&lt;= ($I$7+$I$8)), (IPMT($E$8/12, (C132-$I$8), $I$7, $E$7)), 0)</f>
        <v>-1413.3578590467978</v>
      </c>
      <c r="F132" s="23">
        <f>IF(AND(C132&gt;='Amort. Sched.-WORST'!$I$8, C132&lt;= ($I$7+$I$8)), (PPMT($E$8/12, (C132-$I$8), $I$7, $E$7)), 0)</f>
        <v>-612.65971680733514</v>
      </c>
      <c r="G132" s="5">
        <f>IF(MortgageAmortWORST[[#This Row],[Month]]=I$8,E$7,0)</f>
        <v>0</v>
      </c>
      <c r="H132" s="13">
        <f>IF(AND(C132&gt;='Amort. Sched.-WORST'!$I$8, C132&lt;= ($I$7+$I$8)), H131+F132, 0)</f>
        <v>211391.01914021227</v>
      </c>
      <c r="I132" s="24">
        <f>IF(AND(C132&gt;='Amort. Sched.-WORST'!$I$8, C132&lt;= ($I$7+$I$8)), E132/D132, " ")</f>
        <v>0.69760394771054801</v>
      </c>
      <c r="J132" s="25">
        <f>IF(AND(C132&gt;='Amort. Sched.-WORST'!$I$8, C132&lt;= ($I$7+$I$8)), F132/D132, " ")</f>
        <v>0.30239605228945199</v>
      </c>
      <c r="L132" s="20">
        <f t="shared" si="17"/>
        <v>121</v>
      </c>
      <c r="M132" s="5">
        <f>IF(AND(L132&gt;='Amort. Sched.-WORST'!$R$8, L132&lt;= ($R$7+$R$8)), PMT('Amort. Sched.-WORST'!$N$8/12, 'Amort. Sched.-WORST'!$R$7, 'Amort. Sched.-WORST'!$N$7), 0)</f>
        <v>0</v>
      </c>
      <c r="N132" s="5">
        <f>IF(AND(L132&gt;='Amort. Sched.-WORST'!$R$8, L132&lt;= ($R$7+$R$8)), (IPMT($N$8/12, (L132-$R$8), $R$7, $N$7)), 0)</f>
        <v>0</v>
      </c>
      <c r="O132" s="5">
        <f>IF(AND(L132&gt;='Amort. Sched.-WORST'!$R$8, L132&lt;= ($R$7+$R$8)), (PPMT($N$8/12, (L132-$R$8), $R$7, $N$7)), 0)</f>
        <v>0</v>
      </c>
      <c r="P132" s="5">
        <f>IF(CreditAmort1WORST[[#This Row],[Month]]=R$8,N$7,0)</f>
        <v>0</v>
      </c>
      <c r="Q132" s="13">
        <f>IF(AND(L132&gt;='Amort. Sched.-WORST'!$R$8, L132&lt;= ($R$7+$R$8)), Q131+O132, 0)</f>
        <v>0</v>
      </c>
      <c r="R132" s="6" t="str">
        <f>IF(AND(L132&gt;='Amort. Sched.-WORST'!$R$8, L132&lt;= ($R$7+$R$8)), N132/M132, " ")</f>
        <v xml:space="preserve"> </v>
      </c>
      <c r="S132" s="21" t="str">
        <f>IF(AND(L132&gt;='Amort. Sched.-WORST'!$R$8, L132&lt;= ($R$7+$R$8)), O132/M132, " ")</f>
        <v xml:space="preserve"> </v>
      </c>
      <c r="U132" s="22">
        <f t="shared" si="19"/>
        <v>121</v>
      </c>
      <c r="V132" s="23">
        <f>IF(AND(U132&gt;='Amort. Sched.-WORST'!$AA$8, U132&lt;= ($AA$7+$AA$8)), PMT('Amort. Sched.-WORST'!$W$8/12, 'Amort. Sched.-WORST'!$AA$7, 'Amort. Sched.-WORST'!$W$7), 0)</f>
        <v>0</v>
      </c>
      <c r="W132" s="5">
        <f>IF(AND(U132&gt;='Amort. Sched.-WORST'!$AA$8, U132&lt;= ($AA$7+$AA$8)), (IPMT($W$8/12, (U132-$AA$8), $AA$7, $W$7)), 0)</f>
        <v>0</v>
      </c>
      <c r="X132" s="23">
        <f>IF(AND(U132&gt;='Amort. Sched.-WORST'!$AA$8, U132&lt;= ($AA$7+$AA$8)), (PPMT($W$8/12, (U132-$AA$8), $AA$7, $W$7)), 0)</f>
        <v>0</v>
      </c>
      <c r="Y132" s="5">
        <f>IF(CreditAmort2WORST[[#This Row],[Month]]=AA$8,W$7,0)</f>
        <v>0</v>
      </c>
      <c r="Z132" s="13">
        <f>IF(AND(U132&gt;='Amort. Sched.-WORST'!$AA$8, U132&lt;= ($AA$7+$AA$8)), Z131+X132, 0)</f>
        <v>0</v>
      </c>
      <c r="AA132" s="24" t="str">
        <f>IF(AND(U132&gt;='Amort. Sched.-WORST'!$AA$8, U132&lt;= ($AA$7+$AA$8)), W132/V132, " ")</f>
        <v xml:space="preserve"> </v>
      </c>
      <c r="AB132" s="25" t="str">
        <f>IF(AND(U132&gt;='Amort. Sched.-WORST'!$AA$8, U132&lt;= ($AA$7+$AA$8)), X132/V132, " ")</f>
        <v xml:space="preserve"> </v>
      </c>
      <c r="AD132" s="20">
        <f t="shared" si="20"/>
        <v>121</v>
      </c>
      <c r="AE132" s="5">
        <f t="shared" si="21"/>
        <v>0</v>
      </c>
      <c r="AF132" s="5">
        <f t="shared" si="22"/>
        <v>0</v>
      </c>
      <c r="AG132" s="5">
        <f t="shared" si="23"/>
        <v>0</v>
      </c>
      <c r="AH132" s="5">
        <f>IF(CreditAmort3WORST[[#This Row],[Month]]=AJ$8,AF$7,0)</f>
        <v>0</v>
      </c>
      <c r="AI132" s="13">
        <f t="shared" si="24"/>
        <v>0</v>
      </c>
      <c r="AJ132" s="6" t="str">
        <f t="shared" si="25"/>
        <v xml:space="preserve"> </v>
      </c>
      <c r="AK132" s="21" t="str">
        <f t="shared" si="26"/>
        <v xml:space="preserve"> </v>
      </c>
      <c r="AM132" s="20">
        <f t="shared" si="27"/>
        <v>121</v>
      </c>
      <c r="AN132" s="5">
        <f t="shared" si="28"/>
        <v>0</v>
      </c>
      <c r="AO132" s="5">
        <f t="shared" si="29"/>
        <v>0</v>
      </c>
      <c r="AP132" s="5">
        <f t="shared" si="30"/>
        <v>0</v>
      </c>
      <c r="AQ132" s="5">
        <f>IF(CreditAmort4WORST[[#This Row],[Month]]=AS$8,AO$7,0)</f>
        <v>0</v>
      </c>
      <c r="AR132" s="13">
        <f t="shared" si="31"/>
        <v>0</v>
      </c>
      <c r="AS132" s="6" t="str">
        <f t="shared" si="32"/>
        <v xml:space="preserve"> </v>
      </c>
      <c r="AT132" s="21" t="str">
        <f t="shared" si="33"/>
        <v xml:space="preserve"> </v>
      </c>
    </row>
    <row r="133" spans="3:46">
      <c r="C133" s="22">
        <f t="shared" si="18"/>
        <v>122</v>
      </c>
      <c r="D133" s="23">
        <f>IF(AND(C133&gt;='Amort. Sched.-WORST'!$I$8, C133&lt;= ($I$7+$I$8)), PMT('Amort. Sched.-WORST'!$E$8/12, 'Amort. Sched.-WORST'!$I$7, 'Amort. Sched.-WORST'!$E$7), 0)</f>
        <v>-2026.0175758541329</v>
      </c>
      <c r="E133" s="5">
        <f>IF(AND(C133&gt;='Amort. Sched.-WORST'!$I$8, C133&lt;= ($I$7+$I$8)), (IPMT($E$8/12, (C133-$I$8), $I$7, $E$7)), 0)</f>
        <v>-1409.273460934749</v>
      </c>
      <c r="F133" s="23">
        <f>IF(AND(C133&gt;='Amort. Sched.-WORST'!$I$8, C133&lt;= ($I$7+$I$8)), (PPMT($E$8/12, (C133-$I$8), $I$7, $E$7)), 0)</f>
        <v>-616.74411491938395</v>
      </c>
      <c r="G133" s="5">
        <f>IF(MortgageAmortWORST[[#This Row],[Month]]=I$8,E$7,0)</f>
        <v>0</v>
      </c>
      <c r="H133" s="13">
        <f>IF(AND(C133&gt;='Amort. Sched.-WORST'!$I$8, C133&lt;= ($I$7+$I$8)), H132+F133, 0)</f>
        <v>210774.27502529288</v>
      </c>
      <c r="I133" s="24">
        <f>IF(AND(C133&gt;='Amort. Sched.-WORST'!$I$8, C133&lt;= ($I$7+$I$8)), E133/D133, " ")</f>
        <v>0.69558797402861838</v>
      </c>
      <c r="J133" s="25">
        <f>IF(AND(C133&gt;='Amort. Sched.-WORST'!$I$8, C133&lt;= ($I$7+$I$8)), F133/D133, " ")</f>
        <v>0.30441202597138162</v>
      </c>
      <c r="L133" s="20">
        <f t="shared" si="17"/>
        <v>122</v>
      </c>
      <c r="M133" s="5">
        <f>IF(AND(L133&gt;='Amort. Sched.-WORST'!$R$8, L133&lt;= ($R$7+$R$8)), PMT('Amort. Sched.-WORST'!$N$8/12, 'Amort. Sched.-WORST'!$R$7, 'Amort. Sched.-WORST'!$N$7), 0)</f>
        <v>0</v>
      </c>
      <c r="N133" s="5">
        <f>IF(AND(L133&gt;='Amort. Sched.-WORST'!$R$8, L133&lt;= ($R$7+$R$8)), (IPMT($N$8/12, (L133-$R$8), $R$7, $N$7)), 0)</f>
        <v>0</v>
      </c>
      <c r="O133" s="5">
        <f>IF(AND(L133&gt;='Amort. Sched.-WORST'!$R$8, L133&lt;= ($R$7+$R$8)), (PPMT($N$8/12, (L133-$R$8), $R$7, $N$7)), 0)</f>
        <v>0</v>
      </c>
      <c r="P133" s="5">
        <f>IF(CreditAmort1WORST[[#This Row],[Month]]=R$8,N$7,0)</f>
        <v>0</v>
      </c>
      <c r="Q133" s="13">
        <f>IF(AND(L133&gt;='Amort. Sched.-WORST'!$R$8, L133&lt;= ($R$7+$R$8)), Q132+O133, 0)</f>
        <v>0</v>
      </c>
      <c r="R133" s="6" t="str">
        <f>IF(AND(L133&gt;='Amort. Sched.-WORST'!$R$8, L133&lt;= ($R$7+$R$8)), N133/M133, " ")</f>
        <v xml:space="preserve"> </v>
      </c>
      <c r="S133" s="21" t="str">
        <f>IF(AND(L133&gt;='Amort. Sched.-WORST'!$R$8, L133&lt;= ($R$7+$R$8)), O133/M133, " ")</f>
        <v xml:space="preserve"> </v>
      </c>
      <c r="U133" s="22">
        <f t="shared" si="19"/>
        <v>122</v>
      </c>
      <c r="V133" s="23">
        <f>IF(AND(U133&gt;='Amort. Sched.-WORST'!$AA$8, U133&lt;= ($AA$7+$AA$8)), PMT('Amort. Sched.-WORST'!$W$8/12, 'Amort. Sched.-WORST'!$AA$7, 'Amort. Sched.-WORST'!$W$7), 0)</f>
        <v>0</v>
      </c>
      <c r="W133" s="5">
        <f>IF(AND(U133&gt;='Amort. Sched.-WORST'!$AA$8, U133&lt;= ($AA$7+$AA$8)), (IPMT($W$8/12, (U133-$AA$8), $AA$7, $W$7)), 0)</f>
        <v>0</v>
      </c>
      <c r="X133" s="23">
        <f>IF(AND(U133&gt;='Amort. Sched.-WORST'!$AA$8, U133&lt;= ($AA$7+$AA$8)), (PPMT($W$8/12, (U133-$AA$8), $AA$7, $W$7)), 0)</f>
        <v>0</v>
      </c>
      <c r="Y133" s="5">
        <f>IF(CreditAmort2WORST[[#This Row],[Month]]=AA$8,W$7,0)</f>
        <v>0</v>
      </c>
      <c r="Z133" s="13">
        <f>IF(AND(U133&gt;='Amort. Sched.-WORST'!$AA$8, U133&lt;= ($AA$7+$AA$8)), Z132+X133, 0)</f>
        <v>0</v>
      </c>
      <c r="AA133" s="24" t="str">
        <f>IF(AND(U133&gt;='Amort. Sched.-WORST'!$AA$8, U133&lt;= ($AA$7+$AA$8)), W133/V133, " ")</f>
        <v xml:space="preserve"> </v>
      </c>
      <c r="AB133" s="25" t="str">
        <f>IF(AND(U133&gt;='Amort. Sched.-WORST'!$AA$8, U133&lt;= ($AA$7+$AA$8)), X133/V133, " ")</f>
        <v xml:space="preserve"> </v>
      </c>
      <c r="AD133" s="20">
        <f t="shared" si="20"/>
        <v>122</v>
      </c>
      <c r="AE133" s="5">
        <f t="shared" si="21"/>
        <v>0</v>
      </c>
      <c r="AF133" s="5">
        <f t="shared" si="22"/>
        <v>0</v>
      </c>
      <c r="AG133" s="5">
        <f t="shared" si="23"/>
        <v>0</v>
      </c>
      <c r="AH133" s="5">
        <f>IF(CreditAmort3WORST[[#This Row],[Month]]=AJ$8,AF$7,0)</f>
        <v>0</v>
      </c>
      <c r="AI133" s="13">
        <f t="shared" si="24"/>
        <v>0</v>
      </c>
      <c r="AJ133" s="6" t="str">
        <f t="shared" si="25"/>
        <v xml:space="preserve"> </v>
      </c>
      <c r="AK133" s="21" t="str">
        <f t="shared" si="26"/>
        <v xml:space="preserve"> </v>
      </c>
      <c r="AM133" s="20">
        <f t="shared" si="27"/>
        <v>122</v>
      </c>
      <c r="AN133" s="5">
        <f t="shared" si="28"/>
        <v>0</v>
      </c>
      <c r="AO133" s="5">
        <f t="shared" si="29"/>
        <v>0</v>
      </c>
      <c r="AP133" s="5">
        <f t="shared" si="30"/>
        <v>0</v>
      </c>
      <c r="AQ133" s="5">
        <f>IF(CreditAmort4WORST[[#This Row],[Month]]=AS$8,AO$7,0)</f>
        <v>0</v>
      </c>
      <c r="AR133" s="13">
        <f t="shared" si="31"/>
        <v>0</v>
      </c>
      <c r="AS133" s="6" t="str">
        <f t="shared" si="32"/>
        <v xml:space="preserve"> </v>
      </c>
      <c r="AT133" s="21" t="str">
        <f t="shared" si="33"/>
        <v xml:space="preserve"> </v>
      </c>
    </row>
    <row r="134" spans="3:46">
      <c r="C134" s="22">
        <f t="shared" si="18"/>
        <v>123</v>
      </c>
      <c r="D134" s="23">
        <f>IF(AND(C134&gt;='Amort. Sched.-WORST'!$I$8, C134&lt;= ($I$7+$I$8)), PMT('Amort. Sched.-WORST'!$E$8/12, 'Amort. Sched.-WORST'!$I$7, 'Amort. Sched.-WORST'!$E$7), 0)</f>
        <v>-2026.0175758541329</v>
      </c>
      <c r="E134" s="5">
        <f>IF(AND(C134&gt;='Amort. Sched.-WORST'!$I$8, C134&lt;= ($I$7+$I$8)), (IPMT($E$8/12, (C134-$I$8), $I$7, $E$7)), 0)</f>
        <v>-1405.161833501953</v>
      </c>
      <c r="F134" s="23">
        <f>IF(AND(C134&gt;='Amort. Sched.-WORST'!$I$8, C134&lt;= ($I$7+$I$8)), (PPMT($E$8/12, (C134-$I$8), $I$7, $E$7)), 0)</f>
        <v>-620.85574235217985</v>
      </c>
      <c r="G134" s="5">
        <f>IF(MortgageAmortWORST[[#This Row],[Month]]=I$8,E$7,0)</f>
        <v>0</v>
      </c>
      <c r="H134" s="13">
        <f>IF(AND(C134&gt;='Amort. Sched.-WORST'!$I$8, C134&lt;= ($I$7+$I$8)), H133+F134, 0)</f>
        <v>210153.41928294071</v>
      </c>
      <c r="I134" s="24">
        <f>IF(AND(C134&gt;='Amort. Sched.-WORST'!$I$8, C134&lt;= ($I$7+$I$8)), E134/D134, " ")</f>
        <v>0.69355856052214249</v>
      </c>
      <c r="J134" s="25">
        <f>IF(AND(C134&gt;='Amort. Sched.-WORST'!$I$8, C134&lt;= ($I$7+$I$8)), F134/D134, " ")</f>
        <v>0.30644143947785751</v>
      </c>
      <c r="L134" s="20">
        <f t="shared" si="17"/>
        <v>123</v>
      </c>
      <c r="M134" s="5">
        <f>IF(AND(L134&gt;='Amort. Sched.-WORST'!$R$8, L134&lt;= ($R$7+$R$8)), PMT('Amort. Sched.-WORST'!$N$8/12, 'Amort. Sched.-WORST'!$R$7, 'Amort. Sched.-WORST'!$N$7), 0)</f>
        <v>0</v>
      </c>
      <c r="N134" s="5">
        <f>IF(AND(L134&gt;='Amort. Sched.-WORST'!$R$8, L134&lt;= ($R$7+$R$8)), (IPMT($N$8/12, (L134-$R$8), $R$7, $N$7)), 0)</f>
        <v>0</v>
      </c>
      <c r="O134" s="5">
        <f>IF(AND(L134&gt;='Amort. Sched.-WORST'!$R$8, L134&lt;= ($R$7+$R$8)), (PPMT($N$8/12, (L134-$R$8), $R$7, $N$7)), 0)</f>
        <v>0</v>
      </c>
      <c r="P134" s="5">
        <f>IF(CreditAmort1WORST[[#This Row],[Month]]=R$8,N$7,0)</f>
        <v>0</v>
      </c>
      <c r="Q134" s="13">
        <f>IF(AND(L134&gt;='Amort. Sched.-WORST'!$R$8, L134&lt;= ($R$7+$R$8)), Q133+O134, 0)</f>
        <v>0</v>
      </c>
      <c r="R134" s="6" t="str">
        <f>IF(AND(L134&gt;='Amort. Sched.-WORST'!$R$8, L134&lt;= ($R$7+$R$8)), N134/M134, " ")</f>
        <v xml:space="preserve"> </v>
      </c>
      <c r="S134" s="21" t="str">
        <f>IF(AND(L134&gt;='Amort. Sched.-WORST'!$R$8, L134&lt;= ($R$7+$R$8)), O134/M134, " ")</f>
        <v xml:space="preserve"> </v>
      </c>
      <c r="U134" s="22">
        <f t="shared" si="19"/>
        <v>123</v>
      </c>
      <c r="V134" s="23">
        <f>IF(AND(U134&gt;='Amort. Sched.-WORST'!$AA$8, U134&lt;= ($AA$7+$AA$8)), PMT('Amort. Sched.-WORST'!$W$8/12, 'Amort. Sched.-WORST'!$AA$7, 'Amort. Sched.-WORST'!$W$7), 0)</f>
        <v>0</v>
      </c>
      <c r="W134" s="5">
        <f>IF(AND(U134&gt;='Amort. Sched.-WORST'!$AA$8, U134&lt;= ($AA$7+$AA$8)), (IPMT($W$8/12, (U134-$AA$8), $AA$7, $W$7)), 0)</f>
        <v>0</v>
      </c>
      <c r="X134" s="23">
        <f>IF(AND(U134&gt;='Amort. Sched.-WORST'!$AA$8, U134&lt;= ($AA$7+$AA$8)), (PPMT($W$8/12, (U134-$AA$8), $AA$7, $W$7)), 0)</f>
        <v>0</v>
      </c>
      <c r="Y134" s="5">
        <f>IF(CreditAmort2WORST[[#This Row],[Month]]=AA$8,W$7,0)</f>
        <v>0</v>
      </c>
      <c r="Z134" s="13">
        <f>IF(AND(U134&gt;='Amort. Sched.-WORST'!$AA$8, U134&lt;= ($AA$7+$AA$8)), Z133+X134, 0)</f>
        <v>0</v>
      </c>
      <c r="AA134" s="24" t="str">
        <f>IF(AND(U134&gt;='Amort. Sched.-WORST'!$AA$8, U134&lt;= ($AA$7+$AA$8)), W134/V134, " ")</f>
        <v xml:space="preserve"> </v>
      </c>
      <c r="AB134" s="25" t="str">
        <f>IF(AND(U134&gt;='Amort. Sched.-WORST'!$AA$8, U134&lt;= ($AA$7+$AA$8)), X134/V134, " ")</f>
        <v xml:space="preserve"> </v>
      </c>
      <c r="AD134" s="20">
        <f t="shared" si="20"/>
        <v>123</v>
      </c>
      <c r="AE134" s="5">
        <f t="shared" si="21"/>
        <v>0</v>
      </c>
      <c r="AF134" s="5">
        <f t="shared" si="22"/>
        <v>0</v>
      </c>
      <c r="AG134" s="5">
        <f t="shared" si="23"/>
        <v>0</v>
      </c>
      <c r="AH134" s="5">
        <f>IF(CreditAmort3WORST[[#This Row],[Month]]=AJ$8,AF$7,0)</f>
        <v>0</v>
      </c>
      <c r="AI134" s="13">
        <f t="shared" si="24"/>
        <v>0</v>
      </c>
      <c r="AJ134" s="6" t="str">
        <f t="shared" si="25"/>
        <v xml:space="preserve"> </v>
      </c>
      <c r="AK134" s="21" t="str">
        <f t="shared" si="26"/>
        <v xml:space="preserve"> </v>
      </c>
      <c r="AM134" s="20">
        <f t="shared" si="27"/>
        <v>123</v>
      </c>
      <c r="AN134" s="5">
        <f t="shared" si="28"/>
        <v>0</v>
      </c>
      <c r="AO134" s="5">
        <f t="shared" si="29"/>
        <v>0</v>
      </c>
      <c r="AP134" s="5">
        <f t="shared" si="30"/>
        <v>0</v>
      </c>
      <c r="AQ134" s="5">
        <f>IF(CreditAmort4WORST[[#This Row],[Month]]=AS$8,AO$7,0)</f>
        <v>0</v>
      </c>
      <c r="AR134" s="13">
        <f t="shared" si="31"/>
        <v>0</v>
      </c>
      <c r="AS134" s="6" t="str">
        <f t="shared" si="32"/>
        <v xml:space="preserve"> </v>
      </c>
      <c r="AT134" s="21" t="str">
        <f t="shared" si="33"/>
        <v xml:space="preserve"> </v>
      </c>
    </row>
    <row r="135" spans="3:46">
      <c r="C135" s="22">
        <f t="shared" si="18"/>
        <v>124</v>
      </c>
      <c r="D135" s="23">
        <f>IF(AND(C135&gt;='Amort. Sched.-WORST'!$I$8, C135&lt;= ($I$7+$I$8)), PMT('Amort. Sched.-WORST'!$E$8/12, 'Amort. Sched.-WORST'!$I$7, 'Amort. Sched.-WORST'!$E$7), 0)</f>
        <v>-2026.0175758541329</v>
      </c>
      <c r="E135" s="5">
        <f>IF(AND(C135&gt;='Amort. Sched.-WORST'!$I$8, C135&lt;= ($I$7+$I$8)), (IPMT($E$8/12, (C135-$I$8), $I$7, $E$7)), 0)</f>
        <v>-1401.0227952196053</v>
      </c>
      <c r="F135" s="23">
        <f>IF(AND(C135&gt;='Amort. Sched.-WORST'!$I$8, C135&lt;= ($I$7+$I$8)), (PPMT($E$8/12, (C135-$I$8), $I$7, $E$7)), 0)</f>
        <v>-624.99478063452773</v>
      </c>
      <c r="G135" s="5">
        <f>IF(MortgageAmortWORST[[#This Row],[Month]]=I$8,E$7,0)</f>
        <v>0</v>
      </c>
      <c r="H135" s="13">
        <f>IF(AND(C135&gt;='Amort. Sched.-WORST'!$I$8, C135&lt;= ($I$7+$I$8)), H134+F135, 0)</f>
        <v>209528.42450230618</v>
      </c>
      <c r="I135" s="24">
        <f>IF(AND(C135&gt;='Amort. Sched.-WORST'!$I$8, C135&lt;= ($I$7+$I$8)), E135/D135, " ")</f>
        <v>0.69151561759229019</v>
      </c>
      <c r="J135" s="25">
        <f>IF(AND(C135&gt;='Amort. Sched.-WORST'!$I$8, C135&lt;= ($I$7+$I$8)), F135/D135, " ")</f>
        <v>0.30848438240770987</v>
      </c>
      <c r="L135" s="20">
        <f t="shared" si="17"/>
        <v>124</v>
      </c>
      <c r="M135" s="5">
        <f>IF(AND(L135&gt;='Amort. Sched.-WORST'!$R$8, L135&lt;= ($R$7+$R$8)), PMT('Amort. Sched.-WORST'!$N$8/12, 'Amort. Sched.-WORST'!$R$7, 'Amort. Sched.-WORST'!$N$7), 0)</f>
        <v>0</v>
      </c>
      <c r="N135" s="5">
        <f>IF(AND(L135&gt;='Amort. Sched.-WORST'!$R$8, L135&lt;= ($R$7+$R$8)), (IPMT($N$8/12, (L135-$R$8), $R$7, $N$7)), 0)</f>
        <v>0</v>
      </c>
      <c r="O135" s="5">
        <f>IF(AND(L135&gt;='Amort. Sched.-WORST'!$R$8, L135&lt;= ($R$7+$R$8)), (PPMT($N$8/12, (L135-$R$8), $R$7, $N$7)), 0)</f>
        <v>0</v>
      </c>
      <c r="P135" s="5">
        <f>IF(CreditAmort1WORST[[#This Row],[Month]]=R$8,N$7,0)</f>
        <v>0</v>
      </c>
      <c r="Q135" s="13">
        <f>IF(AND(L135&gt;='Amort. Sched.-WORST'!$R$8, L135&lt;= ($R$7+$R$8)), Q134+O135, 0)</f>
        <v>0</v>
      </c>
      <c r="R135" s="6" t="str">
        <f>IF(AND(L135&gt;='Amort. Sched.-WORST'!$R$8, L135&lt;= ($R$7+$R$8)), N135/M135, " ")</f>
        <v xml:space="preserve"> </v>
      </c>
      <c r="S135" s="21" t="str">
        <f>IF(AND(L135&gt;='Amort. Sched.-WORST'!$R$8, L135&lt;= ($R$7+$R$8)), O135/M135, " ")</f>
        <v xml:space="preserve"> </v>
      </c>
      <c r="U135" s="22">
        <f t="shared" si="19"/>
        <v>124</v>
      </c>
      <c r="V135" s="23">
        <f>IF(AND(U135&gt;='Amort. Sched.-WORST'!$AA$8, U135&lt;= ($AA$7+$AA$8)), PMT('Amort. Sched.-WORST'!$W$8/12, 'Amort. Sched.-WORST'!$AA$7, 'Amort. Sched.-WORST'!$W$7), 0)</f>
        <v>0</v>
      </c>
      <c r="W135" s="5">
        <f>IF(AND(U135&gt;='Amort. Sched.-WORST'!$AA$8, U135&lt;= ($AA$7+$AA$8)), (IPMT($W$8/12, (U135-$AA$8), $AA$7, $W$7)), 0)</f>
        <v>0</v>
      </c>
      <c r="X135" s="23">
        <f>IF(AND(U135&gt;='Amort. Sched.-WORST'!$AA$8, U135&lt;= ($AA$7+$AA$8)), (PPMT($W$8/12, (U135-$AA$8), $AA$7, $W$7)), 0)</f>
        <v>0</v>
      </c>
      <c r="Y135" s="5">
        <f>IF(CreditAmort2WORST[[#This Row],[Month]]=AA$8,W$7,0)</f>
        <v>0</v>
      </c>
      <c r="Z135" s="13">
        <f>IF(AND(U135&gt;='Amort. Sched.-WORST'!$AA$8, U135&lt;= ($AA$7+$AA$8)), Z134+X135, 0)</f>
        <v>0</v>
      </c>
      <c r="AA135" s="24" t="str">
        <f>IF(AND(U135&gt;='Amort. Sched.-WORST'!$AA$8, U135&lt;= ($AA$7+$AA$8)), W135/V135, " ")</f>
        <v xml:space="preserve"> </v>
      </c>
      <c r="AB135" s="25" t="str">
        <f>IF(AND(U135&gt;='Amort. Sched.-WORST'!$AA$8, U135&lt;= ($AA$7+$AA$8)), X135/V135, " ")</f>
        <v xml:space="preserve"> </v>
      </c>
      <c r="AD135" s="20">
        <f t="shared" si="20"/>
        <v>124</v>
      </c>
      <c r="AE135" s="5">
        <f t="shared" si="21"/>
        <v>0</v>
      </c>
      <c r="AF135" s="5">
        <f t="shared" si="22"/>
        <v>0</v>
      </c>
      <c r="AG135" s="5">
        <f t="shared" si="23"/>
        <v>0</v>
      </c>
      <c r="AH135" s="5">
        <f>IF(CreditAmort3WORST[[#This Row],[Month]]=AJ$8,AF$7,0)</f>
        <v>0</v>
      </c>
      <c r="AI135" s="13">
        <f t="shared" si="24"/>
        <v>0</v>
      </c>
      <c r="AJ135" s="6" t="str">
        <f t="shared" si="25"/>
        <v xml:space="preserve"> </v>
      </c>
      <c r="AK135" s="21" t="str">
        <f t="shared" si="26"/>
        <v xml:space="preserve"> </v>
      </c>
      <c r="AM135" s="20">
        <f t="shared" si="27"/>
        <v>124</v>
      </c>
      <c r="AN135" s="5">
        <f t="shared" si="28"/>
        <v>0</v>
      </c>
      <c r="AO135" s="5">
        <f t="shared" si="29"/>
        <v>0</v>
      </c>
      <c r="AP135" s="5">
        <f t="shared" si="30"/>
        <v>0</v>
      </c>
      <c r="AQ135" s="5">
        <f>IF(CreditAmort4WORST[[#This Row],[Month]]=AS$8,AO$7,0)</f>
        <v>0</v>
      </c>
      <c r="AR135" s="13">
        <f t="shared" si="31"/>
        <v>0</v>
      </c>
      <c r="AS135" s="6" t="str">
        <f t="shared" si="32"/>
        <v xml:space="preserve"> </v>
      </c>
      <c r="AT135" s="21" t="str">
        <f t="shared" si="33"/>
        <v xml:space="preserve"> </v>
      </c>
    </row>
    <row r="136" spans="3:46">
      <c r="C136" s="22">
        <f t="shared" si="18"/>
        <v>125</v>
      </c>
      <c r="D136" s="23">
        <f>IF(AND(C136&gt;='Amort. Sched.-WORST'!$I$8, C136&lt;= ($I$7+$I$8)), PMT('Amort. Sched.-WORST'!$E$8/12, 'Amort. Sched.-WORST'!$I$7, 'Amort. Sched.-WORST'!$E$7), 0)</f>
        <v>-2026.0175758541329</v>
      </c>
      <c r="E136" s="5">
        <f>IF(AND(C136&gt;='Amort. Sched.-WORST'!$I$8, C136&lt;= ($I$7+$I$8)), (IPMT($E$8/12, (C136-$I$8), $I$7, $E$7)), 0)</f>
        <v>-1396.8561633487084</v>
      </c>
      <c r="F136" s="23">
        <f>IF(AND(C136&gt;='Amort. Sched.-WORST'!$I$8, C136&lt;= ($I$7+$I$8)), (PPMT($E$8/12, (C136-$I$8), $I$7, $E$7)), 0)</f>
        <v>-629.16141250542455</v>
      </c>
      <c r="G136" s="5">
        <f>IF(MortgageAmortWORST[[#This Row],[Month]]=I$8,E$7,0)</f>
        <v>0</v>
      </c>
      <c r="H136" s="13">
        <f>IF(AND(C136&gt;='Amort. Sched.-WORST'!$I$8, C136&lt;= ($I$7+$I$8)), H135+F136, 0)</f>
        <v>208899.26308980075</v>
      </c>
      <c r="I136" s="24">
        <f>IF(AND(C136&gt;='Amort. Sched.-WORST'!$I$8, C136&lt;= ($I$7+$I$8)), E136/D136, " ")</f>
        <v>0.68945905504290539</v>
      </c>
      <c r="J136" s="25">
        <f>IF(AND(C136&gt;='Amort. Sched.-WORST'!$I$8, C136&lt;= ($I$7+$I$8)), F136/D136, " ")</f>
        <v>0.31054094495709461</v>
      </c>
      <c r="L136" s="20">
        <f t="shared" si="17"/>
        <v>125</v>
      </c>
      <c r="M136" s="5">
        <f>IF(AND(L136&gt;='Amort. Sched.-WORST'!$R$8, L136&lt;= ($R$7+$R$8)), PMT('Amort. Sched.-WORST'!$N$8/12, 'Amort. Sched.-WORST'!$R$7, 'Amort. Sched.-WORST'!$N$7), 0)</f>
        <v>0</v>
      </c>
      <c r="N136" s="5">
        <f>IF(AND(L136&gt;='Amort. Sched.-WORST'!$R$8, L136&lt;= ($R$7+$R$8)), (IPMT($N$8/12, (L136-$R$8), $R$7, $N$7)), 0)</f>
        <v>0</v>
      </c>
      <c r="O136" s="5">
        <f>IF(AND(L136&gt;='Amort. Sched.-WORST'!$R$8, L136&lt;= ($R$7+$R$8)), (PPMT($N$8/12, (L136-$R$8), $R$7, $N$7)), 0)</f>
        <v>0</v>
      </c>
      <c r="P136" s="5">
        <f>IF(CreditAmort1WORST[[#This Row],[Month]]=R$8,N$7,0)</f>
        <v>0</v>
      </c>
      <c r="Q136" s="13">
        <f>IF(AND(L136&gt;='Amort. Sched.-WORST'!$R$8, L136&lt;= ($R$7+$R$8)), Q135+O136, 0)</f>
        <v>0</v>
      </c>
      <c r="R136" s="6" t="str">
        <f>IF(AND(L136&gt;='Amort. Sched.-WORST'!$R$8, L136&lt;= ($R$7+$R$8)), N136/M136, " ")</f>
        <v xml:space="preserve"> </v>
      </c>
      <c r="S136" s="21" t="str">
        <f>IF(AND(L136&gt;='Amort. Sched.-WORST'!$R$8, L136&lt;= ($R$7+$R$8)), O136/M136, " ")</f>
        <v xml:space="preserve"> </v>
      </c>
      <c r="U136" s="22">
        <f t="shared" si="19"/>
        <v>125</v>
      </c>
      <c r="V136" s="23">
        <f>IF(AND(U136&gt;='Amort. Sched.-WORST'!$AA$8, U136&lt;= ($AA$7+$AA$8)), PMT('Amort. Sched.-WORST'!$W$8/12, 'Amort. Sched.-WORST'!$AA$7, 'Amort. Sched.-WORST'!$W$7), 0)</f>
        <v>0</v>
      </c>
      <c r="W136" s="5">
        <f>IF(AND(U136&gt;='Amort. Sched.-WORST'!$AA$8, U136&lt;= ($AA$7+$AA$8)), (IPMT($W$8/12, (U136-$AA$8), $AA$7, $W$7)), 0)</f>
        <v>0</v>
      </c>
      <c r="X136" s="23">
        <f>IF(AND(U136&gt;='Amort. Sched.-WORST'!$AA$8, U136&lt;= ($AA$7+$AA$8)), (PPMT($W$8/12, (U136-$AA$8), $AA$7, $W$7)), 0)</f>
        <v>0</v>
      </c>
      <c r="Y136" s="5">
        <f>IF(CreditAmort2WORST[[#This Row],[Month]]=AA$8,W$7,0)</f>
        <v>0</v>
      </c>
      <c r="Z136" s="13">
        <f>IF(AND(U136&gt;='Amort. Sched.-WORST'!$AA$8, U136&lt;= ($AA$7+$AA$8)), Z135+X136, 0)</f>
        <v>0</v>
      </c>
      <c r="AA136" s="24" t="str">
        <f>IF(AND(U136&gt;='Amort. Sched.-WORST'!$AA$8, U136&lt;= ($AA$7+$AA$8)), W136/V136, " ")</f>
        <v xml:space="preserve"> </v>
      </c>
      <c r="AB136" s="25" t="str">
        <f>IF(AND(U136&gt;='Amort. Sched.-WORST'!$AA$8, U136&lt;= ($AA$7+$AA$8)), X136/V136, " ")</f>
        <v xml:space="preserve"> </v>
      </c>
      <c r="AD136" s="20">
        <f t="shared" si="20"/>
        <v>125</v>
      </c>
      <c r="AE136" s="5">
        <f t="shared" si="21"/>
        <v>0</v>
      </c>
      <c r="AF136" s="5">
        <f t="shared" si="22"/>
        <v>0</v>
      </c>
      <c r="AG136" s="5">
        <f t="shared" si="23"/>
        <v>0</v>
      </c>
      <c r="AH136" s="5">
        <f>IF(CreditAmort3WORST[[#This Row],[Month]]=AJ$8,AF$7,0)</f>
        <v>0</v>
      </c>
      <c r="AI136" s="13">
        <f t="shared" si="24"/>
        <v>0</v>
      </c>
      <c r="AJ136" s="6" t="str">
        <f t="shared" si="25"/>
        <v xml:space="preserve"> </v>
      </c>
      <c r="AK136" s="21" t="str">
        <f t="shared" si="26"/>
        <v xml:space="preserve"> </v>
      </c>
      <c r="AM136" s="20">
        <f t="shared" si="27"/>
        <v>125</v>
      </c>
      <c r="AN136" s="5">
        <f t="shared" si="28"/>
        <v>0</v>
      </c>
      <c r="AO136" s="5">
        <f t="shared" si="29"/>
        <v>0</v>
      </c>
      <c r="AP136" s="5">
        <f t="shared" si="30"/>
        <v>0</v>
      </c>
      <c r="AQ136" s="5">
        <f>IF(CreditAmort4WORST[[#This Row],[Month]]=AS$8,AO$7,0)</f>
        <v>0</v>
      </c>
      <c r="AR136" s="13">
        <f t="shared" si="31"/>
        <v>0</v>
      </c>
      <c r="AS136" s="6" t="str">
        <f t="shared" si="32"/>
        <v xml:space="preserve"> </v>
      </c>
      <c r="AT136" s="21" t="str">
        <f t="shared" si="33"/>
        <v xml:space="preserve"> </v>
      </c>
    </row>
    <row r="137" spans="3:46">
      <c r="C137" s="22">
        <f t="shared" si="18"/>
        <v>126</v>
      </c>
      <c r="D137" s="23">
        <f>IF(AND(C137&gt;='Amort. Sched.-WORST'!$I$8, C137&lt;= ($I$7+$I$8)), PMT('Amort. Sched.-WORST'!$E$8/12, 'Amort. Sched.-WORST'!$I$7, 'Amort. Sched.-WORST'!$E$7), 0)</f>
        <v>-2026.0175758541329</v>
      </c>
      <c r="E137" s="5">
        <f>IF(AND(C137&gt;='Amort. Sched.-WORST'!$I$8, C137&lt;= ($I$7+$I$8)), (IPMT($E$8/12, (C137-$I$8), $I$7, $E$7)), 0)</f>
        <v>-1392.6617539320057</v>
      </c>
      <c r="F137" s="23">
        <f>IF(AND(C137&gt;='Amort. Sched.-WORST'!$I$8, C137&lt;= ($I$7+$I$8)), (PPMT($E$8/12, (C137-$I$8), $I$7, $E$7)), 0)</f>
        <v>-633.35582192212757</v>
      </c>
      <c r="G137" s="5">
        <f>IF(MortgageAmortWORST[[#This Row],[Month]]=I$8,E$7,0)</f>
        <v>0</v>
      </c>
      <c r="H137" s="13">
        <f>IF(AND(C137&gt;='Amort. Sched.-WORST'!$I$8, C137&lt;= ($I$7+$I$8)), H136+F137, 0)</f>
        <v>208265.90726787862</v>
      </c>
      <c r="I137" s="24">
        <f>IF(AND(C137&gt;='Amort. Sched.-WORST'!$I$8, C137&lt;= ($I$7+$I$8)), E137/D137, " ")</f>
        <v>0.68738878207652487</v>
      </c>
      <c r="J137" s="25">
        <f>IF(AND(C137&gt;='Amort. Sched.-WORST'!$I$8, C137&lt;= ($I$7+$I$8)), F137/D137, " ")</f>
        <v>0.31261121792347535</v>
      </c>
      <c r="L137" s="20">
        <f t="shared" si="17"/>
        <v>126</v>
      </c>
      <c r="M137" s="5">
        <f>IF(AND(L137&gt;='Amort. Sched.-WORST'!$R$8, L137&lt;= ($R$7+$R$8)), PMT('Amort. Sched.-WORST'!$N$8/12, 'Amort. Sched.-WORST'!$R$7, 'Amort. Sched.-WORST'!$N$7), 0)</f>
        <v>0</v>
      </c>
      <c r="N137" s="5">
        <f>IF(AND(L137&gt;='Amort. Sched.-WORST'!$R$8, L137&lt;= ($R$7+$R$8)), (IPMT($N$8/12, (L137-$R$8), $R$7, $N$7)), 0)</f>
        <v>0</v>
      </c>
      <c r="O137" s="5">
        <f>IF(AND(L137&gt;='Amort. Sched.-WORST'!$R$8, L137&lt;= ($R$7+$R$8)), (PPMT($N$8/12, (L137-$R$8), $R$7, $N$7)), 0)</f>
        <v>0</v>
      </c>
      <c r="P137" s="5">
        <f>IF(CreditAmort1WORST[[#This Row],[Month]]=R$8,N$7,0)</f>
        <v>0</v>
      </c>
      <c r="Q137" s="13">
        <f>IF(AND(L137&gt;='Amort. Sched.-WORST'!$R$8, L137&lt;= ($R$7+$R$8)), Q136+O137, 0)</f>
        <v>0</v>
      </c>
      <c r="R137" s="6" t="str">
        <f>IF(AND(L137&gt;='Amort. Sched.-WORST'!$R$8, L137&lt;= ($R$7+$R$8)), N137/M137, " ")</f>
        <v xml:space="preserve"> </v>
      </c>
      <c r="S137" s="21" t="str">
        <f>IF(AND(L137&gt;='Amort. Sched.-WORST'!$R$8, L137&lt;= ($R$7+$R$8)), O137/M137, " ")</f>
        <v xml:space="preserve"> </v>
      </c>
      <c r="U137" s="22">
        <f t="shared" si="19"/>
        <v>126</v>
      </c>
      <c r="V137" s="23">
        <f>IF(AND(U137&gt;='Amort. Sched.-WORST'!$AA$8, U137&lt;= ($AA$7+$AA$8)), PMT('Amort. Sched.-WORST'!$W$8/12, 'Amort. Sched.-WORST'!$AA$7, 'Amort. Sched.-WORST'!$W$7), 0)</f>
        <v>0</v>
      </c>
      <c r="W137" s="5">
        <f>IF(AND(U137&gt;='Amort. Sched.-WORST'!$AA$8, U137&lt;= ($AA$7+$AA$8)), (IPMT($W$8/12, (U137-$AA$8), $AA$7, $W$7)), 0)</f>
        <v>0</v>
      </c>
      <c r="X137" s="23">
        <f>IF(AND(U137&gt;='Amort. Sched.-WORST'!$AA$8, U137&lt;= ($AA$7+$AA$8)), (PPMT($W$8/12, (U137-$AA$8), $AA$7, $W$7)), 0)</f>
        <v>0</v>
      </c>
      <c r="Y137" s="5">
        <f>IF(CreditAmort2WORST[[#This Row],[Month]]=AA$8,W$7,0)</f>
        <v>0</v>
      </c>
      <c r="Z137" s="13">
        <f>IF(AND(U137&gt;='Amort. Sched.-WORST'!$AA$8, U137&lt;= ($AA$7+$AA$8)), Z136+X137, 0)</f>
        <v>0</v>
      </c>
      <c r="AA137" s="24" t="str">
        <f>IF(AND(U137&gt;='Amort. Sched.-WORST'!$AA$8, U137&lt;= ($AA$7+$AA$8)), W137/V137, " ")</f>
        <v xml:space="preserve"> </v>
      </c>
      <c r="AB137" s="25" t="str">
        <f>IF(AND(U137&gt;='Amort. Sched.-WORST'!$AA$8, U137&lt;= ($AA$7+$AA$8)), X137/V137, " ")</f>
        <v xml:space="preserve"> </v>
      </c>
      <c r="AD137" s="20">
        <f t="shared" si="20"/>
        <v>126</v>
      </c>
      <c r="AE137" s="5">
        <f t="shared" si="21"/>
        <v>0</v>
      </c>
      <c r="AF137" s="5">
        <f t="shared" si="22"/>
        <v>0</v>
      </c>
      <c r="AG137" s="5">
        <f t="shared" si="23"/>
        <v>0</v>
      </c>
      <c r="AH137" s="5">
        <f>IF(CreditAmort3WORST[[#This Row],[Month]]=AJ$8,AF$7,0)</f>
        <v>0</v>
      </c>
      <c r="AI137" s="13">
        <f t="shared" si="24"/>
        <v>0</v>
      </c>
      <c r="AJ137" s="6" t="str">
        <f t="shared" si="25"/>
        <v xml:space="preserve"> </v>
      </c>
      <c r="AK137" s="21" t="str">
        <f t="shared" si="26"/>
        <v xml:space="preserve"> </v>
      </c>
      <c r="AM137" s="20">
        <f t="shared" si="27"/>
        <v>126</v>
      </c>
      <c r="AN137" s="5">
        <f t="shared" si="28"/>
        <v>0</v>
      </c>
      <c r="AO137" s="5">
        <f t="shared" si="29"/>
        <v>0</v>
      </c>
      <c r="AP137" s="5">
        <f t="shared" si="30"/>
        <v>0</v>
      </c>
      <c r="AQ137" s="5">
        <f>IF(CreditAmort4WORST[[#This Row],[Month]]=AS$8,AO$7,0)</f>
        <v>0</v>
      </c>
      <c r="AR137" s="13">
        <f t="shared" si="31"/>
        <v>0</v>
      </c>
      <c r="AS137" s="6" t="str">
        <f t="shared" si="32"/>
        <v xml:space="preserve"> </v>
      </c>
      <c r="AT137" s="21" t="str">
        <f t="shared" si="33"/>
        <v xml:space="preserve"> </v>
      </c>
    </row>
    <row r="138" spans="3:46">
      <c r="C138" s="22">
        <f t="shared" si="18"/>
        <v>127</v>
      </c>
      <c r="D138" s="23">
        <f>IF(AND(C138&gt;='Amort. Sched.-WORST'!$I$8, C138&lt;= ($I$7+$I$8)), PMT('Amort. Sched.-WORST'!$E$8/12, 'Amort. Sched.-WORST'!$I$7, 'Amort. Sched.-WORST'!$E$7), 0)</f>
        <v>-2026.0175758541329</v>
      </c>
      <c r="E138" s="5">
        <f>IF(AND(C138&gt;='Amort. Sched.-WORST'!$I$8, C138&lt;= ($I$7+$I$8)), (IPMT($E$8/12, (C138-$I$8), $I$7, $E$7)), 0)</f>
        <v>-1388.4393817858579</v>
      </c>
      <c r="F138" s="23">
        <f>IF(AND(C138&gt;='Amort. Sched.-WORST'!$I$8, C138&lt;= ($I$7+$I$8)), (PPMT($E$8/12, (C138-$I$8), $I$7, $E$7)), 0)</f>
        <v>-637.57819406827502</v>
      </c>
      <c r="G138" s="5">
        <f>IF(MortgageAmortWORST[[#This Row],[Month]]=I$8,E$7,0)</f>
        <v>0</v>
      </c>
      <c r="H138" s="13">
        <f>IF(AND(C138&gt;='Amort. Sched.-WORST'!$I$8, C138&lt;= ($I$7+$I$8)), H137+F138, 0)</f>
        <v>207628.32907381034</v>
      </c>
      <c r="I138" s="24">
        <f>IF(AND(C138&gt;='Amort. Sched.-WORST'!$I$8, C138&lt;= ($I$7+$I$8)), E138/D138, " ")</f>
        <v>0.68530470729036819</v>
      </c>
      <c r="J138" s="25">
        <f>IF(AND(C138&gt;='Amort. Sched.-WORST'!$I$8, C138&lt;= ($I$7+$I$8)), F138/D138, " ")</f>
        <v>0.31469529270963181</v>
      </c>
      <c r="L138" s="20">
        <f t="shared" si="17"/>
        <v>127</v>
      </c>
      <c r="M138" s="5">
        <f>IF(AND(L138&gt;='Amort. Sched.-WORST'!$R$8, L138&lt;= ($R$7+$R$8)), PMT('Amort. Sched.-WORST'!$N$8/12, 'Amort. Sched.-WORST'!$R$7, 'Amort. Sched.-WORST'!$N$7), 0)</f>
        <v>0</v>
      </c>
      <c r="N138" s="5">
        <f>IF(AND(L138&gt;='Amort. Sched.-WORST'!$R$8, L138&lt;= ($R$7+$R$8)), (IPMT($N$8/12, (L138-$R$8), $R$7, $N$7)), 0)</f>
        <v>0</v>
      </c>
      <c r="O138" s="5">
        <f>IF(AND(L138&gt;='Amort. Sched.-WORST'!$R$8, L138&lt;= ($R$7+$R$8)), (PPMT($N$8/12, (L138-$R$8), $R$7, $N$7)), 0)</f>
        <v>0</v>
      </c>
      <c r="P138" s="5">
        <f>IF(CreditAmort1WORST[[#This Row],[Month]]=R$8,N$7,0)</f>
        <v>0</v>
      </c>
      <c r="Q138" s="13">
        <f>IF(AND(L138&gt;='Amort. Sched.-WORST'!$R$8, L138&lt;= ($R$7+$R$8)), Q137+O138, 0)</f>
        <v>0</v>
      </c>
      <c r="R138" s="6" t="str">
        <f>IF(AND(L138&gt;='Amort. Sched.-WORST'!$R$8, L138&lt;= ($R$7+$R$8)), N138/M138, " ")</f>
        <v xml:space="preserve"> </v>
      </c>
      <c r="S138" s="21" t="str">
        <f>IF(AND(L138&gt;='Amort. Sched.-WORST'!$R$8, L138&lt;= ($R$7+$R$8)), O138/M138, " ")</f>
        <v xml:space="preserve"> </v>
      </c>
      <c r="U138" s="22">
        <f t="shared" si="19"/>
        <v>127</v>
      </c>
      <c r="V138" s="23">
        <f>IF(AND(U138&gt;='Amort. Sched.-WORST'!$AA$8, U138&lt;= ($AA$7+$AA$8)), PMT('Amort. Sched.-WORST'!$W$8/12, 'Amort. Sched.-WORST'!$AA$7, 'Amort. Sched.-WORST'!$W$7), 0)</f>
        <v>0</v>
      </c>
      <c r="W138" s="5">
        <f>IF(AND(U138&gt;='Amort. Sched.-WORST'!$AA$8, U138&lt;= ($AA$7+$AA$8)), (IPMT($W$8/12, (U138-$AA$8), $AA$7, $W$7)), 0)</f>
        <v>0</v>
      </c>
      <c r="X138" s="23">
        <f>IF(AND(U138&gt;='Amort. Sched.-WORST'!$AA$8, U138&lt;= ($AA$7+$AA$8)), (PPMT($W$8/12, (U138-$AA$8), $AA$7, $W$7)), 0)</f>
        <v>0</v>
      </c>
      <c r="Y138" s="5">
        <f>IF(CreditAmort2WORST[[#This Row],[Month]]=AA$8,W$7,0)</f>
        <v>0</v>
      </c>
      <c r="Z138" s="13">
        <f>IF(AND(U138&gt;='Amort. Sched.-WORST'!$AA$8, U138&lt;= ($AA$7+$AA$8)), Z137+X138, 0)</f>
        <v>0</v>
      </c>
      <c r="AA138" s="24" t="str">
        <f>IF(AND(U138&gt;='Amort. Sched.-WORST'!$AA$8, U138&lt;= ($AA$7+$AA$8)), W138/V138, " ")</f>
        <v xml:space="preserve"> </v>
      </c>
      <c r="AB138" s="25" t="str">
        <f>IF(AND(U138&gt;='Amort. Sched.-WORST'!$AA$8, U138&lt;= ($AA$7+$AA$8)), X138/V138, " ")</f>
        <v xml:space="preserve"> </v>
      </c>
      <c r="AD138" s="20">
        <f t="shared" si="20"/>
        <v>127</v>
      </c>
      <c r="AE138" s="5">
        <f t="shared" si="21"/>
        <v>0</v>
      </c>
      <c r="AF138" s="5">
        <f t="shared" si="22"/>
        <v>0</v>
      </c>
      <c r="AG138" s="5">
        <f t="shared" si="23"/>
        <v>0</v>
      </c>
      <c r="AH138" s="5">
        <f>IF(CreditAmort3WORST[[#This Row],[Month]]=AJ$8,AF$7,0)</f>
        <v>0</v>
      </c>
      <c r="AI138" s="13">
        <f t="shared" si="24"/>
        <v>0</v>
      </c>
      <c r="AJ138" s="6" t="str">
        <f t="shared" si="25"/>
        <v xml:space="preserve"> </v>
      </c>
      <c r="AK138" s="21" t="str">
        <f t="shared" si="26"/>
        <v xml:space="preserve"> </v>
      </c>
      <c r="AM138" s="20">
        <f t="shared" si="27"/>
        <v>127</v>
      </c>
      <c r="AN138" s="5">
        <f t="shared" si="28"/>
        <v>0</v>
      </c>
      <c r="AO138" s="5">
        <f t="shared" si="29"/>
        <v>0</v>
      </c>
      <c r="AP138" s="5">
        <f t="shared" si="30"/>
        <v>0</v>
      </c>
      <c r="AQ138" s="5">
        <f>IF(CreditAmort4WORST[[#This Row],[Month]]=AS$8,AO$7,0)</f>
        <v>0</v>
      </c>
      <c r="AR138" s="13">
        <f t="shared" si="31"/>
        <v>0</v>
      </c>
      <c r="AS138" s="6" t="str">
        <f t="shared" si="32"/>
        <v xml:space="preserve"> </v>
      </c>
      <c r="AT138" s="21" t="str">
        <f t="shared" si="33"/>
        <v xml:space="preserve"> </v>
      </c>
    </row>
    <row r="139" spans="3:46">
      <c r="C139" s="22">
        <f t="shared" si="18"/>
        <v>128</v>
      </c>
      <c r="D139" s="23">
        <f>IF(AND(C139&gt;='Amort. Sched.-WORST'!$I$8, C139&lt;= ($I$7+$I$8)), PMT('Amort. Sched.-WORST'!$E$8/12, 'Amort. Sched.-WORST'!$I$7, 'Amort. Sched.-WORST'!$E$7), 0)</f>
        <v>-2026.0175758541329</v>
      </c>
      <c r="E139" s="5">
        <f>IF(AND(C139&gt;='Amort. Sched.-WORST'!$I$8, C139&lt;= ($I$7+$I$8)), (IPMT($E$8/12, (C139-$I$8), $I$7, $E$7)), 0)</f>
        <v>-1384.1888604920694</v>
      </c>
      <c r="F139" s="23">
        <f>IF(AND(C139&gt;='Amort. Sched.-WORST'!$I$8, C139&lt;= ($I$7+$I$8)), (PPMT($E$8/12, (C139-$I$8), $I$7, $E$7)), 0)</f>
        <v>-641.82871536206346</v>
      </c>
      <c r="G139" s="5">
        <f>IF(MortgageAmortWORST[[#This Row],[Month]]=I$8,E$7,0)</f>
        <v>0</v>
      </c>
      <c r="H139" s="13">
        <f>IF(AND(C139&gt;='Amort. Sched.-WORST'!$I$8, C139&lt;= ($I$7+$I$8)), H138+F139, 0)</f>
        <v>206986.50035844828</v>
      </c>
      <c r="I139" s="24">
        <f>IF(AND(C139&gt;='Amort. Sched.-WORST'!$I$8, C139&lt;= ($I$7+$I$8)), E139/D139, " ")</f>
        <v>0.68320673867230397</v>
      </c>
      <c r="J139" s="25">
        <f>IF(AND(C139&gt;='Amort. Sched.-WORST'!$I$8, C139&lt;= ($I$7+$I$8)), F139/D139, " ")</f>
        <v>0.31679326132769597</v>
      </c>
      <c r="L139" s="20">
        <f t="shared" si="17"/>
        <v>128</v>
      </c>
      <c r="M139" s="5">
        <f>IF(AND(L139&gt;='Amort. Sched.-WORST'!$R$8, L139&lt;= ($R$7+$R$8)), PMT('Amort. Sched.-WORST'!$N$8/12, 'Amort. Sched.-WORST'!$R$7, 'Amort. Sched.-WORST'!$N$7), 0)</f>
        <v>0</v>
      </c>
      <c r="N139" s="5">
        <f>IF(AND(L139&gt;='Amort. Sched.-WORST'!$R$8, L139&lt;= ($R$7+$R$8)), (IPMT($N$8/12, (L139-$R$8), $R$7, $N$7)), 0)</f>
        <v>0</v>
      </c>
      <c r="O139" s="5">
        <f>IF(AND(L139&gt;='Amort. Sched.-WORST'!$R$8, L139&lt;= ($R$7+$R$8)), (PPMT($N$8/12, (L139-$R$8), $R$7, $N$7)), 0)</f>
        <v>0</v>
      </c>
      <c r="P139" s="5">
        <f>IF(CreditAmort1WORST[[#This Row],[Month]]=R$8,N$7,0)</f>
        <v>0</v>
      </c>
      <c r="Q139" s="13">
        <f>IF(AND(L139&gt;='Amort. Sched.-WORST'!$R$8, L139&lt;= ($R$7+$R$8)), Q138+O139, 0)</f>
        <v>0</v>
      </c>
      <c r="R139" s="6" t="str">
        <f>IF(AND(L139&gt;='Amort. Sched.-WORST'!$R$8, L139&lt;= ($R$7+$R$8)), N139/M139, " ")</f>
        <v xml:space="preserve"> </v>
      </c>
      <c r="S139" s="21" t="str">
        <f>IF(AND(L139&gt;='Amort. Sched.-WORST'!$R$8, L139&lt;= ($R$7+$R$8)), O139/M139, " ")</f>
        <v xml:space="preserve"> </v>
      </c>
      <c r="U139" s="22">
        <f t="shared" si="19"/>
        <v>128</v>
      </c>
      <c r="V139" s="23">
        <f>IF(AND(U139&gt;='Amort. Sched.-WORST'!$AA$8, U139&lt;= ($AA$7+$AA$8)), PMT('Amort. Sched.-WORST'!$W$8/12, 'Amort. Sched.-WORST'!$AA$7, 'Amort. Sched.-WORST'!$W$7), 0)</f>
        <v>0</v>
      </c>
      <c r="W139" s="5">
        <f>IF(AND(U139&gt;='Amort. Sched.-WORST'!$AA$8, U139&lt;= ($AA$7+$AA$8)), (IPMT($W$8/12, (U139-$AA$8), $AA$7, $W$7)), 0)</f>
        <v>0</v>
      </c>
      <c r="X139" s="23">
        <f>IF(AND(U139&gt;='Amort. Sched.-WORST'!$AA$8, U139&lt;= ($AA$7+$AA$8)), (PPMT($W$8/12, (U139-$AA$8), $AA$7, $W$7)), 0)</f>
        <v>0</v>
      </c>
      <c r="Y139" s="5">
        <f>IF(CreditAmort2WORST[[#This Row],[Month]]=AA$8,W$7,0)</f>
        <v>0</v>
      </c>
      <c r="Z139" s="13">
        <f>IF(AND(U139&gt;='Amort. Sched.-WORST'!$AA$8, U139&lt;= ($AA$7+$AA$8)), Z138+X139, 0)</f>
        <v>0</v>
      </c>
      <c r="AA139" s="24" t="str">
        <f>IF(AND(U139&gt;='Amort. Sched.-WORST'!$AA$8, U139&lt;= ($AA$7+$AA$8)), W139/V139, " ")</f>
        <v xml:space="preserve"> </v>
      </c>
      <c r="AB139" s="25" t="str">
        <f>IF(AND(U139&gt;='Amort. Sched.-WORST'!$AA$8, U139&lt;= ($AA$7+$AA$8)), X139/V139, " ")</f>
        <v xml:space="preserve"> </v>
      </c>
      <c r="AD139" s="20">
        <f t="shared" si="20"/>
        <v>128</v>
      </c>
      <c r="AE139" s="5">
        <f t="shared" si="21"/>
        <v>0</v>
      </c>
      <c r="AF139" s="5">
        <f t="shared" si="22"/>
        <v>0</v>
      </c>
      <c r="AG139" s="5">
        <f t="shared" si="23"/>
        <v>0</v>
      </c>
      <c r="AH139" s="5">
        <f>IF(CreditAmort3WORST[[#This Row],[Month]]=AJ$8,AF$7,0)</f>
        <v>0</v>
      </c>
      <c r="AI139" s="13">
        <f t="shared" si="24"/>
        <v>0</v>
      </c>
      <c r="AJ139" s="6" t="str">
        <f t="shared" si="25"/>
        <v xml:space="preserve"> </v>
      </c>
      <c r="AK139" s="21" t="str">
        <f t="shared" si="26"/>
        <v xml:space="preserve"> </v>
      </c>
      <c r="AM139" s="20">
        <f t="shared" si="27"/>
        <v>128</v>
      </c>
      <c r="AN139" s="5">
        <f t="shared" si="28"/>
        <v>0</v>
      </c>
      <c r="AO139" s="5">
        <f t="shared" si="29"/>
        <v>0</v>
      </c>
      <c r="AP139" s="5">
        <f t="shared" si="30"/>
        <v>0</v>
      </c>
      <c r="AQ139" s="5">
        <f>IF(CreditAmort4WORST[[#This Row],[Month]]=AS$8,AO$7,0)</f>
        <v>0</v>
      </c>
      <c r="AR139" s="13">
        <f t="shared" si="31"/>
        <v>0</v>
      </c>
      <c r="AS139" s="6" t="str">
        <f t="shared" si="32"/>
        <v xml:space="preserve"> </v>
      </c>
      <c r="AT139" s="21" t="str">
        <f t="shared" si="33"/>
        <v xml:space="preserve"> </v>
      </c>
    </row>
    <row r="140" spans="3:46">
      <c r="C140" s="22">
        <f t="shared" si="18"/>
        <v>129</v>
      </c>
      <c r="D140" s="23">
        <f>IF(AND(C140&gt;='Amort. Sched.-WORST'!$I$8, C140&lt;= ($I$7+$I$8)), PMT('Amort. Sched.-WORST'!$E$8/12, 'Amort. Sched.-WORST'!$I$7, 'Amort. Sched.-WORST'!$E$7), 0)</f>
        <v>-2026.0175758541329</v>
      </c>
      <c r="E140" s="5">
        <f>IF(AND(C140&gt;='Amort. Sched.-WORST'!$I$8, C140&lt;= ($I$7+$I$8)), (IPMT($E$8/12, (C140-$I$8), $I$7, $E$7)), 0)</f>
        <v>-1379.9100023896556</v>
      </c>
      <c r="F140" s="23">
        <f>IF(AND(C140&gt;='Amort. Sched.-WORST'!$I$8, C140&lt;= ($I$7+$I$8)), (PPMT($E$8/12, (C140-$I$8), $I$7, $E$7)), 0)</f>
        <v>-646.10757346447724</v>
      </c>
      <c r="G140" s="5">
        <f>IF(MortgageAmortWORST[[#This Row],[Month]]=I$8,E$7,0)</f>
        <v>0</v>
      </c>
      <c r="H140" s="13">
        <f>IF(AND(C140&gt;='Amort. Sched.-WORST'!$I$8, C140&lt;= ($I$7+$I$8)), H139+F140, 0)</f>
        <v>206340.39278498379</v>
      </c>
      <c r="I140" s="24">
        <f>IF(AND(C140&gt;='Amort. Sched.-WORST'!$I$8, C140&lt;= ($I$7+$I$8)), E140/D140, " ")</f>
        <v>0.68109478359678599</v>
      </c>
      <c r="J140" s="25">
        <f>IF(AND(C140&gt;='Amort. Sched.-WORST'!$I$8, C140&lt;= ($I$7+$I$8)), F140/D140, " ")</f>
        <v>0.31890521640321395</v>
      </c>
      <c r="L140" s="20">
        <f t="shared" ref="L140:L203" si="34">L139+1</f>
        <v>129</v>
      </c>
      <c r="M140" s="5">
        <f>IF(AND(L140&gt;='Amort. Sched.-WORST'!$R$8, L140&lt;= ($R$7+$R$8)), PMT('Amort. Sched.-WORST'!$N$8/12, 'Amort. Sched.-WORST'!$R$7, 'Amort. Sched.-WORST'!$N$7), 0)</f>
        <v>0</v>
      </c>
      <c r="N140" s="5">
        <f>IF(AND(L140&gt;='Amort. Sched.-WORST'!$R$8, L140&lt;= ($R$7+$R$8)), (IPMT($N$8/12, (L140-$R$8), $R$7, $N$7)), 0)</f>
        <v>0</v>
      </c>
      <c r="O140" s="5">
        <f>IF(AND(L140&gt;='Amort. Sched.-WORST'!$R$8, L140&lt;= ($R$7+$R$8)), (PPMT($N$8/12, (L140-$R$8), $R$7, $N$7)), 0)</f>
        <v>0</v>
      </c>
      <c r="P140" s="5">
        <f>IF(CreditAmort1WORST[[#This Row],[Month]]=R$8,N$7,0)</f>
        <v>0</v>
      </c>
      <c r="Q140" s="13">
        <f>IF(AND(L140&gt;='Amort. Sched.-WORST'!$R$8, L140&lt;= ($R$7+$R$8)), Q139+O140, 0)</f>
        <v>0</v>
      </c>
      <c r="R140" s="6" t="str">
        <f>IF(AND(L140&gt;='Amort. Sched.-WORST'!$R$8, L140&lt;= ($R$7+$R$8)), N140/M140, " ")</f>
        <v xml:space="preserve"> </v>
      </c>
      <c r="S140" s="21" t="str">
        <f>IF(AND(L140&gt;='Amort. Sched.-WORST'!$R$8, L140&lt;= ($R$7+$R$8)), O140/M140, " ")</f>
        <v xml:space="preserve"> </v>
      </c>
      <c r="U140" s="22">
        <f t="shared" si="19"/>
        <v>129</v>
      </c>
      <c r="V140" s="23">
        <f>IF(AND(U140&gt;='Amort. Sched.-WORST'!$AA$8, U140&lt;= ($AA$7+$AA$8)), PMT('Amort. Sched.-WORST'!$W$8/12, 'Amort. Sched.-WORST'!$AA$7, 'Amort. Sched.-WORST'!$W$7), 0)</f>
        <v>0</v>
      </c>
      <c r="W140" s="5">
        <f>IF(AND(U140&gt;='Amort. Sched.-WORST'!$AA$8, U140&lt;= ($AA$7+$AA$8)), (IPMT($W$8/12, (U140-$AA$8), $AA$7, $W$7)), 0)</f>
        <v>0</v>
      </c>
      <c r="X140" s="23">
        <f>IF(AND(U140&gt;='Amort. Sched.-WORST'!$AA$8, U140&lt;= ($AA$7+$AA$8)), (PPMT($W$8/12, (U140-$AA$8), $AA$7, $W$7)), 0)</f>
        <v>0</v>
      </c>
      <c r="Y140" s="5">
        <f>IF(CreditAmort2WORST[[#This Row],[Month]]=AA$8,W$7,0)</f>
        <v>0</v>
      </c>
      <c r="Z140" s="13">
        <f>IF(AND(U140&gt;='Amort. Sched.-WORST'!$AA$8, U140&lt;= ($AA$7+$AA$8)), Z139+X140, 0)</f>
        <v>0</v>
      </c>
      <c r="AA140" s="24" t="str">
        <f>IF(AND(U140&gt;='Amort. Sched.-WORST'!$AA$8, U140&lt;= ($AA$7+$AA$8)), W140/V140, " ")</f>
        <v xml:space="preserve"> </v>
      </c>
      <c r="AB140" s="25" t="str">
        <f>IF(AND(U140&gt;='Amort. Sched.-WORST'!$AA$8, U140&lt;= ($AA$7+$AA$8)), X140/V140, " ")</f>
        <v xml:space="preserve"> </v>
      </c>
      <c r="AD140" s="20">
        <f t="shared" si="20"/>
        <v>129</v>
      </c>
      <c r="AE140" s="5">
        <f t="shared" si="21"/>
        <v>0</v>
      </c>
      <c r="AF140" s="5">
        <f t="shared" si="22"/>
        <v>0</v>
      </c>
      <c r="AG140" s="5">
        <f t="shared" si="23"/>
        <v>0</v>
      </c>
      <c r="AH140" s="5">
        <f>IF(CreditAmort3WORST[[#This Row],[Month]]=AJ$8,AF$7,0)</f>
        <v>0</v>
      </c>
      <c r="AI140" s="13">
        <f t="shared" si="24"/>
        <v>0</v>
      </c>
      <c r="AJ140" s="6" t="str">
        <f t="shared" si="25"/>
        <v xml:space="preserve"> </v>
      </c>
      <c r="AK140" s="21" t="str">
        <f t="shared" si="26"/>
        <v xml:space="preserve"> </v>
      </c>
      <c r="AM140" s="20">
        <f t="shared" si="27"/>
        <v>129</v>
      </c>
      <c r="AN140" s="5">
        <f t="shared" si="28"/>
        <v>0</v>
      </c>
      <c r="AO140" s="5">
        <f t="shared" si="29"/>
        <v>0</v>
      </c>
      <c r="AP140" s="5">
        <f t="shared" si="30"/>
        <v>0</v>
      </c>
      <c r="AQ140" s="5">
        <f>IF(CreditAmort4WORST[[#This Row],[Month]]=AS$8,AO$7,0)</f>
        <v>0</v>
      </c>
      <c r="AR140" s="13">
        <f t="shared" si="31"/>
        <v>0</v>
      </c>
      <c r="AS140" s="6" t="str">
        <f t="shared" si="32"/>
        <v xml:space="preserve"> </v>
      </c>
      <c r="AT140" s="21" t="str">
        <f t="shared" si="33"/>
        <v xml:space="preserve"> </v>
      </c>
    </row>
    <row r="141" spans="3:46">
      <c r="C141" s="22">
        <f t="shared" ref="C141:C204" si="35">C140+1</f>
        <v>130</v>
      </c>
      <c r="D141" s="23">
        <f>IF(AND(C141&gt;='Amort. Sched.-WORST'!$I$8, C141&lt;= ($I$7+$I$8)), PMT('Amort. Sched.-WORST'!$E$8/12, 'Amort. Sched.-WORST'!$I$7, 'Amort. Sched.-WORST'!$E$7), 0)</f>
        <v>-2026.0175758541329</v>
      </c>
      <c r="E141" s="5">
        <f>IF(AND(C141&gt;='Amort. Sched.-WORST'!$I$8, C141&lt;= ($I$7+$I$8)), (IPMT($E$8/12, (C141-$I$8), $I$7, $E$7)), 0)</f>
        <v>-1375.6026185665594</v>
      </c>
      <c r="F141" s="23">
        <f>IF(AND(C141&gt;='Amort. Sched.-WORST'!$I$8, C141&lt;= ($I$7+$I$8)), (PPMT($E$8/12, (C141-$I$8), $I$7, $E$7)), 0)</f>
        <v>-650.41495728757377</v>
      </c>
      <c r="G141" s="5">
        <f>IF(MortgageAmortWORST[[#This Row],[Month]]=I$8,E$7,0)</f>
        <v>0</v>
      </c>
      <c r="H141" s="13">
        <f>IF(AND(C141&gt;='Amort. Sched.-WORST'!$I$8, C141&lt;= ($I$7+$I$8)), H140+F141, 0)</f>
        <v>205689.97782769622</v>
      </c>
      <c r="I141" s="24">
        <f>IF(AND(C141&gt;='Amort. Sched.-WORST'!$I$8, C141&lt;= ($I$7+$I$8)), E141/D141, " ")</f>
        <v>0.67896874882076474</v>
      </c>
      <c r="J141" s="25">
        <f>IF(AND(C141&gt;='Amort. Sched.-WORST'!$I$8, C141&lt;= ($I$7+$I$8)), F141/D141, " ")</f>
        <v>0.32103125117923542</v>
      </c>
      <c r="L141" s="20">
        <f t="shared" si="34"/>
        <v>130</v>
      </c>
      <c r="M141" s="5">
        <f>IF(AND(L141&gt;='Amort. Sched.-WORST'!$R$8, L141&lt;= ($R$7+$R$8)), PMT('Amort. Sched.-WORST'!$N$8/12, 'Amort. Sched.-WORST'!$R$7, 'Amort. Sched.-WORST'!$N$7), 0)</f>
        <v>0</v>
      </c>
      <c r="N141" s="5">
        <f>IF(AND(L141&gt;='Amort. Sched.-WORST'!$R$8, L141&lt;= ($R$7+$R$8)), (IPMT($N$8/12, (L141-$R$8), $R$7, $N$7)), 0)</f>
        <v>0</v>
      </c>
      <c r="O141" s="5">
        <f>IF(AND(L141&gt;='Amort. Sched.-WORST'!$R$8, L141&lt;= ($R$7+$R$8)), (PPMT($N$8/12, (L141-$R$8), $R$7, $N$7)), 0)</f>
        <v>0</v>
      </c>
      <c r="P141" s="5">
        <f>IF(CreditAmort1WORST[[#This Row],[Month]]=R$8,N$7,0)</f>
        <v>0</v>
      </c>
      <c r="Q141" s="13">
        <f>IF(AND(L141&gt;='Amort. Sched.-WORST'!$R$8, L141&lt;= ($R$7+$R$8)), Q140+O141, 0)</f>
        <v>0</v>
      </c>
      <c r="R141" s="6" t="str">
        <f>IF(AND(L141&gt;='Amort. Sched.-WORST'!$R$8, L141&lt;= ($R$7+$R$8)), N141/M141, " ")</f>
        <v xml:space="preserve"> </v>
      </c>
      <c r="S141" s="21" t="str">
        <f>IF(AND(L141&gt;='Amort. Sched.-WORST'!$R$8, L141&lt;= ($R$7+$R$8)), O141/M141, " ")</f>
        <v xml:space="preserve"> </v>
      </c>
      <c r="U141" s="22">
        <f t="shared" ref="U141:U204" si="36">U140+1</f>
        <v>130</v>
      </c>
      <c r="V141" s="23">
        <f>IF(AND(U141&gt;='Amort. Sched.-WORST'!$AA$8, U141&lt;= ($AA$7+$AA$8)), PMT('Amort. Sched.-WORST'!$W$8/12, 'Amort. Sched.-WORST'!$AA$7, 'Amort. Sched.-WORST'!$W$7), 0)</f>
        <v>0</v>
      </c>
      <c r="W141" s="5">
        <f>IF(AND(U141&gt;='Amort. Sched.-WORST'!$AA$8, U141&lt;= ($AA$7+$AA$8)), (IPMT($W$8/12, (U141-$AA$8), $AA$7, $W$7)), 0)</f>
        <v>0</v>
      </c>
      <c r="X141" s="23">
        <f>IF(AND(U141&gt;='Amort. Sched.-WORST'!$AA$8, U141&lt;= ($AA$7+$AA$8)), (PPMT($W$8/12, (U141-$AA$8), $AA$7, $W$7)), 0)</f>
        <v>0</v>
      </c>
      <c r="Y141" s="5">
        <f>IF(CreditAmort2WORST[[#This Row],[Month]]=AA$8,W$7,0)</f>
        <v>0</v>
      </c>
      <c r="Z141" s="13">
        <f>IF(AND(U141&gt;='Amort. Sched.-WORST'!$AA$8, U141&lt;= ($AA$7+$AA$8)), Z140+X141, 0)</f>
        <v>0</v>
      </c>
      <c r="AA141" s="24" t="str">
        <f>IF(AND(U141&gt;='Amort. Sched.-WORST'!$AA$8, U141&lt;= ($AA$7+$AA$8)), W141/V141, " ")</f>
        <v xml:space="preserve"> </v>
      </c>
      <c r="AB141" s="25" t="str">
        <f>IF(AND(U141&gt;='Amort. Sched.-WORST'!$AA$8, U141&lt;= ($AA$7+$AA$8)), X141/V141, " ")</f>
        <v xml:space="preserve"> </v>
      </c>
      <c r="AD141" s="20">
        <f t="shared" ref="AD141:AD204" si="37">AD140+1</f>
        <v>130</v>
      </c>
      <c r="AE141" s="5">
        <f t="shared" ref="AE141:AE204" si="38">IF(AND(AD141&gt;=$AJ$8, AD141&lt;= ($AJ$7+$AJ$8)), PMT($AF$8/12, $AJ$7, $AF$7), 0)</f>
        <v>0</v>
      </c>
      <c r="AF141" s="5">
        <f t="shared" ref="AF141:AF204" si="39">IF(AND(AD141&gt;=$AJ$8, AD141&lt;= ($AJ$7+$AJ$8)), (IPMT($AF$8/12, (AD141-$AJ$8), $AJ$7, $AF$7)), 0)</f>
        <v>0</v>
      </c>
      <c r="AG141" s="5">
        <f t="shared" ref="AG141:AG204" si="40">IF(AND(AD141&gt;=$AJ$8, AD141&lt;= ($AJ$7+$AJ$8)), (PPMT($AF$8/12, (AD141-$AJ$8), $AJ$7, $AF$7)), 0)</f>
        <v>0</v>
      </c>
      <c r="AH141" s="5">
        <f>IF(CreditAmort3WORST[[#This Row],[Month]]=AJ$8,AF$7,0)</f>
        <v>0</v>
      </c>
      <c r="AI141" s="13">
        <f t="shared" ref="AI141:AI204" si="41">IF(AND(AD141&gt;=$AJ$8, AD141&lt;= ($AJ$7+$AA$8)), AI140+AG141, 0)</f>
        <v>0</v>
      </c>
      <c r="AJ141" s="6" t="str">
        <f t="shared" ref="AJ141:AJ204" si="42">IF(AND(AD141&gt;=$AJ$8, AD141&lt;= ($AJ$7+$AJ$8)), AF141/AE141, " ")</f>
        <v xml:space="preserve"> </v>
      </c>
      <c r="AK141" s="21" t="str">
        <f t="shared" ref="AK141:AK204" si="43">IF(AND(AD141&gt;=$AJ$8, AD141&lt;= ($AJ$7+$AJ$8)), AG141/AE141, " ")</f>
        <v xml:space="preserve"> </v>
      </c>
      <c r="AM141" s="20">
        <f t="shared" ref="AM141:AM204" si="44">AM140+1</f>
        <v>130</v>
      </c>
      <c r="AN141" s="5">
        <f t="shared" ref="AN141:AN204" si="45">IF(AND(AM141&gt;=$AS$8, AM141&lt;= ($AS$7+$AS$8)), PMT($AO$8/12, $AS$7, $AO$7), 0)</f>
        <v>0</v>
      </c>
      <c r="AO141" s="5">
        <f t="shared" ref="AO141:AO204" si="46">IF(AND(AM141&gt;=$AS$8, AM141&lt;= ($AS$7+$AS$8)), (IPMT($AO$8/12, (AM141-$AS$8), $AS$7, $AO$7)), 0)</f>
        <v>0</v>
      </c>
      <c r="AP141" s="5">
        <f t="shared" ref="AP141:AP204" si="47">IF(AND(AM141&gt;=$AS$8, AM141&lt;= ($AS$7+$AS$8)), (PPMT($AO$8/12, (AM141-$AS$8), $AS$7, $AO$7)), 0)</f>
        <v>0</v>
      </c>
      <c r="AQ141" s="5">
        <f>IF(CreditAmort4WORST[[#This Row],[Month]]=AS$8,AO$7,0)</f>
        <v>0</v>
      </c>
      <c r="AR141" s="13">
        <f t="shared" ref="AR141:AR204" si="48">IF(AND(AM141&gt;=$AS$8, AM141&lt;= ($AS$7+$AS$8)), AR140+AP141, 0)</f>
        <v>0</v>
      </c>
      <c r="AS141" s="6" t="str">
        <f t="shared" ref="AS141:AS204" si="49">IF(AND(AM141&gt;=$AS$8, AM141&lt;= ($AS$7+$AS$8)), AO141/AN141, " ")</f>
        <v xml:space="preserve"> </v>
      </c>
      <c r="AT141" s="21" t="str">
        <f t="shared" ref="AT141:AT204" si="50">IF(AND(AM141&gt;=$AS$8, AM141&lt;= ($AS$7+$AS$8)), AP141/AN141, " ")</f>
        <v xml:space="preserve"> </v>
      </c>
    </row>
    <row r="142" spans="3:46">
      <c r="C142" s="22">
        <f t="shared" si="35"/>
        <v>131</v>
      </c>
      <c r="D142" s="23">
        <f>IF(AND(C142&gt;='Amort. Sched.-WORST'!$I$8, C142&lt;= ($I$7+$I$8)), PMT('Amort. Sched.-WORST'!$E$8/12, 'Amort. Sched.-WORST'!$I$7, 'Amort. Sched.-WORST'!$E$7), 0)</f>
        <v>-2026.0175758541329</v>
      </c>
      <c r="E142" s="5">
        <f>IF(AND(C142&gt;='Amort. Sched.-WORST'!$I$8, C142&lt;= ($I$7+$I$8)), (IPMT($E$8/12, (C142-$I$8), $I$7, $E$7)), 0)</f>
        <v>-1371.2665188513088</v>
      </c>
      <c r="F142" s="23">
        <f>IF(AND(C142&gt;='Amort. Sched.-WORST'!$I$8, C142&lt;= ($I$7+$I$8)), (PPMT($E$8/12, (C142-$I$8), $I$7, $E$7)), 0)</f>
        <v>-654.75105700282415</v>
      </c>
      <c r="G142" s="5">
        <f>IF(MortgageAmortWORST[[#This Row],[Month]]=I$8,E$7,0)</f>
        <v>0</v>
      </c>
      <c r="H142" s="13">
        <f>IF(AND(C142&gt;='Amort. Sched.-WORST'!$I$8, C142&lt;= ($I$7+$I$8)), H141+F142, 0)</f>
        <v>205035.22677069341</v>
      </c>
      <c r="I142" s="24">
        <f>IF(AND(C142&gt;='Amort. Sched.-WORST'!$I$8, C142&lt;= ($I$7+$I$8)), E142/D142, " ")</f>
        <v>0.67682854047956975</v>
      </c>
      <c r="J142" s="25">
        <f>IF(AND(C142&gt;='Amort. Sched.-WORST'!$I$8, C142&lt;= ($I$7+$I$8)), F142/D142, " ")</f>
        <v>0.32317145952043025</v>
      </c>
      <c r="L142" s="20">
        <f t="shared" si="34"/>
        <v>131</v>
      </c>
      <c r="M142" s="5">
        <f>IF(AND(L142&gt;='Amort. Sched.-WORST'!$R$8, L142&lt;= ($R$7+$R$8)), PMT('Amort. Sched.-WORST'!$N$8/12, 'Amort. Sched.-WORST'!$R$7, 'Amort. Sched.-WORST'!$N$7), 0)</f>
        <v>0</v>
      </c>
      <c r="N142" s="5">
        <f>IF(AND(L142&gt;='Amort. Sched.-WORST'!$R$8, L142&lt;= ($R$7+$R$8)), (IPMT($N$8/12, (L142-$R$8), $R$7, $N$7)), 0)</f>
        <v>0</v>
      </c>
      <c r="O142" s="5">
        <f>IF(AND(L142&gt;='Amort. Sched.-WORST'!$R$8, L142&lt;= ($R$7+$R$8)), (PPMT($N$8/12, (L142-$R$8), $R$7, $N$7)), 0)</f>
        <v>0</v>
      </c>
      <c r="P142" s="5">
        <f>IF(CreditAmort1WORST[[#This Row],[Month]]=R$8,N$7,0)</f>
        <v>0</v>
      </c>
      <c r="Q142" s="13">
        <f>IF(AND(L142&gt;='Amort. Sched.-WORST'!$R$8, L142&lt;= ($R$7+$R$8)), Q141+O142, 0)</f>
        <v>0</v>
      </c>
      <c r="R142" s="6" t="str">
        <f>IF(AND(L142&gt;='Amort. Sched.-WORST'!$R$8, L142&lt;= ($R$7+$R$8)), N142/M142, " ")</f>
        <v xml:space="preserve"> </v>
      </c>
      <c r="S142" s="21" t="str">
        <f>IF(AND(L142&gt;='Amort. Sched.-WORST'!$R$8, L142&lt;= ($R$7+$R$8)), O142/M142, " ")</f>
        <v xml:space="preserve"> </v>
      </c>
      <c r="U142" s="22">
        <f t="shared" si="36"/>
        <v>131</v>
      </c>
      <c r="V142" s="23">
        <f>IF(AND(U142&gt;='Amort. Sched.-WORST'!$AA$8, U142&lt;= ($AA$7+$AA$8)), PMT('Amort. Sched.-WORST'!$W$8/12, 'Amort. Sched.-WORST'!$AA$7, 'Amort. Sched.-WORST'!$W$7), 0)</f>
        <v>0</v>
      </c>
      <c r="W142" s="5">
        <f>IF(AND(U142&gt;='Amort. Sched.-WORST'!$AA$8, U142&lt;= ($AA$7+$AA$8)), (IPMT($W$8/12, (U142-$AA$8), $AA$7, $W$7)), 0)</f>
        <v>0</v>
      </c>
      <c r="X142" s="23">
        <f>IF(AND(U142&gt;='Amort. Sched.-WORST'!$AA$8, U142&lt;= ($AA$7+$AA$8)), (PPMT($W$8/12, (U142-$AA$8), $AA$7, $W$7)), 0)</f>
        <v>0</v>
      </c>
      <c r="Y142" s="5">
        <f>IF(CreditAmort2WORST[[#This Row],[Month]]=AA$8,W$7,0)</f>
        <v>0</v>
      </c>
      <c r="Z142" s="13">
        <f>IF(AND(U142&gt;='Amort. Sched.-WORST'!$AA$8, U142&lt;= ($AA$7+$AA$8)), Z141+X142, 0)</f>
        <v>0</v>
      </c>
      <c r="AA142" s="24" t="str">
        <f>IF(AND(U142&gt;='Amort. Sched.-WORST'!$AA$8, U142&lt;= ($AA$7+$AA$8)), W142/V142, " ")</f>
        <v xml:space="preserve"> </v>
      </c>
      <c r="AB142" s="25" t="str">
        <f>IF(AND(U142&gt;='Amort. Sched.-WORST'!$AA$8, U142&lt;= ($AA$7+$AA$8)), X142/V142, " ")</f>
        <v xml:space="preserve"> </v>
      </c>
      <c r="AD142" s="20">
        <f t="shared" si="37"/>
        <v>131</v>
      </c>
      <c r="AE142" s="5">
        <f t="shared" si="38"/>
        <v>0</v>
      </c>
      <c r="AF142" s="5">
        <f t="shared" si="39"/>
        <v>0</v>
      </c>
      <c r="AG142" s="5">
        <f t="shared" si="40"/>
        <v>0</v>
      </c>
      <c r="AH142" s="5">
        <f>IF(CreditAmort3WORST[[#This Row],[Month]]=AJ$8,AF$7,0)</f>
        <v>0</v>
      </c>
      <c r="AI142" s="13">
        <f t="shared" si="41"/>
        <v>0</v>
      </c>
      <c r="AJ142" s="6" t="str">
        <f t="shared" si="42"/>
        <v xml:space="preserve"> </v>
      </c>
      <c r="AK142" s="21" t="str">
        <f t="shared" si="43"/>
        <v xml:space="preserve"> </v>
      </c>
      <c r="AM142" s="20">
        <f t="shared" si="44"/>
        <v>131</v>
      </c>
      <c r="AN142" s="5">
        <f t="shared" si="45"/>
        <v>0</v>
      </c>
      <c r="AO142" s="5">
        <f t="shared" si="46"/>
        <v>0</v>
      </c>
      <c r="AP142" s="5">
        <f t="shared" si="47"/>
        <v>0</v>
      </c>
      <c r="AQ142" s="5">
        <f>IF(CreditAmort4WORST[[#This Row],[Month]]=AS$8,AO$7,0)</f>
        <v>0</v>
      </c>
      <c r="AR142" s="13">
        <f t="shared" si="48"/>
        <v>0</v>
      </c>
      <c r="AS142" s="6" t="str">
        <f t="shared" si="49"/>
        <v xml:space="preserve"> </v>
      </c>
      <c r="AT142" s="21" t="str">
        <f t="shared" si="50"/>
        <v xml:space="preserve"> </v>
      </c>
    </row>
    <row r="143" spans="3:46">
      <c r="C143" s="22">
        <f t="shared" si="35"/>
        <v>132</v>
      </c>
      <c r="D143" s="23">
        <f>IF(AND(C143&gt;='Amort. Sched.-WORST'!$I$8, C143&lt;= ($I$7+$I$8)), PMT('Amort. Sched.-WORST'!$E$8/12, 'Amort. Sched.-WORST'!$I$7, 'Amort. Sched.-WORST'!$E$7), 0)</f>
        <v>-2026.0175758541329</v>
      </c>
      <c r="E143" s="5">
        <f>IF(AND(C143&gt;='Amort. Sched.-WORST'!$I$8, C143&lt;= ($I$7+$I$8)), (IPMT($E$8/12, (C143-$I$8), $I$7, $E$7)), 0)</f>
        <v>-1366.9015118046234</v>
      </c>
      <c r="F143" s="23">
        <f>IF(AND(C143&gt;='Amort. Sched.-WORST'!$I$8, C143&lt;= ($I$7+$I$8)), (PPMT($E$8/12, (C143-$I$8), $I$7, $E$7)), 0)</f>
        <v>-659.11606404950987</v>
      </c>
      <c r="G143" s="5">
        <f>IF(MortgageAmortWORST[[#This Row],[Month]]=I$8,E$7,0)</f>
        <v>0</v>
      </c>
      <c r="H143" s="13">
        <f>IF(AND(C143&gt;='Amort. Sched.-WORST'!$I$8, C143&lt;= ($I$7+$I$8)), H142+F143, 0)</f>
        <v>204376.1107066439</v>
      </c>
      <c r="I143" s="24">
        <f>IF(AND(C143&gt;='Amort. Sched.-WORST'!$I$8, C143&lt;= ($I$7+$I$8)), E143/D143, " ")</f>
        <v>0.67467406408276698</v>
      </c>
      <c r="J143" s="25">
        <f>IF(AND(C143&gt;='Amort. Sched.-WORST'!$I$8, C143&lt;= ($I$7+$I$8)), F143/D143, " ")</f>
        <v>0.32532593591723324</v>
      </c>
      <c r="L143" s="20">
        <f t="shared" si="34"/>
        <v>132</v>
      </c>
      <c r="M143" s="5">
        <f>IF(AND(L143&gt;='Amort. Sched.-WORST'!$R$8, L143&lt;= ($R$7+$R$8)), PMT('Amort. Sched.-WORST'!$N$8/12, 'Amort. Sched.-WORST'!$R$7, 'Amort. Sched.-WORST'!$N$7), 0)</f>
        <v>0</v>
      </c>
      <c r="N143" s="5">
        <f>IF(AND(L143&gt;='Amort. Sched.-WORST'!$R$8, L143&lt;= ($R$7+$R$8)), (IPMT($N$8/12, (L143-$R$8), $R$7, $N$7)), 0)</f>
        <v>0</v>
      </c>
      <c r="O143" s="5">
        <f>IF(AND(L143&gt;='Amort. Sched.-WORST'!$R$8, L143&lt;= ($R$7+$R$8)), (PPMT($N$8/12, (L143-$R$8), $R$7, $N$7)), 0)</f>
        <v>0</v>
      </c>
      <c r="P143" s="5">
        <f>IF(CreditAmort1WORST[[#This Row],[Month]]=R$8,N$7,0)</f>
        <v>0</v>
      </c>
      <c r="Q143" s="13">
        <f>IF(AND(L143&gt;='Amort. Sched.-WORST'!$R$8, L143&lt;= ($R$7+$R$8)), Q142+O143, 0)</f>
        <v>0</v>
      </c>
      <c r="R143" s="6" t="str">
        <f>IF(AND(L143&gt;='Amort. Sched.-WORST'!$R$8, L143&lt;= ($R$7+$R$8)), N143/M143, " ")</f>
        <v xml:space="preserve"> </v>
      </c>
      <c r="S143" s="21" t="str">
        <f>IF(AND(L143&gt;='Amort. Sched.-WORST'!$R$8, L143&lt;= ($R$7+$R$8)), O143/M143, " ")</f>
        <v xml:space="preserve"> </v>
      </c>
      <c r="U143" s="22">
        <f t="shared" si="36"/>
        <v>132</v>
      </c>
      <c r="V143" s="23">
        <f>IF(AND(U143&gt;='Amort. Sched.-WORST'!$AA$8, U143&lt;= ($AA$7+$AA$8)), PMT('Amort. Sched.-WORST'!$W$8/12, 'Amort. Sched.-WORST'!$AA$7, 'Amort. Sched.-WORST'!$W$7), 0)</f>
        <v>0</v>
      </c>
      <c r="W143" s="5">
        <f>IF(AND(U143&gt;='Amort. Sched.-WORST'!$AA$8, U143&lt;= ($AA$7+$AA$8)), (IPMT($W$8/12, (U143-$AA$8), $AA$7, $W$7)), 0)</f>
        <v>0</v>
      </c>
      <c r="X143" s="23">
        <f>IF(AND(U143&gt;='Amort. Sched.-WORST'!$AA$8, U143&lt;= ($AA$7+$AA$8)), (PPMT($W$8/12, (U143-$AA$8), $AA$7, $W$7)), 0)</f>
        <v>0</v>
      </c>
      <c r="Y143" s="5">
        <f>IF(CreditAmort2WORST[[#This Row],[Month]]=AA$8,W$7,0)</f>
        <v>0</v>
      </c>
      <c r="Z143" s="13">
        <f>IF(AND(U143&gt;='Amort. Sched.-WORST'!$AA$8, U143&lt;= ($AA$7+$AA$8)), Z142+X143, 0)</f>
        <v>0</v>
      </c>
      <c r="AA143" s="24" t="str">
        <f>IF(AND(U143&gt;='Amort. Sched.-WORST'!$AA$8, U143&lt;= ($AA$7+$AA$8)), W143/V143, " ")</f>
        <v xml:space="preserve"> </v>
      </c>
      <c r="AB143" s="25" t="str">
        <f>IF(AND(U143&gt;='Amort. Sched.-WORST'!$AA$8, U143&lt;= ($AA$7+$AA$8)), X143/V143, " ")</f>
        <v xml:space="preserve"> </v>
      </c>
      <c r="AD143" s="20">
        <f t="shared" si="37"/>
        <v>132</v>
      </c>
      <c r="AE143" s="5">
        <f t="shared" si="38"/>
        <v>0</v>
      </c>
      <c r="AF143" s="5">
        <f t="shared" si="39"/>
        <v>0</v>
      </c>
      <c r="AG143" s="5">
        <f t="shared" si="40"/>
        <v>0</v>
      </c>
      <c r="AH143" s="5">
        <f>IF(CreditAmort3WORST[[#This Row],[Month]]=AJ$8,AF$7,0)</f>
        <v>0</v>
      </c>
      <c r="AI143" s="13">
        <f t="shared" si="41"/>
        <v>0</v>
      </c>
      <c r="AJ143" s="6" t="str">
        <f t="shared" si="42"/>
        <v xml:space="preserve"> </v>
      </c>
      <c r="AK143" s="21" t="str">
        <f t="shared" si="43"/>
        <v xml:space="preserve"> </v>
      </c>
      <c r="AM143" s="20">
        <f t="shared" si="44"/>
        <v>132</v>
      </c>
      <c r="AN143" s="5">
        <f t="shared" si="45"/>
        <v>0</v>
      </c>
      <c r="AO143" s="5">
        <f t="shared" si="46"/>
        <v>0</v>
      </c>
      <c r="AP143" s="5">
        <f t="shared" si="47"/>
        <v>0</v>
      </c>
      <c r="AQ143" s="5">
        <f>IF(CreditAmort4WORST[[#This Row],[Month]]=AS$8,AO$7,0)</f>
        <v>0</v>
      </c>
      <c r="AR143" s="13">
        <f t="shared" si="48"/>
        <v>0</v>
      </c>
      <c r="AS143" s="6" t="str">
        <f t="shared" si="49"/>
        <v xml:space="preserve"> </v>
      </c>
      <c r="AT143" s="21" t="str">
        <f t="shared" si="50"/>
        <v xml:space="preserve"> </v>
      </c>
    </row>
    <row r="144" spans="3:46">
      <c r="C144" s="22">
        <f t="shared" si="35"/>
        <v>133</v>
      </c>
      <c r="D144" s="23">
        <f>IF(AND(C144&gt;='Amort. Sched.-WORST'!$I$8, C144&lt;= ($I$7+$I$8)), PMT('Amort. Sched.-WORST'!$E$8/12, 'Amort. Sched.-WORST'!$I$7, 'Amort. Sched.-WORST'!$E$7), 0)</f>
        <v>-2026.0175758541329</v>
      </c>
      <c r="E144" s="5">
        <f>IF(AND(C144&gt;='Amort. Sched.-WORST'!$I$8, C144&lt;= ($I$7+$I$8)), (IPMT($E$8/12, (C144-$I$8), $I$7, $E$7)), 0)</f>
        <v>-1362.5074047109599</v>
      </c>
      <c r="F144" s="23">
        <f>IF(AND(C144&gt;='Amort. Sched.-WORST'!$I$8, C144&lt;= ($I$7+$I$8)), (PPMT($E$8/12, (C144-$I$8), $I$7, $E$7)), 0)</f>
        <v>-663.51017114317312</v>
      </c>
      <c r="G144" s="5">
        <f>IF(MortgageAmortWORST[[#This Row],[Month]]=I$8,E$7,0)</f>
        <v>0</v>
      </c>
      <c r="H144" s="13">
        <f>IF(AND(C144&gt;='Amort. Sched.-WORST'!$I$8, C144&lt;= ($I$7+$I$8)), H143+F144, 0)</f>
        <v>203712.60053550074</v>
      </c>
      <c r="I144" s="24">
        <f>IF(AND(C144&gt;='Amort. Sched.-WORST'!$I$8, C144&lt;= ($I$7+$I$8)), E144/D144, " ")</f>
        <v>0.67250522450998529</v>
      </c>
      <c r="J144" s="25">
        <f>IF(AND(C144&gt;='Amort. Sched.-WORST'!$I$8, C144&lt;= ($I$7+$I$8)), F144/D144, " ")</f>
        <v>0.32749477549001471</v>
      </c>
      <c r="L144" s="20">
        <f t="shared" si="34"/>
        <v>133</v>
      </c>
      <c r="M144" s="5">
        <f>IF(AND(L144&gt;='Amort. Sched.-WORST'!$R$8, L144&lt;= ($R$7+$R$8)), PMT('Amort. Sched.-WORST'!$N$8/12, 'Amort. Sched.-WORST'!$R$7, 'Amort. Sched.-WORST'!$N$7), 0)</f>
        <v>0</v>
      </c>
      <c r="N144" s="5">
        <f>IF(AND(L144&gt;='Amort. Sched.-WORST'!$R$8, L144&lt;= ($R$7+$R$8)), (IPMT($N$8/12, (L144-$R$8), $R$7, $N$7)), 0)</f>
        <v>0</v>
      </c>
      <c r="O144" s="5">
        <f>IF(AND(L144&gt;='Amort. Sched.-WORST'!$R$8, L144&lt;= ($R$7+$R$8)), (PPMT($N$8/12, (L144-$R$8), $R$7, $N$7)), 0)</f>
        <v>0</v>
      </c>
      <c r="P144" s="5">
        <f>IF(CreditAmort1WORST[[#This Row],[Month]]=R$8,N$7,0)</f>
        <v>0</v>
      </c>
      <c r="Q144" s="13">
        <f>IF(AND(L144&gt;='Amort. Sched.-WORST'!$R$8, L144&lt;= ($R$7+$R$8)), Q143+O144, 0)</f>
        <v>0</v>
      </c>
      <c r="R144" s="6" t="str">
        <f>IF(AND(L144&gt;='Amort. Sched.-WORST'!$R$8, L144&lt;= ($R$7+$R$8)), N144/M144, " ")</f>
        <v xml:space="preserve"> </v>
      </c>
      <c r="S144" s="21" t="str">
        <f>IF(AND(L144&gt;='Amort. Sched.-WORST'!$R$8, L144&lt;= ($R$7+$R$8)), O144/M144, " ")</f>
        <v xml:space="preserve"> </v>
      </c>
      <c r="U144" s="22">
        <f t="shared" si="36"/>
        <v>133</v>
      </c>
      <c r="V144" s="23">
        <f>IF(AND(U144&gt;='Amort. Sched.-WORST'!$AA$8, U144&lt;= ($AA$7+$AA$8)), PMT('Amort. Sched.-WORST'!$W$8/12, 'Amort. Sched.-WORST'!$AA$7, 'Amort. Sched.-WORST'!$W$7), 0)</f>
        <v>0</v>
      </c>
      <c r="W144" s="5">
        <f>IF(AND(U144&gt;='Amort. Sched.-WORST'!$AA$8, U144&lt;= ($AA$7+$AA$8)), (IPMT($W$8/12, (U144-$AA$8), $AA$7, $W$7)), 0)</f>
        <v>0</v>
      </c>
      <c r="X144" s="23">
        <f>IF(AND(U144&gt;='Amort. Sched.-WORST'!$AA$8, U144&lt;= ($AA$7+$AA$8)), (PPMT($W$8/12, (U144-$AA$8), $AA$7, $W$7)), 0)</f>
        <v>0</v>
      </c>
      <c r="Y144" s="5">
        <f>IF(CreditAmort2WORST[[#This Row],[Month]]=AA$8,W$7,0)</f>
        <v>0</v>
      </c>
      <c r="Z144" s="13">
        <f>IF(AND(U144&gt;='Amort. Sched.-WORST'!$AA$8, U144&lt;= ($AA$7+$AA$8)), Z143+X144, 0)</f>
        <v>0</v>
      </c>
      <c r="AA144" s="24" t="str">
        <f>IF(AND(U144&gt;='Amort. Sched.-WORST'!$AA$8, U144&lt;= ($AA$7+$AA$8)), W144/V144, " ")</f>
        <v xml:space="preserve"> </v>
      </c>
      <c r="AB144" s="25" t="str">
        <f>IF(AND(U144&gt;='Amort. Sched.-WORST'!$AA$8, U144&lt;= ($AA$7+$AA$8)), X144/V144, " ")</f>
        <v xml:space="preserve"> </v>
      </c>
      <c r="AD144" s="20">
        <f t="shared" si="37"/>
        <v>133</v>
      </c>
      <c r="AE144" s="5">
        <f t="shared" si="38"/>
        <v>0</v>
      </c>
      <c r="AF144" s="5">
        <f t="shared" si="39"/>
        <v>0</v>
      </c>
      <c r="AG144" s="5">
        <f t="shared" si="40"/>
        <v>0</v>
      </c>
      <c r="AH144" s="5">
        <f>IF(CreditAmort3WORST[[#This Row],[Month]]=AJ$8,AF$7,0)</f>
        <v>0</v>
      </c>
      <c r="AI144" s="13">
        <f t="shared" si="41"/>
        <v>0</v>
      </c>
      <c r="AJ144" s="6" t="str">
        <f t="shared" si="42"/>
        <v xml:space="preserve"> </v>
      </c>
      <c r="AK144" s="21" t="str">
        <f t="shared" si="43"/>
        <v xml:space="preserve"> </v>
      </c>
      <c r="AM144" s="20">
        <f t="shared" si="44"/>
        <v>133</v>
      </c>
      <c r="AN144" s="5">
        <f t="shared" si="45"/>
        <v>0</v>
      </c>
      <c r="AO144" s="5">
        <f t="shared" si="46"/>
        <v>0</v>
      </c>
      <c r="AP144" s="5">
        <f t="shared" si="47"/>
        <v>0</v>
      </c>
      <c r="AQ144" s="5">
        <f>IF(CreditAmort4WORST[[#This Row],[Month]]=AS$8,AO$7,0)</f>
        <v>0</v>
      </c>
      <c r="AR144" s="13">
        <f t="shared" si="48"/>
        <v>0</v>
      </c>
      <c r="AS144" s="6" t="str">
        <f t="shared" si="49"/>
        <v xml:space="preserve"> </v>
      </c>
      <c r="AT144" s="21" t="str">
        <f t="shared" si="50"/>
        <v xml:space="preserve"> </v>
      </c>
    </row>
    <row r="145" spans="3:46">
      <c r="C145" s="22">
        <f t="shared" si="35"/>
        <v>134</v>
      </c>
      <c r="D145" s="23">
        <f>IF(AND(C145&gt;='Amort. Sched.-WORST'!$I$8, C145&lt;= ($I$7+$I$8)), PMT('Amort. Sched.-WORST'!$E$8/12, 'Amort. Sched.-WORST'!$I$7, 'Amort. Sched.-WORST'!$E$7), 0)</f>
        <v>-2026.0175758541329</v>
      </c>
      <c r="E145" s="5">
        <f>IF(AND(C145&gt;='Amort. Sched.-WORST'!$I$8, C145&lt;= ($I$7+$I$8)), (IPMT($E$8/12, (C145-$I$8), $I$7, $E$7)), 0)</f>
        <v>-1358.0840035700055</v>
      </c>
      <c r="F145" s="23">
        <f>IF(AND(C145&gt;='Amort. Sched.-WORST'!$I$8, C145&lt;= ($I$7+$I$8)), (PPMT($E$8/12, (C145-$I$8), $I$7, $E$7)), 0)</f>
        <v>-667.93357228412765</v>
      </c>
      <c r="G145" s="5">
        <f>IF(MortgageAmortWORST[[#This Row],[Month]]=I$8,E$7,0)</f>
        <v>0</v>
      </c>
      <c r="H145" s="13">
        <f>IF(AND(C145&gt;='Amort. Sched.-WORST'!$I$8, C145&lt;= ($I$7+$I$8)), H144+F145, 0)</f>
        <v>203044.66696321662</v>
      </c>
      <c r="I145" s="24">
        <f>IF(AND(C145&gt;='Amort. Sched.-WORST'!$I$8, C145&lt;= ($I$7+$I$8)), E145/D145, " ")</f>
        <v>0.67032192600671858</v>
      </c>
      <c r="J145" s="25">
        <f>IF(AND(C145&gt;='Amort. Sched.-WORST'!$I$8, C145&lt;= ($I$7+$I$8)), F145/D145, " ")</f>
        <v>0.32967807399328147</v>
      </c>
      <c r="L145" s="20">
        <f t="shared" si="34"/>
        <v>134</v>
      </c>
      <c r="M145" s="5">
        <f>IF(AND(L145&gt;='Amort. Sched.-WORST'!$R$8, L145&lt;= ($R$7+$R$8)), PMT('Amort. Sched.-WORST'!$N$8/12, 'Amort. Sched.-WORST'!$R$7, 'Amort. Sched.-WORST'!$N$7), 0)</f>
        <v>0</v>
      </c>
      <c r="N145" s="5">
        <f>IF(AND(L145&gt;='Amort. Sched.-WORST'!$R$8, L145&lt;= ($R$7+$R$8)), (IPMT($N$8/12, (L145-$R$8), $R$7, $N$7)), 0)</f>
        <v>0</v>
      </c>
      <c r="O145" s="5">
        <f>IF(AND(L145&gt;='Amort. Sched.-WORST'!$R$8, L145&lt;= ($R$7+$R$8)), (PPMT($N$8/12, (L145-$R$8), $R$7, $N$7)), 0)</f>
        <v>0</v>
      </c>
      <c r="P145" s="5">
        <f>IF(CreditAmort1WORST[[#This Row],[Month]]=R$8,N$7,0)</f>
        <v>0</v>
      </c>
      <c r="Q145" s="13">
        <f>IF(AND(L145&gt;='Amort. Sched.-WORST'!$R$8, L145&lt;= ($R$7+$R$8)), Q144+O145, 0)</f>
        <v>0</v>
      </c>
      <c r="R145" s="6" t="str">
        <f>IF(AND(L145&gt;='Amort. Sched.-WORST'!$R$8, L145&lt;= ($R$7+$R$8)), N145/M145, " ")</f>
        <v xml:space="preserve"> </v>
      </c>
      <c r="S145" s="21" t="str">
        <f>IF(AND(L145&gt;='Amort. Sched.-WORST'!$R$8, L145&lt;= ($R$7+$R$8)), O145/M145, " ")</f>
        <v xml:space="preserve"> </v>
      </c>
      <c r="U145" s="22">
        <f t="shared" si="36"/>
        <v>134</v>
      </c>
      <c r="V145" s="23">
        <f>IF(AND(U145&gt;='Amort. Sched.-WORST'!$AA$8, U145&lt;= ($AA$7+$AA$8)), PMT('Amort. Sched.-WORST'!$W$8/12, 'Amort. Sched.-WORST'!$AA$7, 'Amort. Sched.-WORST'!$W$7), 0)</f>
        <v>0</v>
      </c>
      <c r="W145" s="5">
        <f>IF(AND(U145&gt;='Amort. Sched.-WORST'!$AA$8, U145&lt;= ($AA$7+$AA$8)), (IPMT($W$8/12, (U145-$AA$8), $AA$7, $W$7)), 0)</f>
        <v>0</v>
      </c>
      <c r="X145" s="23">
        <f>IF(AND(U145&gt;='Amort. Sched.-WORST'!$AA$8, U145&lt;= ($AA$7+$AA$8)), (PPMT($W$8/12, (U145-$AA$8), $AA$7, $W$7)), 0)</f>
        <v>0</v>
      </c>
      <c r="Y145" s="5">
        <f>IF(CreditAmort2WORST[[#This Row],[Month]]=AA$8,W$7,0)</f>
        <v>0</v>
      </c>
      <c r="Z145" s="13">
        <f>IF(AND(U145&gt;='Amort. Sched.-WORST'!$AA$8, U145&lt;= ($AA$7+$AA$8)), Z144+X145, 0)</f>
        <v>0</v>
      </c>
      <c r="AA145" s="24" t="str">
        <f>IF(AND(U145&gt;='Amort. Sched.-WORST'!$AA$8, U145&lt;= ($AA$7+$AA$8)), W145/V145, " ")</f>
        <v xml:space="preserve"> </v>
      </c>
      <c r="AB145" s="25" t="str">
        <f>IF(AND(U145&gt;='Amort. Sched.-WORST'!$AA$8, U145&lt;= ($AA$7+$AA$8)), X145/V145, " ")</f>
        <v xml:space="preserve"> </v>
      </c>
      <c r="AD145" s="20">
        <f t="shared" si="37"/>
        <v>134</v>
      </c>
      <c r="AE145" s="5">
        <f t="shared" si="38"/>
        <v>0</v>
      </c>
      <c r="AF145" s="5">
        <f t="shared" si="39"/>
        <v>0</v>
      </c>
      <c r="AG145" s="5">
        <f t="shared" si="40"/>
        <v>0</v>
      </c>
      <c r="AH145" s="5">
        <f>IF(CreditAmort3WORST[[#This Row],[Month]]=AJ$8,AF$7,0)</f>
        <v>0</v>
      </c>
      <c r="AI145" s="13">
        <f t="shared" si="41"/>
        <v>0</v>
      </c>
      <c r="AJ145" s="6" t="str">
        <f t="shared" si="42"/>
        <v xml:space="preserve"> </v>
      </c>
      <c r="AK145" s="21" t="str">
        <f t="shared" si="43"/>
        <v xml:space="preserve"> </v>
      </c>
      <c r="AM145" s="20">
        <f t="shared" si="44"/>
        <v>134</v>
      </c>
      <c r="AN145" s="5">
        <f t="shared" si="45"/>
        <v>0</v>
      </c>
      <c r="AO145" s="5">
        <f t="shared" si="46"/>
        <v>0</v>
      </c>
      <c r="AP145" s="5">
        <f t="shared" si="47"/>
        <v>0</v>
      </c>
      <c r="AQ145" s="5">
        <f>IF(CreditAmort4WORST[[#This Row],[Month]]=AS$8,AO$7,0)</f>
        <v>0</v>
      </c>
      <c r="AR145" s="13">
        <f t="shared" si="48"/>
        <v>0</v>
      </c>
      <c r="AS145" s="6" t="str">
        <f t="shared" si="49"/>
        <v xml:space="preserve"> </v>
      </c>
      <c r="AT145" s="21" t="str">
        <f t="shared" si="50"/>
        <v xml:space="preserve"> </v>
      </c>
    </row>
    <row r="146" spans="3:46">
      <c r="C146" s="22">
        <f t="shared" si="35"/>
        <v>135</v>
      </c>
      <c r="D146" s="23">
        <f>IF(AND(C146&gt;='Amort. Sched.-WORST'!$I$8, C146&lt;= ($I$7+$I$8)), PMT('Amort. Sched.-WORST'!$E$8/12, 'Amort. Sched.-WORST'!$I$7, 'Amort. Sched.-WORST'!$E$7), 0)</f>
        <v>-2026.0175758541329</v>
      </c>
      <c r="E146" s="5">
        <f>IF(AND(C146&gt;='Amort. Sched.-WORST'!$I$8, C146&lt;= ($I$7+$I$8)), (IPMT($E$8/12, (C146-$I$8), $I$7, $E$7)), 0)</f>
        <v>-1353.6311130881115</v>
      </c>
      <c r="F146" s="23">
        <f>IF(AND(C146&gt;='Amort. Sched.-WORST'!$I$8, C146&lt;= ($I$7+$I$8)), (PPMT($E$8/12, (C146-$I$8), $I$7, $E$7)), 0)</f>
        <v>-672.38646276602174</v>
      </c>
      <c r="G146" s="5">
        <f>IF(MortgageAmortWORST[[#This Row],[Month]]=I$8,E$7,0)</f>
        <v>0</v>
      </c>
      <c r="H146" s="13">
        <f>IF(AND(C146&gt;='Amort. Sched.-WORST'!$I$8, C146&lt;= ($I$7+$I$8)), H145+F146, 0)</f>
        <v>202372.28050045061</v>
      </c>
      <c r="I146" s="24">
        <f>IF(AND(C146&gt;='Amort. Sched.-WORST'!$I$8, C146&lt;= ($I$7+$I$8)), E146/D146, " ")</f>
        <v>0.66812407218009684</v>
      </c>
      <c r="J146" s="25">
        <f>IF(AND(C146&gt;='Amort. Sched.-WORST'!$I$8, C146&lt;= ($I$7+$I$8)), F146/D146, " ")</f>
        <v>0.33187592781990333</v>
      </c>
      <c r="L146" s="20">
        <f t="shared" si="34"/>
        <v>135</v>
      </c>
      <c r="M146" s="5">
        <f>IF(AND(L146&gt;='Amort. Sched.-WORST'!$R$8, L146&lt;= ($R$7+$R$8)), PMT('Amort. Sched.-WORST'!$N$8/12, 'Amort. Sched.-WORST'!$R$7, 'Amort. Sched.-WORST'!$N$7), 0)</f>
        <v>0</v>
      </c>
      <c r="N146" s="5">
        <f>IF(AND(L146&gt;='Amort. Sched.-WORST'!$R$8, L146&lt;= ($R$7+$R$8)), (IPMT($N$8/12, (L146-$R$8), $R$7, $N$7)), 0)</f>
        <v>0</v>
      </c>
      <c r="O146" s="5">
        <f>IF(AND(L146&gt;='Amort. Sched.-WORST'!$R$8, L146&lt;= ($R$7+$R$8)), (PPMT($N$8/12, (L146-$R$8), $R$7, $N$7)), 0)</f>
        <v>0</v>
      </c>
      <c r="P146" s="5">
        <f>IF(CreditAmort1WORST[[#This Row],[Month]]=R$8,N$7,0)</f>
        <v>0</v>
      </c>
      <c r="Q146" s="13">
        <f>IF(AND(L146&gt;='Amort. Sched.-WORST'!$R$8, L146&lt;= ($R$7+$R$8)), Q145+O146, 0)</f>
        <v>0</v>
      </c>
      <c r="R146" s="6" t="str">
        <f>IF(AND(L146&gt;='Amort. Sched.-WORST'!$R$8, L146&lt;= ($R$7+$R$8)), N146/M146, " ")</f>
        <v xml:space="preserve"> </v>
      </c>
      <c r="S146" s="21" t="str">
        <f>IF(AND(L146&gt;='Amort. Sched.-WORST'!$R$8, L146&lt;= ($R$7+$R$8)), O146/M146, " ")</f>
        <v xml:space="preserve"> </v>
      </c>
      <c r="U146" s="22">
        <f t="shared" si="36"/>
        <v>135</v>
      </c>
      <c r="V146" s="23">
        <f>IF(AND(U146&gt;='Amort. Sched.-WORST'!$AA$8, U146&lt;= ($AA$7+$AA$8)), PMT('Amort. Sched.-WORST'!$W$8/12, 'Amort. Sched.-WORST'!$AA$7, 'Amort. Sched.-WORST'!$W$7), 0)</f>
        <v>0</v>
      </c>
      <c r="W146" s="5">
        <f>IF(AND(U146&gt;='Amort. Sched.-WORST'!$AA$8, U146&lt;= ($AA$7+$AA$8)), (IPMT($W$8/12, (U146-$AA$8), $AA$7, $W$7)), 0)</f>
        <v>0</v>
      </c>
      <c r="X146" s="23">
        <f>IF(AND(U146&gt;='Amort. Sched.-WORST'!$AA$8, U146&lt;= ($AA$7+$AA$8)), (PPMT($W$8/12, (U146-$AA$8), $AA$7, $W$7)), 0)</f>
        <v>0</v>
      </c>
      <c r="Y146" s="5">
        <f>IF(CreditAmort2WORST[[#This Row],[Month]]=AA$8,W$7,0)</f>
        <v>0</v>
      </c>
      <c r="Z146" s="13">
        <f>IF(AND(U146&gt;='Amort. Sched.-WORST'!$AA$8, U146&lt;= ($AA$7+$AA$8)), Z145+X146, 0)</f>
        <v>0</v>
      </c>
      <c r="AA146" s="24" t="str">
        <f>IF(AND(U146&gt;='Amort. Sched.-WORST'!$AA$8, U146&lt;= ($AA$7+$AA$8)), W146/V146, " ")</f>
        <v xml:space="preserve"> </v>
      </c>
      <c r="AB146" s="25" t="str">
        <f>IF(AND(U146&gt;='Amort. Sched.-WORST'!$AA$8, U146&lt;= ($AA$7+$AA$8)), X146/V146, " ")</f>
        <v xml:space="preserve"> </v>
      </c>
      <c r="AD146" s="20">
        <f t="shared" si="37"/>
        <v>135</v>
      </c>
      <c r="AE146" s="5">
        <f t="shared" si="38"/>
        <v>0</v>
      </c>
      <c r="AF146" s="5">
        <f t="shared" si="39"/>
        <v>0</v>
      </c>
      <c r="AG146" s="5">
        <f t="shared" si="40"/>
        <v>0</v>
      </c>
      <c r="AH146" s="5">
        <f>IF(CreditAmort3WORST[[#This Row],[Month]]=AJ$8,AF$7,0)</f>
        <v>0</v>
      </c>
      <c r="AI146" s="13">
        <f t="shared" si="41"/>
        <v>0</v>
      </c>
      <c r="AJ146" s="6" t="str">
        <f t="shared" si="42"/>
        <v xml:space="preserve"> </v>
      </c>
      <c r="AK146" s="21" t="str">
        <f t="shared" si="43"/>
        <v xml:space="preserve"> </v>
      </c>
      <c r="AM146" s="20">
        <f t="shared" si="44"/>
        <v>135</v>
      </c>
      <c r="AN146" s="5">
        <f t="shared" si="45"/>
        <v>0</v>
      </c>
      <c r="AO146" s="5">
        <f t="shared" si="46"/>
        <v>0</v>
      </c>
      <c r="AP146" s="5">
        <f t="shared" si="47"/>
        <v>0</v>
      </c>
      <c r="AQ146" s="5">
        <f>IF(CreditAmort4WORST[[#This Row],[Month]]=AS$8,AO$7,0)</f>
        <v>0</v>
      </c>
      <c r="AR146" s="13">
        <f t="shared" si="48"/>
        <v>0</v>
      </c>
      <c r="AS146" s="6" t="str">
        <f t="shared" si="49"/>
        <v xml:space="preserve"> </v>
      </c>
      <c r="AT146" s="21" t="str">
        <f t="shared" si="50"/>
        <v xml:space="preserve"> </v>
      </c>
    </row>
    <row r="147" spans="3:46">
      <c r="C147" s="22">
        <f t="shared" si="35"/>
        <v>136</v>
      </c>
      <c r="D147" s="23">
        <f>IF(AND(C147&gt;='Amort. Sched.-WORST'!$I$8, C147&lt;= ($I$7+$I$8)), PMT('Amort. Sched.-WORST'!$E$8/12, 'Amort. Sched.-WORST'!$I$7, 'Amort. Sched.-WORST'!$E$7), 0)</f>
        <v>-2026.0175758541329</v>
      </c>
      <c r="E147" s="5">
        <f>IF(AND(C147&gt;='Amort. Sched.-WORST'!$I$8, C147&lt;= ($I$7+$I$8)), (IPMT($E$8/12, (C147-$I$8), $I$7, $E$7)), 0)</f>
        <v>-1349.1485366696711</v>
      </c>
      <c r="F147" s="23">
        <f>IF(AND(C147&gt;='Amort. Sched.-WORST'!$I$8, C147&lt;= ($I$7+$I$8)), (PPMT($E$8/12, (C147-$I$8), $I$7, $E$7)), 0)</f>
        <v>-676.86903918446194</v>
      </c>
      <c r="G147" s="5">
        <f>IF(MortgageAmortWORST[[#This Row],[Month]]=I$8,E$7,0)</f>
        <v>0</v>
      </c>
      <c r="H147" s="13">
        <f>IF(AND(C147&gt;='Amort. Sched.-WORST'!$I$8, C147&lt;= ($I$7+$I$8)), H146+F147, 0)</f>
        <v>201695.41146126614</v>
      </c>
      <c r="I147" s="24">
        <f>IF(AND(C147&gt;='Amort. Sched.-WORST'!$I$8, C147&lt;= ($I$7+$I$8)), E147/D147, " ")</f>
        <v>0.66591156599463064</v>
      </c>
      <c r="J147" s="25">
        <f>IF(AND(C147&gt;='Amort. Sched.-WORST'!$I$8, C147&lt;= ($I$7+$I$8)), F147/D147, " ")</f>
        <v>0.33408843400536936</v>
      </c>
      <c r="L147" s="20">
        <f t="shared" si="34"/>
        <v>136</v>
      </c>
      <c r="M147" s="5">
        <f>IF(AND(L147&gt;='Amort. Sched.-WORST'!$R$8, L147&lt;= ($R$7+$R$8)), PMT('Amort. Sched.-WORST'!$N$8/12, 'Amort. Sched.-WORST'!$R$7, 'Amort. Sched.-WORST'!$N$7), 0)</f>
        <v>0</v>
      </c>
      <c r="N147" s="5">
        <f>IF(AND(L147&gt;='Amort. Sched.-WORST'!$R$8, L147&lt;= ($R$7+$R$8)), (IPMT($N$8/12, (L147-$R$8), $R$7, $N$7)), 0)</f>
        <v>0</v>
      </c>
      <c r="O147" s="5">
        <f>IF(AND(L147&gt;='Amort. Sched.-WORST'!$R$8, L147&lt;= ($R$7+$R$8)), (PPMT($N$8/12, (L147-$R$8), $R$7, $N$7)), 0)</f>
        <v>0</v>
      </c>
      <c r="P147" s="5">
        <f>IF(CreditAmort1WORST[[#This Row],[Month]]=R$8,N$7,0)</f>
        <v>0</v>
      </c>
      <c r="Q147" s="13">
        <f>IF(AND(L147&gt;='Amort. Sched.-WORST'!$R$8, L147&lt;= ($R$7+$R$8)), Q146+O147, 0)</f>
        <v>0</v>
      </c>
      <c r="R147" s="6" t="str">
        <f>IF(AND(L147&gt;='Amort. Sched.-WORST'!$R$8, L147&lt;= ($R$7+$R$8)), N147/M147, " ")</f>
        <v xml:space="preserve"> </v>
      </c>
      <c r="S147" s="21" t="str">
        <f>IF(AND(L147&gt;='Amort. Sched.-WORST'!$R$8, L147&lt;= ($R$7+$R$8)), O147/M147, " ")</f>
        <v xml:space="preserve"> </v>
      </c>
      <c r="U147" s="22">
        <f t="shared" si="36"/>
        <v>136</v>
      </c>
      <c r="V147" s="23">
        <f>IF(AND(U147&gt;='Amort. Sched.-WORST'!$AA$8, U147&lt;= ($AA$7+$AA$8)), PMT('Amort. Sched.-WORST'!$W$8/12, 'Amort. Sched.-WORST'!$AA$7, 'Amort. Sched.-WORST'!$W$7), 0)</f>
        <v>0</v>
      </c>
      <c r="W147" s="5">
        <f>IF(AND(U147&gt;='Amort. Sched.-WORST'!$AA$8, U147&lt;= ($AA$7+$AA$8)), (IPMT($W$8/12, (U147-$AA$8), $AA$7, $W$7)), 0)</f>
        <v>0</v>
      </c>
      <c r="X147" s="23">
        <f>IF(AND(U147&gt;='Amort. Sched.-WORST'!$AA$8, U147&lt;= ($AA$7+$AA$8)), (PPMT($W$8/12, (U147-$AA$8), $AA$7, $W$7)), 0)</f>
        <v>0</v>
      </c>
      <c r="Y147" s="5">
        <f>IF(CreditAmort2WORST[[#This Row],[Month]]=AA$8,W$7,0)</f>
        <v>0</v>
      </c>
      <c r="Z147" s="13">
        <f>IF(AND(U147&gt;='Amort. Sched.-WORST'!$AA$8, U147&lt;= ($AA$7+$AA$8)), Z146+X147, 0)</f>
        <v>0</v>
      </c>
      <c r="AA147" s="24" t="str">
        <f>IF(AND(U147&gt;='Amort. Sched.-WORST'!$AA$8, U147&lt;= ($AA$7+$AA$8)), W147/V147, " ")</f>
        <v xml:space="preserve"> </v>
      </c>
      <c r="AB147" s="25" t="str">
        <f>IF(AND(U147&gt;='Amort. Sched.-WORST'!$AA$8, U147&lt;= ($AA$7+$AA$8)), X147/V147, " ")</f>
        <v xml:space="preserve"> </v>
      </c>
      <c r="AD147" s="20">
        <f t="shared" si="37"/>
        <v>136</v>
      </c>
      <c r="AE147" s="5">
        <f t="shared" si="38"/>
        <v>0</v>
      </c>
      <c r="AF147" s="5">
        <f t="shared" si="39"/>
        <v>0</v>
      </c>
      <c r="AG147" s="5">
        <f t="shared" si="40"/>
        <v>0</v>
      </c>
      <c r="AH147" s="5">
        <f>IF(CreditAmort3WORST[[#This Row],[Month]]=AJ$8,AF$7,0)</f>
        <v>0</v>
      </c>
      <c r="AI147" s="13">
        <f t="shared" si="41"/>
        <v>0</v>
      </c>
      <c r="AJ147" s="6" t="str">
        <f t="shared" si="42"/>
        <v xml:space="preserve"> </v>
      </c>
      <c r="AK147" s="21" t="str">
        <f t="shared" si="43"/>
        <v xml:space="preserve"> </v>
      </c>
      <c r="AM147" s="20">
        <f t="shared" si="44"/>
        <v>136</v>
      </c>
      <c r="AN147" s="5">
        <f t="shared" si="45"/>
        <v>0</v>
      </c>
      <c r="AO147" s="5">
        <f t="shared" si="46"/>
        <v>0</v>
      </c>
      <c r="AP147" s="5">
        <f t="shared" si="47"/>
        <v>0</v>
      </c>
      <c r="AQ147" s="5">
        <f>IF(CreditAmort4WORST[[#This Row],[Month]]=AS$8,AO$7,0)</f>
        <v>0</v>
      </c>
      <c r="AR147" s="13">
        <f t="shared" si="48"/>
        <v>0</v>
      </c>
      <c r="AS147" s="6" t="str">
        <f t="shared" si="49"/>
        <v xml:space="preserve"> </v>
      </c>
      <c r="AT147" s="21" t="str">
        <f t="shared" si="50"/>
        <v xml:space="preserve"> </v>
      </c>
    </row>
    <row r="148" spans="3:46">
      <c r="C148" s="22">
        <f t="shared" si="35"/>
        <v>137</v>
      </c>
      <c r="D148" s="23">
        <f>IF(AND(C148&gt;='Amort. Sched.-WORST'!$I$8, C148&lt;= ($I$7+$I$8)), PMT('Amort. Sched.-WORST'!$E$8/12, 'Amort. Sched.-WORST'!$I$7, 'Amort. Sched.-WORST'!$E$7), 0)</f>
        <v>-2026.0175758541329</v>
      </c>
      <c r="E148" s="5">
        <f>IF(AND(C148&gt;='Amort. Sched.-WORST'!$I$8, C148&lt;= ($I$7+$I$8)), (IPMT($E$8/12, (C148-$I$8), $I$7, $E$7)), 0)</f>
        <v>-1344.6360764084411</v>
      </c>
      <c r="F148" s="23">
        <f>IF(AND(C148&gt;='Amort. Sched.-WORST'!$I$8, C148&lt;= ($I$7+$I$8)), (PPMT($E$8/12, (C148-$I$8), $I$7, $E$7)), 0)</f>
        <v>-681.38149944569159</v>
      </c>
      <c r="G148" s="5">
        <f>IF(MortgageAmortWORST[[#This Row],[Month]]=I$8,E$7,0)</f>
        <v>0</v>
      </c>
      <c r="H148" s="13">
        <f>IF(AND(C148&gt;='Amort. Sched.-WORST'!$I$8, C148&lt;= ($I$7+$I$8)), H147+F148, 0)</f>
        <v>201014.02996182046</v>
      </c>
      <c r="I148" s="24">
        <f>IF(AND(C148&gt;='Amort. Sched.-WORST'!$I$8, C148&lt;= ($I$7+$I$8)), E148/D148, " ")</f>
        <v>0.66368430976792814</v>
      </c>
      <c r="J148" s="25">
        <f>IF(AND(C148&gt;='Amort. Sched.-WORST'!$I$8, C148&lt;= ($I$7+$I$8)), F148/D148, " ")</f>
        <v>0.33631569023207181</v>
      </c>
      <c r="L148" s="20">
        <f t="shared" si="34"/>
        <v>137</v>
      </c>
      <c r="M148" s="5">
        <f>IF(AND(L148&gt;='Amort. Sched.-WORST'!$R$8, L148&lt;= ($R$7+$R$8)), PMT('Amort. Sched.-WORST'!$N$8/12, 'Amort. Sched.-WORST'!$R$7, 'Amort. Sched.-WORST'!$N$7), 0)</f>
        <v>0</v>
      </c>
      <c r="N148" s="5">
        <f>IF(AND(L148&gt;='Amort. Sched.-WORST'!$R$8, L148&lt;= ($R$7+$R$8)), (IPMT($N$8/12, (L148-$R$8), $R$7, $N$7)), 0)</f>
        <v>0</v>
      </c>
      <c r="O148" s="5">
        <f>IF(AND(L148&gt;='Amort. Sched.-WORST'!$R$8, L148&lt;= ($R$7+$R$8)), (PPMT($N$8/12, (L148-$R$8), $R$7, $N$7)), 0)</f>
        <v>0</v>
      </c>
      <c r="P148" s="5">
        <f>IF(CreditAmort1WORST[[#This Row],[Month]]=R$8,N$7,0)</f>
        <v>0</v>
      </c>
      <c r="Q148" s="13">
        <f>IF(AND(L148&gt;='Amort. Sched.-WORST'!$R$8, L148&lt;= ($R$7+$R$8)), Q147+O148, 0)</f>
        <v>0</v>
      </c>
      <c r="R148" s="6" t="str">
        <f>IF(AND(L148&gt;='Amort. Sched.-WORST'!$R$8, L148&lt;= ($R$7+$R$8)), N148/M148, " ")</f>
        <v xml:space="preserve"> </v>
      </c>
      <c r="S148" s="21" t="str">
        <f>IF(AND(L148&gt;='Amort. Sched.-WORST'!$R$8, L148&lt;= ($R$7+$R$8)), O148/M148, " ")</f>
        <v xml:space="preserve"> </v>
      </c>
      <c r="U148" s="22">
        <f t="shared" si="36"/>
        <v>137</v>
      </c>
      <c r="V148" s="23">
        <f>IF(AND(U148&gt;='Amort. Sched.-WORST'!$AA$8, U148&lt;= ($AA$7+$AA$8)), PMT('Amort. Sched.-WORST'!$W$8/12, 'Amort. Sched.-WORST'!$AA$7, 'Amort. Sched.-WORST'!$W$7), 0)</f>
        <v>0</v>
      </c>
      <c r="W148" s="5">
        <f>IF(AND(U148&gt;='Amort. Sched.-WORST'!$AA$8, U148&lt;= ($AA$7+$AA$8)), (IPMT($W$8/12, (U148-$AA$8), $AA$7, $W$7)), 0)</f>
        <v>0</v>
      </c>
      <c r="X148" s="23">
        <f>IF(AND(U148&gt;='Amort. Sched.-WORST'!$AA$8, U148&lt;= ($AA$7+$AA$8)), (PPMT($W$8/12, (U148-$AA$8), $AA$7, $W$7)), 0)</f>
        <v>0</v>
      </c>
      <c r="Y148" s="5">
        <f>IF(CreditAmort2WORST[[#This Row],[Month]]=AA$8,W$7,0)</f>
        <v>0</v>
      </c>
      <c r="Z148" s="13">
        <f>IF(AND(U148&gt;='Amort. Sched.-WORST'!$AA$8, U148&lt;= ($AA$7+$AA$8)), Z147+X148, 0)</f>
        <v>0</v>
      </c>
      <c r="AA148" s="24" t="str">
        <f>IF(AND(U148&gt;='Amort. Sched.-WORST'!$AA$8, U148&lt;= ($AA$7+$AA$8)), W148/V148, " ")</f>
        <v xml:space="preserve"> </v>
      </c>
      <c r="AB148" s="25" t="str">
        <f>IF(AND(U148&gt;='Amort. Sched.-WORST'!$AA$8, U148&lt;= ($AA$7+$AA$8)), X148/V148, " ")</f>
        <v xml:space="preserve"> </v>
      </c>
      <c r="AD148" s="20">
        <f t="shared" si="37"/>
        <v>137</v>
      </c>
      <c r="AE148" s="5">
        <f t="shared" si="38"/>
        <v>0</v>
      </c>
      <c r="AF148" s="5">
        <f t="shared" si="39"/>
        <v>0</v>
      </c>
      <c r="AG148" s="5">
        <f t="shared" si="40"/>
        <v>0</v>
      </c>
      <c r="AH148" s="5">
        <f>IF(CreditAmort3WORST[[#This Row],[Month]]=AJ$8,AF$7,0)</f>
        <v>0</v>
      </c>
      <c r="AI148" s="13">
        <f t="shared" si="41"/>
        <v>0</v>
      </c>
      <c r="AJ148" s="6" t="str">
        <f t="shared" si="42"/>
        <v xml:space="preserve"> </v>
      </c>
      <c r="AK148" s="21" t="str">
        <f t="shared" si="43"/>
        <v xml:space="preserve"> </v>
      </c>
      <c r="AM148" s="20">
        <f t="shared" si="44"/>
        <v>137</v>
      </c>
      <c r="AN148" s="5">
        <f t="shared" si="45"/>
        <v>0</v>
      </c>
      <c r="AO148" s="5">
        <f t="shared" si="46"/>
        <v>0</v>
      </c>
      <c r="AP148" s="5">
        <f t="shared" si="47"/>
        <v>0</v>
      </c>
      <c r="AQ148" s="5">
        <f>IF(CreditAmort4WORST[[#This Row],[Month]]=AS$8,AO$7,0)</f>
        <v>0</v>
      </c>
      <c r="AR148" s="13">
        <f t="shared" si="48"/>
        <v>0</v>
      </c>
      <c r="AS148" s="6" t="str">
        <f t="shared" si="49"/>
        <v xml:space="preserve"> </v>
      </c>
      <c r="AT148" s="21" t="str">
        <f t="shared" si="50"/>
        <v xml:space="preserve"> </v>
      </c>
    </row>
    <row r="149" spans="3:46">
      <c r="C149" s="22">
        <f t="shared" si="35"/>
        <v>138</v>
      </c>
      <c r="D149" s="23">
        <f>IF(AND(C149&gt;='Amort. Sched.-WORST'!$I$8, C149&lt;= ($I$7+$I$8)), PMT('Amort. Sched.-WORST'!$E$8/12, 'Amort. Sched.-WORST'!$I$7, 'Amort. Sched.-WORST'!$E$7), 0)</f>
        <v>-2026.0175758541329</v>
      </c>
      <c r="E149" s="5">
        <f>IF(AND(C149&gt;='Amort. Sched.-WORST'!$I$8, C149&lt;= ($I$7+$I$8)), (IPMT($E$8/12, (C149-$I$8), $I$7, $E$7)), 0)</f>
        <v>-1340.0935330788034</v>
      </c>
      <c r="F149" s="23">
        <f>IF(AND(C149&gt;='Amort. Sched.-WORST'!$I$8, C149&lt;= ($I$7+$I$8)), (PPMT($E$8/12, (C149-$I$8), $I$7, $E$7)), 0)</f>
        <v>-685.92404277532978</v>
      </c>
      <c r="G149" s="5">
        <f>IF(MortgageAmortWORST[[#This Row],[Month]]=I$8,E$7,0)</f>
        <v>0</v>
      </c>
      <c r="H149" s="13">
        <f>IF(AND(C149&gt;='Amort. Sched.-WORST'!$I$8, C149&lt;= ($I$7+$I$8)), H148+F149, 0)</f>
        <v>200328.10591904513</v>
      </c>
      <c r="I149" s="24">
        <f>IF(AND(C149&gt;='Amort. Sched.-WORST'!$I$8, C149&lt;= ($I$7+$I$8)), E149/D149, " ")</f>
        <v>0.66144220516638108</v>
      </c>
      <c r="J149" s="25">
        <f>IF(AND(C149&gt;='Amort. Sched.-WORST'!$I$8, C149&lt;= ($I$7+$I$8)), F149/D149, " ")</f>
        <v>0.33855779483361909</v>
      </c>
      <c r="L149" s="20">
        <f t="shared" si="34"/>
        <v>138</v>
      </c>
      <c r="M149" s="5">
        <f>IF(AND(L149&gt;='Amort. Sched.-WORST'!$R$8, L149&lt;= ($R$7+$R$8)), PMT('Amort. Sched.-WORST'!$N$8/12, 'Amort. Sched.-WORST'!$R$7, 'Amort. Sched.-WORST'!$N$7), 0)</f>
        <v>0</v>
      </c>
      <c r="N149" s="5">
        <f>IF(AND(L149&gt;='Amort. Sched.-WORST'!$R$8, L149&lt;= ($R$7+$R$8)), (IPMT($N$8/12, (L149-$R$8), $R$7, $N$7)), 0)</f>
        <v>0</v>
      </c>
      <c r="O149" s="5">
        <f>IF(AND(L149&gt;='Amort. Sched.-WORST'!$R$8, L149&lt;= ($R$7+$R$8)), (PPMT($N$8/12, (L149-$R$8), $R$7, $N$7)), 0)</f>
        <v>0</v>
      </c>
      <c r="P149" s="5">
        <f>IF(CreditAmort1WORST[[#This Row],[Month]]=R$8,N$7,0)</f>
        <v>0</v>
      </c>
      <c r="Q149" s="13">
        <f>IF(AND(L149&gt;='Amort. Sched.-WORST'!$R$8, L149&lt;= ($R$7+$R$8)), Q148+O149, 0)</f>
        <v>0</v>
      </c>
      <c r="R149" s="6" t="str">
        <f>IF(AND(L149&gt;='Amort. Sched.-WORST'!$R$8, L149&lt;= ($R$7+$R$8)), N149/M149, " ")</f>
        <v xml:space="preserve"> </v>
      </c>
      <c r="S149" s="21" t="str">
        <f>IF(AND(L149&gt;='Amort. Sched.-WORST'!$R$8, L149&lt;= ($R$7+$R$8)), O149/M149, " ")</f>
        <v xml:space="preserve"> </v>
      </c>
      <c r="U149" s="22">
        <f t="shared" si="36"/>
        <v>138</v>
      </c>
      <c r="V149" s="23">
        <f>IF(AND(U149&gt;='Amort. Sched.-WORST'!$AA$8, U149&lt;= ($AA$7+$AA$8)), PMT('Amort. Sched.-WORST'!$W$8/12, 'Amort. Sched.-WORST'!$AA$7, 'Amort. Sched.-WORST'!$W$7), 0)</f>
        <v>0</v>
      </c>
      <c r="W149" s="5">
        <f>IF(AND(U149&gt;='Amort. Sched.-WORST'!$AA$8, U149&lt;= ($AA$7+$AA$8)), (IPMT($W$8/12, (U149-$AA$8), $AA$7, $W$7)), 0)</f>
        <v>0</v>
      </c>
      <c r="X149" s="23">
        <f>IF(AND(U149&gt;='Amort. Sched.-WORST'!$AA$8, U149&lt;= ($AA$7+$AA$8)), (PPMT($W$8/12, (U149-$AA$8), $AA$7, $W$7)), 0)</f>
        <v>0</v>
      </c>
      <c r="Y149" s="5">
        <f>IF(CreditAmort2WORST[[#This Row],[Month]]=AA$8,W$7,0)</f>
        <v>0</v>
      </c>
      <c r="Z149" s="13">
        <f>IF(AND(U149&gt;='Amort. Sched.-WORST'!$AA$8, U149&lt;= ($AA$7+$AA$8)), Z148+X149, 0)</f>
        <v>0</v>
      </c>
      <c r="AA149" s="24" t="str">
        <f>IF(AND(U149&gt;='Amort. Sched.-WORST'!$AA$8, U149&lt;= ($AA$7+$AA$8)), W149/V149, " ")</f>
        <v xml:space="preserve"> </v>
      </c>
      <c r="AB149" s="25" t="str">
        <f>IF(AND(U149&gt;='Amort. Sched.-WORST'!$AA$8, U149&lt;= ($AA$7+$AA$8)), X149/V149, " ")</f>
        <v xml:space="preserve"> </v>
      </c>
      <c r="AD149" s="20">
        <f t="shared" si="37"/>
        <v>138</v>
      </c>
      <c r="AE149" s="5">
        <f t="shared" si="38"/>
        <v>0</v>
      </c>
      <c r="AF149" s="5">
        <f t="shared" si="39"/>
        <v>0</v>
      </c>
      <c r="AG149" s="5">
        <f t="shared" si="40"/>
        <v>0</v>
      </c>
      <c r="AH149" s="5">
        <f>IF(CreditAmort3WORST[[#This Row],[Month]]=AJ$8,AF$7,0)</f>
        <v>0</v>
      </c>
      <c r="AI149" s="13">
        <f t="shared" si="41"/>
        <v>0</v>
      </c>
      <c r="AJ149" s="6" t="str">
        <f t="shared" si="42"/>
        <v xml:space="preserve"> </v>
      </c>
      <c r="AK149" s="21" t="str">
        <f t="shared" si="43"/>
        <v xml:space="preserve"> </v>
      </c>
      <c r="AM149" s="20">
        <f t="shared" si="44"/>
        <v>138</v>
      </c>
      <c r="AN149" s="5">
        <f t="shared" si="45"/>
        <v>0</v>
      </c>
      <c r="AO149" s="5">
        <f t="shared" si="46"/>
        <v>0</v>
      </c>
      <c r="AP149" s="5">
        <f t="shared" si="47"/>
        <v>0</v>
      </c>
      <c r="AQ149" s="5">
        <f>IF(CreditAmort4WORST[[#This Row],[Month]]=AS$8,AO$7,0)</f>
        <v>0</v>
      </c>
      <c r="AR149" s="13">
        <f t="shared" si="48"/>
        <v>0</v>
      </c>
      <c r="AS149" s="6" t="str">
        <f t="shared" si="49"/>
        <v xml:space="preserve"> </v>
      </c>
      <c r="AT149" s="21" t="str">
        <f t="shared" si="50"/>
        <v xml:space="preserve"> </v>
      </c>
    </row>
    <row r="150" spans="3:46">
      <c r="C150" s="22">
        <f t="shared" si="35"/>
        <v>139</v>
      </c>
      <c r="D150" s="23">
        <f>IF(AND(C150&gt;='Amort. Sched.-WORST'!$I$8, C150&lt;= ($I$7+$I$8)), PMT('Amort. Sched.-WORST'!$E$8/12, 'Amort. Sched.-WORST'!$I$7, 'Amort. Sched.-WORST'!$E$7), 0)</f>
        <v>-2026.0175758541329</v>
      </c>
      <c r="E150" s="5">
        <f>IF(AND(C150&gt;='Amort. Sched.-WORST'!$I$8, C150&lt;= ($I$7+$I$8)), (IPMT($E$8/12, (C150-$I$8), $I$7, $E$7)), 0)</f>
        <v>-1335.5207061269678</v>
      </c>
      <c r="F150" s="23">
        <f>IF(AND(C150&gt;='Amort. Sched.-WORST'!$I$8, C150&lt;= ($I$7+$I$8)), (PPMT($E$8/12, (C150-$I$8), $I$7, $E$7)), 0)</f>
        <v>-690.49686972716518</v>
      </c>
      <c r="G150" s="5">
        <f>IF(MortgageAmortWORST[[#This Row],[Month]]=I$8,E$7,0)</f>
        <v>0</v>
      </c>
      <c r="H150" s="13">
        <f>IF(AND(C150&gt;='Amort. Sched.-WORST'!$I$8, C150&lt;= ($I$7+$I$8)), H149+F150, 0)</f>
        <v>199637.60904931798</v>
      </c>
      <c r="I150" s="24">
        <f>IF(AND(C150&gt;='Amort. Sched.-WORST'!$I$8, C150&lt;= ($I$7+$I$8)), E150/D150, " ")</f>
        <v>0.65918515320082349</v>
      </c>
      <c r="J150" s="25">
        <f>IF(AND(C150&gt;='Amort. Sched.-WORST'!$I$8, C150&lt;= ($I$7+$I$8)), F150/D150, " ")</f>
        <v>0.34081484679917645</v>
      </c>
      <c r="L150" s="20">
        <f t="shared" si="34"/>
        <v>139</v>
      </c>
      <c r="M150" s="5">
        <f>IF(AND(L150&gt;='Amort. Sched.-WORST'!$R$8, L150&lt;= ($R$7+$R$8)), PMT('Amort. Sched.-WORST'!$N$8/12, 'Amort. Sched.-WORST'!$R$7, 'Amort. Sched.-WORST'!$N$7), 0)</f>
        <v>0</v>
      </c>
      <c r="N150" s="5">
        <f>IF(AND(L150&gt;='Amort. Sched.-WORST'!$R$8, L150&lt;= ($R$7+$R$8)), (IPMT($N$8/12, (L150-$R$8), $R$7, $N$7)), 0)</f>
        <v>0</v>
      </c>
      <c r="O150" s="5">
        <f>IF(AND(L150&gt;='Amort. Sched.-WORST'!$R$8, L150&lt;= ($R$7+$R$8)), (PPMT($N$8/12, (L150-$R$8), $R$7, $N$7)), 0)</f>
        <v>0</v>
      </c>
      <c r="P150" s="5">
        <f>IF(CreditAmort1WORST[[#This Row],[Month]]=R$8,N$7,0)</f>
        <v>0</v>
      </c>
      <c r="Q150" s="13">
        <f>IF(AND(L150&gt;='Amort. Sched.-WORST'!$R$8, L150&lt;= ($R$7+$R$8)), Q149+O150, 0)</f>
        <v>0</v>
      </c>
      <c r="R150" s="6" t="str">
        <f>IF(AND(L150&gt;='Amort. Sched.-WORST'!$R$8, L150&lt;= ($R$7+$R$8)), N150/M150, " ")</f>
        <v xml:space="preserve"> </v>
      </c>
      <c r="S150" s="21" t="str">
        <f>IF(AND(L150&gt;='Amort. Sched.-WORST'!$R$8, L150&lt;= ($R$7+$R$8)), O150/M150, " ")</f>
        <v xml:space="preserve"> </v>
      </c>
      <c r="U150" s="22">
        <f t="shared" si="36"/>
        <v>139</v>
      </c>
      <c r="V150" s="23">
        <f>IF(AND(U150&gt;='Amort. Sched.-WORST'!$AA$8, U150&lt;= ($AA$7+$AA$8)), PMT('Amort. Sched.-WORST'!$W$8/12, 'Amort. Sched.-WORST'!$AA$7, 'Amort. Sched.-WORST'!$W$7), 0)</f>
        <v>0</v>
      </c>
      <c r="W150" s="5">
        <f>IF(AND(U150&gt;='Amort. Sched.-WORST'!$AA$8, U150&lt;= ($AA$7+$AA$8)), (IPMT($W$8/12, (U150-$AA$8), $AA$7, $W$7)), 0)</f>
        <v>0</v>
      </c>
      <c r="X150" s="23">
        <f>IF(AND(U150&gt;='Amort. Sched.-WORST'!$AA$8, U150&lt;= ($AA$7+$AA$8)), (PPMT($W$8/12, (U150-$AA$8), $AA$7, $W$7)), 0)</f>
        <v>0</v>
      </c>
      <c r="Y150" s="5">
        <f>IF(CreditAmort2WORST[[#This Row],[Month]]=AA$8,W$7,0)</f>
        <v>0</v>
      </c>
      <c r="Z150" s="13">
        <f>IF(AND(U150&gt;='Amort. Sched.-WORST'!$AA$8, U150&lt;= ($AA$7+$AA$8)), Z149+X150, 0)</f>
        <v>0</v>
      </c>
      <c r="AA150" s="24" t="str">
        <f>IF(AND(U150&gt;='Amort. Sched.-WORST'!$AA$8, U150&lt;= ($AA$7+$AA$8)), W150/V150, " ")</f>
        <v xml:space="preserve"> </v>
      </c>
      <c r="AB150" s="25" t="str">
        <f>IF(AND(U150&gt;='Amort. Sched.-WORST'!$AA$8, U150&lt;= ($AA$7+$AA$8)), X150/V150, " ")</f>
        <v xml:space="preserve"> </v>
      </c>
      <c r="AD150" s="20">
        <f t="shared" si="37"/>
        <v>139</v>
      </c>
      <c r="AE150" s="5">
        <f t="shared" si="38"/>
        <v>0</v>
      </c>
      <c r="AF150" s="5">
        <f t="shared" si="39"/>
        <v>0</v>
      </c>
      <c r="AG150" s="5">
        <f t="shared" si="40"/>
        <v>0</v>
      </c>
      <c r="AH150" s="5">
        <f>IF(CreditAmort3WORST[[#This Row],[Month]]=AJ$8,AF$7,0)</f>
        <v>0</v>
      </c>
      <c r="AI150" s="13">
        <f t="shared" si="41"/>
        <v>0</v>
      </c>
      <c r="AJ150" s="6" t="str">
        <f t="shared" si="42"/>
        <v xml:space="preserve"> </v>
      </c>
      <c r="AK150" s="21" t="str">
        <f t="shared" si="43"/>
        <v xml:space="preserve"> </v>
      </c>
      <c r="AM150" s="20">
        <f t="shared" si="44"/>
        <v>139</v>
      </c>
      <c r="AN150" s="5">
        <f t="shared" si="45"/>
        <v>0</v>
      </c>
      <c r="AO150" s="5">
        <f t="shared" si="46"/>
        <v>0</v>
      </c>
      <c r="AP150" s="5">
        <f t="shared" si="47"/>
        <v>0</v>
      </c>
      <c r="AQ150" s="5">
        <f>IF(CreditAmort4WORST[[#This Row],[Month]]=AS$8,AO$7,0)</f>
        <v>0</v>
      </c>
      <c r="AR150" s="13">
        <f t="shared" si="48"/>
        <v>0</v>
      </c>
      <c r="AS150" s="6" t="str">
        <f t="shared" si="49"/>
        <v xml:space="preserve"> </v>
      </c>
      <c r="AT150" s="21" t="str">
        <f t="shared" si="50"/>
        <v xml:space="preserve"> </v>
      </c>
    </row>
    <row r="151" spans="3:46">
      <c r="C151" s="22">
        <f t="shared" si="35"/>
        <v>140</v>
      </c>
      <c r="D151" s="23">
        <f>IF(AND(C151&gt;='Amort. Sched.-WORST'!$I$8, C151&lt;= ($I$7+$I$8)), PMT('Amort. Sched.-WORST'!$E$8/12, 'Amort. Sched.-WORST'!$I$7, 'Amort. Sched.-WORST'!$E$7), 0)</f>
        <v>-2026.0175758541329</v>
      </c>
      <c r="E151" s="5">
        <f>IF(AND(C151&gt;='Amort. Sched.-WORST'!$I$8, C151&lt;= ($I$7+$I$8)), (IPMT($E$8/12, (C151-$I$8), $I$7, $E$7)), 0)</f>
        <v>-1330.91739366212</v>
      </c>
      <c r="F151" s="23">
        <f>IF(AND(C151&gt;='Amort. Sched.-WORST'!$I$8, C151&lt;= ($I$7+$I$8)), (PPMT($E$8/12, (C151-$I$8), $I$7, $E$7)), 0)</f>
        <v>-695.10018219201299</v>
      </c>
      <c r="G151" s="5">
        <f>IF(MortgageAmortWORST[[#This Row],[Month]]=I$8,E$7,0)</f>
        <v>0</v>
      </c>
      <c r="H151" s="13">
        <f>IF(AND(C151&gt;='Amort. Sched.-WORST'!$I$8, C151&lt;= ($I$7+$I$8)), H150+F151, 0)</f>
        <v>198942.50886712596</v>
      </c>
      <c r="I151" s="24">
        <f>IF(AND(C151&gt;='Amort. Sched.-WORST'!$I$8, C151&lt;= ($I$7+$I$8)), E151/D151, " ")</f>
        <v>0.6569130542221624</v>
      </c>
      <c r="J151" s="25">
        <f>IF(AND(C151&gt;='Amort. Sched.-WORST'!$I$8, C151&lt;= ($I$7+$I$8)), F151/D151, " ")</f>
        <v>0.34308694577783766</v>
      </c>
      <c r="L151" s="20">
        <f t="shared" si="34"/>
        <v>140</v>
      </c>
      <c r="M151" s="5">
        <f>IF(AND(L151&gt;='Amort. Sched.-WORST'!$R$8, L151&lt;= ($R$7+$R$8)), PMT('Amort. Sched.-WORST'!$N$8/12, 'Amort. Sched.-WORST'!$R$7, 'Amort. Sched.-WORST'!$N$7), 0)</f>
        <v>0</v>
      </c>
      <c r="N151" s="5">
        <f>IF(AND(L151&gt;='Amort. Sched.-WORST'!$R$8, L151&lt;= ($R$7+$R$8)), (IPMT($N$8/12, (L151-$R$8), $R$7, $N$7)), 0)</f>
        <v>0</v>
      </c>
      <c r="O151" s="5">
        <f>IF(AND(L151&gt;='Amort. Sched.-WORST'!$R$8, L151&lt;= ($R$7+$R$8)), (PPMT($N$8/12, (L151-$R$8), $R$7, $N$7)), 0)</f>
        <v>0</v>
      </c>
      <c r="P151" s="5">
        <f>IF(CreditAmort1WORST[[#This Row],[Month]]=R$8,N$7,0)</f>
        <v>0</v>
      </c>
      <c r="Q151" s="13">
        <f>IF(AND(L151&gt;='Amort. Sched.-WORST'!$R$8, L151&lt;= ($R$7+$R$8)), Q150+O151, 0)</f>
        <v>0</v>
      </c>
      <c r="R151" s="6" t="str">
        <f>IF(AND(L151&gt;='Amort. Sched.-WORST'!$R$8, L151&lt;= ($R$7+$R$8)), N151/M151, " ")</f>
        <v xml:space="preserve"> </v>
      </c>
      <c r="S151" s="21" t="str">
        <f>IF(AND(L151&gt;='Amort. Sched.-WORST'!$R$8, L151&lt;= ($R$7+$R$8)), O151/M151, " ")</f>
        <v xml:space="preserve"> </v>
      </c>
      <c r="U151" s="22">
        <f t="shared" si="36"/>
        <v>140</v>
      </c>
      <c r="V151" s="23">
        <f>IF(AND(U151&gt;='Amort. Sched.-WORST'!$AA$8, U151&lt;= ($AA$7+$AA$8)), PMT('Amort. Sched.-WORST'!$W$8/12, 'Amort. Sched.-WORST'!$AA$7, 'Amort. Sched.-WORST'!$W$7), 0)</f>
        <v>0</v>
      </c>
      <c r="W151" s="5">
        <f>IF(AND(U151&gt;='Amort. Sched.-WORST'!$AA$8, U151&lt;= ($AA$7+$AA$8)), (IPMT($W$8/12, (U151-$AA$8), $AA$7, $W$7)), 0)</f>
        <v>0</v>
      </c>
      <c r="X151" s="23">
        <f>IF(AND(U151&gt;='Amort. Sched.-WORST'!$AA$8, U151&lt;= ($AA$7+$AA$8)), (PPMT($W$8/12, (U151-$AA$8), $AA$7, $W$7)), 0)</f>
        <v>0</v>
      </c>
      <c r="Y151" s="5">
        <f>IF(CreditAmort2WORST[[#This Row],[Month]]=AA$8,W$7,0)</f>
        <v>0</v>
      </c>
      <c r="Z151" s="13">
        <f>IF(AND(U151&gt;='Amort. Sched.-WORST'!$AA$8, U151&lt;= ($AA$7+$AA$8)), Z150+X151, 0)</f>
        <v>0</v>
      </c>
      <c r="AA151" s="24" t="str">
        <f>IF(AND(U151&gt;='Amort. Sched.-WORST'!$AA$8, U151&lt;= ($AA$7+$AA$8)), W151/V151, " ")</f>
        <v xml:space="preserve"> </v>
      </c>
      <c r="AB151" s="25" t="str">
        <f>IF(AND(U151&gt;='Amort. Sched.-WORST'!$AA$8, U151&lt;= ($AA$7+$AA$8)), X151/V151, " ")</f>
        <v xml:space="preserve"> </v>
      </c>
      <c r="AD151" s="20">
        <f t="shared" si="37"/>
        <v>140</v>
      </c>
      <c r="AE151" s="5">
        <f t="shared" si="38"/>
        <v>0</v>
      </c>
      <c r="AF151" s="5">
        <f t="shared" si="39"/>
        <v>0</v>
      </c>
      <c r="AG151" s="5">
        <f t="shared" si="40"/>
        <v>0</v>
      </c>
      <c r="AH151" s="5">
        <f>IF(CreditAmort3WORST[[#This Row],[Month]]=AJ$8,AF$7,0)</f>
        <v>0</v>
      </c>
      <c r="AI151" s="13">
        <f t="shared" si="41"/>
        <v>0</v>
      </c>
      <c r="AJ151" s="6" t="str">
        <f t="shared" si="42"/>
        <v xml:space="preserve"> </v>
      </c>
      <c r="AK151" s="21" t="str">
        <f t="shared" si="43"/>
        <v xml:space="preserve"> </v>
      </c>
      <c r="AM151" s="20">
        <f t="shared" si="44"/>
        <v>140</v>
      </c>
      <c r="AN151" s="5">
        <f t="shared" si="45"/>
        <v>0</v>
      </c>
      <c r="AO151" s="5">
        <f t="shared" si="46"/>
        <v>0</v>
      </c>
      <c r="AP151" s="5">
        <f t="shared" si="47"/>
        <v>0</v>
      </c>
      <c r="AQ151" s="5">
        <f>IF(CreditAmort4WORST[[#This Row],[Month]]=AS$8,AO$7,0)</f>
        <v>0</v>
      </c>
      <c r="AR151" s="13">
        <f t="shared" si="48"/>
        <v>0</v>
      </c>
      <c r="AS151" s="6" t="str">
        <f t="shared" si="49"/>
        <v xml:space="preserve"> </v>
      </c>
      <c r="AT151" s="21" t="str">
        <f t="shared" si="50"/>
        <v xml:space="preserve"> </v>
      </c>
    </row>
    <row r="152" spans="3:46">
      <c r="C152" s="22">
        <f t="shared" si="35"/>
        <v>141</v>
      </c>
      <c r="D152" s="23">
        <f>IF(AND(C152&gt;='Amort. Sched.-WORST'!$I$8, C152&lt;= ($I$7+$I$8)), PMT('Amort. Sched.-WORST'!$E$8/12, 'Amort. Sched.-WORST'!$I$7, 'Amort. Sched.-WORST'!$E$7), 0)</f>
        <v>-2026.0175758541329</v>
      </c>
      <c r="E152" s="5">
        <f>IF(AND(C152&gt;='Amort. Sched.-WORST'!$I$8, C152&lt;= ($I$7+$I$8)), (IPMT($E$8/12, (C152-$I$8), $I$7, $E$7)), 0)</f>
        <v>-1326.2833924475067</v>
      </c>
      <c r="F152" s="23">
        <f>IF(AND(C152&gt;='Amort. Sched.-WORST'!$I$8, C152&lt;= ($I$7+$I$8)), (PPMT($E$8/12, (C152-$I$8), $I$7, $E$7)), 0)</f>
        <v>-699.73418340662647</v>
      </c>
      <c r="G152" s="5">
        <f>IF(MortgageAmortWORST[[#This Row],[Month]]=I$8,E$7,0)</f>
        <v>0</v>
      </c>
      <c r="H152" s="13">
        <f>IF(AND(C152&gt;='Amort. Sched.-WORST'!$I$8, C152&lt;= ($I$7+$I$8)), H151+F152, 0)</f>
        <v>198242.77468371933</v>
      </c>
      <c r="I152" s="24">
        <f>IF(AND(C152&gt;='Amort. Sched.-WORST'!$I$8, C152&lt;= ($I$7+$I$8)), E152/D152, " ")</f>
        <v>0.65462580791697689</v>
      </c>
      <c r="J152" s="25">
        <f>IF(AND(C152&gt;='Amort. Sched.-WORST'!$I$8, C152&lt;= ($I$7+$I$8)), F152/D152, " ")</f>
        <v>0.34537419208302328</v>
      </c>
      <c r="L152" s="20">
        <f t="shared" si="34"/>
        <v>141</v>
      </c>
      <c r="M152" s="5">
        <f>IF(AND(L152&gt;='Amort. Sched.-WORST'!$R$8, L152&lt;= ($R$7+$R$8)), PMT('Amort. Sched.-WORST'!$N$8/12, 'Amort. Sched.-WORST'!$R$7, 'Amort. Sched.-WORST'!$N$7), 0)</f>
        <v>0</v>
      </c>
      <c r="N152" s="5">
        <f>IF(AND(L152&gt;='Amort. Sched.-WORST'!$R$8, L152&lt;= ($R$7+$R$8)), (IPMT($N$8/12, (L152-$R$8), $R$7, $N$7)), 0)</f>
        <v>0</v>
      </c>
      <c r="O152" s="5">
        <f>IF(AND(L152&gt;='Amort. Sched.-WORST'!$R$8, L152&lt;= ($R$7+$R$8)), (PPMT($N$8/12, (L152-$R$8), $R$7, $N$7)), 0)</f>
        <v>0</v>
      </c>
      <c r="P152" s="5">
        <f>IF(CreditAmort1WORST[[#This Row],[Month]]=R$8,N$7,0)</f>
        <v>0</v>
      </c>
      <c r="Q152" s="13">
        <f>IF(AND(L152&gt;='Amort. Sched.-WORST'!$R$8, L152&lt;= ($R$7+$R$8)), Q151+O152, 0)</f>
        <v>0</v>
      </c>
      <c r="R152" s="6" t="str">
        <f>IF(AND(L152&gt;='Amort. Sched.-WORST'!$R$8, L152&lt;= ($R$7+$R$8)), N152/M152, " ")</f>
        <v xml:space="preserve"> </v>
      </c>
      <c r="S152" s="21" t="str">
        <f>IF(AND(L152&gt;='Amort. Sched.-WORST'!$R$8, L152&lt;= ($R$7+$R$8)), O152/M152, " ")</f>
        <v xml:space="preserve"> </v>
      </c>
      <c r="U152" s="22">
        <f t="shared" si="36"/>
        <v>141</v>
      </c>
      <c r="V152" s="23">
        <f>IF(AND(U152&gt;='Amort. Sched.-WORST'!$AA$8, U152&lt;= ($AA$7+$AA$8)), PMT('Amort. Sched.-WORST'!$W$8/12, 'Amort. Sched.-WORST'!$AA$7, 'Amort. Sched.-WORST'!$W$7), 0)</f>
        <v>0</v>
      </c>
      <c r="W152" s="5">
        <f>IF(AND(U152&gt;='Amort. Sched.-WORST'!$AA$8, U152&lt;= ($AA$7+$AA$8)), (IPMT($W$8/12, (U152-$AA$8), $AA$7, $W$7)), 0)</f>
        <v>0</v>
      </c>
      <c r="X152" s="23">
        <f>IF(AND(U152&gt;='Amort. Sched.-WORST'!$AA$8, U152&lt;= ($AA$7+$AA$8)), (PPMT($W$8/12, (U152-$AA$8), $AA$7, $W$7)), 0)</f>
        <v>0</v>
      </c>
      <c r="Y152" s="5">
        <f>IF(CreditAmort2WORST[[#This Row],[Month]]=AA$8,W$7,0)</f>
        <v>0</v>
      </c>
      <c r="Z152" s="13">
        <f>IF(AND(U152&gt;='Amort. Sched.-WORST'!$AA$8, U152&lt;= ($AA$7+$AA$8)), Z151+X152, 0)</f>
        <v>0</v>
      </c>
      <c r="AA152" s="24" t="str">
        <f>IF(AND(U152&gt;='Amort. Sched.-WORST'!$AA$8, U152&lt;= ($AA$7+$AA$8)), W152/V152, " ")</f>
        <v xml:space="preserve"> </v>
      </c>
      <c r="AB152" s="25" t="str">
        <f>IF(AND(U152&gt;='Amort. Sched.-WORST'!$AA$8, U152&lt;= ($AA$7+$AA$8)), X152/V152, " ")</f>
        <v xml:space="preserve"> </v>
      </c>
      <c r="AD152" s="20">
        <f t="shared" si="37"/>
        <v>141</v>
      </c>
      <c r="AE152" s="5">
        <f t="shared" si="38"/>
        <v>0</v>
      </c>
      <c r="AF152" s="5">
        <f t="shared" si="39"/>
        <v>0</v>
      </c>
      <c r="AG152" s="5">
        <f t="shared" si="40"/>
        <v>0</v>
      </c>
      <c r="AH152" s="5">
        <f>IF(CreditAmort3WORST[[#This Row],[Month]]=AJ$8,AF$7,0)</f>
        <v>0</v>
      </c>
      <c r="AI152" s="13">
        <f t="shared" si="41"/>
        <v>0</v>
      </c>
      <c r="AJ152" s="6" t="str">
        <f t="shared" si="42"/>
        <v xml:space="preserve"> </v>
      </c>
      <c r="AK152" s="21" t="str">
        <f t="shared" si="43"/>
        <v xml:space="preserve"> </v>
      </c>
      <c r="AM152" s="20">
        <f t="shared" si="44"/>
        <v>141</v>
      </c>
      <c r="AN152" s="5">
        <f t="shared" si="45"/>
        <v>0</v>
      </c>
      <c r="AO152" s="5">
        <f t="shared" si="46"/>
        <v>0</v>
      </c>
      <c r="AP152" s="5">
        <f t="shared" si="47"/>
        <v>0</v>
      </c>
      <c r="AQ152" s="5">
        <f>IF(CreditAmort4WORST[[#This Row],[Month]]=AS$8,AO$7,0)</f>
        <v>0</v>
      </c>
      <c r="AR152" s="13">
        <f t="shared" si="48"/>
        <v>0</v>
      </c>
      <c r="AS152" s="6" t="str">
        <f t="shared" si="49"/>
        <v xml:space="preserve"> </v>
      </c>
      <c r="AT152" s="21" t="str">
        <f t="shared" si="50"/>
        <v xml:space="preserve"> </v>
      </c>
    </row>
    <row r="153" spans="3:46">
      <c r="C153" s="22">
        <f t="shared" si="35"/>
        <v>142</v>
      </c>
      <c r="D153" s="23">
        <f>IF(AND(C153&gt;='Amort. Sched.-WORST'!$I$8, C153&lt;= ($I$7+$I$8)), PMT('Amort. Sched.-WORST'!$E$8/12, 'Amort. Sched.-WORST'!$I$7, 'Amort. Sched.-WORST'!$E$7), 0)</f>
        <v>-2026.0175758541329</v>
      </c>
      <c r="E153" s="5">
        <f>IF(AND(C153&gt;='Amort. Sched.-WORST'!$I$8, C153&lt;= ($I$7+$I$8)), (IPMT($E$8/12, (C153-$I$8), $I$7, $E$7)), 0)</f>
        <v>-1321.6184978914625</v>
      </c>
      <c r="F153" s="23">
        <f>IF(AND(C153&gt;='Amort. Sched.-WORST'!$I$8, C153&lt;= ($I$7+$I$8)), (PPMT($E$8/12, (C153-$I$8), $I$7, $E$7)), 0)</f>
        <v>-704.3990779626705</v>
      </c>
      <c r="G153" s="5">
        <f>IF(MortgageAmortWORST[[#This Row],[Month]]=I$8,E$7,0)</f>
        <v>0</v>
      </c>
      <c r="H153" s="13">
        <f>IF(AND(C153&gt;='Amort. Sched.-WORST'!$I$8, C153&lt;= ($I$7+$I$8)), H152+F153, 0)</f>
        <v>197538.37560575665</v>
      </c>
      <c r="I153" s="24">
        <f>IF(AND(C153&gt;='Amort. Sched.-WORST'!$I$8, C153&lt;= ($I$7+$I$8)), E153/D153, " ")</f>
        <v>0.65232331330309001</v>
      </c>
      <c r="J153" s="25">
        <f>IF(AND(C153&gt;='Amort. Sched.-WORST'!$I$8, C153&lt;= ($I$7+$I$8)), F153/D153, " ")</f>
        <v>0.34767668669691004</v>
      </c>
      <c r="L153" s="20">
        <f t="shared" si="34"/>
        <v>142</v>
      </c>
      <c r="M153" s="5">
        <f>IF(AND(L153&gt;='Amort. Sched.-WORST'!$R$8, L153&lt;= ($R$7+$R$8)), PMT('Amort. Sched.-WORST'!$N$8/12, 'Amort. Sched.-WORST'!$R$7, 'Amort. Sched.-WORST'!$N$7), 0)</f>
        <v>0</v>
      </c>
      <c r="N153" s="5">
        <f>IF(AND(L153&gt;='Amort. Sched.-WORST'!$R$8, L153&lt;= ($R$7+$R$8)), (IPMT($N$8/12, (L153-$R$8), $R$7, $N$7)), 0)</f>
        <v>0</v>
      </c>
      <c r="O153" s="5">
        <f>IF(AND(L153&gt;='Amort. Sched.-WORST'!$R$8, L153&lt;= ($R$7+$R$8)), (PPMT($N$8/12, (L153-$R$8), $R$7, $N$7)), 0)</f>
        <v>0</v>
      </c>
      <c r="P153" s="5">
        <f>IF(CreditAmort1WORST[[#This Row],[Month]]=R$8,N$7,0)</f>
        <v>0</v>
      </c>
      <c r="Q153" s="13">
        <f>IF(AND(L153&gt;='Amort. Sched.-WORST'!$R$8, L153&lt;= ($R$7+$R$8)), Q152+O153, 0)</f>
        <v>0</v>
      </c>
      <c r="R153" s="6" t="str">
        <f>IF(AND(L153&gt;='Amort. Sched.-WORST'!$R$8, L153&lt;= ($R$7+$R$8)), N153/M153, " ")</f>
        <v xml:space="preserve"> </v>
      </c>
      <c r="S153" s="21" t="str">
        <f>IF(AND(L153&gt;='Amort. Sched.-WORST'!$R$8, L153&lt;= ($R$7+$R$8)), O153/M153, " ")</f>
        <v xml:space="preserve"> </v>
      </c>
      <c r="U153" s="22">
        <f t="shared" si="36"/>
        <v>142</v>
      </c>
      <c r="V153" s="23">
        <f>IF(AND(U153&gt;='Amort. Sched.-WORST'!$AA$8, U153&lt;= ($AA$7+$AA$8)), PMT('Amort. Sched.-WORST'!$W$8/12, 'Amort. Sched.-WORST'!$AA$7, 'Amort. Sched.-WORST'!$W$7), 0)</f>
        <v>0</v>
      </c>
      <c r="W153" s="5">
        <f>IF(AND(U153&gt;='Amort. Sched.-WORST'!$AA$8, U153&lt;= ($AA$7+$AA$8)), (IPMT($W$8/12, (U153-$AA$8), $AA$7, $W$7)), 0)</f>
        <v>0</v>
      </c>
      <c r="X153" s="23">
        <f>IF(AND(U153&gt;='Amort. Sched.-WORST'!$AA$8, U153&lt;= ($AA$7+$AA$8)), (PPMT($W$8/12, (U153-$AA$8), $AA$7, $W$7)), 0)</f>
        <v>0</v>
      </c>
      <c r="Y153" s="5">
        <f>IF(CreditAmort2WORST[[#This Row],[Month]]=AA$8,W$7,0)</f>
        <v>0</v>
      </c>
      <c r="Z153" s="13">
        <f>IF(AND(U153&gt;='Amort. Sched.-WORST'!$AA$8, U153&lt;= ($AA$7+$AA$8)), Z152+X153, 0)</f>
        <v>0</v>
      </c>
      <c r="AA153" s="24" t="str">
        <f>IF(AND(U153&gt;='Amort. Sched.-WORST'!$AA$8, U153&lt;= ($AA$7+$AA$8)), W153/V153, " ")</f>
        <v xml:space="preserve"> </v>
      </c>
      <c r="AB153" s="25" t="str">
        <f>IF(AND(U153&gt;='Amort. Sched.-WORST'!$AA$8, U153&lt;= ($AA$7+$AA$8)), X153/V153, " ")</f>
        <v xml:space="preserve"> </v>
      </c>
      <c r="AD153" s="20">
        <f t="shared" si="37"/>
        <v>142</v>
      </c>
      <c r="AE153" s="5">
        <f t="shared" si="38"/>
        <v>0</v>
      </c>
      <c r="AF153" s="5">
        <f t="shared" si="39"/>
        <v>0</v>
      </c>
      <c r="AG153" s="5">
        <f t="shared" si="40"/>
        <v>0</v>
      </c>
      <c r="AH153" s="5">
        <f>IF(CreditAmort3WORST[[#This Row],[Month]]=AJ$8,AF$7,0)</f>
        <v>0</v>
      </c>
      <c r="AI153" s="13">
        <f t="shared" si="41"/>
        <v>0</v>
      </c>
      <c r="AJ153" s="6" t="str">
        <f t="shared" si="42"/>
        <v xml:space="preserve"> </v>
      </c>
      <c r="AK153" s="21" t="str">
        <f t="shared" si="43"/>
        <v xml:space="preserve"> </v>
      </c>
      <c r="AM153" s="20">
        <f t="shared" si="44"/>
        <v>142</v>
      </c>
      <c r="AN153" s="5">
        <f t="shared" si="45"/>
        <v>0</v>
      </c>
      <c r="AO153" s="5">
        <f t="shared" si="46"/>
        <v>0</v>
      </c>
      <c r="AP153" s="5">
        <f t="shared" si="47"/>
        <v>0</v>
      </c>
      <c r="AQ153" s="5">
        <f>IF(CreditAmort4WORST[[#This Row],[Month]]=AS$8,AO$7,0)</f>
        <v>0</v>
      </c>
      <c r="AR153" s="13">
        <f t="shared" si="48"/>
        <v>0</v>
      </c>
      <c r="AS153" s="6" t="str">
        <f t="shared" si="49"/>
        <v xml:space="preserve"> </v>
      </c>
      <c r="AT153" s="21" t="str">
        <f t="shared" si="50"/>
        <v xml:space="preserve"> </v>
      </c>
    </row>
    <row r="154" spans="3:46">
      <c r="C154" s="22">
        <f t="shared" si="35"/>
        <v>143</v>
      </c>
      <c r="D154" s="23">
        <f>IF(AND(C154&gt;='Amort. Sched.-WORST'!$I$8, C154&lt;= ($I$7+$I$8)), PMT('Amort. Sched.-WORST'!$E$8/12, 'Amort. Sched.-WORST'!$I$7, 'Amort. Sched.-WORST'!$E$7), 0)</f>
        <v>-2026.0175758541329</v>
      </c>
      <c r="E154" s="5">
        <f>IF(AND(C154&gt;='Amort. Sched.-WORST'!$I$8, C154&lt;= ($I$7+$I$8)), (IPMT($E$8/12, (C154-$I$8), $I$7, $E$7)), 0)</f>
        <v>-1316.9225040383781</v>
      </c>
      <c r="F154" s="23">
        <f>IF(AND(C154&gt;='Amort. Sched.-WORST'!$I$8, C154&lt;= ($I$7+$I$8)), (PPMT($E$8/12, (C154-$I$8), $I$7, $E$7)), 0)</f>
        <v>-709.09507181575498</v>
      </c>
      <c r="G154" s="5">
        <f>IF(MortgageAmortWORST[[#This Row],[Month]]=I$8,E$7,0)</f>
        <v>0</v>
      </c>
      <c r="H154" s="13">
        <f>IF(AND(C154&gt;='Amort. Sched.-WORST'!$I$8, C154&lt;= ($I$7+$I$8)), H153+F154, 0)</f>
        <v>196829.28053394088</v>
      </c>
      <c r="I154" s="24">
        <f>IF(AND(C154&gt;='Amort. Sched.-WORST'!$I$8, C154&lt;= ($I$7+$I$8)), E154/D154, " ")</f>
        <v>0.65000546872511067</v>
      </c>
      <c r="J154" s="25">
        <f>IF(AND(C154&gt;='Amort. Sched.-WORST'!$I$8, C154&lt;= ($I$7+$I$8)), F154/D154, " ")</f>
        <v>0.34999453127488944</v>
      </c>
      <c r="L154" s="20">
        <f t="shared" si="34"/>
        <v>143</v>
      </c>
      <c r="M154" s="5">
        <f>IF(AND(L154&gt;='Amort. Sched.-WORST'!$R$8, L154&lt;= ($R$7+$R$8)), PMT('Amort. Sched.-WORST'!$N$8/12, 'Amort. Sched.-WORST'!$R$7, 'Amort. Sched.-WORST'!$N$7), 0)</f>
        <v>0</v>
      </c>
      <c r="N154" s="5">
        <f>IF(AND(L154&gt;='Amort. Sched.-WORST'!$R$8, L154&lt;= ($R$7+$R$8)), (IPMT($N$8/12, (L154-$R$8), $R$7, $N$7)), 0)</f>
        <v>0</v>
      </c>
      <c r="O154" s="5">
        <f>IF(AND(L154&gt;='Amort. Sched.-WORST'!$R$8, L154&lt;= ($R$7+$R$8)), (PPMT($N$8/12, (L154-$R$8), $R$7, $N$7)), 0)</f>
        <v>0</v>
      </c>
      <c r="P154" s="5">
        <f>IF(CreditAmort1WORST[[#This Row],[Month]]=R$8,N$7,0)</f>
        <v>0</v>
      </c>
      <c r="Q154" s="13">
        <f>IF(AND(L154&gt;='Amort. Sched.-WORST'!$R$8, L154&lt;= ($R$7+$R$8)), Q153+O154, 0)</f>
        <v>0</v>
      </c>
      <c r="R154" s="6" t="str">
        <f>IF(AND(L154&gt;='Amort. Sched.-WORST'!$R$8, L154&lt;= ($R$7+$R$8)), N154/M154, " ")</f>
        <v xml:space="preserve"> </v>
      </c>
      <c r="S154" s="21" t="str">
        <f>IF(AND(L154&gt;='Amort. Sched.-WORST'!$R$8, L154&lt;= ($R$7+$R$8)), O154/M154, " ")</f>
        <v xml:space="preserve"> </v>
      </c>
      <c r="U154" s="22">
        <f t="shared" si="36"/>
        <v>143</v>
      </c>
      <c r="V154" s="23">
        <f>IF(AND(U154&gt;='Amort. Sched.-WORST'!$AA$8, U154&lt;= ($AA$7+$AA$8)), PMT('Amort. Sched.-WORST'!$W$8/12, 'Amort. Sched.-WORST'!$AA$7, 'Amort. Sched.-WORST'!$W$7), 0)</f>
        <v>0</v>
      </c>
      <c r="W154" s="5">
        <f>IF(AND(U154&gt;='Amort. Sched.-WORST'!$AA$8, U154&lt;= ($AA$7+$AA$8)), (IPMT($W$8/12, (U154-$AA$8), $AA$7, $W$7)), 0)</f>
        <v>0</v>
      </c>
      <c r="X154" s="23">
        <f>IF(AND(U154&gt;='Amort. Sched.-WORST'!$AA$8, U154&lt;= ($AA$7+$AA$8)), (PPMT($W$8/12, (U154-$AA$8), $AA$7, $W$7)), 0)</f>
        <v>0</v>
      </c>
      <c r="Y154" s="5">
        <f>IF(CreditAmort2WORST[[#This Row],[Month]]=AA$8,W$7,0)</f>
        <v>0</v>
      </c>
      <c r="Z154" s="13">
        <f>IF(AND(U154&gt;='Amort. Sched.-WORST'!$AA$8, U154&lt;= ($AA$7+$AA$8)), Z153+X154, 0)</f>
        <v>0</v>
      </c>
      <c r="AA154" s="24" t="str">
        <f>IF(AND(U154&gt;='Amort. Sched.-WORST'!$AA$8, U154&lt;= ($AA$7+$AA$8)), W154/V154, " ")</f>
        <v xml:space="preserve"> </v>
      </c>
      <c r="AB154" s="25" t="str">
        <f>IF(AND(U154&gt;='Amort. Sched.-WORST'!$AA$8, U154&lt;= ($AA$7+$AA$8)), X154/V154, " ")</f>
        <v xml:space="preserve"> </v>
      </c>
      <c r="AD154" s="20">
        <f t="shared" si="37"/>
        <v>143</v>
      </c>
      <c r="AE154" s="5">
        <f t="shared" si="38"/>
        <v>0</v>
      </c>
      <c r="AF154" s="5">
        <f t="shared" si="39"/>
        <v>0</v>
      </c>
      <c r="AG154" s="5">
        <f t="shared" si="40"/>
        <v>0</v>
      </c>
      <c r="AH154" s="5">
        <f>IF(CreditAmort3WORST[[#This Row],[Month]]=AJ$8,AF$7,0)</f>
        <v>0</v>
      </c>
      <c r="AI154" s="13">
        <f t="shared" si="41"/>
        <v>0</v>
      </c>
      <c r="AJ154" s="6" t="str">
        <f t="shared" si="42"/>
        <v xml:space="preserve"> </v>
      </c>
      <c r="AK154" s="21" t="str">
        <f t="shared" si="43"/>
        <v xml:space="preserve"> </v>
      </c>
      <c r="AM154" s="20">
        <f t="shared" si="44"/>
        <v>143</v>
      </c>
      <c r="AN154" s="5">
        <f t="shared" si="45"/>
        <v>0</v>
      </c>
      <c r="AO154" s="5">
        <f t="shared" si="46"/>
        <v>0</v>
      </c>
      <c r="AP154" s="5">
        <f t="shared" si="47"/>
        <v>0</v>
      </c>
      <c r="AQ154" s="5">
        <f>IF(CreditAmort4WORST[[#This Row],[Month]]=AS$8,AO$7,0)</f>
        <v>0</v>
      </c>
      <c r="AR154" s="13">
        <f t="shared" si="48"/>
        <v>0</v>
      </c>
      <c r="AS154" s="6" t="str">
        <f t="shared" si="49"/>
        <v xml:space="preserve"> </v>
      </c>
      <c r="AT154" s="21" t="str">
        <f t="shared" si="50"/>
        <v xml:space="preserve"> </v>
      </c>
    </row>
    <row r="155" spans="3:46">
      <c r="C155" s="22">
        <f t="shared" si="35"/>
        <v>144</v>
      </c>
      <c r="D155" s="23">
        <f>IF(AND(C155&gt;='Amort. Sched.-WORST'!$I$8, C155&lt;= ($I$7+$I$8)), PMT('Amort. Sched.-WORST'!$E$8/12, 'Amort. Sched.-WORST'!$I$7, 'Amort. Sched.-WORST'!$E$7), 0)</f>
        <v>-2026.0175758541329</v>
      </c>
      <c r="E155" s="5">
        <f>IF(AND(C155&gt;='Amort. Sched.-WORST'!$I$8, C155&lt;= ($I$7+$I$8)), (IPMT($E$8/12, (C155-$I$8), $I$7, $E$7)), 0)</f>
        <v>-1312.1952035596066</v>
      </c>
      <c r="F155" s="23">
        <f>IF(AND(C155&gt;='Amort. Sched.-WORST'!$I$8, C155&lt;= ($I$7+$I$8)), (PPMT($E$8/12, (C155-$I$8), $I$7, $E$7)), 0)</f>
        <v>-713.82237229452664</v>
      </c>
      <c r="G155" s="5">
        <f>IF(MortgageAmortWORST[[#This Row],[Month]]=I$8,E$7,0)</f>
        <v>0</v>
      </c>
      <c r="H155" s="13">
        <f>IF(AND(C155&gt;='Amort. Sched.-WORST'!$I$8, C155&lt;= ($I$7+$I$8)), H154+F155, 0)</f>
        <v>196115.45816164635</v>
      </c>
      <c r="I155" s="24">
        <f>IF(AND(C155&gt;='Amort. Sched.-WORST'!$I$8, C155&lt;= ($I$7+$I$8)), E155/D155, " ")</f>
        <v>0.64767217184994486</v>
      </c>
      <c r="J155" s="25">
        <f>IF(AND(C155&gt;='Amort. Sched.-WORST'!$I$8, C155&lt;= ($I$7+$I$8)), F155/D155, " ")</f>
        <v>0.35232782815005531</v>
      </c>
      <c r="L155" s="20">
        <f t="shared" si="34"/>
        <v>144</v>
      </c>
      <c r="M155" s="5">
        <f>IF(AND(L155&gt;='Amort. Sched.-WORST'!$R$8, L155&lt;= ($R$7+$R$8)), PMT('Amort. Sched.-WORST'!$N$8/12, 'Amort. Sched.-WORST'!$R$7, 'Amort. Sched.-WORST'!$N$7), 0)</f>
        <v>0</v>
      </c>
      <c r="N155" s="5">
        <f>IF(AND(L155&gt;='Amort. Sched.-WORST'!$R$8, L155&lt;= ($R$7+$R$8)), (IPMT($N$8/12, (L155-$R$8), $R$7, $N$7)), 0)</f>
        <v>0</v>
      </c>
      <c r="O155" s="5">
        <f>IF(AND(L155&gt;='Amort. Sched.-WORST'!$R$8, L155&lt;= ($R$7+$R$8)), (PPMT($N$8/12, (L155-$R$8), $R$7, $N$7)), 0)</f>
        <v>0</v>
      </c>
      <c r="P155" s="5">
        <f>IF(CreditAmort1WORST[[#This Row],[Month]]=R$8,N$7,0)</f>
        <v>0</v>
      </c>
      <c r="Q155" s="13">
        <f>IF(AND(L155&gt;='Amort. Sched.-WORST'!$R$8, L155&lt;= ($R$7+$R$8)), Q154+O155, 0)</f>
        <v>0</v>
      </c>
      <c r="R155" s="6" t="str">
        <f>IF(AND(L155&gt;='Amort. Sched.-WORST'!$R$8, L155&lt;= ($R$7+$R$8)), N155/M155, " ")</f>
        <v xml:space="preserve"> </v>
      </c>
      <c r="S155" s="21" t="str">
        <f>IF(AND(L155&gt;='Amort. Sched.-WORST'!$R$8, L155&lt;= ($R$7+$R$8)), O155/M155, " ")</f>
        <v xml:space="preserve"> </v>
      </c>
      <c r="U155" s="22">
        <f t="shared" si="36"/>
        <v>144</v>
      </c>
      <c r="V155" s="23">
        <f>IF(AND(U155&gt;='Amort. Sched.-WORST'!$AA$8, U155&lt;= ($AA$7+$AA$8)), PMT('Amort. Sched.-WORST'!$W$8/12, 'Amort. Sched.-WORST'!$AA$7, 'Amort. Sched.-WORST'!$W$7), 0)</f>
        <v>0</v>
      </c>
      <c r="W155" s="5">
        <f>IF(AND(U155&gt;='Amort. Sched.-WORST'!$AA$8, U155&lt;= ($AA$7+$AA$8)), (IPMT($W$8/12, (U155-$AA$8), $AA$7, $W$7)), 0)</f>
        <v>0</v>
      </c>
      <c r="X155" s="23">
        <f>IF(AND(U155&gt;='Amort. Sched.-WORST'!$AA$8, U155&lt;= ($AA$7+$AA$8)), (PPMT($W$8/12, (U155-$AA$8), $AA$7, $W$7)), 0)</f>
        <v>0</v>
      </c>
      <c r="Y155" s="5">
        <f>IF(CreditAmort2WORST[[#This Row],[Month]]=AA$8,W$7,0)</f>
        <v>0</v>
      </c>
      <c r="Z155" s="13">
        <f>IF(AND(U155&gt;='Amort. Sched.-WORST'!$AA$8, U155&lt;= ($AA$7+$AA$8)), Z154+X155, 0)</f>
        <v>0</v>
      </c>
      <c r="AA155" s="24" t="str">
        <f>IF(AND(U155&gt;='Amort. Sched.-WORST'!$AA$8, U155&lt;= ($AA$7+$AA$8)), W155/V155, " ")</f>
        <v xml:space="preserve"> </v>
      </c>
      <c r="AB155" s="25" t="str">
        <f>IF(AND(U155&gt;='Amort. Sched.-WORST'!$AA$8, U155&lt;= ($AA$7+$AA$8)), X155/V155, " ")</f>
        <v xml:space="preserve"> </v>
      </c>
      <c r="AD155" s="20">
        <f t="shared" si="37"/>
        <v>144</v>
      </c>
      <c r="AE155" s="5">
        <f t="shared" si="38"/>
        <v>0</v>
      </c>
      <c r="AF155" s="5">
        <f t="shared" si="39"/>
        <v>0</v>
      </c>
      <c r="AG155" s="5">
        <f t="shared" si="40"/>
        <v>0</v>
      </c>
      <c r="AH155" s="5">
        <f>IF(CreditAmort3WORST[[#This Row],[Month]]=AJ$8,AF$7,0)</f>
        <v>0</v>
      </c>
      <c r="AI155" s="13">
        <f t="shared" si="41"/>
        <v>0</v>
      </c>
      <c r="AJ155" s="6" t="str">
        <f t="shared" si="42"/>
        <v xml:space="preserve"> </v>
      </c>
      <c r="AK155" s="21" t="str">
        <f t="shared" si="43"/>
        <v xml:space="preserve"> </v>
      </c>
      <c r="AM155" s="20">
        <f t="shared" si="44"/>
        <v>144</v>
      </c>
      <c r="AN155" s="5">
        <f t="shared" si="45"/>
        <v>0</v>
      </c>
      <c r="AO155" s="5">
        <f t="shared" si="46"/>
        <v>0</v>
      </c>
      <c r="AP155" s="5">
        <f t="shared" si="47"/>
        <v>0</v>
      </c>
      <c r="AQ155" s="5">
        <f>IF(CreditAmort4WORST[[#This Row],[Month]]=AS$8,AO$7,0)</f>
        <v>0</v>
      </c>
      <c r="AR155" s="13">
        <f t="shared" si="48"/>
        <v>0</v>
      </c>
      <c r="AS155" s="6" t="str">
        <f t="shared" si="49"/>
        <v xml:space="preserve"> </v>
      </c>
      <c r="AT155" s="21" t="str">
        <f t="shared" si="50"/>
        <v xml:space="preserve"> </v>
      </c>
    </row>
    <row r="156" spans="3:46">
      <c r="C156" s="22">
        <f t="shared" si="35"/>
        <v>145</v>
      </c>
      <c r="D156" s="23">
        <f>IF(AND(C156&gt;='Amort. Sched.-WORST'!$I$8, C156&lt;= ($I$7+$I$8)), PMT('Amort. Sched.-WORST'!$E$8/12, 'Amort. Sched.-WORST'!$I$7, 'Amort. Sched.-WORST'!$E$7), 0)</f>
        <v>-2026.0175758541329</v>
      </c>
      <c r="E156" s="5">
        <f>IF(AND(C156&gt;='Amort. Sched.-WORST'!$I$8, C156&lt;= ($I$7+$I$8)), (IPMT($E$8/12, (C156-$I$8), $I$7, $E$7)), 0)</f>
        <v>-1307.4363877443095</v>
      </c>
      <c r="F156" s="23">
        <f>IF(AND(C156&gt;='Amort. Sched.-WORST'!$I$8, C156&lt;= ($I$7+$I$8)), (PPMT($E$8/12, (C156-$I$8), $I$7, $E$7)), 0)</f>
        <v>-718.58118810982364</v>
      </c>
      <c r="G156" s="5">
        <f>IF(MortgageAmortWORST[[#This Row],[Month]]=I$8,E$7,0)</f>
        <v>0</v>
      </c>
      <c r="H156" s="13">
        <f>IF(AND(C156&gt;='Amort. Sched.-WORST'!$I$8, C156&lt;= ($I$7+$I$8)), H155+F156, 0)</f>
        <v>195396.87697353653</v>
      </c>
      <c r="I156" s="24">
        <f>IF(AND(C156&gt;='Amort. Sched.-WORST'!$I$8, C156&lt;= ($I$7+$I$8)), E156/D156, " ")</f>
        <v>0.64532331966227763</v>
      </c>
      <c r="J156" s="25">
        <f>IF(AND(C156&gt;='Amort. Sched.-WORST'!$I$8, C156&lt;= ($I$7+$I$8)), F156/D156, " ")</f>
        <v>0.35467668033772243</v>
      </c>
      <c r="L156" s="20">
        <f t="shared" si="34"/>
        <v>145</v>
      </c>
      <c r="M156" s="5">
        <f>IF(AND(L156&gt;='Amort. Sched.-WORST'!$R$8, L156&lt;= ($R$7+$R$8)), PMT('Amort. Sched.-WORST'!$N$8/12, 'Amort. Sched.-WORST'!$R$7, 'Amort. Sched.-WORST'!$N$7), 0)</f>
        <v>0</v>
      </c>
      <c r="N156" s="5">
        <f>IF(AND(L156&gt;='Amort. Sched.-WORST'!$R$8, L156&lt;= ($R$7+$R$8)), (IPMT($N$8/12, (L156-$R$8), $R$7, $N$7)), 0)</f>
        <v>0</v>
      </c>
      <c r="O156" s="5">
        <f>IF(AND(L156&gt;='Amort. Sched.-WORST'!$R$8, L156&lt;= ($R$7+$R$8)), (PPMT($N$8/12, (L156-$R$8), $R$7, $N$7)), 0)</f>
        <v>0</v>
      </c>
      <c r="P156" s="5">
        <f>IF(CreditAmort1WORST[[#This Row],[Month]]=R$8,N$7,0)</f>
        <v>0</v>
      </c>
      <c r="Q156" s="13">
        <f>IF(AND(L156&gt;='Amort. Sched.-WORST'!$R$8, L156&lt;= ($R$7+$R$8)), Q155+O156, 0)</f>
        <v>0</v>
      </c>
      <c r="R156" s="6" t="str">
        <f>IF(AND(L156&gt;='Amort. Sched.-WORST'!$R$8, L156&lt;= ($R$7+$R$8)), N156/M156, " ")</f>
        <v xml:space="preserve"> </v>
      </c>
      <c r="S156" s="21" t="str">
        <f>IF(AND(L156&gt;='Amort. Sched.-WORST'!$R$8, L156&lt;= ($R$7+$R$8)), O156/M156, " ")</f>
        <v xml:space="preserve"> </v>
      </c>
      <c r="U156" s="22">
        <f t="shared" si="36"/>
        <v>145</v>
      </c>
      <c r="V156" s="23">
        <f>IF(AND(U156&gt;='Amort. Sched.-WORST'!$AA$8, U156&lt;= ($AA$7+$AA$8)), PMT('Amort. Sched.-WORST'!$W$8/12, 'Amort. Sched.-WORST'!$AA$7, 'Amort. Sched.-WORST'!$W$7), 0)</f>
        <v>0</v>
      </c>
      <c r="W156" s="5">
        <f>IF(AND(U156&gt;='Amort. Sched.-WORST'!$AA$8, U156&lt;= ($AA$7+$AA$8)), (IPMT($W$8/12, (U156-$AA$8), $AA$7, $W$7)), 0)</f>
        <v>0</v>
      </c>
      <c r="X156" s="23">
        <f>IF(AND(U156&gt;='Amort. Sched.-WORST'!$AA$8, U156&lt;= ($AA$7+$AA$8)), (PPMT($W$8/12, (U156-$AA$8), $AA$7, $W$7)), 0)</f>
        <v>0</v>
      </c>
      <c r="Y156" s="5">
        <f>IF(CreditAmort2WORST[[#This Row],[Month]]=AA$8,W$7,0)</f>
        <v>0</v>
      </c>
      <c r="Z156" s="13">
        <f>IF(AND(U156&gt;='Amort. Sched.-WORST'!$AA$8, U156&lt;= ($AA$7+$AA$8)), Z155+X156, 0)</f>
        <v>0</v>
      </c>
      <c r="AA156" s="24" t="str">
        <f>IF(AND(U156&gt;='Amort. Sched.-WORST'!$AA$8, U156&lt;= ($AA$7+$AA$8)), W156/V156, " ")</f>
        <v xml:space="preserve"> </v>
      </c>
      <c r="AB156" s="25" t="str">
        <f>IF(AND(U156&gt;='Amort. Sched.-WORST'!$AA$8, U156&lt;= ($AA$7+$AA$8)), X156/V156, " ")</f>
        <v xml:space="preserve"> </v>
      </c>
      <c r="AD156" s="20">
        <f t="shared" si="37"/>
        <v>145</v>
      </c>
      <c r="AE156" s="5">
        <f t="shared" si="38"/>
        <v>0</v>
      </c>
      <c r="AF156" s="5">
        <f t="shared" si="39"/>
        <v>0</v>
      </c>
      <c r="AG156" s="5">
        <f t="shared" si="40"/>
        <v>0</v>
      </c>
      <c r="AH156" s="5">
        <f>IF(CreditAmort3WORST[[#This Row],[Month]]=AJ$8,AF$7,0)</f>
        <v>0</v>
      </c>
      <c r="AI156" s="13">
        <f t="shared" si="41"/>
        <v>0</v>
      </c>
      <c r="AJ156" s="6" t="str">
        <f t="shared" si="42"/>
        <v xml:space="preserve"> </v>
      </c>
      <c r="AK156" s="21" t="str">
        <f t="shared" si="43"/>
        <v xml:space="preserve"> </v>
      </c>
      <c r="AM156" s="20">
        <f t="shared" si="44"/>
        <v>145</v>
      </c>
      <c r="AN156" s="5">
        <f t="shared" si="45"/>
        <v>0</v>
      </c>
      <c r="AO156" s="5">
        <f t="shared" si="46"/>
        <v>0</v>
      </c>
      <c r="AP156" s="5">
        <f t="shared" si="47"/>
        <v>0</v>
      </c>
      <c r="AQ156" s="5">
        <f>IF(CreditAmort4WORST[[#This Row],[Month]]=AS$8,AO$7,0)</f>
        <v>0</v>
      </c>
      <c r="AR156" s="13">
        <f t="shared" si="48"/>
        <v>0</v>
      </c>
      <c r="AS156" s="6" t="str">
        <f t="shared" si="49"/>
        <v xml:space="preserve"> </v>
      </c>
      <c r="AT156" s="21" t="str">
        <f t="shared" si="50"/>
        <v xml:space="preserve"> </v>
      </c>
    </row>
    <row r="157" spans="3:46">
      <c r="C157" s="22">
        <f t="shared" si="35"/>
        <v>146</v>
      </c>
      <c r="D157" s="23">
        <f>IF(AND(C157&gt;='Amort. Sched.-WORST'!$I$8, C157&lt;= ($I$7+$I$8)), PMT('Amort. Sched.-WORST'!$E$8/12, 'Amort. Sched.-WORST'!$I$7, 'Amort. Sched.-WORST'!$E$7), 0)</f>
        <v>-2026.0175758541329</v>
      </c>
      <c r="E157" s="5">
        <f>IF(AND(C157&gt;='Amort. Sched.-WORST'!$I$8, C157&lt;= ($I$7+$I$8)), (IPMT($E$8/12, (C157-$I$8), $I$7, $E$7)), 0)</f>
        <v>-1302.6458464902441</v>
      </c>
      <c r="F157" s="23">
        <f>IF(AND(C157&gt;='Amort. Sched.-WORST'!$I$8, C157&lt;= ($I$7+$I$8)), (PPMT($E$8/12, (C157-$I$8), $I$7, $E$7)), 0)</f>
        <v>-723.37172936388902</v>
      </c>
      <c r="G157" s="5">
        <f>IF(MortgageAmortWORST[[#This Row],[Month]]=I$8,E$7,0)</f>
        <v>0</v>
      </c>
      <c r="H157" s="13">
        <f>IF(AND(C157&gt;='Amort. Sched.-WORST'!$I$8, C157&lt;= ($I$7+$I$8)), H156+F157, 0)</f>
        <v>194673.50524417264</v>
      </c>
      <c r="I157" s="24">
        <f>IF(AND(C157&gt;='Amort. Sched.-WORST'!$I$8, C157&lt;= ($I$7+$I$8)), E157/D157, " ")</f>
        <v>0.64295880846002629</v>
      </c>
      <c r="J157" s="25">
        <f>IF(AND(C157&gt;='Amort. Sched.-WORST'!$I$8, C157&lt;= ($I$7+$I$8)), F157/D157, " ")</f>
        <v>0.35704119153997388</v>
      </c>
      <c r="L157" s="20">
        <f t="shared" si="34"/>
        <v>146</v>
      </c>
      <c r="M157" s="5">
        <f>IF(AND(L157&gt;='Amort. Sched.-WORST'!$R$8, L157&lt;= ($R$7+$R$8)), PMT('Amort. Sched.-WORST'!$N$8/12, 'Amort. Sched.-WORST'!$R$7, 'Amort. Sched.-WORST'!$N$7), 0)</f>
        <v>0</v>
      </c>
      <c r="N157" s="5">
        <f>IF(AND(L157&gt;='Amort. Sched.-WORST'!$R$8, L157&lt;= ($R$7+$R$8)), (IPMT($N$8/12, (L157-$R$8), $R$7, $N$7)), 0)</f>
        <v>0</v>
      </c>
      <c r="O157" s="5">
        <f>IF(AND(L157&gt;='Amort. Sched.-WORST'!$R$8, L157&lt;= ($R$7+$R$8)), (PPMT($N$8/12, (L157-$R$8), $R$7, $N$7)), 0)</f>
        <v>0</v>
      </c>
      <c r="P157" s="5">
        <f>IF(CreditAmort1WORST[[#This Row],[Month]]=R$8,N$7,0)</f>
        <v>0</v>
      </c>
      <c r="Q157" s="13">
        <f>IF(AND(L157&gt;='Amort. Sched.-WORST'!$R$8, L157&lt;= ($R$7+$R$8)), Q156+O157, 0)</f>
        <v>0</v>
      </c>
      <c r="R157" s="6" t="str">
        <f>IF(AND(L157&gt;='Amort. Sched.-WORST'!$R$8, L157&lt;= ($R$7+$R$8)), N157/M157, " ")</f>
        <v xml:space="preserve"> </v>
      </c>
      <c r="S157" s="21" t="str">
        <f>IF(AND(L157&gt;='Amort. Sched.-WORST'!$R$8, L157&lt;= ($R$7+$R$8)), O157/M157, " ")</f>
        <v xml:space="preserve"> </v>
      </c>
      <c r="U157" s="22">
        <f t="shared" si="36"/>
        <v>146</v>
      </c>
      <c r="V157" s="23">
        <f>IF(AND(U157&gt;='Amort. Sched.-WORST'!$AA$8, U157&lt;= ($AA$7+$AA$8)), PMT('Amort. Sched.-WORST'!$W$8/12, 'Amort. Sched.-WORST'!$AA$7, 'Amort. Sched.-WORST'!$W$7), 0)</f>
        <v>0</v>
      </c>
      <c r="W157" s="5">
        <f>IF(AND(U157&gt;='Amort. Sched.-WORST'!$AA$8, U157&lt;= ($AA$7+$AA$8)), (IPMT($W$8/12, (U157-$AA$8), $AA$7, $W$7)), 0)</f>
        <v>0</v>
      </c>
      <c r="X157" s="23">
        <f>IF(AND(U157&gt;='Amort. Sched.-WORST'!$AA$8, U157&lt;= ($AA$7+$AA$8)), (PPMT($W$8/12, (U157-$AA$8), $AA$7, $W$7)), 0)</f>
        <v>0</v>
      </c>
      <c r="Y157" s="5">
        <f>IF(CreditAmort2WORST[[#This Row],[Month]]=AA$8,W$7,0)</f>
        <v>0</v>
      </c>
      <c r="Z157" s="13">
        <f>IF(AND(U157&gt;='Amort. Sched.-WORST'!$AA$8, U157&lt;= ($AA$7+$AA$8)), Z156+X157, 0)</f>
        <v>0</v>
      </c>
      <c r="AA157" s="24" t="str">
        <f>IF(AND(U157&gt;='Amort. Sched.-WORST'!$AA$8, U157&lt;= ($AA$7+$AA$8)), W157/V157, " ")</f>
        <v xml:space="preserve"> </v>
      </c>
      <c r="AB157" s="25" t="str">
        <f>IF(AND(U157&gt;='Amort. Sched.-WORST'!$AA$8, U157&lt;= ($AA$7+$AA$8)), X157/V157, " ")</f>
        <v xml:space="preserve"> </v>
      </c>
      <c r="AD157" s="20">
        <f t="shared" si="37"/>
        <v>146</v>
      </c>
      <c r="AE157" s="5">
        <f t="shared" si="38"/>
        <v>0</v>
      </c>
      <c r="AF157" s="5">
        <f t="shared" si="39"/>
        <v>0</v>
      </c>
      <c r="AG157" s="5">
        <f t="shared" si="40"/>
        <v>0</v>
      </c>
      <c r="AH157" s="5">
        <f>IF(CreditAmort3WORST[[#This Row],[Month]]=AJ$8,AF$7,0)</f>
        <v>0</v>
      </c>
      <c r="AI157" s="13">
        <f t="shared" si="41"/>
        <v>0</v>
      </c>
      <c r="AJ157" s="6" t="str">
        <f t="shared" si="42"/>
        <v xml:space="preserve"> </v>
      </c>
      <c r="AK157" s="21" t="str">
        <f t="shared" si="43"/>
        <v xml:space="preserve"> </v>
      </c>
      <c r="AM157" s="20">
        <f t="shared" si="44"/>
        <v>146</v>
      </c>
      <c r="AN157" s="5">
        <f t="shared" si="45"/>
        <v>0</v>
      </c>
      <c r="AO157" s="5">
        <f t="shared" si="46"/>
        <v>0</v>
      </c>
      <c r="AP157" s="5">
        <f t="shared" si="47"/>
        <v>0</v>
      </c>
      <c r="AQ157" s="5">
        <f>IF(CreditAmort4WORST[[#This Row],[Month]]=AS$8,AO$7,0)</f>
        <v>0</v>
      </c>
      <c r="AR157" s="13">
        <f t="shared" si="48"/>
        <v>0</v>
      </c>
      <c r="AS157" s="6" t="str">
        <f t="shared" si="49"/>
        <v xml:space="preserve"> </v>
      </c>
      <c r="AT157" s="21" t="str">
        <f t="shared" si="50"/>
        <v xml:space="preserve"> </v>
      </c>
    </row>
    <row r="158" spans="3:46">
      <c r="C158" s="22">
        <f t="shared" si="35"/>
        <v>147</v>
      </c>
      <c r="D158" s="23">
        <f>IF(AND(C158&gt;='Amort. Sched.-WORST'!$I$8, C158&lt;= ($I$7+$I$8)), PMT('Amort. Sched.-WORST'!$E$8/12, 'Amort. Sched.-WORST'!$I$7, 'Amort. Sched.-WORST'!$E$7), 0)</f>
        <v>-2026.0175758541329</v>
      </c>
      <c r="E158" s="5">
        <f>IF(AND(C158&gt;='Amort. Sched.-WORST'!$I$8, C158&lt;= ($I$7+$I$8)), (IPMT($E$8/12, (C158-$I$8), $I$7, $E$7)), 0)</f>
        <v>-1297.8233682944847</v>
      </c>
      <c r="F158" s="23">
        <f>IF(AND(C158&gt;='Amort. Sched.-WORST'!$I$8, C158&lt;= ($I$7+$I$8)), (PPMT($E$8/12, (C158-$I$8), $I$7, $E$7)), 0)</f>
        <v>-728.19420755964825</v>
      </c>
      <c r="G158" s="5">
        <f>IF(MortgageAmortWORST[[#This Row],[Month]]=I$8,E$7,0)</f>
        <v>0</v>
      </c>
      <c r="H158" s="13">
        <f>IF(AND(C158&gt;='Amort. Sched.-WORST'!$I$8, C158&lt;= ($I$7+$I$8)), H157+F158, 0)</f>
        <v>193945.31103661298</v>
      </c>
      <c r="I158" s="24">
        <f>IF(AND(C158&gt;='Amort. Sched.-WORST'!$I$8, C158&lt;= ($I$7+$I$8)), E158/D158, " ")</f>
        <v>0.6405785338497596</v>
      </c>
      <c r="J158" s="25">
        <f>IF(AND(C158&gt;='Amort. Sched.-WORST'!$I$8, C158&lt;= ($I$7+$I$8)), F158/D158, " ")</f>
        <v>0.35942146615024034</v>
      </c>
      <c r="L158" s="20">
        <f t="shared" si="34"/>
        <v>147</v>
      </c>
      <c r="M158" s="5">
        <f>IF(AND(L158&gt;='Amort. Sched.-WORST'!$R$8, L158&lt;= ($R$7+$R$8)), PMT('Amort. Sched.-WORST'!$N$8/12, 'Amort. Sched.-WORST'!$R$7, 'Amort. Sched.-WORST'!$N$7), 0)</f>
        <v>0</v>
      </c>
      <c r="N158" s="5">
        <f>IF(AND(L158&gt;='Amort. Sched.-WORST'!$R$8, L158&lt;= ($R$7+$R$8)), (IPMT($N$8/12, (L158-$R$8), $R$7, $N$7)), 0)</f>
        <v>0</v>
      </c>
      <c r="O158" s="5">
        <f>IF(AND(L158&gt;='Amort. Sched.-WORST'!$R$8, L158&lt;= ($R$7+$R$8)), (PPMT($N$8/12, (L158-$R$8), $R$7, $N$7)), 0)</f>
        <v>0</v>
      </c>
      <c r="P158" s="5">
        <f>IF(CreditAmort1WORST[[#This Row],[Month]]=R$8,N$7,0)</f>
        <v>0</v>
      </c>
      <c r="Q158" s="13">
        <f>IF(AND(L158&gt;='Amort. Sched.-WORST'!$R$8, L158&lt;= ($R$7+$R$8)), Q157+O158, 0)</f>
        <v>0</v>
      </c>
      <c r="R158" s="6" t="str">
        <f>IF(AND(L158&gt;='Amort. Sched.-WORST'!$R$8, L158&lt;= ($R$7+$R$8)), N158/M158, " ")</f>
        <v xml:space="preserve"> </v>
      </c>
      <c r="S158" s="21" t="str">
        <f>IF(AND(L158&gt;='Amort. Sched.-WORST'!$R$8, L158&lt;= ($R$7+$R$8)), O158/M158, " ")</f>
        <v xml:space="preserve"> </v>
      </c>
      <c r="U158" s="22">
        <f t="shared" si="36"/>
        <v>147</v>
      </c>
      <c r="V158" s="23">
        <f>IF(AND(U158&gt;='Amort. Sched.-WORST'!$AA$8, U158&lt;= ($AA$7+$AA$8)), PMT('Amort. Sched.-WORST'!$W$8/12, 'Amort. Sched.-WORST'!$AA$7, 'Amort. Sched.-WORST'!$W$7), 0)</f>
        <v>0</v>
      </c>
      <c r="W158" s="5">
        <f>IF(AND(U158&gt;='Amort. Sched.-WORST'!$AA$8, U158&lt;= ($AA$7+$AA$8)), (IPMT($W$8/12, (U158-$AA$8), $AA$7, $W$7)), 0)</f>
        <v>0</v>
      </c>
      <c r="X158" s="23">
        <f>IF(AND(U158&gt;='Amort. Sched.-WORST'!$AA$8, U158&lt;= ($AA$7+$AA$8)), (PPMT($W$8/12, (U158-$AA$8), $AA$7, $W$7)), 0)</f>
        <v>0</v>
      </c>
      <c r="Y158" s="5">
        <f>IF(CreditAmort2WORST[[#This Row],[Month]]=AA$8,W$7,0)</f>
        <v>0</v>
      </c>
      <c r="Z158" s="13">
        <f>IF(AND(U158&gt;='Amort. Sched.-WORST'!$AA$8, U158&lt;= ($AA$7+$AA$8)), Z157+X158, 0)</f>
        <v>0</v>
      </c>
      <c r="AA158" s="24" t="str">
        <f>IF(AND(U158&gt;='Amort. Sched.-WORST'!$AA$8, U158&lt;= ($AA$7+$AA$8)), W158/V158, " ")</f>
        <v xml:space="preserve"> </v>
      </c>
      <c r="AB158" s="25" t="str">
        <f>IF(AND(U158&gt;='Amort. Sched.-WORST'!$AA$8, U158&lt;= ($AA$7+$AA$8)), X158/V158, " ")</f>
        <v xml:space="preserve"> </v>
      </c>
      <c r="AD158" s="20">
        <f t="shared" si="37"/>
        <v>147</v>
      </c>
      <c r="AE158" s="5">
        <f t="shared" si="38"/>
        <v>0</v>
      </c>
      <c r="AF158" s="5">
        <f t="shared" si="39"/>
        <v>0</v>
      </c>
      <c r="AG158" s="5">
        <f t="shared" si="40"/>
        <v>0</v>
      </c>
      <c r="AH158" s="5">
        <f>IF(CreditAmort3WORST[[#This Row],[Month]]=AJ$8,AF$7,0)</f>
        <v>0</v>
      </c>
      <c r="AI158" s="13">
        <f t="shared" si="41"/>
        <v>0</v>
      </c>
      <c r="AJ158" s="6" t="str">
        <f t="shared" si="42"/>
        <v xml:space="preserve"> </v>
      </c>
      <c r="AK158" s="21" t="str">
        <f t="shared" si="43"/>
        <v xml:space="preserve"> </v>
      </c>
      <c r="AM158" s="20">
        <f t="shared" si="44"/>
        <v>147</v>
      </c>
      <c r="AN158" s="5">
        <f t="shared" si="45"/>
        <v>0</v>
      </c>
      <c r="AO158" s="5">
        <f t="shared" si="46"/>
        <v>0</v>
      </c>
      <c r="AP158" s="5">
        <f t="shared" si="47"/>
        <v>0</v>
      </c>
      <c r="AQ158" s="5">
        <f>IF(CreditAmort4WORST[[#This Row],[Month]]=AS$8,AO$7,0)</f>
        <v>0</v>
      </c>
      <c r="AR158" s="13">
        <f t="shared" si="48"/>
        <v>0</v>
      </c>
      <c r="AS158" s="6" t="str">
        <f t="shared" si="49"/>
        <v xml:space="preserve"> </v>
      </c>
      <c r="AT158" s="21" t="str">
        <f t="shared" si="50"/>
        <v xml:space="preserve"> </v>
      </c>
    </row>
    <row r="159" spans="3:46">
      <c r="C159" s="22">
        <f t="shared" si="35"/>
        <v>148</v>
      </c>
      <c r="D159" s="23">
        <f>IF(AND(C159&gt;='Amort. Sched.-WORST'!$I$8, C159&lt;= ($I$7+$I$8)), PMT('Amort. Sched.-WORST'!$E$8/12, 'Amort. Sched.-WORST'!$I$7, 'Amort. Sched.-WORST'!$E$7), 0)</f>
        <v>-2026.0175758541329</v>
      </c>
      <c r="E159" s="5">
        <f>IF(AND(C159&gt;='Amort. Sched.-WORST'!$I$8, C159&lt;= ($I$7+$I$8)), (IPMT($E$8/12, (C159-$I$8), $I$7, $E$7)), 0)</f>
        <v>-1292.968740244087</v>
      </c>
      <c r="F159" s="23">
        <f>IF(AND(C159&gt;='Amort. Sched.-WORST'!$I$8, C159&lt;= ($I$7+$I$8)), (PPMT($E$8/12, (C159-$I$8), $I$7, $E$7)), 0)</f>
        <v>-733.04883561004601</v>
      </c>
      <c r="G159" s="5">
        <f>IF(MortgageAmortWORST[[#This Row],[Month]]=I$8,E$7,0)</f>
        <v>0</v>
      </c>
      <c r="H159" s="13">
        <f>IF(AND(C159&gt;='Amort. Sched.-WORST'!$I$8, C159&lt;= ($I$7+$I$8)), H158+F159, 0)</f>
        <v>193212.26220100294</v>
      </c>
      <c r="I159" s="24">
        <f>IF(AND(C159&gt;='Amort. Sched.-WORST'!$I$8, C159&lt;= ($I$7+$I$8)), E159/D159, " ")</f>
        <v>0.63818239074209138</v>
      </c>
      <c r="J159" s="25">
        <f>IF(AND(C159&gt;='Amort. Sched.-WORST'!$I$8, C159&lt;= ($I$7+$I$8)), F159/D159, " ")</f>
        <v>0.36181760925790868</v>
      </c>
      <c r="L159" s="20">
        <f t="shared" si="34"/>
        <v>148</v>
      </c>
      <c r="M159" s="5">
        <f>IF(AND(L159&gt;='Amort. Sched.-WORST'!$R$8, L159&lt;= ($R$7+$R$8)), PMT('Amort. Sched.-WORST'!$N$8/12, 'Amort. Sched.-WORST'!$R$7, 'Amort. Sched.-WORST'!$N$7), 0)</f>
        <v>0</v>
      </c>
      <c r="N159" s="5">
        <f>IF(AND(L159&gt;='Amort. Sched.-WORST'!$R$8, L159&lt;= ($R$7+$R$8)), (IPMT($N$8/12, (L159-$R$8), $R$7, $N$7)), 0)</f>
        <v>0</v>
      </c>
      <c r="O159" s="5">
        <f>IF(AND(L159&gt;='Amort. Sched.-WORST'!$R$8, L159&lt;= ($R$7+$R$8)), (PPMT($N$8/12, (L159-$R$8), $R$7, $N$7)), 0)</f>
        <v>0</v>
      </c>
      <c r="P159" s="5">
        <f>IF(CreditAmort1WORST[[#This Row],[Month]]=R$8,N$7,0)</f>
        <v>0</v>
      </c>
      <c r="Q159" s="13">
        <f>IF(AND(L159&gt;='Amort. Sched.-WORST'!$R$8, L159&lt;= ($R$7+$R$8)), Q158+O159, 0)</f>
        <v>0</v>
      </c>
      <c r="R159" s="6" t="str">
        <f>IF(AND(L159&gt;='Amort. Sched.-WORST'!$R$8, L159&lt;= ($R$7+$R$8)), N159/M159, " ")</f>
        <v xml:space="preserve"> </v>
      </c>
      <c r="S159" s="21" t="str">
        <f>IF(AND(L159&gt;='Amort. Sched.-WORST'!$R$8, L159&lt;= ($R$7+$R$8)), O159/M159, " ")</f>
        <v xml:space="preserve"> </v>
      </c>
      <c r="U159" s="22">
        <f t="shared" si="36"/>
        <v>148</v>
      </c>
      <c r="V159" s="23">
        <f>IF(AND(U159&gt;='Amort. Sched.-WORST'!$AA$8, U159&lt;= ($AA$7+$AA$8)), PMT('Amort. Sched.-WORST'!$W$8/12, 'Amort. Sched.-WORST'!$AA$7, 'Amort. Sched.-WORST'!$W$7), 0)</f>
        <v>0</v>
      </c>
      <c r="W159" s="5">
        <f>IF(AND(U159&gt;='Amort. Sched.-WORST'!$AA$8, U159&lt;= ($AA$7+$AA$8)), (IPMT($W$8/12, (U159-$AA$8), $AA$7, $W$7)), 0)</f>
        <v>0</v>
      </c>
      <c r="X159" s="23">
        <f>IF(AND(U159&gt;='Amort. Sched.-WORST'!$AA$8, U159&lt;= ($AA$7+$AA$8)), (PPMT($W$8/12, (U159-$AA$8), $AA$7, $W$7)), 0)</f>
        <v>0</v>
      </c>
      <c r="Y159" s="5">
        <f>IF(CreditAmort2WORST[[#This Row],[Month]]=AA$8,W$7,0)</f>
        <v>0</v>
      </c>
      <c r="Z159" s="13">
        <f>IF(AND(U159&gt;='Amort. Sched.-WORST'!$AA$8, U159&lt;= ($AA$7+$AA$8)), Z158+X159, 0)</f>
        <v>0</v>
      </c>
      <c r="AA159" s="24" t="str">
        <f>IF(AND(U159&gt;='Amort. Sched.-WORST'!$AA$8, U159&lt;= ($AA$7+$AA$8)), W159/V159, " ")</f>
        <v xml:space="preserve"> </v>
      </c>
      <c r="AB159" s="25" t="str">
        <f>IF(AND(U159&gt;='Amort. Sched.-WORST'!$AA$8, U159&lt;= ($AA$7+$AA$8)), X159/V159, " ")</f>
        <v xml:space="preserve"> </v>
      </c>
      <c r="AD159" s="20">
        <f t="shared" si="37"/>
        <v>148</v>
      </c>
      <c r="AE159" s="5">
        <f t="shared" si="38"/>
        <v>0</v>
      </c>
      <c r="AF159" s="5">
        <f t="shared" si="39"/>
        <v>0</v>
      </c>
      <c r="AG159" s="5">
        <f t="shared" si="40"/>
        <v>0</v>
      </c>
      <c r="AH159" s="5">
        <f>IF(CreditAmort3WORST[[#This Row],[Month]]=AJ$8,AF$7,0)</f>
        <v>0</v>
      </c>
      <c r="AI159" s="13">
        <f t="shared" si="41"/>
        <v>0</v>
      </c>
      <c r="AJ159" s="6" t="str">
        <f t="shared" si="42"/>
        <v xml:space="preserve"> </v>
      </c>
      <c r="AK159" s="21" t="str">
        <f t="shared" si="43"/>
        <v xml:space="preserve"> </v>
      </c>
      <c r="AM159" s="20">
        <f t="shared" si="44"/>
        <v>148</v>
      </c>
      <c r="AN159" s="5">
        <f t="shared" si="45"/>
        <v>0</v>
      </c>
      <c r="AO159" s="5">
        <f t="shared" si="46"/>
        <v>0</v>
      </c>
      <c r="AP159" s="5">
        <f t="shared" si="47"/>
        <v>0</v>
      </c>
      <c r="AQ159" s="5">
        <f>IF(CreditAmort4WORST[[#This Row],[Month]]=AS$8,AO$7,0)</f>
        <v>0</v>
      </c>
      <c r="AR159" s="13">
        <f t="shared" si="48"/>
        <v>0</v>
      </c>
      <c r="AS159" s="6" t="str">
        <f t="shared" si="49"/>
        <v xml:space="preserve"> </v>
      </c>
      <c r="AT159" s="21" t="str">
        <f t="shared" si="50"/>
        <v xml:space="preserve"> </v>
      </c>
    </row>
    <row r="160" spans="3:46">
      <c r="C160" s="22">
        <f t="shared" si="35"/>
        <v>149</v>
      </c>
      <c r="D160" s="23">
        <f>IF(AND(C160&gt;='Amort. Sched.-WORST'!$I$8, C160&lt;= ($I$7+$I$8)), PMT('Amort. Sched.-WORST'!$E$8/12, 'Amort. Sched.-WORST'!$I$7, 'Amort. Sched.-WORST'!$E$7), 0)</f>
        <v>-2026.0175758541329</v>
      </c>
      <c r="E160" s="5">
        <f>IF(AND(C160&gt;='Amort. Sched.-WORST'!$I$8, C160&lt;= ($I$7+$I$8)), (IPMT($E$8/12, (C160-$I$8), $I$7, $E$7)), 0)</f>
        <v>-1288.0817480066869</v>
      </c>
      <c r="F160" s="23">
        <f>IF(AND(C160&gt;='Amort. Sched.-WORST'!$I$8, C160&lt;= ($I$7+$I$8)), (PPMT($E$8/12, (C160-$I$8), $I$7, $E$7)), 0)</f>
        <v>-737.93582784744626</v>
      </c>
      <c r="G160" s="5">
        <f>IF(MortgageAmortWORST[[#This Row],[Month]]=I$8,E$7,0)</f>
        <v>0</v>
      </c>
      <c r="H160" s="13">
        <f>IF(AND(C160&gt;='Amort. Sched.-WORST'!$I$8, C160&lt;= ($I$7+$I$8)), H159+F160, 0)</f>
        <v>192474.32637315549</v>
      </c>
      <c r="I160" s="24">
        <f>IF(AND(C160&gt;='Amort. Sched.-WORST'!$I$8, C160&lt;= ($I$7+$I$8)), E160/D160, " ")</f>
        <v>0.63577027334703873</v>
      </c>
      <c r="J160" s="25">
        <f>IF(AND(C160&gt;='Amort. Sched.-WORST'!$I$8, C160&lt;= ($I$7+$I$8)), F160/D160, " ")</f>
        <v>0.36422972665296138</v>
      </c>
      <c r="L160" s="20">
        <f t="shared" si="34"/>
        <v>149</v>
      </c>
      <c r="M160" s="5">
        <f>IF(AND(L160&gt;='Amort. Sched.-WORST'!$R$8, L160&lt;= ($R$7+$R$8)), PMT('Amort. Sched.-WORST'!$N$8/12, 'Amort. Sched.-WORST'!$R$7, 'Amort. Sched.-WORST'!$N$7), 0)</f>
        <v>0</v>
      </c>
      <c r="N160" s="5">
        <f>IF(AND(L160&gt;='Amort. Sched.-WORST'!$R$8, L160&lt;= ($R$7+$R$8)), (IPMT($N$8/12, (L160-$R$8), $R$7, $N$7)), 0)</f>
        <v>0</v>
      </c>
      <c r="O160" s="5">
        <f>IF(AND(L160&gt;='Amort. Sched.-WORST'!$R$8, L160&lt;= ($R$7+$R$8)), (PPMT($N$8/12, (L160-$R$8), $R$7, $N$7)), 0)</f>
        <v>0</v>
      </c>
      <c r="P160" s="5">
        <f>IF(CreditAmort1WORST[[#This Row],[Month]]=R$8,N$7,0)</f>
        <v>0</v>
      </c>
      <c r="Q160" s="13">
        <f>IF(AND(L160&gt;='Amort. Sched.-WORST'!$R$8, L160&lt;= ($R$7+$R$8)), Q159+O160, 0)</f>
        <v>0</v>
      </c>
      <c r="R160" s="6" t="str">
        <f>IF(AND(L160&gt;='Amort. Sched.-WORST'!$R$8, L160&lt;= ($R$7+$R$8)), N160/M160, " ")</f>
        <v xml:space="preserve"> </v>
      </c>
      <c r="S160" s="21" t="str">
        <f>IF(AND(L160&gt;='Amort. Sched.-WORST'!$R$8, L160&lt;= ($R$7+$R$8)), O160/M160, " ")</f>
        <v xml:space="preserve"> </v>
      </c>
      <c r="U160" s="22">
        <f t="shared" si="36"/>
        <v>149</v>
      </c>
      <c r="V160" s="23">
        <f>IF(AND(U160&gt;='Amort. Sched.-WORST'!$AA$8, U160&lt;= ($AA$7+$AA$8)), PMT('Amort. Sched.-WORST'!$W$8/12, 'Amort. Sched.-WORST'!$AA$7, 'Amort. Sched.-WORST'!$W$7), 0)</f>
        <v>0</v>
      </c>
      <c r="W160" s="5">
        <f>IF(AND(U160&gt;='Amort. Sched.-WORST'!$AA$8, U160&lt;= ($AA$7+$AA$8)), (IPMT($W$8/12, (U160-$AA$8), $AA$7, $W$7)), 0)</f>
        <v>0</v>
      </c>
      <c r="X160" s="23">
        <f>IF(AND(U160&gt;='Amort. Sched.-WORST'!$AA$8, U160&lt;= ($AA$7+$AA$8)), (PPMT($W$8/12, (U160-$AA$8), $AA$7, $W$7)), 0)</f>
        <v>0</v>
      </c>
      <c r="Y160" s="5">
        <f>IF(CreditAmort2WORST[[#This Row],[Month]]=AA$8,W$7,0)</f>
        <v>0</v>
      </c>
      <c r="Z160" s="13">
        <f>IF(AND(U160&gt;='Amort. Sched.-WORST'!$AA$8, U160&lt;= ($AA$7+$AA$8)), Z159+X160, 0)</f>
        <v>0</v>
      </c>
      <c r="AA160" s="24" t="str">
        <f>IF(AND(U160&gt;='Amort. Sched.-WORST'!$AA$8, U160&lt;= ($AA$7+$AA$8)), W160/V160, " ")</f>
        <v xml:space="preserve"> </v>
      </c>
      <c r="AB160" s="25" t="str">
        <f>IF(AND(U160&gt;='Amort. Sched.-WORST'!$AA$8, U160&lt;= ($AA$7+$AA$8)), X160/V160, " ")</f>
        <v xml:space="preserve"> </v>
      </c>
      <c r="AD160" s="20">
        <f t="shared" si="37"/>
        <v>149</v>
      </c>
      <c r="AE160" s="5">
        <f t="shared" si="38"/>
        <v>0</v>
      </c>
      <c r="AF160" s="5">
        <f t="shared" si="39"/>
        <v>0</v>
      </c>
      <c r="AG160" s="5">
        <f t="shared" si="40"/>
        <v>0</v>
      </c>
      <c r="AH160" s="5">
        <f>IF(CreditAmort3WORST[[#This Row],[Month]]=AJ$8,AF$7,0)</f>
        <v>0</v>
      </c>
      <c r="AI160" s="13">
        <f t="shared" si="41"/>
        <v>0</v>
      </c>
      <c r="AJ160" s="6" t="str">
        <f t="shared" si="42"/>
        <v xml:space="preserve"> </v>
      </c>
      <c r="AK160" s="21" t="str">
        <f t="shared" si="43"/>
        <v xml:space="preserve"> </v>
      </c>
      <c r="AM160" s="20">
        <f t="shared" si="44"/>
        <v>149</v>
      </c>
      <c r="AN160" s="5">
        <f t="shared" si="45"/>
        <v>0</v>
      </c>
      <c r="AO160" s="5">
        <f t="shared" si="46"/>
        <v>0</v>
      </c>
      <c r="AP160" s="5">
        <f t="shared" si="47"/>
        <v>0</v>
      </c>
      <c r="AQ160" s="5">
        <f>IF(CreditAmort4WORST[[#This Row],[Month]]=AS$8,AO$7,0)</f>
        <v>0</v>
      </c>
      <c r="AR160" s="13">
        <f t="shared" si="48"/>
        <v>0</v>
      </c>
      <c r="AS160" s="6" t="str">
        <f t="shared" si="49"/>
        <v xml:space="preserve"> </v>
      </c>
      <c r="AT160" s="21" t="str">
        <f t="shared" si="50"/>
        <v xml:space="preserve"> </v>
      </c>
    </row>
    <row r="161" spans="3:46">
      <c r="C161" s="22">
        <f t="shared" si="35"/>
        <v>150</v>
      </c>
      <c r="D161" s="23">
        <f>IF(AND(C161&gt;='Amort. Sched.-WORST'!$I$8, C161&lt;= ($I$7+$I$8)), PMT('Amort. Sched.-WORST'!$E$8/12, 'Amort. Sched.-WORST'!$I$7, 'Amort. Sched.-WORST'!$E$7), 0)</f>
        <v>-2026.0175758541329</v>
      </c>
      <c r="E161" s="5">
        <f>IF(AND(C161&gt;='Amort. Sched.-WORST'!$I$8, C161&lt;= ($I$7+$I$8)), (IPMT($E$8/12, (C161-$I$8), $I$7, $E$7)), 0)</f>
        <v>-1283.1621758210372</v>
      </c>
      <c r="F161" s="23">
        <f>IF(AND(C161&gt;='Amort. Sched.-WORST'!$I$8, C161&lt;= ($I$7+$I$8)), (PPMT($E$8/12, (C161-$I$8), $I$7, $E$7)), 0)</f>
        <v>-742.85540003309586</v>
      </c>
      <c r="G161" s="5">
        <f>IF(MortgageAmortWORST[[#This Row],[Month]]=I$8,E$7,0)</f>
        <v>0</v>
      </c>
      <c r="H161" s="13">
        <f>IF(AND(C161&gt;='Amort. Sched.-WORST'!$I$8, C161&lt;= ($I$7+$I$8)), H160+F161, 0)</f>
        <v>191731.4709731224</v>
      </c>
      <c r="I161" s="24">
        <f>IF(AND(C161&gt;='Amort. Sched.-WORST'!$I$8, C161&lt;= ($I$7+$I$8)), E161/D161, " ")</f>
        <v>0.63334207516935226</v>
      </c>
      <c r="J161" s="25">
        <f>IF(AND(C161&gt;='Amort. Sched.-WORST'!$I$8, C161&lt;= ($I$7+$I$8)), F161/D161, " ")</f>
        <v>0.36665792483064774</v>
      </c>
      <c r="L161" s="20">
        <f t="shared" si="34"/>
        <v>150</v>
      </c>
      <c r="M161" s="5">
        <f>IF(AND(L161&gt;='Amort. Sched.-WORST'!$R$8, L161&lt;= ($R$7+$R$8)), PMT('Amort. Sched.-WORST'!$N$8/12, 'Amort. Sched.-WORST'!$R$7, 'Amort. Sched.-WORST'!$N$7), 0)</f>
        <v>0</v>
      </c>
      <c r="N161" s="5">
        <f>IF(AND(L161&gt;='Amort. Sched.-WORST'!$R$8, L161&lt;= ($R$7+$R$8)), (IPMT($N$8/12, (L161-$R$8), $R$7, $N$7)), 0)</f>
        <v>0</v>
      </c>
      <c r="O161" s="5">
        <f>IF(AND(L161&gt;='Amort. Sched.-WORST'!$R$8, L161&lt;= ($R$7+$R$8)), (PPMT($N$8/12, (L161-$R$8), $R$7, $N$7)), 0)</f>
        <v>0</v>
      </c>
      <c r="P161" s="5">
        <f>IF(CreditAmort1WORST[[#This Row],[Month]]=R$8,N$7,0)</f>
        <v>0</v>
      </c>
      <c r="Q161" s="13">
        <f>IF(AND(L161&gt;='Amort. Sched.-WORST'!$R$8, L161&lt;= ($R$7+$R$8)), Q160+O161, 0)</f>
        <v>0</v>
      </c>
      <c r="R161" s="6" t="str">
        <f>IF(AND(L161&gt;='Amort. Sched.-WORST'!$R$8, L161&lt;= ($R$7+$R$8)), N161/M161, " ")</f>
        <v xml:space="preserve"> </v>
      </c>
      <c r="S161" s="21" t="str">
        <f>IF(AND(L161&gt;='Amort. Sched.-WORST'!$R$8, L161&lt;= ($R$7+$R$8)), O161/M161, " ")</f>
        <v xml:space="preserve"> </v>
      </c>
      <c r="U161" s="22">
        <f t="shared" si="36"/>
        <v>150</v>
      </c>
      <c r="V161" s="23">
        <f>IF(AND(U161&gt;='Amort. Sched.-WORST'!$AA$8, U161&lt;= ($AA$7+$AA$8)), PMT('Amort. Sched.-WORST'!$W$8/12, 'Amort. Sched.-WORST'!$AA$7, 'Amort. Sched.-WORST'!$W$7), 0)</f>
        <v>0</v>
      </c>
      <c r="W161" s="5">
        <f>IF(AND(U161&gt;='Amort. Sched.-WORST'!$AA$8, U161&lt;= ($AA$7+$AA$8)), (IPMT($W$8/12, (U161-$AA$8), $AA$7, $W$7)), 0)</f>
        <v>0</v>
      </c>
      <c r="X161" s="23">
        <f>IF(AND(U161&gt;='Amort. Sched.-WORST'!$AA$8, U161&lt;= ($AA$7+$AA$8)), (PPMT($W$8/12, (U161-$AA$8), $AA$7, $W$7)), 0)</f>
        <v>0</v>
      </c>
      <c r="Y161" s="5">
        <f>IF(CreditAmort2WORST[[#This Row],[Month]]=AA$8,W$7,0)</f>
        <v>0</v>
      </c>
      <c r="Z161" s="13">
        <f>IF(AND(U161&gt;='Amort. Sched.-WORST'!$AA$8, U161&lt;= ($AA$7+$AA$8)), Z160+X161, 0)</f>
        <v>0</v>
      </c>
      <c r="AA161" s="24" t="str">
        <f>IF(AND(U161&gt;='Amort. Sched.-WORST'!$AA$8, U161&lt;= ($AA$7+$AA$8)), W161/V161, " ")</f>
        <v xml:space="preserve"> </v>
      </c>
      <c r="AB161" s="25" t="str">
        <f>IF(AND(U161&gt;='Amort. Sched.-WORST'!$AA$8, U161&lt;= ($AA$7+$AA$8)), X161/V161, " ")</f>
        <v xml:space="preserve"> </v>
      </c>
      <c r="AD161" s="20">
        <f t="shared" si="37"/>
        <v>150</v>
      </c>
      <c r="AE161" s="5">
        <f t="shared" si="38"/>
        <v>0</v>
      </c>
      <c r="AF161" s="5">
        <f t="shared" si="39"/>
        <v>0</v>
      </c>
      <c r="AG161" s="5">
        <f t="shared" si="40"/>
        <v>0</v>
      </c>
      <c r="AH161" s="5">
        <f>IF(CreditAmort3WORST[[#This Row],[Month]]=AJ$8,AF$7,0)</f>
        <v>0</v>
      </c>
      <c r="AI161" s="13">
        <f t="shared" si="41"/>
        <v>0</v>
      </c>
      <c r="AJ161" s="6" t="str">
        <f t="shared" si="42"/>
        <v xml:space="preserve"> </v>
      </c>
      <c r="AK161" s="21" t="str">
        <f t="shared" si="43"/>
        <v xml:space="preserve"> </v>
      </c>
      <c r="AM161" s="20">
        <f t="shared" si="44"/>
        <v>150</v>
      </c>
      <c r="AN161" s="5">
        <f t="shared" si="45"/>
        <v>0</v>
      </c>
      <c r="AO161" s="5">
        <f t="shared" si="46"/>
        <v>0</v>
      </c>
      <c r="AP161" s="5">
        <f t="shared" si="47"/>
        <v>0</v>
      </c>
      <c r="AQ161" s="5">
        <f>IF(CreditAmort4WORST[[#This Row],[Month]]=AS$8,AO$7,0)</f>
        <v>0</v>
      </c>
      <c r="AR161" s="13">
        <f t="shared" si="48"/>
        <v>0</v>
      </c>
      <c r="AS161" s="6" t="str">
        <f t="shared" si="49"/>
        <v xml:space="preserve"> </v>
      </c>
      <c r="AT161" s="21" t="str">
        <f t="shared" si="50"/>
        <v xml:space="preserve"> </v>
      </c>
    </row>
    <row r="162" spans="3:46">
      <c r="C162" s="22">
        <f t="shared" si="35"/>
        <v>151</v>
      </c>
      <c r="D162" s="23">
        <f>IF(AND(C162&gt;='Amort. Sched.-WORST'!$I$8, C162&lt;= ($I$7+$I$8)), PMT('Amort. Sched.-WORST'!$E$8/12, 'Amort. Sched.-WORST'!$I$7, 'Amort. Sched.-WORST'!$E$7), 0)</f>
        <v>-2026.0175758541329</v>
      </c>
      <c r="E162" s="5">
        <f>IF(AND(C162&gt;='Amort. Sched.-WORST'!$I$8, C162&lt;= ($I$7+$I$8)), (IPMT($E$8/12, (C162-$I$8), $I$7, $E$7)), 0)</f>
        <v>-1278.2098064874831</v>
      </c>
      <c r="F162" s="23">
        <f>IF(AND(C162&gt;='Amort. Sched.-WORST'!$I$8, C162&lt;= ($I$7+$I$8)), (PPMT($E$8/12, (C162-$I$8), $I$7, $E$7)), 0)</f>
        <v>-747.80776936664984</v>
      </c>
      <c r="G162" s="5">
        <f>IF(MortgageAmortWORST[[#This Row],[Month]]=I$8,E$7,0)</f>
        <v>0</v>
      </c>
      <c r="H162" s="13">
        <f>IF(AND(C162&gt;='Amort. Sched.-WORST'!$I$8, C162&lt;= ($I$7+$I$8)), H161+F162, 0)</f>
        <v>190983.66320375574</v>
      </c>
      <c r="I162" s="24">
        <f>IF(AND(C162&gt;='Amort. Sched.-WORST'!$I$8, C162&lt;= ($I$7+$I$8)), E162/D162, " ")</f>
        <v>0.6308976890038146</v>
      </c>
      <c r="J162" s="25">
        <f>IF(AND(C162&gt;='Amort. Sched.-WORST'!$I$8, C162&lt;= ($I$7+$I$8)), F162/D162, " ")</f>
        <v>0.3691023109961854</v>
      </c>
      <c r="L162" s="20">
        <f t="shared" si="34"/>
        <v>151</v>
      </c>
      <c r="M162" s="5">
        <f>IF(AND(L162&gt;='Amort. Sched.-WORST'!$R$8, L162&lt;= ($R$7+$R$8)), PMT('Amort. Sched.-WORST'!$N$8/12, 'Amort. Sched.-WORST'!$R$7, 'Amort. Sched.-WORST'!$N$7), 0)</f>
        <v>0</v>
      </c>
      <c r="N162" s="5">
        <f>IF(AND(L162&gt;='Amort. Sched.-WORST'!$R$8, L162&lt;= ($R$7+$R$8)), (IPMT($N$8/12, (L162-$R$8), $R$7, $N$7)), 0)</f>
        <v>0</v>
      </c>
      <c r="O162" s="5">
        <f>IF(AND(L162&gt;='Amort. Sched.-WORST'!$R$8, L162&lt;= ($R$7+$R$8)), (PPMT($N$8/12, (L162-$R$8), $R$7, $N$7)), 0)</f>
        <v>0</v>
      </c>
      <c r="P162" s="5">
        <f>IF(CreditAmort1WORST[[#This Row],[Month]]=R$8,N$7,0)</f>
        <v>0</v>
      </c>
      <c r="Q162" s="13">
        <f>IF(AND(L162&gt;='Amort. Sched.-WORST'!$R$8, L162&lt;= ($R$7+$R$8)), Q161+O162, 0)</f>
        <v>0</v>
      </c>
      <c r="R162" s="6" t="str">
        <f>IF(AND(L162&gt;='Amort. Sched.-WORST'!$R$8, L162&lt;= ($R$7+$R$8)), N162/M162, " ")</f>
        <v xml:space="preserve"> </v>
      </c>
      <c r="S162" s="21" t="str">
        <f>IF(AND(L162&gt;='Amort. Sched.-WORST'!$R$8, L162&lt;= ($R$7+$R$8)), O162/M162, " ")</f>
        <v xml:space="preserve"> </v>
      </c>
      <c r="U162" s="22">
        <f t="shared" si="36"/>
        <v>151</v>
      </c>
      <c r="V162" s="23">
        <f>IF(AND(U162&gt;='Amort. Sched.-WORST'!$AA$8, U162&lt;= ($AA$7+$AA$8)), PMT('Amort. Sched.-WORST'!$W$8/12, 'Amort. Sched.-WORST'!$AA$7, 'Amort. Sched.-WORST'!$W$7), 0)</f>
        <v>0</v>
      </c>
      <c r="W162" s="5">
        <f>IF(AND(U162&gt;='Amort. Sched.-WORST'!$AA$8, U162&lt;= ($AA$7+$AA$8)), (IPMT($W$8/12, (U162-$AA$8), $AA$7, $W$7)), 0)</f>
        <v>0</v>
      </c>
      <c r="X162" s="23">
        <f>IF(AND(U162&gt;='Amort. Sched.-WORST'!$AA$8, U162&lt;= ($AA$7+$AA$8)), (PPMT($W$8/12, (U162-$AA$8), $AA$7, $W$7)), 0)</f>
        <v>0</v>
      </c>
      <c r="Y162" s="5">
        <f>IF(CreditAmort2WORST[[#This Row],[Month]]=AA$8,W$7,0)</f>
        <v>0</v>
      </c>
      <c r="Z162" s="13">
        <f>IF(AND(U162&gt;='Amort. Sched.-WORST'!$AA$8, U162&lt;= ($AA$7+$AA$8)), Z161+X162, 0)</f>
        <v>0</v>
      </c>
      <c r="AA162" s="24" t="str">
        <f>IF(AND(U162&gt;='Amort. Sched.-WORST'!$AA$8, U162&lt;= ($AA$7+$AA$8)), W162/V162, " ")</f>
        <v xml:space="preserve"> </v>
      </c>
      <c r="AB162" s="25" t="str">
        <f>IF(AND(U162&gt;='Amort. Sched.-WORST'!$AA$8, U162&lt;= ($AA$7+$AA$8)), X162/V162, " ")</f>
        <v xml:space="preserve"> </v>
      </c>
      <c r="AD162" s="20">
        <f t="shared" si="37"/>
        <v>151</v>
      </c>
      <c r="AE162" s="5">
        <f t="shared" si="38"/>
        <v>0</v>
      </c>
      <c r="AF162" s="5">
        <f t="shared" si="39"/>
        <v>0</v>
      </c>
      <c r="AG162" s="5">
        <f t="shared" si="40"/>
        <v>0</v>
      </c>
      <c r="AH162" s="5">
        <f>IF(CreditAmort3WORST[[#This Row],[Month]]=AJ$8,AF$7,0)</f>
        <v>0</v>
      </c>
      <c r="AI162" s="13">
        <f t="shared" si="41"/>
        <v>0</v>
      </c>
      <c r="AJ162" s="6" t="str">
        <f t="shared" si="42"/>
        <v xml:space="preserve"> </v>
      </c>
      <c r="AK162" s="21" t="str">
        <f t="shared" si="43"/>
        <v xml:space="preserve"> </v>
      </c>
      <c r="AM162" s="20">
        <f t="shared" si="44"/>
        <v>151</v>
      </c>
      <c r="AN162" s="5">
        <f t="shared" si="45"/>
        <v>0</v>
      </c>
      <c r="AO162" s="5">
        <f t="shared" si="46"/>
        <v>0</v>
      </c>
      <c r="AP162" s="5">
        <f t="shared" si="47"/>
        <v>0</v>
      </c>
      <c r="AQ162" s="5">
        <f>IF(CreditAmort4WORST[[#This Row],[Month]]=AS$8,AO$7,0)</f>
        <v>0</v>
      </c>
      <c r="AR162" s="13">
        <f t="shared" si="48"/>
        <v>0</v>
      </c>
      <c r="AS162" s="6" t="str">
        <f t="shared" si="49"/>
        <v xml:space="preserve"> </v>
      </c>
      <c r="AT162" s="21" t="str">
        <f t="shared" si="50"/>
        <v xml:space="preserve"> </v>
      </c>
    </row>
    <row r="163" spans="3:46">
      <c r="C163" s="22">
        <f t="shared" si="35"/>
        <v>152</v>
      </c>
      <c r="D163" s="23">
        <f>IF(AND(C163&gt;='Amort. Sched.-WORST'!$I$8, C163&lt;= ($I$7+$I$8)), PMT('Amort. Sched.-WORST'!$E$8/12, 'Amort. Sched.-WORST'!$I$7, 'Amort. Sched.-WORST'!$E$7), 0)</f>
        <v>-2026.0175758541329</v>
      </c>
      <c r="E163" s="5">
        <f>IF(AND(C163&gt;='Amort. Sched.-WORST'!$I$8, C163&lt;= ($I$7+$I$8)), (IPMT($E$8/12, (C163-$I$8), $I$7, $E$7)), 0)</f>
        <v>-1273.2244213583722</v>
      </c>
      <c r="F163" s="23">
        <f>IF(AND(C163&gt;='Amort. Sched.-WORST'!$I$8, C163&lt;= ($I$7+$I$8)), (PPMT($E$8/12, (C163-$I$8), $I$7, $E$7)), 0)</f>
        <v>-752.79315449576086</v>
      </c>
      <c r="G163" s="5">
        <f>IF(MortgageAmortWORST[[#This Row],[Month]]=I$8,E$7,0)</f>
        <v>0</v>
      </c>
      <c r="H163" s="13">
        <f>IF(AND(C163&gt;='Amort. Sched.-WORST'!$I$8, C163&lt;= ($I$7+$I$8)), H162+F163, 0)</f>
        <v>190230.87004925997</v>
      </c>
      <c r="I163" s="24">
        <f>IF(AND(C163&gt;='Amort. Sched.-WORST'!$I$8, C163&lt;= ($I$7+$I$8)), E163/D163, " ")</f>
        <v>0.62843700693050675</v>
      </c>
      <c r="J163" s="25">
        <f>IF(AND(C163&gt;='Amort. Sched.-WORST'!$I$8, C163&lt;= ($I$7+$I$8)), F163/D163, " ")</f>
        <v>0.37156299306949331</v>
      </c>
      <c r="L163" s="20">
        <f t="shared" si="34"/>
        <v>152</v>
      </c>
      <c r="M163" s="5">
        <f>IF(AND(L163&gt;='Amort. Sched.-WORST'!$R$8, L163&lt;= ($R$7+$R$8)), PMT('Amort. Sched.-WORST'!$N$8/12, 'Amort. Sched.-WORST'!$R$7, 'Amort. Sched.-WORST'!$N$7), 0)</f>
        <v>0</v>
      </c>
      <c r="N163" s="5">
        <f>IF(AND(L163&gt;='Amort. Sched.-WORST'!$R$8, L163&lt;= ($R$7+$R$8)), (IPMT($N$8/12, (L163-$R$8), $R$7, $N$7)), 0)</f>
        <v>0</v>
      </c>
      <c r="O163" s="5">
        <f>IF(AND(L163&gt;='Amort. Sched.-WORST'!$R$8, L163&lt;= ($R$7+$R$8)), (PPMT($N$8/12, (L163-$R$8), $R$7, $N$7)), 0)</f>
        <v>0</v>
      </c>
      <c r="P163" s="5">
        <f>IF(CreditAmort1WORST[[#This Row],[Month]]=R$8,N$7,0)</f>
        <v>0</v>
      </c>
      <c r="Q163" s="13">
        <f>IF(AND(L163&gt;='Amort. Sched.-WORST'!$R$8, L163&lt;= ($R$7+$R$8)), Q162+O163, 0)</f>
        <v>0</v>
      </c>
      <c r="R163" s="6" t="str">
        <f>IF(AND(L163&gt;='Amort. Sched.-WORST'!$R$8, L163&lt;= ($R$7+$R$8)), N163/M163, " ")</f>
        <v xml:space="preserve"> </v>
      </c>
      <c r="S163" s="21" t="str">
        <f>IF(AND(L163&gt;='Amort. Sched.-WORST'!$R$8, L163&lt;= ($R$7+$R$8)), O163/M163, " ")</f>
        <v xml:space="preserve"> </v>
      </c>
      <c r="U163" s="22">
        <f t="shared" si="36"/>
        <v>152</v>
      </c>
      <c r="V163" s="23">
        <f>IF(AND(U163&gt;='Amort. Sched.-WORST'!$AA$8, U163&lt;= ($AA$7+$AA$8)), PMT('Amort. Sched.-WORST'!$W$8/12, 'Amort. Sched.-WORST'!$AA$7, 'Amort. Sched.-WORST'!$W$7), 0)</f>
        <v>0</v>
      </c>
      <c r="W163" s="5">
        <f>IF(AND(U163&gt;='Amort. Sched.-WORST'!$AA$8, U163&lt;= ($AA$7+$AA$8)), (IPMT($W$8/12, (U163-$AA$8), $AA$7, $W$7)), 0)</f>
        <v>0</v>
      </c>
      <c r="X163" s="23">
        <f>IF(AND(U163&gt;='Amort. Sched.-WORST'!$AA$8, U163&lt;= ($AA$7+$AA$8)), (PPMT($W$8/12, (U163-$AA$8), $AA$7, $W$7)), 0)</f>
        <v>0</v>
      </c>
      <c r="Y163" s="5">
        <f>IF(CreditAmort2WORST[[#This Row],[Month]]=AA$8,W$7,0)</f>
        <v>0</v>
      </c>
      <c r="Z163" s="13">
        <f>IF(AND(U163&gt;='Amort. Sched.-WORST'!$AA$8, U163&lt;= ($AA$7+$AA$8)), Z162+X163, 0)</f>
        <v>0</v>
      </c>
      <c r="AA163" s="24" t="str">
        <f>IF(AND(U163&gt;='Amort. Sched.-WORST'!$AA$8, U163&lt;= ($AA$7+$AA$8)), W163/V163, " ")</f>
        <v xml:space="preserve"> </v>
      </c>
      <c r="AB163" s="25" t="str">
        <f>IF(AND(U163&gt;='Amort. Sched.-WORST'!$AA$8, U163&lt;= ($AA$7+$AA$8)), X163/V163, " ")</f>
        <v xml:space="preserve"> </v>
      </c>
      <c r="AD163" s="20">
        <f t="shared" si="37"/>
        <v>152</v>
      </c>
      <c r="AE163" s="5">
        <f t="shared" si="38"/>
        <v>0</v>
      </c>
      <c r="AF163" s="5">
        <f t="shared" si="39"/>
        <v>0</v>
      </c>
      <c r="AG163" s="5">
        <f t="shared" si="40"/>
        <v>0</v>
      </c>
      <c r="AH163" s="5">
        <f>IF(CreditAmort3WORST[[#This Row],[Month]]=AJ$8,AF$7,0)</f>
        <v>0</v>
      </c>
      <c r="AI163" s="13">
        <f t="shared" si="41"/>
        <v>0</v>
      </c>
      <c r="AJ163" s="6" t="str">
        <f t="shared" si="42"/>
        <v xml:space="preserve"> </v>
      </c>
      <c r="AK163" s="21" t="str">
        <f t="shared" si="43"/>
        <v xml:space="preserve"> </v>
      </c>
      <c r="AM163" s="20">
        <f t="shared" si="44"/>
        <v>152</v>
      </c>
      <c r="AN163" s="5">
        <f t="shared" si="45"/>
        <v>0</v>
      </c>
      <c r="AO163" s="5">
        <f t="shared" si="46"/>
        <v>0</v>
      </c>
      <c r="AP163" s="5">
        <f t="shared" si="47"/>
        <v>0</v>
      </c>
      <c r="AQ163" s="5">
        <f>IF(CreditAmort4WORST[[#This Row],[Month]]=AS$8,AO$7,0)</f>
        <v>0</v>
      </c>
      <c r="AR163" s="13">
        <f t="shared" si="48"/>
        <v>0</v>
      </c>
      <c r="AS163" s="6" t="str">
        <f t="shared" si="49"/>
        <v xml:space="preserve"> </v>
      </c>
      <c r="AT163" s="21" t="str">
        <f t="shared" si="50"/>
        <v xml:space="preserve"> </v>
      </c>
    </row>
    <row r="164" spans="3:46">
      <c r="C164" s="22">
        <f t="shared" si="35"/>
        <v>153</v>
      </c>
      <c r="D164" s="23">
        <f>IF(AND(C164&gt;='Amort. Sched.-WORST'!$I$8, C164&lt;= ($I$7+$I$8)), PMT('Amort. Sched.-WORST'!$E$8/12, 'Amort. Sched.-WORST'!$I$7, 'Amort. Sched.-WORST'!$E$7), 0)</f>
        <v>-2026.0175758541329</v>
      </c>
      <c r="E164" s="5">
        <f>IF(AND(C164&gt;='Amort. Sched.-WORST'!$I$8, C164&lt;= ($I$7+$I$8)), (IPMT($E$8/12, (C164-$I$8), $I$7, $E$7)), 0)</f>
        <v>-1268.2058003284005</v>
      </c>
      <c r="F164" s="23">
        <f>IF(AND(C164&gt;='Amort. Sched.-WORST'!$I$8, C164&lt;= ($I$7+$I$8)), (PPMT($E$8/12, (C164-$I$8), $I$7, $E$7)), 0)</f>
        <v>-757.81177552573263</v>
      </c>
      <c r="G164" s="5">
        <f>IF(MortgageAmortWORST[[#This Row],[Month]]=I$8,E$7,0)</f>
        <v>0</v>
      </c>
      <c r="H164" s="13">
        <f>IF(AND(C164&gt;='Amort. Sched.-WORST'!$I$8, C164&lt;= ($I$7+$I$8)), H163+F164, 0)</f>
        <v>189473.05827373423</v>
      </c>
      <c r="I164" s="24">
        <f>IF(AND(C164&gt;='Amort. Sched.-WORST'!$I$8, C164&lt;= ($I$7+$I$8)), E164/D164, " ")</f>
        <v>0.62595992031004344</v>
      </c>
      <c r="J164" s="25">
        <f>IF(AND(C164&gt;='Amort. Sched.-WORST'!$I$8, C164&lt;= ($I$7+$I$8)), F164/D164, " ")</f>
        <v>0.37404007968995662</v>
      </c>
      <c r="L164" s="20">
        <f t="shared" si="34"/>
        <v>153</v>
      </c>
      <c r="M164" s="5">
        <f>IF(AND(L164&gt;='Amort. Sched.-WORST'!$R$8, L164&lt;= ($R$7+$R$8)), PMT('Amort. Sched.-WORST'!$N$8/12, 'Amort. Sched.-WORST'!$R$7, 'Amort. Sched.-WORST'!$N$7), 0)</f>
        <v>0</v>
      </c>
      <c r="N164" s="5">
        <f>IF(AND(L164&gt;='Amort. Sched.-WORST'!$R$8, L164&lt;= ($R$7+$R$8)), (IPMT($N$8/12, (L164-$R$8), $R$7, $N$7)), 0)</f>
        <v>0</v>
      </c>
      <c r="O164" s="5">
        <f>IF(AND(L164&gt;='Amort. Sched.-WORST'!$R$8, L164&lt;= ($R$7+$R$8)), (PPMT($N$8/12, (L164-$R$8), $R$7, $N$7)), 0)</f>
        <v>0</v>
      </c>
      <c r="P164" s="5">
        <f>IF(CreditAmort1WORST[[#This Row],[Month]]=R$8,N$7,0)</f>
        <v>0</v>
      </c>
      <c r="Q164" s="13">
        <f>IF(AND(L164&gt;='Amort. Sched.-WORST'!$R$8, L164&lt;= ($R$7+$R$8)), Q163+O164, 0)</f>
        <v>0</v>
      </c>
      <c r="R164" s="6" t="str">
        <f>IF(AND(L164&gt;='Amort. Sched.-WORST'!$R$8, L164&lt;= ($R$7+$R$8)), N164/M164, " ")</f>
        <v xml:space="preserve"> </v>
      </c>
      <c r="S164" s="21" t="str">
        <f>IF(AND(L164&gt;='Amort. Sched.-WORST'!$R$8, L164&lt;= ($R$7+$R$8)), O164/M164, " ")</f>
        <v xml:space="preserve"> </v>
      </c>
      <c r="U164" s="22">
        <f t="shared" si="36"/>
        <v>153</v>
      </c>
      <c r="V164" s="23">
        <f>IF(AND(U164&gt;='Amort. Sched.-WORST'!$AA$8, U164&lt;= ($AA$7+$AA$8)), PMT('Amort. Sched.-WORST'!$W$8/12, 'Amort. Sched.-WORST'!$AA$7, 'Amort. Sched.-WORST'!$W$7), 0)</f>
        <v>0</v>
      </c>
      <c r="W164" s="5">
        <f>IF(AND(U164&gt;='Amort. Sched.-WORST'!$AA$8, U164&lt;= ($AA$7+$AA$8)), (IPMT($W$8/12, (U164-$AA$8), $AA$7, $W$7)), 0)</f>
        <v>0</v>
      </c>
      <c r="X164" s="23">
        <f>IF(AND(U164&gt;='Amort. Sched.-WORST'!$AA$8, U164&lt;= ($AA$7+$AA$8)), (PPMT($W$8/12, (U164-$AA$8), $AA$7, $W$7)), 0)</f>
        <v>0</v>
      </c>
      <c r="Y164" s="5">
        <f>IF(CreditAmort2WORST[[#This Row],[Month]]=AA$8,W$7,0)</f>
        <v>0</v>
      </c>
      <c r="Z164" s="13">
        <f>IF(AND(U164&gt;='Amort. Sched.-WORST'!$AA$8, U164&lt;= ($AA$7+$AA$8)), Z163+X164, 0)</f>
        <v>0</v>
      </c>
      <c r="AA164" s="24" t="str">
        <f>IF(AND(U164&gt;='Amort. Sched.-WORST'!$AA$8, U164&lt;= ($AA$7+$AA$8)), W164/V164, " ")</f>
        <v xml:space="preserve"> </v>
      </c>
      <c r="AB164" s="25" t="str">
        <f>IF(AND(U164&gt;='Amort. Sched.-WORST'!$AA$8, U164&lt;= ($AA$7+$AA$8)), X164/V164, " ")</f>
        <v xml:space="preserve"> </v>
      </c>
      <c r="AD164" s="20">
        <f t="shared" si="37"/>
        <v>153</v>
      </c>
      <c r="AE164" s="5">
        <f t="shared" si="38"/>
        <v>0</v>
      </c>
      <c r="AF164" s="5">
        <f t="shared" si="39"/>
        <v>0</v>
      </c>
      <c r="AG164" s="5">
        <f t="shared" si="40"/>
        <v>0</v>
      </c>
      <c r="AH164" s="5">
        <f>IF(CreditAmort3WORST[[#This Row],[Month]]=AJ$8,AF$7,0)</f>
        <v>0</v>
      </c>
      <c r="AI164" s="13">
        <f t="shared" si="41"/>
        <v>0</v>
      </c>
      <c r="AJ164" s="6" t="str">
        <f t="shared" si="42"/>
        <v xml:space="preserve"> </v>
      </c>
      <c r="AK164" s="21" t="str">
        <f t="shared" si="43"/>
        <v xml:space="preserve"> </v>
      </c>
      <c r="AM164" s="20">
        <f t="shared" si="44"/>
        <v>153</v>
      </c>
      <c r="AN164" s="5">
        <f t="shared" si="45"/>
        <v>0</v>
      </c>
      <c r="AO164" s="5">
        <f t="shared" si="46"/>
        <v>0</v>
      </c>
      <c r="AP164" s="5">
        <f t="shared" si="47"/>
        <v>0</v>
      </c>
      <c r="AQ164" s="5">
        <f>IF(CreditAmort4WORST[[#This Row],[Month]]=AS$8,AO$7,0)</f>
        <v>0</v>
      </c>
      <c r="AR164" s="13">
        <f t="shared" si="48"/>
        <v>0</v>
      </c>
      <c r="AS164" s="6" t="str">
        <f t="shared" si="49"/>
        <v xml:space="preserve"> </v>
      </c>
      <c r="AT164" s="21" t="str">
        <f t="shared" si="50"/>
        <v xml:space="preserve"> </v>
      </c>
    </row>
    <row r="165" spans="3:46">
      <c r="C165" s="22">
        <f t="shared" si="35"/>
        <v>154</v>
      </c>
      <c r="D165" s="23">
        <f>IF(AND(C165&gt;='Amort. Sched.-WORST'!$I$8, C165&lt;= ($I$7+$I$8)), PMT('Amort. Sched.-WORST'!$E$8/12, 'Amort. Sched.-WORST'!$I$7, 'Amort. Sched.-WORST'!$E$7), 0)</f>
        <v>-2026.0175758541329</v>
      </c>
      <c r="E165" s="5">
        <f>IF(AND(C165&gt;='Amort. Sched.-WORST'!$I$8, C165&lt;= ($I$7+$I$8)), (IPMT($E$8/12, (C165-$I$8), $I$7, $E$7)), 0)</f>
        <v>-1263.1537218248957</v>
      </c>
      <c r="F165" s="23">
        <f>IF(AND(C165&gt;='Amort. Sched.-WORST'!$I$8, C165&lt;= ($I$7+$I$8)), (PPMT($E$8/12, (C165-$I$8), $I$7, $E$7)), 0)</f>
        <v>-762.86385402923747</v>
      </c>
      <c r="G165" s="5">
        <f>IF(MortgageAmortWORST[[#This Row],[Month]]=I$8,E$7,0)</f>
        <v>0</v>
      </c>
      <c r="H165" s="13">
        <f>IF(AND(C165&gt;='Amort. Sched.-WORST'!$I$8, C165&lt;= ($I$7+$I$8)), H164+F165, 0)</f>
        <v>188710.19441970499</v>
      </c>
      <c r="I165" s="24">
        <f>IF(AND(C165&gt;='Amort. Sched.-WORST'!$I$8, C165&lt;= ($I$7+$I$8)), E165/D165, " ")</f>
        <v>0.62346631977877709</v>
      </c>
      <c r="J165" s="25">
        <f>IF(AND(C165&gt;='Amort. Sched.-WORST'!$I$8, C165&lt;= ($I$7+$I$8)), F165/D165, " ")</f>
        <v>0.37653368022122297</v>
      </c>
      <c r="L165" s="20">
        <f t="shared" si="34"/>
        <v>154</v>
      </c>
      <c r="M165" s="5">
        <f>IF(AND(L165&gt;='Amort. Sched.-WORST'!$R$8, L165&lt;= ($R$7+$R$8)), PMT('Amort. Sched.-WORST'!$N$8/12, 'Amort. Sched.-WORST'!$R$7, 'Amort. Sched.-WORST'!$N$7), 0)</f>
        <v>0</v>
      </c>
      <c r="N165" s="5">
        <f>IF(AND(L165&gt;='Amort. Sched.-WORST'!$R$8, L165&lt;= ($R$7+$R$8)), (IPMT($N$8/12, (L165-$R$8), $R$7, $N$7)), 0)</f>
        <v>0</v>
      </c>
      <c r="O165" s="5">
        <f>IF(AND(L165&gt;='Amort. Sched.-WORST'!$R$8, L165&lt;= ($R$7+$R$8)), (PPMT($N$8/12, (L165-$R$8), $R$7, $N$7)), 0)</f>
        <v>0</v>
      </c>
      <c r="P165" s="5">
        <f>IF(CreditAmort1WORST[[#This Row],[Month]]=R$8,N$7,0)</f>
        <v>0</v>
      </c>
      <c r="Q165" s="13">
        <f>IF(AND(L165&gt;='Amort. Sched.-WORST'!$R$8, L165&lt;= ($R$7+$R$8)), Q164+O165, 0)</f>
        <v>0</v>
      </c>
      <c r="R165" s="6" t="str">
        <f>IF(AND(L165&gt;='Amort. Sched.-WORST'!$R$8, L165&lt;= ($R$7+$R$8)), N165/M165, " ")</f>
        <v xml:space="preserve"> </v>
      </c>
      <c r="S165" s="21" t="str">
        <f>IF(AND(L165&gt;='Amort. Sched.-WORST'!$R$8, L165&lt;= ($R$7+$R$8)), O165/M165, " ")</f>
        <v xml:space="preserve"> </v>
      </c>
      <c r="U165" s="22">
        <f t="shared" si="36"/>
        <v>154</v>
      </c>
      <c r="V165" s="23">
        <f>IF(AND(U165&gt;='Amort. Sched.-WORST'!$AA$8, U165&lt;= ($AA$7+$AA$8)), PMT('Amort. Sched.-WORST'!$W$8/12, 'Amort. Sched.-WORST'!$AA$7, 'Amort. Sched.-WORST'!$W$7), 0)</f>
        <v>0</v>
      </c>
      <c r="W165" s="5">
        <f>IF(AND(U165&gt;='Amort. Sched.-WORST'!$AA$8, U165&lt;= ($AA$7+$AA$8)), (IPMT($W$8/12, (U165-$AA$8), $AA$7, $W$7)), 0)</f>
        <v>0</v>
      </c>
      <c r="X165" s="23">
        <f>IF(AND(U165&gt;='Amort. Sched.-WORST'!$AA$8, U165&lt;= ($AA$7+$AA$8)), (PPMT($W$8/12, (U165-$AA$8), $AA$7, $W$7)), 0)</f>
        <v>0</v>
      </c>
      <c r="Y165" s="5">
        <f>IF(CreditAmort2WORST[[#This Row],[Month]]=AA$8,W$7,0)</f>
        <v>0</v>
      </c>
      <c r="Z165" s="13">
        <f>IF(AND(U165&gt;='Amort. Sched.-WORST'!$AA$8, U165&lt;= ($AA$7+$AA$8)), Z164+X165, 0)</f>
        <v>0</v>
      </c>
      <c r="AA165" s="24" t="str">
        <f>IF(AND(U165&gt;='Amort. Sched.-WORST'!$AA$8, U165&lt;= ($AA$7+$AA$8)), W165/V165, " ")</f>
        <v xml:space="preserve"> </v>
      </c>
      <c r="AB165" s="25" t="str">
        <f>IF(AND(U165&gt;='Amort. Sched.-WORST'!$AA$8, U165&lt;= ($AA$7+$AA$8)), X165/V165, " ")</f>
        <v xml:space="preserve"> </v>
      </c>
      <c r="AD165" s="20">
        <f t="shared" si="37"/>
        <v>154</v>
      </c>
      <c r="AE165" s="5">
        <f t="shared" si="38"/>
        <v>0</v>
      </c>
      <c r="AF165" s="5">
        <f t="shared" si="39"/>
        <v>0</v>
      </c>
      <c r="AG165" s="5">
        <f t="shared" si="40"/>
        <v>0</v>
      </c>
      <c r="AH165" s="5">
        <f>IF(CreditAmort3WORST[[#This Row],[Month]]=AJ$8,AF$7,0)</f>
        <v>0</v>
      </c>
      <c r="AI165" s="13">
        <f t="shared" si="41"/>
        <v>0</v>
      </c>
      <c r="AJ165" s="6" t="str">
        <f t="shared" si="42"/>
        <v xml:space="preserve"> </v>
      </c>
      <c r="AK165" s="21" t="str">
        <f t="shared" si="43"/>
        <v xml:space="preserve"> </v>
      </c>
      <c r="AM165" s="20">
        <f t="shared" si="44"/>
        <v>154</v>
      </c>
      <c r="AN165" s="5">
        <f t="shared" si="45"/>
        <v>0</v>
      </c>
      <c r="AO165" s="5">
        <f t="shared" si="46"/>
        <v>0</v>
      </c>
      <c r="AP165" s="5">
        <f t="shared" si="47"/>
        <v>0</v>
      </c>
      <c r="AQ165" s="5">
        <f>IF(CreditAmort4WORST[[#This Row],[Month]]=AS$8,AO$7,0)</f>
        <v>0</v>
      </c>
      <c r="AR165" s="13">
        <f t="shared" si="48"/>
        <v>0</v>
      </c>
      <c r="AS165" s="6" t="str">
        <f t="shared" si="49"/>
        <v xml:space="preserve"> </v>
      </c>
      <c r="AT165" s="21" t="str">
        <f t="shared" si="50"/>
        <v xml:space="preserve"> </v>
      </c>
    </row>
    <row r="166" spans="3:46">
      <c r="C166" s="22">
        <f t="shared" si="35"/>
        <v>155</v>
      </c>
      <c r="D166" s="23">
        <f>IF(AND(C166&gt;='Amort. Sched.-WORST'!$I$8, C166&lt;= ($I$7+$I$8)), PMT('Amort. Sched.-WORST'!$E$8/12, 'Amort. Sched.-WORST'!$I$7, 'Amort. Sched.-WORST'!$E$7), 0)</f>
        <v>-2026.0175758541329</v>
      </c>
      <c r="E166" s="5">
        <f>IF(AND(C166&gt;='Amort. Sched.-WORST'!$I$8, C166&lt;= ($I$7+$I$8)), (IPMT($E$8/12, (C166-$I$8), $I$7, $E$7)), 0)</f>
        <v>-1258.0679627980339</v>
      </c>
      <c r="F166" s="23">
        <f>IF(AND(C166&gt;='Amort. Sched.-WORST'!$I$8, C166&lt;= ($I$7+$I$8)), (PPMT($E$8/12, (C166-$I$8), $I$7, $E$7)), 0)</f>
        <v>-767.949613056099</v>
      </c>
      <c r="G166" s="5">
        <f>IF(MortgageAmortWORST[[#This Row],[Month]]=I$8,E$7,0)</f>
        <v>0</v>
      </c>
      <c r="H166" s="13">
        <f>IF(AND(C166&gt;='Amort. Sched.-WORST'!$I$8, C166&lt;= ($I$7+$I$8)), H165+F166, 0)</f>
        <v>187942.2448066489</v>
      </c>
      <c r="I166" s="24">
        <f>IF(AND(C166&gt;='Amort. Sched.-WORST'!$I$8, C166&lt;= ($I$7+$I$8)), E166/D166, " ")</f>
        <v>0.62095609524396889</v>
      </c>
      <c r="J166" s="25">
        <f>IF(AND(C166&gt;='Amort. Sched.-WORST'!$I$8, C166&lt;= ($I$7+$I$8)), F166/D166, " ")</f>
        <v>0.37904390475603111</v>
      </c>
      <c r="L166" s="20">
        <f t="shared" si="34"/>
        <v>155</v>
      </c>
      <c r="M166" s="5">
        <f>IF(AND(L166&gt;='Amort. Sched.-WORST'!$R$8, L166&lt;= ($R$7+$R$8)), PMT('Amort. Sched.-WORST'!$N$8/12, 'Amort. Sched.-WORST'!$R$7, 'Amort. Sched.-WORST'!$N$7), 0)</f>
        <v>0</v>
      </c>
      <c r="N166" s="5">
        <f>IF(AND(L166&gt;='Amort. Sched.-WORST'!$R$8, L166&lt;= ($R$7+$R$8)), (IPMT($N$8/12, (L166-$R$8), $R$7, $N$7)), 0)</f>
        <v>0</v>
      </c>
      <c r="O166" s="5">
        <f>IF(AND(L166&gt;='Amort. Sched.-WORST'!$R$8, L166&lt;= ($R$7+$R$8)), (PPMT($N$8/12, (L166-$R$8), $R$7, $N$7)), 0)</f>
        <v>0</v>
      </c>
      <c r="P166" s="5">
        <f>IF(CreditAmort1WORST[[#This Row],[Month]]=R$8,N$7,0)</f>
        <v>0</v>
      </c>
      <c r="Q166" s="13">
        <f>IF(AND(L166&gt;='Amort. Sched.-WORST'!$R$8, L166&lt;= ($R$7+$R$8)), Q165+O166, 0)</f>
        <v>0</v>
      </c>
      <c r="R166" s="6" t="str">
        <f>IF(AND(L166&gt;='Amort. Sched.-WORST'!$R$8, L166&lt;= ($R$7+$R$8)), N166/M166, " ")</f>
        <v xml:space="preserve"> </v>
      </c>
      <c r="S166" s="21" t="str">
        <f>IF(AND(L166&gt;='Amort. Sched.-WORST'!$R$8, L166&lt;= ($R$7+$R$8)), O166/M166, " ")</f>
        <v xml:space="preserve"> </v>
      </c>
      <c r="U166" s="22">
        <f t="shared" si="36"/>
        <v>155</v>
      </c>
      <c r="V166" s="23">
        <f>IF(AND(U166&gt;='Amort. Sched.-WORST'!$AA$8, U166&lt;= ($AA$7+$AA$8)), PMT('Amort. Sched.-WORST'!$W$8/12, 'Amort. Sched.-WORST'!$AA$7, 'Amort. Sched.-WORST'!$W$7), 0)</f>
        <v>0</v>
      </c>
      <c r="W166" s="5">
        <f>IF(AND(U166&gt;='Amort. Sched.-WORST'!$AA$8, U166&lt;= ($AA$7+$AA$8)), (IPMT($W$8/12, (U166-$AA$8), $AA$7, $W$7)), 0)</f>
        <v>0</v>
      </c>
      <c r="X166" s="23">
        <f>IF(AND(U166&gt;='Amort. Sched.-WORST'!$AA$8, U166&lt;= ($AA$7+$AA$8)), (PPMT($W$8/12, (U166-$AA$8), $AA$7, $W$7)), 0)</f>
        <v>0</v>
      </c>
      <c r="Y166" s="5">
        <f>IF(CreditAmort2WORST[[#This Row],[Month]]=AA$8,W$7,0)</f>
        <v>0</v>
      </c>
      <c r="Z166" s="13">
        <f>IF(AND(U166&gt;='Amort. Sched.-WORST'!$AA$8, U166&lt;= ($AA$7+$AA$8)), Z165+X166, 0)</f>
        <v>0</v>
      </c>
      <c r="AA166" s="24" t="str">
        <f>IF(AND(U166&gt;='Amort. Sched.-WORST'!$AA$8, U166&lt;= ($AA$7+$AA$8)), W166/V166, " ")</f>
        <v xml:space="preserve"> </v>
      </c>
      <c r="AB166" s="25" t="str">
        <f>IF(AND(U166&gt;='Amort. Sched.-WORST'!$AA$8, U166&lt;= ($AA$7+$AA$8)), X166/V166, " ")</f>
        <v xml:space="preserve"> </v>
      </c>
      <c r="AD166" s="20">
        <f t="shared" si="37"/>
        <v>155</v>
      </c>
      <c r="AE166" s="5">
        <f t="shared" si="38"/>
        <v>0</v>
      </c>
      <c r="AF166" s="5">
        <f t="shared" si="39"/>
        <v>0</v>
      </c>
      <c r="AG166" s="5">
        <f t="shared" si="40"/>
        <v>0</v>
      </c>
      <c r="AH166" s="5">
        <f>IF(CreditAmort3WORST[[#This Row],[Month]]=AJ$8,AF$7,0)</f>
        <v>0</v>
      </c>
      <c r="AI166" s="13">
        <f t="shared" si="41"/>
        <v>0</v>
      </c>
      <c r="AJ166" s="6" t="str">
        <f t="shared" si="42"/>
        <v xml:space="preserve"> </v>
      </c>
      <c r="AK166" s="21" t="str">
        <f t="shared" si="43"/>
        <v xml:space="preserve"> </v>
      </c>
      <c r="AM166" s="20">
        <f t="shared" si="44"/>
        <v>155</v>
      </c>
      <c r="AN166" s="5">
        <f t="shared" si="45"/>
        <v>0</v>
      </c>
      <c r="AO166" s="5">
        <f t="shared" si="46"/>
        <v>0</v>
      </c>
      <c r="AP166" s="5">
        <f t="shared" si="47"/>
        <v>0</v>
      </c>
      <c r="AQ166" s="5">
        <f>IF(CreditAmort4WORST[[#This Row],[Month]]=AS$8,AO$7,0)</f>
        <v>0</v>
      </c>
      <c r="AR166" s="13">
        <f t="shared" si="48"/>
        <v>0</v>
      </c>
      <c r="AS166" s="6" t="str">
        <f t="shared" si="49"/>
        <v xml:space="preserve"> </v>
      </c>
      <c r="AT166" s="21" t="str">
        <f t="shared" si="50"/>
        <v xml:space="preserve"> </v>
      </c>
    </row>
    <row r="167" spans="3:46">
      <c r="C167" s="22">
        <f t="shared" si="35"/>
        <v>156</v>
      </c>
      <c r="D167" s="23">
        <f>IF(AND(C167&gt;='Amort. Sched.-WORST'!$I$8, C167&lt;= ($I$7+$I$8)), PMT('Amort. Sched.-WORST'!$E$8/12, 'Amort. Sched.-WORST'!$I$7, 'Amort. Sched.-WORST'!$E$7), 0)</f>
        <v>-2026.0175758541329</v>
      </c>
      <c r="E167" s="5">
        <f>IF(AND(C167&gt;='Amort. Sched.-WORST'!$I$8, C167&lt;= ($I$7+$I$8)), (IPMT($E$8/12, (C167-$I$8), $I$7, $E$7)), 0)</f>
        <v>-1252.9482987109936</v>
      </c>
      <c r="F167" s="23">
        <f>IF(AND(C167&gt;='Amort. Sched.-WORST'!$I$8, C167&lt;= ($I$7+$I$8)), (PPMT($E$8/12, (C167-$I$8), $I$7, $E$7)), 0)</f>
        <v>-773.06927714313986</v>
      </c>
      <c r="G167" s="5">
        <f>IF(MortgageAmortWORST[[#This Row],[Month]]=I$8,E$7,0)</f>
        <v>0</v>
      </c>
      <c r="H167" s="13">
        <f>IF(AND(C167&gt;='Amort. Sched.-WORST'!$I$8, C167&lt;= ($I$7+$I$8)), H166+F167, 0)</f>
        <v>187169.17552950577</v>
      </c>
      <c r="I167" s="24">
        <f>IF(AND(C167&gt;='Amort. Sched.-WORST'!$I$8, C167&lt;= ($I$7+$I$8)), E167/D167, " ")</f>
        <v>0.61842913587892889</v>
      </c>
      <c r="J167" s="25">
        <f>IF(AND(C167&gt;='Amort. Sched.-WORST'!$I$8, C167&lt;= ($I$7+$I$8)), F167/D167, " ")</f>
        <v>0.38157086412107144</v>
      </c>
      <c r="L167" s="20">
        <f t="shared" si="34"/>
        <v>156</v>
      </c>
      <c r="M167" s="5">
        <f>IF(AND(L167&gt;='Amort. Sched.-WORST'!$R$8, L167&lt;= ($R$7+$R$8)), PMT('Amort. Sched.-WORST'!$N$8/12, 'Amort. Sched.-WORST'!$R$7, 'Amort. Sched.-WORST'!$N$7), 0)</f>
        <v>0</v>
      </c>
      <c r="N167" s="5">
        <f>IF(AND(L167&gt;='Amort. Sched.-WORST'!$R$8, L167&lt;= ($R$7+$R$8)), (IPMT($N$8/12, (L167-$R$8), $R$7, $N$7)), 0)</f>
        <v>0</v>
      </c>
      <c r="O167" s="5">
        <f>IF(AND(L167&gt;='Amort. Sched.-WORST'!$R$8, L167&lt;= ($R$7+$R$8)), (PPMT($N$8/12, (L167-$R$8), $R$7, $N$7)), 0)</f>
        <v>0</v>
      </c>
      <c r="P167" s="5">
        <f>IF(CreditAmort1WORST[[#This Row],[Month]]=R$8,N$7,0)</f>
        <v>0</v>
      </c>
      <c r="Q167" s="13">
        <f>IF(AND(L167&gt;='Amort. Sched.-WORST'!$R$8, L167&lt;= ($R$7+$R$8)), Q166+O167, 0)</f>
        <v>0</v>
      </c>
      <c r="R167" s="6" t="str">
        <f>IF(AND(L167&gt;='Amort. Sched.-WORST'!$R$8, L167&lt;= ($R$7+$R$8)), N167/M167, " ")</f>
        <v xml:space="preserve"> </v>
      </c>
      <c r="S167" s="21" t="str">
        <f>IF(AND(L167&gt;='Amort. Sched.-WORST'!$R$8, L167&lt;= ($R$7+$R$8)), O167/M167, " ")</f>
        <v xml:space="preserve"> </v>
      </c>
      <c r="U167" s="22">
        <f t="shared" si="36"/>
        <v>156</v>
      </c>
      <c r="V167" s="23">
        <f>IF(AND(U167&gt;='Amort. Sched.-WORST'!$AA$8, U167&lt;= ($AA$7+$AA$8)), PMT('Amort. Sched.-WORST'!$W$8/12, 'Amort. Sched.-WORST'!$AA$7, 'Amort. Sched.-WORST'!$W$7), 0)</f>
        <v>0</v>
      </c>
      <c r="W167" s="5">
        <f>IF(AND(U167&gt;='Amort. Sched.-WORST'!$AA$8, U167&lt;= ($AA$7+$AA$8)), (IPMT($W$8/12, (U167-$AA$8), $AA$7, $W$7)), 0)</f>
        <v>0</v>
      </c>
      <c r="X167" s="23">
        <f>IF(AND(U167&gt;='Amort. Sched.-WORST'!$AA$8, U167&lt;= ($AA$7+$AA$8)), (PPMT($W$8/12, (U167-$AA$8), $AA$7, $W$7)), 0)</f>
        <v>0</v>
      </c>
      <c r="Y167" s="5">
        <f>IF(CreditAmort2WORST[[#This Row],[Month]]=AA$8,W$7,0)</f>
        <v>0</v>
      </c>
      <c r="Z167" s="13">
        <f>IF(AND(U167&gt;='Amort. Sched.-WORST'!$AA$8, U167&lt;= ($AA$7+$AA$8)), Z166+X167, 0)</f>
        <v>0</v>
      </c>
      <c r="AA167" s="24" t="str">
        <f>IF(AND(U167&gt;='Amort. Sched.-WORST'!$AA$8, U167&lt;= ($AA$7+$AA$8)), W167/V167, " ")</f>
        <v xml:space="preserve"> </v>
      </c>
      <c r="AB167" s="25" t="str">
        <f>IF(AND(U167&gt;='Amort. Sched.-WORST'!$AA$8, U167&lt;= ($AA$7+$AA$8)), X167/V167, " ")</f>
        <v xml:space="preserve"> </v>
      </c>
      <c r="AD167" s="20">
        <f t="shared" si="37"/>
        <v>156</v>
      </c>
      <c r="AE167" s="5">
        <f t="shared" si="38"/>
        <v>0</v>
      </c>
      <c r="AF167" s="5">
        <f t="shared" si="39"/>
        <v>0</v>
      </c>
      <c r="AG167" s="5">
        <f t="shared" si="40"/>
        <v>0</v>
      </c>
      <c r="AH167" s="5">
        <f>IF(CreditAmort3WORST[[#This Row],[Month]]=AJ$8,AF$7,0)</f>
        <v>0</v>
      </c>
      <c r="AI167" s="13">
        <f t="shared" si="41"/>
        <v>0</v>
      </c>
      <c r="AJ167" s="6" t="str">
        <f t="shared" si="42"/>
        <v xml:space="preserve"> </v>
      </c>
      <c r="AK167" s="21" t="str">
        <f t="shared" si="43"/>
        <v xml:space="preserve"> </v>
      </c>
      <c r="AM167" s="20">
        <f t="shared" si="44"/>
        <v>156</v>
      </c>
      <c r="AN167" s="5">
        <f t="shared" si="45"/>
        <v>0</v>
      </c>
      <c r="AO167" s="5">
        <f t="shared" si="46"/>
        <v>0</v>
      </c>
      <c r="AP167" s="5">
        <f t="shared" si="47"/>
        <v>0</v>
      </c>
      <c r="AQ167" s="5">
        <f>IF(CreditAmort4WORST[[#This Row],[Month]]=AS$8,AO$7,0)</f>
        <v>0</v>
      </c>
      <c r="AR167" s="13">
        <f t="shared" si="48"/>
        <v>0</v>
      </c>
      <c r="AS167" s="6" t="str">
        <f t="shared" si="49"/>
        <v xml:space="preserve"> </v>
      </c>
      <c r="AT167" s="21" t="str">
        <f t="shared" si="50"/>
        <v xml:space="preserve"> </v>
      </c>
    </row>
    <row r="168" spans="3:46">
      <c r="C168" s="22">
        <f t="shared" si="35"/>
        <v>157</v>
      </c>
      <c r="D168" s="23">
        <f>IF(AND(C168&gt;='Amort. Sched.-WORST'!$I$8, C168&lt;= ($I$7+$I$8)), PMT('Amort. Sched.-WORST'!$E$8/12, 'Amort. Sched.-WORST'!$I$7, 'Amort. Sched.-WORST'!$E$7), 0)</f>
        <v>-2026.0175758541329</v>
      </c>
      <c r="E168" s="5">
        <f>IF(AND(C168&gt;='Amort. Sched.-WORST'!$I$8, C168&lt;= ($I$7+$I$8)), (IPMT($E$8/12, (C168-$I$8), $I$7, $E$7)), 0)</f>
        <v>-1247.794503530039</v>
      </c>
      <c r="F168" s="23">
        <f>IF(AND(C168&gt;='Amort. Sched.-WORST'!$I$8, C168&lt;= ($I$7+$I$8)), (PPMT($E$8/12, (C168-$I$8), $I$7, $E$7)), 0)</f>
        <v>-778.22307232409401</v>
      </c>
      <c r="G168" s="5">
        <f>IF(MortgageAmortWORST[[#This Row],[Month]]=I$8,E$7,0)</f>
        <v>0</v>
      </c>
      <c r="H168" s="13">
        <f>IF(AND(C168&gt;='Amort. Sched.-WORST'!$I$8, C168&lt;= ($I$7+$I$8)), H167+F168, 0)</f>
        <v>186390.95245718167</v>
      </c>
      <c r="I168" s="24">
        <f>IF(AND(C168&gt;='Amort. Sched.-WORST'!$I$8, C168&lt;= ($I$7+$I$8)), E168/D168, " ")</f>
        <v>0.61588533011812152</v>
      </c>
      <c r="J168" s="25">
        <f>IF(AND(C168&gt;='Amort. Sched.-WORST'!$I$8, C168&lt;= ($I$7+$I$8)), F168/D168, " ")</f>
        <v>0.38411466988187848</v>
      </c>
      <c r="L168" s="20">
        <f t="shared" si="34"/>
        <v>157</v>
      </c>
      <c r="M168" s="5">
        <f>IF(AND(L168&gt;='Amort. Sched.-WORST'!$R$8, L168&lt;= ($R$7+$R$8)), PMT('Amort. Sched.-WORST'!$N$8/12, 'Amort. Sched.-WORST'!$R$7, 'Amort. Sched.-WORST'!$N$7), 0)</f>
        <v>0</v>
      </c>
      <c r="N168" s="5">
        <f>IF(AND(L168&gt;='Amort. Sched.-WORST'!$R$8, L168&lt;= ($R$7+$R$8)), (IPMT($N$8/12, (L168-$R$8), $R$7, $N$7)), 0)</f>
        <v>0</v>
      </c>
      <c r="O168" s="5">
        <f>IF(AND(L168&gt;='Amort. Sched.-WORST'!$R$8, L168&lt;= ($R$7+$R$8)), (PPMT($N$8/12, (L168-$R$8), $R$7, $N$7)), 0)</f>
        <v>0</v>
      </c>
      <c r="P168" s="5">
        <f>IF(CreditAmort1WORST[[#This Row],[Month]]=R$8,N$7,0)</f>
        <v>0</v>
      </c>
      <c r="Q168" s="13">
        <f>IF(AND(L168&gt;='Amort. Sched.-WORST'!$R$8, L168&lt;= ($R$7+$R$8)), Q167+O168, 0)</f>
        <v>0</v>
      </c>
      <c r="R168" s="6" t="str">
        <f>IF(AND(L168&gt;='Amort. Sched.-WORST'!$R$8, L168&lt;= ($R$7+$R$8)), N168/M168, " ")</f>
        <v xml:space="preserve"> </v>
      </c>
      <c r="S168" s="21" t="str">
        <f>IF(AND(L168&gt;='Amort. Sched.-WORST'!$R$8, L168&lt;= ($R$7+$R$8)), O168/M168, " ")</f>
        <v xml:space="preserve"> </v>
      </c>
      <c r="U168" s="22">
        <f t="shared" si="36"/>
        <v>157</v>
      </c>
      <c r="V168" s="23">
        <f>IF(AND(U168&gt;='Amort. Sched.-WORST'!$AA$8, U168&lt;= ($AA$7+$AA$8)), PMT('Amort. Sched.-WORST'!$W$8/12, 'Amort. Sched.-WORST'!$AA$7, 'Amort. Sched.-WORST'!$W$7), 0)</f>
        <v>0</v>
      </c>
      <c r="W168" s="5">
        <f>IF(AND(U168&gt;='Amort. Sched.-WORST'!$AA$8, U168&lt;= ($AA$7+$AA$8)), (IPMT($W$8/12, (U168-$AA$8), $AA$7, $W$7)), 0)</f>
        <v>0</v>
      </c>
      <c r="X168" s="23">
        <f>IF(AND(U168&gt;='Amort. Sched.-WORST'!$AA$8, U168&lt;= ($AA$7+$AA$8)), (PPMT($W$8/12, (U168-$AA$8), $AA$7, $W$7)), 0)</f>
        <v>0</v>
      </c>
      <c r="Y168" s="5">
        <f>IF(CreditAmort2WORST[[#This Row],[Month]]=AA$8,W$7,0)</f>
        <v>0</v>
      </c>
      <c r="Z168" s="13">
        <f>IF(AND(U168&gt;='Amort. Sched.-WORST'!$AA$8, U168&lt;= ($AA$7+$AA$8)), Z167+X168, 0)</f>
        <v>0</v>
      </c>
      <c r="AA168" s="24" t="str">
        <f>IF(AND(U168&gt;='Amort. Sched.-WORST'!$AA$8, U168&lt;= ($AA$7+$AA$8)), W168/V168, " ")</f>
        <v xml:space="preserve"> </v>
      </c>
      <c r="AB168" s="25" t="str">
        <f>IF(AND(U168&gt;='Amort. Sched.-WORST'!$AA$8, U168&lt;= ($AA$7+$AA$8)), X168/V168, " ")</f>
        <v xml:space="preserve"> </v>
      </c>
      <c r="AD168" s="20">
        <f t="shared" si="37"/>
        <v>157</v>
      </c>
      <c r="AE168" s="5">
        <f t="shared" si="38"/>
        <v>0</v>
      </c>
      <c r="AF168" s="5">
        <f t="shared" si="39"/>
        <v>0</v>
      </c>
      <c r="AG168" s="5">
        <f t="shared" si="40"/>
        <v>0</v>
      </c>
      <c r="AH168" s="5">
        <f>IF(CreditAmort3WORST[[#This Row],[Month]]=AJ$8,AF$7,0)</f>
        <v>0</v>
      </c>
      <c r="AI168" s="13">
        <f t="shared" si="41"/>
        <v>0</v>
      </c>
      <c r="AJ168" s="6" t="str">
        <f t="shared" si="42"/>
        <v xml:space="preserve"> </v>
      </c>
      <c r="AK168" s="21" t="str">
        <f t="shared" si="43"/>
        <v xml:space="preserve"> </v>
      </c>
      <c r="AM168" s="20">
        <f t="shared" si="44"/>
        <v>157</v>
      </c>
      <c r="AN168" s="5">
        <f t="shared" si="45"/>
        <v>0</v>
      </c>
      <c r="AO168" s="5">
        <f t="shared" si="46"/>
        <v>0</v>
      </c>
      <c r="AP168" s="5">
        <f t="shared" si="47"/>
        <v>0</v>
      </c>
      <c r="AQ168" s="5">
        <f>IF(CreditAmort4WORST[[#This Row],[Month]]=AS$8,AO$7,0)</f>
        <v>0</v>
      </c>
      <c r="AR168" s="13">
        <f t="shared" si="48"/>
        <v>0</v>
      </c>
      <c r="AS168" s="6" t="str">
        <f t="shared" si="49"/>
        <v xml:space="preserve"> </v>
      </c>
      <c r="AT168" s="21" t="str">
        <f t="shared" si="50"/>
        <v xml:space="preserve"> </v>
      </c>
    </row>
    <row r="169" spans="3:46">
      <c r="C169" s="22">
        <f t="shared" si="35"/>
        <v>158</v>
      </c>
      <c r="D169" s="23">
        <f>IF(AND(C169&gt;='Amort. Sched.-WORST'!$I$8, C169&lt;= ($I$7+$I$8)), PMT('Amort. Sched.-WORST'!$E$8/12, 'Amort. Sched.-WORST'!$I$7, 'Amort. Sched.-WORST'!$E$7), 0)</f>
        <v>-2026.0175758541329</v>
      </c>
      <c r="E169" s="5">
        <f>IF(AND(C169&gt;='Amort. Sched.-WORST'!$I$8, C169&lt;= ($I$7+$I$8)), (IPMT($E$8/12, (C169-$I$8), $I$7, $E$7)), 0)</f>
        <v>-1242.6063497145449</v>
      </c>
      <c r="F169" s="23">
        <f>IF(AND(C169&gt;='Amort. Sched.-WORST'!$I$8, C169&lt;= ($I$7+$I$8)), (PPMT($E$8/12, (C169-$I$8), $I$7, $E$7)), 0)</f>
        <v>-783.41122613958782</v>
      </c>
      <c r="G169" s="5">
        <f>IF(MortgageAmortWORST[[#This Row],[Month]]=I$8,E$7,0)</f>
        <v>0</v>
      </c>
      <c r="H169" s="13">
        <f>IF(AND(C169&gt;='Amort. Sched.-WORST'!$I$8, C169&lt;= ($I$7+$I$8)), H168+F169, 0)</f>
        <v>185607.54123104209</v>
      </c>
      <c r="I169" s="24">
        <f>IF(AND(C169&gt;='Amort. Sched.-WORST'!$I$8, C169&lt;= ($I$7+$I$8)), E169/D169, " ")</f>
        <v>0.61332456565224225</v>
      </c>
      <c r="J169" s="25">
        <f>IF(AND(C169&gt;='Amort. Sched.-WORST'!$I$8, C169&lt;= ($I$7+$I$8)), F169/D169, " ")</f>
        <v>0.38667543434775764</v>
      </c>
      <c r="L169" s="20">
        <f t="shared" si="34"/>
        <v>158</v>
      </c>
      <c r="M169" s="5">
        <f>IF(AND(L169&gt;='Amort. Sched.-WORST'!$R$8, L169&lt;= ($R$7+$R$8)), PMT('Amort. Sched.-WORST'!$N$8/12, 'Amort. Sched.-WORST'!$R$7, 'Amort. Sched.-WORST'!$N$7), 0)</f>
        <v>0</v>
      </c>
      <c r="N169" s="5">
        <f>IF(AND(L169&gt;='Amort. Sched.-WORST'!$R$8, L169&lt;= ($R$7+$R$8)), (IPMT($N$8/12, (L169-$R$8), $R$7, $N$7)), 0)</f>
        <v>0</v>
      </c>
      <c r="O169" s="5">
        <f>IF(AND(L169&gt;='Amort. Sched.-WORST'!$R$8, L169&lt;= ($R$7+$R$8)), (PPMT($N$8/12, (L169-$R$8), $R$7, $N$7)), 0)</f>
        <v>0</v>
      </c>
      <c r="P169" s="5">
        <f>IF(CreditAmort1WORST[[#This Row],[Month]]=R$8,N$7,0)</f>
        <v>0</v>
      </c>
      <c r="Q169" s="13">
        <f>IF(AND(L169&gt;='Amort. Sched.-WORST'!$R$8, L169&lt;= ($R$7+$R$8)), Q168+O169, 0)</f>
        <v>0</v>
      </c>
      <c r="R169" s="6" t="str">
        <f>IF(AND(L169&gt;='Amort. Sched.-WORST'!$R$8, L169&lt;= ($R$7+$R$8)), N169/M169, " ")</f>
        <v xml:space="preserve"> </v>
      </c>
      <c r="S169" s="21" t="str">
        <f>IF(AND(L169&gt;='Amort. Sched.-WORST'!$R$8, L169&lt;= ($R$7+$R$8)), O169/M169, " ")</f>
        <v xml:space="preserve"> </v>
      </c>
      <c r="U169" s="22">
        <f t="shared" si="36"/>
        <v>158</v>
      </c>
      <c r="V169" s="23">
        <f>IF(AND(U169&gt;='Amort. Sched.-WORST'!$AA$8, U169&lt;= ($AA$7+$AA$8)), PMT('Amort. Sched.-WORST'!$W$8/12, 'Amort. Sched.-WORST'!$AA$7, 'Amort. Sched.-WORST'!$W$7), 0)</f>
        <v>0</v>
      </c>
      <c r="W169" s="5">
        <f>IF(AND(U169&gt;='Amort. Sched.-WORST'!$AA$8, U169&lt;= ($AA$7+$AA$8)), (IPMT($W$8/12, (U169-$AA$8), $AA$7, $W$7)), 0)</f>
        <v>0</v>
      </c>
      <c r="X169" s="23">
        <f>IF(AND(U169&gt;='Amort. Sched.-WORST'!$AA$8, U169&lt;= ($AA$7+$AA$8)), (PPMT($W$8/12, (U169-$AA$8), $AA$7, $W$7)), 0)</f>
        <v>0</v>
      </c>
      <c r="Y169" s="5">
        <f>IF(CreditAmort2WORST[[#This Row],[Month]]=AA$8,W$7,0)</f>
        <v>0</v>
      </c>
      <c r="Z169" s="13">
        <f>IF(AND(U169&gt;='Amort. Sched.-WORST'!$AA$8, U169&lt;= ($AA$7+$AA$8)), Z168+X169, 0)</f>
        <v>0</v>
      </c>
      <c r="AA169" s="24" t="str">
        <f>IF(AND(U169&gt;='Amort. Sched.-WORST'!$AA$8, U169&lt;= ($AA$7+$AA$8)), W169/V169, " ")</f>
        <v xml:space="preserve"> </v>
      </c>
      <c r="AB169" s="25" t="str">
        <f>IF(AND(U169&gt;='Amort. Sched.-WORST'!$AA$8, U169&lt;= ($AA$7+$AA$8)), X169/V169, " ")</f>
        <v xml:space="preserve"> </v>
      </c>
      <c r="AD169" s="20">
        <f t="shared" si="37"/>
        <v>158</v>
      </c>
      <c r="AE169" s="5">
        <f t="shared" si="38"/>
        <v>0</v>
      </c>
      <c r="AF169" s="5">
        <f t="shared" si="39"/>
        <v>0</v>
      </c>
      <c r="AG169" s="5">
        <f t="shared" si="40"/>
        <v>0</v>
      </c>
      <c r="AH169" s="5">
        <f>IF(CreditAmort3WORST[[#This Row],[Month]]=AJ$8,AF$7,0)</f>
        <v>0</v>
      </c>
      <c r="AI169" s="13">
        <f t="shared" si="41"/>
        <v>0</v>
      </c>
      <c r="AJ169" s="6" t="str">
        <f t="shared" si="42"/>
        <v xml:space="preserve"> </v>
      </c>
      <c r="AK169" s="21" t="str">
        <f t="shared" si="43"/>
        <v xml:space="preserve"> </v>
      </c>
      <c r="AM169" s="20">
        <f t="shared" si="44"/>
        <v>158</v>
      </c>
      <c r="AN169" s="5">
        <f t="shared" si="45"/>
        <v>0</v>
      </c>
      <c r="AO169" s="5">
        <f t="shared" si="46"/>
        <v>0</v>
      </c>
      <c r="AP169" s="5">
        <f t="shared" si="47"/>
        <v>0</v>
      </c>
      <c r="AQ169" s="5">
        <f>IF(CreditAmort4WORST[[#This Row],[Month]]=AS$8,AO$7,0)</f>
        <v>0</v>
      </c>
      <c r="AR169" s="13">
        <f t="shared" si="48"/>
        <v>0</v>
      </c>
      <c r="AS169" s="6" t="str">
        <f t="shared" si="49"/>
        <v xml:space="preserve"> </v>
      </c>
      <c r="AT169" s="21" t="str">
        <f t="shared" si="50"/>
        <v xml:space="preserve"> </v>
      </c>
    </row>
    <row r="170" spans="3:46">
      <c r="C170" s="22">
        <f t="shared" si="35"/>
        <v>159</v>
      </c>
      <c r="D170" s="23">
        <f>IF(AND(C170&gt;='Amort. Sched.-WORST'!$I$8, C170&lt;= ($I$7+$I$8)), PMT('Amort. Sched.-WORST'!$E$8/12, 'Amort. Sched.-WORST'!$I$7, 'Amort. Sched.-WORST'!$E$7), 0)</f>
        <v>-2026.0175758541329</v>
      </c>
      <c r="E170" s="5">
        <f>IF(AND(C170&gt;='Amort. Sched.-WORST'!$I$8, C170&lt;= ($I$7+$I$8)), (IPMT($E$8/12, (C170-$I$8), $I$7, $E$7)), 0)</f>
        <v>-1237.3836082069477</v>
      </c>
      <c r="F170" s="23">
        <f>IF(AND(C170&gt;='Amort. Sched.-WORST'!$I$8, C170&lt;= ($I$7+$I$8)), (PPMT($E$8/12, (C170-$I$8), $I$7, $E$7)), 0)</f>
        <v>-788.63396764718527</v>
      </c>
      <c r="G170" s="5">
        <f>IF(MortgageAmortWORST[[#This Row],[Month]]=I$8,E$7,0)</f>
        <v>0</v>
      </c>
      <c r="H170" s="13">
        <f>IF(AND(C170&gt;='Amort. Sched.-WORST'!$I$8, C170&lt;= ($I$7+$I$8)), H169+F170, 0)</f>
        <v>184818.90726339491</v>
      </c>
      <c r="I170" s="24">
        <f>IF(AND(C170&gt;='Amort. Sched.-WORST'!$I$8, C170&lt;= ($I$7+$I$8)), E170/D170, " ")</f>
        <v>0.61074672942325725</v>
      </c>
      <c r="J170" s="25">
        <f>IF(AND(C170&gt;='Amort. Sched.-WORST'!$I$8, C170&lt;= ($I$7+$I$8)), F170/D170, " ")</f>
        <v>0.38925327057674275</v>
      </c>
      <c r="L170" s="20">
        <f t="shared" si="34"/>
        <v>159</v>
      </c>
      <c r="M170" s="5">
        <f>IF(AND(L170&gt;='Amort. Sched.-WORST'!$R$8, L170&lt;= ($R$7+$R$8)), PMT('Amort. Sched.-WORST'!$N$8/12, 'Amort. Sched.-WORST'!$R$7, 'Amort. Sched.-WORST'!$N$7), 0)</f>
        <v>0</v>
      </c>
      <c r="N170" s="5">
        <f>IF(AND(L170&gt;='Amort. Sched.-WORST'!$R$8, L170&lt;= ($R$7+$R$8)), (IPMT($N$8/12, (L170-$R$8), $R$7, $N$7)), 0)</f>
        <v>0</v>
      </c>
      <c r="O170" s="5">
        <f>IF(AND(L170&gt;='Amort. Sched.-WORST'!$R$8, L170&lt;= ($R$7+$R$8)), (PPMT($N$8/12, (L170-$R$8), $R$7, $N$7)), 0)</f>
        <v>0</v>
      </c>
      <c r="P170" s="5">
        <f>IF(CreditAmort1WORST[[#This Row],[Month]]=R$8,N$7,0)</f>
        <v>0</v>
      </c>
      <c r="Q170" s="13">
        <f>IF(AND(L170&gt;='Amort. Sched.-WORST'!$R$8, L170&lt;= ($R$7+$R$8)), Q169+O170, 0)</f>
        <v>0</v>
      </c>
      <c r="R170" s="6" t="str">
        <f>IF(AND(L170&gt;='Amort. Sched.-WORST'!$R$8, L170&lt;= ($R$7+$R$8)), N170/M170, " ")</f>
        <v xml:space="preserve"> </v>
      </c>
      <c r="S170" s="21" t="str">
        <f>IF(AND(L170&gt;='Amort. Sched.-WORST'!$R$8, L170&lt;= ($R$7+$R$8)), O170/M170, " ")</f>
        <v xml:space="preserve"> </v>
      </c>
      <c r="U170" s="22">
        <f t="shared" si="36"/>
        <v>159</v>
      </c>
      <c r="V170" s="23">
        <f>IF(AND(U170&gt;='Amort. Sched.-WORST'!$AA$8, U170&lt;= ($AA$7+$AA$8)), PMT('Amort. Sched.-WORST'!$W$8/12, 'Amort. Sched.-WORST'!$AA$7, 'Amort. Sched.-WORST'!$W$7), 0)</f>
        <v>0</v>
      </c>
      <c r="W170" s="5">
        <f>IF(AND(U170&gt;='Amort. Sched.-WORST'!$AA$8, U170&lt;= ($AA$7+$AA$8)), (IPMT($W$8/12, (U170-$AA$8), $AA$7, $W$7)), 0)</f>
        <v>0</v>
      </c>
      <c r="X170" s="23">
        <f>IF(AND(U170&gt;='Amort. Sched.-WORST'!$AA$8, U170&lt;= ($AA$7+$AA$8)), (PPMT($W$8/12, (U170-$AA$8), $AA$7, $W$7)), 0)</f>
        <v>0</v>
      </c>
      <c r="Y170" s="5">
        <f>IF(CreditAmort2WORST[[#This Row],[Month]]=AA$8,W$7,0)</f>
        <v>0</v>
      </c>
      <c r="Z170" s="13">
        <f>IF(AND(U170&gt;='Amort. Sched.-WORST'!$AA$8, U170&lt;= ($AA$7+$AA$8)), Z169+X170, 0)</f>
        <v>0</v>
      </c>
      <c r="AA170" s="24" t="str">
        <f>IF(AND(U170&gt;='Amort. Sched.-WORST'!$AA$8, U170&lt;= ($AA$7+$AA$8)), W170/V170, " ")</f>
        <v xml:space="preserve"> </v>
      </c>
      <c r="AB170" s="25" t="str">
        <f>IF(AND(U170&gt;='Amort. Sched.-WORST'!$AA$8, U170&lt;= ($AA$7+$AA$8)), X170/V170, " ")</f>
        <v xml:space="preserve"> </v>
      </c>
      <c r="AD170" s="20">
        <f t="shared" si="37"/>
        <v>159</v>
      </c>
      <c r="AE170" s="5">
        <f t="shared" si="38"/>
        <v>0</v>
      </c>
      <c r="AF170" s="5">
        <f t="shared" si="39"/>
        <v>0</v>
      </c>
      <c r="AG170" s="5">
        <f t="shared" si="40"/>
        <v>0</v>
      </c>
      <c r="AH170" s="5">
        <f>IF(CreditAmort3WORST[[#This Row],[Month]]=AJ$8,AF$7,0)</f>
        <v>0</v>
      </c>
      <c r="AI170" s="13">
        <f t="shared" si="41"/>
        <v>0</v>
      </c>
      <c r="AJ170" s="6" t="str">
        <f t="shared" si="42"/>
        <v xml:space="preserve"> </v>
      </c>
      <c r="AK170" s="21" t="str">
        <f t="shared" si="43"/>
        <v xml:space="preserve"> </v>
      </c>
      <c r="AM170" s="20">
        <f t="shared" si="44"/>
        <v>159</v>
      </c>
      <c r="AN170" s="5">
        <f t="shared" si="45"/>
        <v>0</v>
      </c>
      <c r="AO170" s="5">
        <f t="shared" si="46"/>
        <v>0</v>
      </c>
      <c r="AP170" s="5">
        <f t="shared" si="47"/>
        <v>0</v>
      </c>
      <c r="AQ170" s="5">
        <f>IF(CreditAmort4WORST[[#This Row],[Month]]=AS$8,AO$7,0)</f>
        <v>0</v>
      </c>
      <c r="AR170" s="13">
        <f t="shared" si="48"/>
        <v>0</v>
      </c>
      <c r="AS170" s="6" t="str">
        <f t="shared" si="49"/>
        <v xml:space="preserve"> </v>
      </c>
      <c r="AT170" s="21" t="str">
        <f t="shared" si="50"/>
        <v xml:space="preserve"> </v>
      </c>
    </row>
    <row r="171" spans="3:46">
      <c r="C171" s="22">
        <f t="shared" si="35"/>
        <v>160</v>
      </c>
      <c r="D171" s="23">
        <f>IF(AND(C171&gt;='Amort. Sched.-WORST'!$I$8, C171&lt;= ($I$7+$I$8)), PMT('Amort. Sched.-WORST'!$E$8/12, 'Amort. Sched.-WORST'!$I$7, 'Amort. Sched.-WORST'!$E$7), 0)</f>
        <v>-2026.0175758541329</v>
      </c>
      <c r="E171" s="5">
        <f>IF(AND(C171&gt;='Amort. Sched.-WORST'!$I$8, C171&lt;= ($I$7+$I$8)), (IPMT($E$8/12, (C171-$I$8), $I$7, $E$7)), 0)</f>
        <v>-1232.1260484226329</v>
      </c>
      <c r="F171" s="23">
        <f>IF(AND(C171&gt;='Amort. Sched.-WORST'!$I$8, C171&lt;= ($I$7+$I$8)), (PPMT($E$8/12, (C171-$I$8), $I$7, $E$7)), 0)</f>
        <v>-793.89152743149975</v>
      </c>
      <c r="G171" s="5">
        <f>IF(MortgageAmortWORST[[#This Row],[Month]]=I$8,E$7,0)</f>
        <v>0</v>
      </c>
      <c r="H171" s="13">
        <f>IF(AND(C171&gt;='Amort. Sched.-WORST'!$I$8, C171&lt;= ($I$7+$I$8)), H170+F171, 0)</f>
        <v>184025.01573596342</v>
      </c>
      <c r="I171" s="24">
        <f>IF(AND(C171&gt;='Amort. Sched.-WORST'!$I$8, C171&lt;= ($I$7+$I$8)), E171/D171, " ")</f>
        <v>0.60815170761941217</v>
      </c>
      <c r="J171" s="25">
        <f>IF(AND(C171&gt;='Amort. Sched.-WORST'!$I$8, C171&lt;= ($I$7+$I$8)), F171/D171, " ")</f>
        <v>0.39184829238058766</v>
      </c>
      <c r="L171" s="20">
        <f t="shared" si="34"/>
        <v>160</v>
      </c>
      <c r="M171" s="5">
        <f>IF(AND(L171&gt;='Amort. Sched.-WORST'!$R$8, L171&lt;= ($R$7+$R$8)), PMT('Amort. Sched.-WORST'!$N$8/12, 'Amort. Sched.-WORST'!$R$7, 'Amort. Sched.-WORST'!$N$7), 0)</f>
        <v>0</v>
      </c>
      <c r="N171" s="5">
        <f>IF(AND(L171&gt;='Amort. Sched.-WORST'!$R$8, L171&lt;= ($R$7+$R$8)), (IPMT($N$8/12, (L171-$R$8), $R$7, $N$7)), 0)</f>
        <v>0</v>
      </c>
      <c r="O171" s="5">
        <f>IF(AND(L171&gt;='Amort. Sched.-WORST'!$R$8, L171&lt;= ($R$7+$R$8)), (PPMT($N$8/12, (L171-$R$8), $R$7, $N$7)), 0)</f>
        <v>0</v>
      </c>
      <c r="P171" s="5">
        <f>IF(CreditAmort1WORST[[#This Row],[Month]]=R$8,N$7,0)</f>
        <v>0</v>
      </c>
      <c r="Q171" s="13">
        <f>IF(AND(L171&gt;='Amort. Sched.-WORST'!$R$8, L171&lt;= ($R$7+$R$8)), Q170+O171, 0)</f>
        <v>0</v>
      </c>
      <c r="R171" s="6" t="str">
        <f>IF(AND(L171&gt;='Amort. Sched.-WORST'!$R$8, L171&lt;= ($R$7+$R$8)), N171/M171, " ")</f>
        <v xml:space="preserve"> </v>
      </c>
      <c r="S171" s="21" t="str">
        <f>IF(AND(L171&gt;='Amort. Sched.-WORST'!$R$8, L171&lt;= ($R$7+$R$8)), O171/M171, " ")</f>
        <v xml:space="preserve"> </v>
      </c>
      <c r="U171" s="22">
        <f t="shared" si="36"/>
        <v>160</v>
      </c>
      <c r="V171" s="23">
        <f>IF(AND(U171&gt;='Amort. Sched.-WORST'!$AA$8, U171&lt;= ($AA$7+$AA$8)), PMT('Amort. Sched.-WORST'!$W$8/12, 'Amort. Sched.-WORST'!$AA$7, 'Amort. Sched.-WORST'!$W$7), 0)</f>
        <v>0</v>
      </c>
      <c r="W171" s="5">
        <f>IF(AND(U171&gt;='Amort. Sched.-WORST'!$AA$8, U171&lt;= ($AA$7+$AA$8)), (IPMT($W$8/12, (U171-$AA$8), $AA$7, $W$7)), 0)</f>
        <v>0</v>
      </c>
      <c r="X171" s="23">
        <f>IF(AND(U171&gt;='Amort. Sched.-WORST'!$AA$8, U171&lt;= ($AA$7+$AA$8)), (PPMT($W$8/12, (U171-$AA$8), $AA$7, $W$7)), 0)</f>
        <v>0</v>
      </c>
      <c r="Y171" s="5">
        <f>IF(CreditAmort2WORST[[#This Row],[Month]]=AA$8,W$7,0)</f>
        <v>0</v>
      </c>
      <c r="Z171" s="13">
        <f>IF(AND(U171&gt;='Amort. Sched.-WORST'!$AA$8, U171&lt;= ($AA$7+$AA$8)), Z170+X171, 0)</f>
        <v>0</v>
      </c>
      <c r="AA171" s="24" t="str">
        <f>IF(AND(U171&gt;='Amort. Sched.-WORST'!$AA$8, U171&lt;= ($AA$7+$AA$8)), W171/V171, " ")</f>
        <v xml:space="preserve"> </v>
      </c>
      <c r="AB171" s="25" t="str">
        <f>IF(AND(U171&gt;='Amort. Sched.-WORST'!$AA$8, U171&lt;= ($AA$7+$AA$8)), X171/V171, " ")</f>
        <v xml:space="preserve"> </v>
      </c>
      <c r="AD171" s="20">
        <f t="shared" si="37"/>
        <v>160</v>
      </c>
      <c r="AE171" s="5">
        <f t="shared" si="38"/>
        <v>0</v>
      </c>
      <c r="AF171" s="5">
        <f t="shared" si="39"/>
        <v>0</v>
      </c>
      <c r="AG171" s="5">
        <f t="shared" si="40"/>
        <v>0</v>
      </c>
      <c r="AH171" s="5">
        <f>IF(CreditAmort3WORST[[#This Row],[Month]]=AJ$8,AF$7,0)</f>
        <v>0</v>
      </c>
      <c r="AI171" s="13">
        <f t="shared" si="41"/>
        <v>0</v>
      </c>
      <c r="AJ171" s="6" t="str">
        <f t="shared" si="42"/>
        <v xml:space="preserve"> </v>
      </c>
      <c r="AK171" s="21" t="str">
        <f t="shared" si="43"/>
        <v xml:space="preserve"> </v>
      </c>
      <c r="AM171" s="20">
        <f t="shared" si="44"/>
        <v>160</v>
      </c>
      <c r="AN171" s="5">
        <f t="shared" si="45"/>
        <v>0</v>
      </c>
      <c r="AO171" s="5">
        <f t="shared" si="46"/>
        <v>0</v>
      </c>
      <c r="AP171" s="5">
        <f t="shared" si="47"/>
        <v>0</v>
      </c>
      <c r="AQ171" s="5">
        <f>IF(CreditAmort4WORST[[#This Row],[Month]]=AS$8,AO$7,0)</f>
        <v>0</v>
      </c>
      <c r="AR171" s="13">
        <f t="shared" si="48"/>
        <v>0</v>
      </c>
      <c r="AS171" s="6" t="str">
        <f t="shared" si="49"/>
        <v xml:space="preserve"> </v>
      </c>
      <c r="AT171" s="21" t="str">
        <f t="shared" si="50"/>
        <v xml:space="preserve"> </v>
      </c>
    </row>
    <row r="172" spans="3:46">
      <c r="C172" s="22">
        <f t="shared" si="35"/>
        <v>161</v>
      </c>
      <c r="D172" s="23">
        <f>IF(AND(C172&gt;='Amort. Sched.-WORST'!$I$8, C172&lt;= ($I$7+$I$8)), PMT('Amort. Sched.-WORST'!$E$8/12, 'Amort. Sched.-WORST'!$I$7, 'Amort. Sched.-WORST'!$E$7), 0)</f>
        <v>-2026.0175758541329</v>
      </c>
      <c r="E172" s="5">
        <f>IF(AND(C172&gt;='Amort. Sched.-WORST'!$I$8, C172&lt;= ($I$7+$I$8)), (IPMT($E$8/12, (C172-$I$8), $I$7, $E$7)), 0)</f>
        <v>-1226.8334382397568</v>
      </c>
      <c r="F172" s="23">
        <f>IF(AND(C172&gt;='Amort. Sched.-WORST'!$I$8, C172&lt;= ($I$7+$I$8)), (PPMT($E$8/12, (C172-$I$8), $I$7, $E$7)), 0)</f>
        <v>-799.18413761437648</v>
      </c>
      <c r="G172" s="5">
        <f>IF(MortgageAmortWORST[[#This Row],[Month]]=I$8,E$7,0)</f>
        <v>0</v>
      </c>
      <c r="H172" s="13">
        <f>IF(AND(C172&gt;='Amort. Sched.-WORST'!$I$8, C172&lt;= ($I$7+$I$8)), H171+F172, 0)</f>
        <v>183225.83159834903</v>
      </c>
      <c r="I172" s="24">
        <f>IF(AND(C172&gt;='Amort. Sched.-WORST'!$I$8, C172&lt;= ($I$7+$I$8)), E172/D172, " ")</f>
        <v>0.6055393856702086</v>
      </c>
      <c r="J172" s="25">
        <f>IF(AND(C172&gt;='Amort. Sched.-WORST'!$I$8, C172&lt;= ($I$7+$I$8)), F172/D172, " ")</f>
        <v>0.39446061432979163</v>
      </c>
      <c r="L172" s="20">
        <f t="shared" si="34"/>
        <v>161</v>
      </c>
      <c r="M172" s="5">
        <f>IF(AND(L172&gt;='Amort. Sched.-WORST'!$R$8, L172&lt;= ($R$7+$R$8)), PMT('Amort. Sched.-WORST'!$N$8/12, 'Amort. Sched.-WORST'!$R$7, 'Amort. Sched.-WORST'!$N$7), 0)</f>
        <v>0</v>
      </c>
      <c r="N172" s="5">
        <f>IF(AND(L172&gt;='Amort. Sched.-WORST'!$R$8, L172&lt;= ($R$7+$R$8)), (IPMT($N$8/12, (L172-$R$8), $R$7, $N$7)), 0)</f>
        <v>0</v>
      </c>
      <c r="O172" s="5">
        <f>IF(AND(L172&gt;='Amort. Sched.-WORST'!$R$8, L172&lt;= ($R$7+$R$8)), (PPMT($N$8/12, (L172-$R$8), $R$7, $N$7)), 0)</f>
        <v>0</v>
      </c>
      <c r="P172" s="5">
        <f>IF(CreditAmort1WORST[[#This Row],[Month]]=R$8,N$7,0)</f>
        <v>0</v>
      </c>
      <c r="Q172" s="13">
        <f>IF(AND(L172&gt;='Amort. Sched.-WORST'!$R$8, L172&lt;= ($R$7+$R$8)), Q171+O172, 0)</f>
        <v>0</v>
      </c>
      <c r="R172" s="6" t="str">
        <f>IF(AND(L172&gt;='Amort. Sched.-WORST'!$R$8, L172&lt;= ($R$7+$R$8)), N172/M172, " ")</f>
        <v xml:space="preserve"> </v>
      </c>
      <c r="S172" s="21" t="str">
        <f>IF(AND(L172&gt;='Amort. Sched.-WORST'!$R$8, L172&lt;= ($R$7+$R$8)), O172/M172, " ")</f>
        <v xml:space="preserve"> </v>
      </c>
      <c r="U172" s="22">
        <f t="shared" si="36"/>
        <v>161</v>
      </c>
      <c r="V172" s="23">
        <f>IF(AND(U172&gt;='Amort. Sched.-WORST'!$AA$8, U172&lt;= ($AA$7+$AA$8)), PMT('Amort. Sched.-WORST'!$W$8/12, 'Amort. Sched.-WORST'!$AA$7, 'Amort. Sched.-WORST'!$W$7), 0)</f>
        <v>0</v>
      </c>
      <c r="W172" s="5">
        <f>IF(AND(U172&gt;='Amort. Sched.-WORST'!$AA$8, U172&lt;= ($AA$7+$AA$8)), (IPMT($W$8/12, (U172-$AA$8), $AA$7, $W$7)), 0)</f>
        <v>0</v>
      </c>
      <c r="X172" s="23">
        <f>IF(AND(U172&gt;='Amort. Sched.-WORST'!$AA$8, U172&lt;= ($AA$7+$AA$8)), (PPMT($W$8/12, (U172-$AA$8), $AA$7, $W$7)), 0)</f>
        <v>0</v>
      </c>
      <c r="Y172" s="5">
        <f>IF(CreditAmort2WORST[[#This Row],[Month]]=AA$8,W$7,0)</f>
        <v>0</v>
      </c>
      <c r="Z172" s="13">
        <f>IF(AND(U172&gt;='Amort. Sched.-WORST'!$AA$8, U172&lt;= ($AA$7+$AA$8)), Z171+X172, 0)</f>
        <v>0</v>
      </c>
      <c r="AA172" s="24" t="str">
        <f>IF(AND(U172&gt;='Amort. Sched.-WORST'!$AA$8, U172&lt;= ($AA$7+$AA$8)), W172/V172, " ")</f>
        <v xml:space="preserve"> </v>
      </c>
      <c r="AB172" s="25" t="str">
        <f>IF(AND(U172&gt;='Amort. Sched.-WORST'!$AA$8, U172&lt;= ($AA$7+$AA$8)), X172/V172, " ")</f>
        <v xml:space="preserve"> </v>
      </c>
      <c r="AD172" s="20">
        <f t="shared" si="37"/>
        <v>161</v>
      </c>
      <c r="AE172" s="5">
        <f t="shared" si="38"/>
        <v>0</v>
      </c>
      <c r="AF172" s="5">
        <f t="shared" si="39"/>
        <v>0</v>
      </c>
      <c r="AG172" s="5">
        <f t="shared" si="40"/>
        <v>0</v>
      </c>
      <c r="AH172" s="5">
        <f>IF(CreditAmort3WORST[[#This Row],[Month]]=AJ$8,AF$7,0)</f>
        <v>0</v>
      </c>
      <c r="AI172" s="13">
        <f t="shared" si="41"/>
        <v>0</v>
      </c>
      <c r="AJ172" s="6" t="str">
        <f t="shared" si="42"/>
        <v xml:space="preserve"> </v>
      </c>
      <c r="AK172" s="21" t="str">
        <f t="shared" si="43"/>
        <v xml:space="preserve"> </v>
      </c>
      <c r="AM172" s="20">
        <f t="shared" si="44"/>
        <v>161</v>
      </c>
      <c r="AN172" s="5">
        <f t="shared" si="45"/>
        <v>0</v>
      </c>
      <c r="AO172" s="5">
        <f t="shared" si="46"/>
        <v>0</v>
      </c>
      <c r="AP172" s="5">
        <f t="shared" si="47"/>
        <v>0</v>
      </c>
      <c r="AQ172" s="5">
        <f>IF(CreditAmort4WORST[[#This Row],[Month]]=AS$8,AO$7,0)</f>
        <v>0</v>
      </c>
      <c r="AR172" s="13">
        <f t="shared" si="48"/>
        <v>0</v>
      </c>
      <c r="AS172" s="6" t="str">
        <f t="shared" si="49"/>
        <v xml:space="preserve"> </v>
      </c>
      <c r="AT172" s="21" t="str">
        <f t="shared" si="50"/>
        <v xml:space="preserve"> </v>
      </c>
    </row>
    <row r="173" spans="3:46">
      <c r="C173" s="22">
        <f t="shared" si="35"/>
        <v>162</v>
      </c>
      <c r="D173" s="23">
        <f>IF(AND(C173&gt;='Amort. Sched.-WORST'!$I$8, C173&lt;= ($I$7+$I$8)), PMT('Amort. Sched.-WORST'!$E$8/12, 'Amort. Sched.-WORST'!$I$7, 'Amort. Sched.-WORST'!$E$7), 0)</f>
        <v>-2026.0175758541329</v>
      </c>
      <c r="E173" s="5">
        <f>IF(AND(C173&gt;='Amort. Sched.-WORST'!$I$8, C173&lt;= ($I$7+$I$8)), (IPMT($E$8/12, (C173-$I$8), $I$7, $E$7)), 0)</f>
        <v>-1221.5055439889941</v>
      </c>
      <c r="F173" s="23">
        <f>IF(AND(C173&gt;='Amort. Sched.-WORST'!$I$8, C173&lt;= ($I$7+$I$8)), (PPMT($E$8/12, (C173-$I$8), $I$7, $E$7)), 0)</f>
        <v>-804.51203186513908</v>
      </c>
      <c r="G173" s="5">
        <f>IF(MortgageAmortWORST[[#This Row],[Month]]=I$8,E$7,0)</f>
        <v>0</v>
      </c>
      <c r="H173" s="13">
        <f>IF(AND(C173&gt;='Amort. Sched.-WORST'!$I$8, C173&lt;= ($I$7+$I$8)), H172+F173, 0)</f>
        <v>182421.3195664839</v>
      </c>
      <c r="I173" s="24">
        <f>IF(AND(C173&gt;='Amort. Sched.-WORST'!$I$8, C173&lt;= ($I$7+$I$8)), E173/D173, " ")</f>
        <v>0.60290964824134319</v>
      </c>
      <c r="J173" s="25">
        <f>IF(AND(C173&gt;='Amort. Sched.-WORST'!$I$8, C173&lt;= ($I$7+$I$8)), F173/D173, " ")</f>
        <v>0.39709035175865692</v>
      </c>
      <c r="L173" s="20">
        <f t="shared" si="34"/>
        <v>162</v>
      </c>
      <c r="M173" s="5">
        <f>IF(AND(L173&gt;='Amort. Sched.-WORST'!$R$8, L173&lt;= ($R$7+$R$8)), PMT('Amort. Sched.-WORST'!$N$8/12, 'Amort. Sched.-WORST'!$R$7, 'Amort. Sched.-WORST'!$N$7), 0)</f>
        <v>0</v>
      </c>
      <c r="N173" s="5">
        <f>IF(AND(L173&gt;='Amort. Sched.-WORST'!$R$8, L173&lt;= ($R$7+$R$8)), (IPMT($N$8/12, (L173-$R$8), $R$7, $N$7)), 0)</f>
        <v>0</v>
      </c>
      <c r="O173" s="5">
        <f>IF(AND(L173&gt;='Amort. Sched.-WORST'!$R$8, L173&lt;= ($R$7+$R$8)), (PPMT($N$8/12, (L173-$R$8), $R$7, $N$7)), 0)</f>
        <v>0</v>
      </c>
      <c r="P173" s="5">
        <f>IF(CreditAmort1WORST[[#This Row],[Month]]=R$8,N$7,0)</f>
        <v>0</v>
      </c>
      <c r="Q173" s="13">
        <f>IF(AND(L173&gt;='Amort. Sched.-WORST'!$R$8, L173&lt;= ($R$7+$R$8)), Q172+O173, 0)</f>
        <v>0</v>
      </c>
      <c r="R173" s="6" t="str">
        <f>IF(AND(L173&gt;='Amort. Sched.-WORST'!$R$8, L173&lt;= ($R$7+$R$8)), N173/M173, " ")</f>
        <v xml:space="preserve"> </v>
      </c>
      <c r="S173" s="21" t="str">
        <f>IF(AND(L173&gt;='Amort. Sched.-WORST'!$R$8, L173&lt;= ($R$7+$R$8)), O173/M173, " ")</f>
        <v xml:space="preserve"> </v>
      </c>
      <c r="U173" s="22">
        <f t="shared" si="36"/>
        <v>162</v>
      </c>
      <c r="V173" s="23">
        <f>IF(AND(U173&gt;='Amort. Sched.-WORST'!$AA$8, U173&lt;= ($AA$7+$AA$8)), PMT('Amort. Sched.-WORST'!$W$8/12, 'Amort. Sched.-WORST'!$AA$7, 'Amort. Sched.-WORST'!$W$7), 0)</f>
        <v>0</v>
      </c>
      <c r="W173" s="5">
        <f>IF(AND(U173&gt;='Amort. Sched.-WORST'!$AA$8, U173&lt;= ($AA$7+$AA$8)), (IPMT($W$8/12, (U173-$AA$8), $AA$7, $W$7)), 0)</f>
        <v>0</v>
      </c>
      <c r="X173" s="23">
        <f>IF(AND(U173&gt;='Amort. Sched.-WORST'!$AA$8, U173&lt;= ($AA$7+$AA$8)), (PPMT($W$8/12, (U173-$AA$8), $AA$7, $W$7)), 0)</f>
        <v>0</v>
      </c>
      <c r="Y173" s="5">
        <f>IF(CreditAmort2WORST[[#This Row],[Month]]=AA$8,W$7,0)</f>
        <v>0</v>
      </c>
      <c r="Z173" s="13">
        <f>IF(AND(U173&gt;='Amort. Sched.-WORST'!$AA$8, U173&lt;= ($AA$7+$AA$8)), Z172+X173, 0)</f>
        <v>0</v>
      </c>
      <c r="AA173" s="24" t="str">
        <f>IF(AND(U173&gt;='Amort. Sched.-WORST'!$AA$8, U173&lt;= ($AA$7+$AA$8)), W173/V173, " ")</f>
        <v xml:space="preserve"> </v>
      </c>
      <c r="AB173" s="25" t="str">
        <f>IF(AND(U173&gt;='Amort. Sched.-WORST'!$AA$8, U173&lt;= ($AA$7+$AA$8)), X173/V173, " ")</f>
        <v xml:space="preserve"> </v>
      </c>
      <c r="AD173" s="20">
        <f t="shared" si="37"/>
        <v>162</v>
      </c>
      <c r="AE173" s="5">
        <f t="shared" si="38"/>
        <v>0</v>
      </c>
      <c r="AF173" s="5">
        <f t="shared" si="39"/>
        <v>0</v>
      </c>
      <c r="AG173" s="5">
        <f t="shared" si="40"/>
        <v>0</v>
      </c>
      <c r="AH173" s="5">
        <f>IF(CreditAmort3WORST[[#This Row],[Month]]=AJ$8,AF$7,0)</f>
        <v>0</v>
      </c>
      <c r="AI173" s="13">
        <f t="shared" si="41"/>
        <v>0</v>
      </c>
      <c r="AJ173" s="6" t="str">
        <f t="shared" si="42"/>
        <v xml:space="preserve"> </v>
      </c>
      <c r="AK173" s="21" t="str">
        <f t="shared" si="43"/>
        <v xml:space="preserve"> </v>
      </c>
      <c r="AM173" s="20">
        <f t="shared" si="44"/>
        <v>162</v>
      </c>
      <c r="AN173" s="5">
        <f t="shared" si="45"/>
        <v>0</v>
      </c>
      <c r="AO173" s="5">
        <f t="shared" si="46"/>
        <v>0</v>
      </c>
      <c r="AP173" s="5">
        <f t="shared" si="47"/>
        <v>0</v>
      </c>
      <c r="AQ173" s="5">
        <f>IF(CreditAmort4WORST[[#This Row],[Month]]=AS$8,AO$7,0)</f>
        <v>0</v>
      </c>
      <c r="AR173" s="13">
        <f t="shared" si="48"/>
        <v>0</v>
      </c>
      <c r="AS173" s="6" t="str">
        <f t="shared" si="49"/>
        <v xml:space="preserve"> </v>
      </c>
      <c r="AT173" s="21" t="str">
        <f t="shared" si="50"/>
        <v xml:space="preserve"> </v>
      </c>
    </row>
    <row r="174" spans="3:46">
      <c r="C174" s="22">
        <f t="shared" si="35"/>
        <v>163</v>
      </c>
      <c r="D174" s="23">
        <f>IF(AND(C174&gt;='Amort. Sched.-WORST'!$I$8, C174&lt;= ($I$7+$I$8)), PMT('Amort. Sched.-WORST'!$E$8/12, 'Amort. Sched.-WORST'!$I$7, 'Amort. Sched.-WORST'!$E$7), 0)</f>
        <v>-2026.0175758541329</v>
      </c>
      <c r="E174" s="5">
        <f>IF(AND(C174&gt;='Amort. Sched.-WORST'!$I$8, C174&lt;= ($I$7+$I$8)), (IPMT($E$8/12, (C174-$I$8), $I$7, $E$7)), 0)</f>
        <v>-1216.1421304432263</v>
      </c>
      <c r="F174" s="23">
        <f>IF(AND(C174&gt;='Amort. Sched.-WORST'!$I$8, C174&lt;= ($I$7+$I$8)), (PPMT($E$8/12, (C174-$I$8), $I$7, $E$7)), 0)</f>
        <v>-809.87544541090665</v>
      </c>
      <c r="G174" s="5">
        <f>IF(MortgageAmortWORST[[#This Row],[Month]]=I$8,E$7,0)</f>
        <v>0</v>
      </c>
      <c r="H174" s="13">
        <f>IF(AND(C174&gt;='Amort. Sched.-WORST'!$I$8, C174&lt;= ($I$7+$I$8)), H173+F174, 0)</f>
        <v>181611.444121073</v>
      </c>
      <c r="I174" s="24">
        <f>IF(AND(C174&gt;='Amort. Sched.-WORST'!$I$8, C174&lt;= ($I$7+$I$8)), E174/D174, " ")</f>
        <v>0.60026237922961867</v>
      </c>
      <c r="J174" s="25">
        <f>IF(AND(C174&gt;='Amort. Sched.-WORST'!$I$8, C174&lt;= ($I$7+$I$8)), F174/D174, " ")</f>
        <v>0.39973762077038133</v>
      </c>
      <c r="L174" s="20">
        <f t="shared" si="34"/>
        <v>163</v>
      </c>
      <c r="M174" s="5">
        <f>IF(AND(L174&gt;='Amort. Sched.-WORST'!$R$8, L174&lt;= ($R$7+$R$8)), PMT('Amort. Sched.-WORST'!$N$8/12, 'Amort. Sched.-WORST'!$R$7, 'Amort. Sched.-WORST'!$N$7), 0)</f>
        <v>0</v>
      </c>
      <c r="N174" s="5">
        <f>IF(AND(L174&gt;='Amort. Sched.-WORST'!$R$8, L174&lt;= ($R$7+$R$8)), (IPMT($N$8/12, (L174-$R$8), $R$7, $N$7)), 0)</f>
        <v>0</v>
      </c>
      <c r="O174" s="5">
        <f>IF(AND(L174&gt;='Amort. Sched.-WORST'!$R$8, L174&lt;= ($R$7+$R$8)), (PPMT($N$8/12, (L174-$R$8), $R$7, $N$7)), 0)</f>
        <v>0</v>
      </c>
      <c r="P174" s="5">
        <f>IF(CreditAmort1WORST[[#This Row],[Month]]=R$8,N$7,0)</f>
        <v>0</v>
      </c>
      <c r="Q174" s="13">
        <f>IF(AND(L174&gt;='Amort. Sched.-WORST'!$R$8, L174&lt;= ($R$7+$R$8)), Q173+O174, 0)</f>
        <v>0</v>
      </c>
      <c r="R174" s="6" t="str">
        <f>IF(AND(L174&gt;='Amort. Sched.-WORST'!$R$8, L174&lt;= ($R$7+$R$8)), N174/M174, " ")</f>
        <v xml:space="preserve"> </v>
      </c>
      <c r="S174" s="21" t="str">
        <f>IF(AND(L174&gt;='Amort. Sched.-WORST'!$R$8, L174&lt;= ($R$7+$R$8)), O174/M174, " ")</f>
        <v xml:space="preserve"> </v>
      </c>
      <c r="U174" s="22">
        <f t="shared" si="36"/>
        <v>163</v>
      </c>
      <c r="V174" s="23">
        <f>IF(AND(U174&gt;='Amort. Sched.-WORST'!$AA$8, U174&lt;= ($AA$7+$AA$8)), PMT('Amort. Sched.-WORST'!$W$8/12, 'Amort. Sched.-WORST'!$AA$7, 'Amort. Sched.-WORST'!$W$7), 0)</f>
        <v>0</v>
      </c>
      <c r="W174" s="5">
        <f>IF(AND(U174&gt;='Amort. Sched.-WORST'!$AA$8, U174&lt;= ($AA$7+$AA$8)), (IPMT($W$8/12, (U174-$AA$8), $AA$7, $W$7)), 0)</f>
        <v>0</v>
      </c>
      <c r="X174" s="23">
        <f>IF(AND(U174&gt;='Amort. Sched.-WORST'!$AA$8, U174&lt;= ($AA$7+$AA$8)), (PPMT($W$8/12, (U174-$AA$8), $AA$7, $W$7)), 0)</f>
        <v>0</v>
      </c>
      <c r="Y174" s="5">
        <f>IF(CreditAmort2WORST[[#This Row],[Month]]=AA$8,W$7,0)</f>
        <v>0</v>
      </c>
      <c r="Z174" s="13">
        <f>IF(AND(U174&gt;='Amort. Sched.-WORST'!$AA$8, U174&lt;= ($AA$7+$AA$8)), Z173+X174, 0)</f>
        <v>0</v>
      </c>
      <c r="AA174" s="24" t="str">
        <f>IF(AND(U174&gt;='Amort. Sched.-WORST'!$AA$8, U174&lt;= ($AA$7+$AA$8)), W174/V174, " ")</f>
        <v xml:space="preserve"> </v>
      </c>
      <c r="AB174" s="25" t="str">
        <f>IF(AND(U174&gt;='Amort. Sched.-WORST'!$AA$8, U174&lt;= ($AA$7+$AA$8)), X174/V174, " ")</f>
        <v xml:space="preserve"> </v>
      </c>
      <c r="AD174" s="20">
        <f t="shared" si="37"/>
        <v>163</v>
      </c>
      <c r="AE174" s="5">
        <f t="shared" si="38"/>
        <v>0</v>
      </c>
      <c r="AF174" s="5">
        <f t="shared" si="39"/>
        <v>0</v>
      </c>
      <c r="AG174" s="5">
        <f t="shared" si="40"/>
        <v>0</v>
      </c>
      <c r="AH174" s="5">
        <f>IF(CreditAmort3WORST[[#This Row],[Month]]=AJ$8,AF$7,0)</f>
        <v>0</v>
      </c>
      <c r="AI174" s="13">
        <f t="shared" si="41"/>
        <v>0</v>
      </c>
      <c r="AJ174" s="6" t="str">
        <f t="shared" si="42"/>
        <v xml:space="preserve"> </v>
      </c>
      <c r="AK174" s="21" t="str">
        <f t="shared" si="43"/>
        <v xml:space="preserve"> </v>
      </c>
      <c r="AM174" s="20">
        <f t="shared" si="44"/>
        <v>163</v>
      </c>
      <c r="AN174" s="5">
        <f t="shared" si="45"/>
        <v>0</v>
      </c>
      <c r="AO174" s="5">
        <f t="shared" si="46"/>
        <v>0</v>
      </c>
      <c r="AP174" s="5">
        <f t="shared" si="47"/>
        <v>0</v>
      </c>
      <c r="AQ174" s="5">
        <f>IF(CreditAmort4WORST[[#This Row],[Month]]=AS$8,AO$7,0)</f>
        <v>0</v>
      </c>
      <c r="AR174" s="13">
        <f t="shared" si="48"/>
        <v>0</v>
      </c>
      <c r="AS174" s="6" t="str">
        <f t="shared" si="49"/>
        <v xml:space="preserve"> </v>
      </c>
      <c r="AT174" s="21" t="str">
        <f t="shared" si="50"/>
        <v xml:space="preserve"> </v>
      </c>
    </row>
    <row r="175" spans="3:46">
      <c r="C175" s="22">
        <f t="shared" si="35"/>
        <v>164</v>
      </c>
      <c r="D175" s="23">
        <f>IF(AND(C175&gt;='Amort. Sched.-WORST'!$I$8, C175&lt;= ($I$7+$I$8)), PMT('Amort. Sched.-WORST'!$E$8/12, 'Amort. Sched.-WORST'!$I$7, 'Amort. Sched.-WORST'!$E$7), 0)</f>
        <v>-2026.0175758541329</v>
      </c>
      <c r="E175" s="5">
        <f>IF(AND(C175&gt;='Amort. Sched.-WORST'!$I$8, C175&lt;= ($I$7+$I$8)), (IPMT($E$8/12, (C175-$I$8), $I$7, $E$7)), 0)</f>
        <v>-1210.7429608071536</v>
      </c>
      <c r="F175" s="23">
        <f>IF(AND(C175&gt;='Amort. Sched.-WORST'!$I$8, C175&lt;= ($I$7+$I$8)), (PPMT($E$8/12, (C175-$I$8), $I$7, $E$7)), 0)</f>
        <v>-815.27461504697931</v>
      </c>
      <c r="G175" s="5">
        <f>IF(MortgageAmortWORST[[#This Row],[Month]]=I$8,E$7,0)</f>
        <v>0</v>
      </c>
      <c r="H175" s="13">
        <f>IF(AND(C175&gt;='Amort. Sched.-WORST'!$I$8, C175&lt;= ($I$7+$I$8)), H174+F175, 0)</f>
        <v>180796.16950602602</v>
      </c>
      <c r="I175" s="24">
        <f>IF(AND(C175&gt;='Amort. Sched.-WORST'!$I$8, C175&lt;= ($I$7+$I$8)), E175/D175, " ")</f>
        <v>0.59759746175781614</v>
      </c>
      <c r="J175" s="25">
        <f>IF(AND(C175&gt;='Amort. Sched.-WORST'!$I$8, C175&lt;= ($I$7+$I$8)), F175/D175, " ")</f>
        <v>0.4024025382421838</v>
      </c>
      <c r="L175" s="20">
        <f t="shared" si="34"/>
        <v>164</v>
      </c>
      <c r="M175" s="5">
        <f>IF(AND(L175&gt;='Amort. Sched.-WORST'!$R$8, L175&lt;= ($R$7+$R$8)), PMT('Amort. Sched.-WORST'!$N$8/12, 'Amort. Sched.-WORST'!$R$7, 'Amort. Sched.-WORST'!$N$7), 0)</f>
        <v>0</v>
      </c>
      <c r="N175" s="5">
        <f>IF(AND(L175&gt;='Amort. Sched.-WORST'!$R$8, L175&lt;= ($R$7+$R$8)), (IPMT($N$8/12, (L175-$R$8), $R$7, $N$7)), 0)</f>
        <v>0</v>
      </c>
      <c r="O175" s="5">
        <f>IF(AND(L175&gt;='Amort. Sched.-WORST'!$R$8, L175&lt;= ($R$7+$R$8)), (PPMT($N$8/12, (L175-$R$8), $R$7, $N$7)), 0)</f>
        <v>0</v>
      </c>
      <c r="P175" s="5">
        <f>IF(CreditAmort1WORST[[#This Row],[Month]]=R$8,N$7,0)</f>
        <v>0</v>
      </c>
      <c r="Q175" s="13">
        <f>IF(AND(L175&gt;='Amort. Sched.-WORST'!$R$8, L175&lt;= ($R$7+$R$8)), Q174+O175, 0)</f>
        <v>0</v>
      </c>
      <c r="R175" s="6" t="str">
        <f>IF(AND(L175&gt;='Amort. Sched.-WORST'!$R$8, L175&lt;= ($R$7+$R$8)), N175/M175, " ")</f>
        <v xml:space="preserve"> </v>
      </c>
      <c r="S175" s="21" t="str">
        <f>IF(AND(L175&gt;='Amort. Sched.-WORST'!$R$8, L175&lt;= ($R$7+$R$8)), O175/M175, " ")</f>
        <v xml:space="preserve"> </v>
      </c>
      <c r="U175" s="22">
        <f t="shared" si="36"/>
        <v>164</v>
      </c>
      <c r="V175" s="23">
        <f>IF(AND(U175&gt;='Amort. Sched.-WORST'!$AA$8, U175&lt;= ($AA$7+$AA$8)), PMT('Amort. Sched.-WORST'!$W$8/12, 'Amort. Sched.-WORST'!$AA$7, 'Amort. Sched.-WORST'!$W$7), 0)</f>
        <v>0</v>
      </c>
      <c r="W175" s="5">
        <f>IF(AND(U175&gt;='Amort. Sched.-WORST'!$AA$8, U175&lt;= ($AA$7+$AA$8)), (IPMT($W$8/12, (U175-$AA$8), $AA$7, $W$7)), 0)</f>
        <v>0</v>
      </c>
      <c r="X175" s="23">
        <f>IF(AND(U175&gt;='Amort. Sched.-WORST'!$AA$8, U175&lt;= ($AA$7+$AA$8)), (PPMT($W$8/12, (U175-$AA$8), $AA$7, $W$7)), 0)</f>
        <v>0</v>
      </c>
      <c r="Y175" s="5">
        <f>IF(CreditAmort2WORST[[#This Row],[Month]]=AA$8,W$7,0)</f>
        <v>0</v>
      </c>
      <c r="Z175" s="13">
        <f>IF(AND(U175&gt;='Amort. Sched.-WORST'!$AA$8, U175&lt;= ($AA$7+$AA$8)), Z174+X175, 0)</f>
        <v>0</v>
      </c>
      <c r="AA175" s="24" t="str">
        <f>IF(AND(U175&gt;='Amort. Sched.-WORST'!$AA$8, U175&lt;= ($AA$7+$AA$8)), W175/V175, " ")</f>
        <v xml:space="preserve"> </v>
      </c>
      <c r="AB175" s="25" t="str">
        <f>IF(AND(U175&gt;='Amort. Sched.-WORST'!$AA$8, U175&lt;= ($AA$7+$AA$8)), X175/V175, " ")</f>
        <v xml:space="preserve"> </v>
      </c>
      <c r="AD175" s="20">
        <f t="shared" si="37"/>
        <v>164</v>
      </c>
      <c r="AE175" s="5">
        <f t="shared" si="38"/>
        <v>0</v>
      </c>
      <c r="AF175" s="5">
        <f t="shared" si="39"/>
        <v>0</v>
      </c>
      <c r="AG175" s="5">
        <f t="shared" si="40"/>
        <v>0</v>
      </c>
      <c r="AH175" s="5">
        <f>IF(CreditAmort3WORST[[#This Row],[Month]]=AJ$8,AF$7,0)</f>
        <v>0</v>
      </c>
      <c r="AI175" s="13">
        <f t="shared" si="41"/>
        <v>0</v>
      </c>
      <c r="AJ175" s="6" t="str">
        <f t="shared" si="42"/>
        <v xml:space="preserve"> </v>
      </c>
      <c r="AK175" s="21" t="str">
        <f t="shared" si="43"/>
        <v xml:space="preserve"> </v>
      </c>
      <c r="AM175" s="20">
        <f t="shared" si="44"/>
        <v>164</v>
      </c>
      <c r="AN175" s="5">
        <f t="shared" si="45"/>
        <v>0</v>
      </c>
      <c r="AO175" s="5">
        <f t="shared" si="46"/>
        <v>0</v>
      </c>
      <c r="AP175" s="5">
        <f t="shared" si="47"/>
        <v>0</v>
      </c>
      <c r="AQ175" s="5">
        <f>IF(CreditAmort4WORST[[#This Row],[Month]]=AS$8,AO$7,0)</f>
        <v>0</v>
      </c>
      <c r="AR175" s="13">
        <f t="shared" si="48"/>
        <v>0</v>
      </c>
      <c r="AS175" s="6" t="str">
        <f t="shared" si="49"/>
        <v xml:space="preserve"> </v>
      </c>
      <c r="AT175" s="21" t="str">
        <f t="shared" si="50"/>
        <v xml:space="preserve"> </v>
      </c>
    </row>
    <row r="176" spans="3:46">
      <c r="C176" s="22">
        <f t="shared" si="35"/>
        <v>165</v>
      </c>
      <c r="D176" s="23">
        <f>IF(AND(C176&gt;='Amort. Sched.-WORST'!$I$8, C176&lt;= ($I$7+$I$8)), PMT('Amort. Sched.-WORST'!$E$8/12, 'Amort. Sched.-WORST'!$I$7, 'Amort. Sched.-WORST'!$E$7), 0)</f>
        <v>-2026.0175758541329</v>
      </c>
      <c r="E176" s="5">
        <f>IF(AND(C176&gt;='Amort. Sched.-WORST'!$I$8, C176&lt;= ($I$7+$I$8)), (IPMT($E$8/12, (C176-$I$8), $I$7, $E$7)), 0)</f>
        <v>-1205.3077967068407</v>
      </c>
      <c r="F176" s="23">
        <f>IF(AND(C176&gt;='Amort. Sched.-WORST'!$I$8, C176&lt;= ($I$7+$I$8)), (PPMT($E$8/12, (C176-$I$8), $I$7, $E$7)), 0)</f>
        <v>-820.70977914729247</v>
      </c>
      <c r="G176" s="5">
        <f>IF(MortgageAmortWORST[[#This Row],[Month]]=I$8,E$7,0)</f>
        <v>0</v>
      </c>
      <c r="H176" s="13">
        <f>IF(AND(C176&gt;='Amort. Sched.-WORST'!$I$8, C176&lt;= ($I$7+$I$8)), H175+F176, 0)</f>
        <v>179975.45972687873</v>
      </c>
      <c r="I176" s="24">
        <f>IF(AND(C176&gt;='Amort. Sched.-WORST'!$I$8, C176&lt;= ($I$7+$I$8)), E176/D176, " ")</f>
        <v>0.59491477816953509</v>
      </c>
      <c r="J176" s="25">
        <f>IF(AND(C176&gt;='Amort. Sched.-WORST'!$I$8, C176&lt;= ($I$7+$I$8)), F176/D176, " ")</f>
        <v>0.40508522183046503</v>
      </c>
      <c r="L176" s="20">
        <f t="shared" si="34"/>
        <v>165</v>
      </c>
      <c r="M176" s="5">
        <f>IF(AND(L176&gt;='Amort. Sched.-WORST'!$R$8, L176&lt;= ($R$7+$R$8)), PMT('Amort. Sched.-WORST'!$N$8/12, 'Amort. Sched.-WORST'!$R$7, 'Amort. Sched.-WORST'!$N$7), 0)</f>
        <v>0</v>
      </c>
      <c r="N176" s="5">
        <f>IF(AND(L176&gt;='Amort. Sched.-WORST'!$R$8, L176&lt;= ($R$7+$R$8)), (IPMT($N$8/12, (L176-$R$8), $R$7, $N$7)), 0)</f>
        <v>0</v>
      </c>
      <c r="O176" s="5">
        <f>IF(AND(L176&gt;='Amort. Sched.-WORST'!$R$8, L176&lt;= ($R$7+$R$8)), (PPMT($N$8/12, (L176-$R$8), $R$7, $N$7)), 0)</f>
        <v>0</v>
      </c>
      <c r="P176" s="5">
        <f>IF(CreditAmort1WORST[[#This Row],[Month]]=R$8,N$7,0)</f>
        <v>0</v>
      </c>
      <c r="Q176" s="13">
        <f>IF(AND(L176&gt;='Amort. Sched.-WORST'!$R$8, L176&lt;= ($R$7+$R$8)), Q175+O176, 0)</f>
        <v>0</v>
      </c>
      <c r="R176" s="6" t="str">
        <f>IF(AND(L176&gt;='Amort. Sched.-WORST'!$R$8, L176&lt;= ($R$7+$R$8)), N176/M176, " ")</f>
        <v xml:space="preserve"> </v>
      </c>
      <c r="S176" s="21" t="str">
        <f>IF(AND(L176&gt;='Amort. Sched.-WORST'!$R$8, L176&lt;= ($R$7+$R$8)), O176/M176, " ")</f>
        <v xml:space="preserve"> </v>
      </c>
      <c r="U176" s="22">
        <f t="shared" si="36"/>
        <v>165</v>
      </c>
      <c r="V176" s="23">
        <f>IF(AND(U176&gt;='Amort. Sched.-WORST'!$AA$8, U176&lt;= ($AA$7+$AA$8)), PMT('Amort. Sched.-WORST'!$W$8/12, 'Amort. Sched.-WORST'!$AA$7, 'Amort. Sched.-WORST'!$W$7), 0)</f>
        <v>0</v>
      </c>
      <c r="W176" s="5">
        <f>IF(AND(U176&gt;='Amort. Sched.-WORST'!$AA$8, U176&lt;= ($AA$7+$AA$8)), (IPMT($W$8/12, (U176-$AA$8), $AA$7, $W$7)), 0)</f>
        <v>0</v>
      </c>
      <c r="X176" s="23">
        <f>IF(AND(U176&gt;='Amort. Sched.-WORST'!$AA$8, U176&lt;= ($AA$7+$AA$8)), (PPMT($W$8/12, (U176-$AA$8), $AA$7, $W$7)), 0)</f>
        <v>0</v>
      </c>
      <c r="Y176" s="5">
        <f>IF(CreditAmort2WORST[[#This Row],[Month]]=AA$8,W$7,0)</f>
        <v>0</v>
      </c>
      <c r="Z176" s="13">
        <f>IF(AND(U176&gt;='Amort. Sched.-WORST'!$AA$8, U176&lt;= ($AA$7+$AA$8)), Z175+X176, 0)</f>
        <v>0</v>
      </c>
      <c r="AA176" s="24" t="str">
        <f>IF(AND(U176&gt;='Amort. Sched.-WORST'!$AA$8, U176&lt;= ($AA$7+$AA$8)), W176/V176, " ")</f>
        <v xml:space="preserve"> </v>
      </c>
      <c r="AB176" s="25" t="str">
        <f>IF(AND(U176&gt;='Amort. Sched.-WORST'!$AA$8, U176&lt;= ($AA$7+$AA$8)), X176/V176, " ")</f>
        <v xml:space="preserve"> </v>
      </c>
      <c r="AD176" s="20">
        <f t="shared" si="37"/>
        <v>165</v>
      </c>
      <c r="AE176" s="5">
        <f t="shared" si="38"/>
        <v>0</v>
      </c>
      <c r="AF176" s="5">
        <f t="shared" si="39"/>
        <v>0</v>
      </c>
      <c r="AG176" s="5">
        <f t="shared" si="40"/>
        <v>0</v>
      </c>
      <c r="AH176" s="5">
        <f>IF(CreditAmort3WORST[[#This Row],[Month]]=AJ$8,AF$7,0)</f>
        <v>0</v>
      </c>
      <c r="AI176" s="13">
        <f t="shared" si="41"/>
        <v>0</v>
      </c>
      <c r="AJ176" s="6" t="str">
        <f t="shared" si="42"/>
        <v xml:space="preserve"> </v>
      </c>
      <c r="AK176" s="21" t="str">
        <f t="shared" si="43"/>
        <v xml:space="preserve"> </v>
      </c>
      <c r="AM176" s="20">
        <f t="shared" si="44"/>
        <v>165</v>
      </c>
      <c r="AN176" s="5">
        <f t="shared" si="45"/>
        <v>0</v>
      </c>
      <c r="AO176" s="5">
        <f t="shared" si="46"/>
        <v>0</v>
      </c>
      <c r="AP176" s="5">
        <f t="shared" si="47"/>
        <v>0</v>
      </c>
      <c r="AQ176" s="5">
        <f>IF(CreditAmort4WORST[[#This Row],[Month]]=AS$8,AO$7,0)</f>
        <v>0</v>
      </c>
      <c r="AR176" s="13">
        <f t="shared" si="48"/>
        <v>0</v>
      </c>
      <c r="AS176" s="6" t="str">
        <f t="shared" si="49"/>
        <v xml:space="preserve"> </v>
      </c>
      <c r="AT176" s="21" t="str">
        <f t="shared" si="50"/>
        <v xml:space="preserve"> </v>
      </c>
    </row>
    <row r="177" spans="3:46">
      <c r="C177" s="22">
        <f t="shared" si="35"/>
        <v>166</v>
      </c>
      <c r="D177" s="23">
        <f>IF(AND(C177&gt;='Amort. Sched.-WORST'!$I$8, C177&lt;= ($I$7+$I$8)), PMT('Amort. Sched.-WORST'!$E$8/12, 'Amort. Sched.-WORST'!$I$7, 'Amort. Sched.-WORST'!$E$7), 0)</f>
        <v>-2026.0175758541329</v>
      </c>
      <c r="E177" s="5">
        <f>IF(AND(C177&gt;='Amort. Sched.-WORST'!$I$8, C177&lt;= ($I$7+$I$8)), (IPMT($E$8/12, (C177-$I$8), $I$7, $E$7)), 0)</f>
        <v>-1199.836398179192</v>
      </c>
      <c r="F177" s="23">
        <f>IF(AND(C177&gt;='Amort. Sched.-WORST'!$I$8, C177&lt;= ($I$7+$I$8)), (PPMT($E$8/12, (C177-$I$8), $I$7, $E$7)), 0)</f>
        <v>-826.18117767494107</v>
      </c>
      <c r="G177" s="5">
        <f>IF(MortgageAmortWORST[[#This Row],[Month]]=I$8,E$7,0)</f>
        <v>0</v>
      </c>
      <c r="H177" s="13">
        <f>IF(AND(C177&gt;='Amort. Sched.-WORST'!$I$8, C177&lt;= ($I$7+$I$8)), H176+F177, 0)</f>
        <v>179149.27854920379</v>
      </c>
      <c r="I177" s="24">
        <f>IF(AND(C177&gt;='Amort. Sched.-WORST'!$I$8, C177&lt;= ($I$7+$I$8)), E177/D177, " ")</f>
        <v>0.59221421002399854</v>
      </c>
      <c r="J177" s="25">
        <f>IF(AND(C177&gt;='Amort. Sched.-WORST'!$I$8, C177&lt;= ($I$7+$I$8)), F177/D177, " ")</f>
        <v>0.40778578997600146</v>
      </c>
      <c r="L177" s="20">
        <f t="shared" si="34"/>
        <v>166</v>
      </c>
      <c r="M177" s="5">
        <f>IF(AND(L177&gt;='Amort. Sched.-WORST'!$R$8, L177&lt;= ($R$7+$R$8)), PMT('Amort. Sched.-WORST'!$N$8/12, 'Amort. Sched.-WORST'!$R$7, 'Amort. Sched.-WORST'!$N$7), 0)</f>
        <v>0</v>
      </c>
      <c r="N177" s="5">
        <f>IF(AND(L177&gt;='Amort. Sched.-WORST'!$R$8, L177&lt;= ($R$7+$R$8)), (IPMT($N$8/12, (L177-$R$8), $R$7, $N$7)), 0)</f>
        <v>0</v>
      </c>
      <c r="O177" s="5">
        <f>IF(AND(L177&gt;='Amort. Sched.-WORST'!$R$8, L177&lt;= ($R$7+$R$8)), (PPMT($N$8/12, (L177-$R$8), $R$7, $N$7)), 0)</f>
        <v>0</v>
      </c>
      <c r="P177" s="5">
        <f>IF(CreditAmort1WORST[[#This Row],[Month]]=R$8,N$7,0)</f>
        <v>0</v>
      </c>
      <c r="Q177" s="13">
        <f>IF(AND(L177&gt;='Amort. Sched.-WORST'!$R$8, L177&lt;= ($R$7+$R$8)), Q176+O177, 0)</f>
        <v>0</v>
      </c>
      <c r="R177" s="6" t="str">
        <f>IF(AND(L177&gt;='Amort. Sched.-WORST'!$R$8, L177&lt;= ($R$7+$R$8)), N177/M177, " ")</f>
        <v xml:space="preserve"> </v>
      </c>
      <c r="S177" s="21" t="str">
        <f>IF(AND(L177&gt;='Amort. Sched.-WORST'!$R$8, L177&lt;= ($R$7+$R$8)), O177/M177, " ")</f>
        <v xml:space="preserve"> </v>
      </c>
      <c r="U177" s="22">
        <f t="shared" si="36"/>
        <v>166</v>
      </c>
      <c r="V177" s="23">
        <f>IF(AND(U177&gt;='Amort. Sched.-WORST'!$AA$8, U177&lt;= ($AA$7+$AA$8)), PMT('Amort. Sched.-WORST'!$W$8/12, 'Amort. Sched.-WORST'!$AA$7, 'Amort. Sched.-WORST'!$W$7), 0)</f>
        <v>0</v>
      </c>
      <c r="W177" s="5">
        <f>IF(AND(U177&gt;='Amort. Sched.-WORST'!$AA$8, U177&lt;= ($AA$7+$AA$8)), (IPMT($W$8/12, (U177-$AA$8), $AA$7, $W$7)), 0)</f>
        <v>0</v>
      </c>
      <c r="X177" s="23">
        <f>IF(AND(U177&gt;='Amort. Sched.-WORST'!$AA$8, U177&lt;= ($AA$7+$AA$8)), (PPMT($W$8/12, (U177-$AA$8), $AA$7, $W$7)), 0)</f>
        <v>0</v>
      </c>
      <c r="Y177" s="5">
        <f>IF(CreditAmort2WORST[[#This Row],[Month]]=AA$8,W$7,0)</f>
        <v>0</v>
      </c>
      <c r="Z177" s="13">
        <f>IF(AND(U177&gt;='Amort. Sched.-WORST'!$AA$8, U177&lt;= ($AA$7+$AA$8)), Z176+X177, 0)</f>
        <v>0</v>
      </c>
      <c r="AA177" s="24" t="str">
        <f>IF(AND(U177&gt;='Amort. Sched.-WORST'!$AA$8, U177&lt;= ($AA$7+$AA$8)), W177/V177, " ")</f>
        <v xml:space="preserve"> </v>
      </c>
      <c r="AB177" s="25" t="str">
        <f>IF(AND(U177&gt;='Amort. Sched.-WORST'!$AA$8, U177&lt;= ($AA$7+$AA$8)), X177/V177, " ")</f>
        <v xml:space="preserve"> </v>
      </c>
      <c r="AD177" s="20">
        <f t="shared" si="37"/>
        <v>166</v>
      </c>
      <c r="AE177" s="5">
        <f t="shared" si="38"/>
        <v>0</v>
      </c>
      <c r="AF177" s="5">
        <f t="shared" si="39"/>
        <v>0</v>
      </c>
      <c r="AG177" s="5">
        <f t="shared" si="40"/>
        <v>0</v>
      </c>
      <c r="AH177" s="5">
        <f>IF(CreditAmort3WORST[[#This Row],[Month]]=AJ$8,AF$7,0)</f>
        <v>0</v>
      </c>
      <c r="AI177" s="13">
        <f t="shared" si="41"/>
        <v>0</v>
      </c>
      <c r="AJ177" s="6" t="str">
        <f t="shared" si="42"/>
        <v xml:space="preserve"> </v>
      </c>
      <c r="AK177" s="21" t="str">
        <f t="shared" si="43"/>
        <v xml:space="preserve"> </v>
      </c>
      <c r="AM177" s="20">
        <f t="shared" si="44"/>
        <v>166</v>
      </c>
      <c r="AN177" s="5">
        <f t="shared" si="45"/>
        <v>0</v>
      </c>
      <c r="AO177" s="5">
        <f t="shared" si="46"/>
        <v>0</v>
      </c>
      <c r="AP177" s="5">
        <f t="shared" si="47"/>
        <v>0</v>
      </c>
      <c r="AQ177" s="5">
        <f>IF(CreditAmort4WORST[[#This Row],[Month]]=AS$8,AO$7,0)</f>
        <v>0</v>
      </c>
      <c r="AR177" s="13">
        <f t="shared" si="48"/>
        <v>0</v>
      </c>
      <c r="AS177" s="6" t="str">
        <f t="shared" si="49"/>
        <v xml:space="preserve"> </v>
      </c>
      <c r="AT177" s="21" t="str">
        <f t="shared" si="50"/>
        <v xml:space="preserve"> </v>
      </c>
    </row>
    <row r="178" spans="3:46">
      <c r="C178" s="22">
        <f t="shared" si="35"/>
        <v>167</v>
      </c>
      <c r="D178" s="23">
        <f>IF(AND(C178&gt;='Amort. Sched.-WORST'!$I$8, C178&lt;= ($I$7+$I$8)), PMT('Amort. Sched.-WORST'!$E$8/12, 'Amort. Sched.-WORST'!$I$7, 'Amort. Sched.-WORST'!$E$7), 0)</f>
        <v>-2026.0175758541329</v>
      </c>
      <c r="E178" s="5">
        <f>IF(AND(C178&gt;='Amort. Sched.-WORST'!$I$8, C178&lt;= ($I$7+$I$8)), (IPMT($E$8/12, (C178-$I$8), $I$7, $E$7)), 0)</f>
        <v>-1194.328523661359</v>
      </c>
      <c r="F178" s="23">
        <f>IF(AND(C178&gt;='Amort. Sched.-WORST'!$I$8, C178&lt;= ($I$7+$I$8)), (PPMT($E$8/12, (C178-$I$8), $I$7, $E$7)), 0)</f>
        <v>-831.68905219277406</v>
      </c>
      <c r="G178" s="5">
        <f>IF(MortgageAmortWORST[[#This Row],[Month]]=I$8,E$7,0)</f>
        <v>0</v>
      </c>
      <c r="H178" s="13">
        <f>IF(AND(C178&gt;='Amort. Sched.-WORST'!$I$8, C178&lt;= ($I$7+$I$8)), H177+F178, 0)</f>
        <v>178317.58949701101</v>
      </c>
      <c r="I178" s="24">
        <f>IF(AND(C178&gt;='Amort. Sched.-WORST'!$I$8, C178&lt;= ($I$7+$I$8)), E178/D178, " ")</f>
        <v>0.58949563809082517</v>
      </c>
      <c r="J178" s="25">
        <f>IF(AND(C178&gt;='Amort. Sched.-WORST'!$I$8, C178&lt;= ($I$7+$I$8)), F178/D178, " ")</f>
        <v>0.41050436190917483</v>
      </c>
      <c r="L178" s="20">
        <f t="shared" si="34"/>
        <v>167</v>
      </c>
      <c r="M178" s="5">
        <f>IF(AND(L178&gt;='Amort. Sched.-WORST'!$R$8, L178&lt;= ($R$7+$R$8)), PMT('Amort. Sched.-WORST'!$N$8/12, 'Amort. Sched.-WORST'!$R$7, 'Amort. Sched.-WORST'!$N$7), 0)</f>
        <v>0</v>
      </c>
      <c r="N178" s="5">
        <f>IF(AND(L178&gt;='Amort. Sched.-WORST'!$R$8, L178&lt;= ($R$7+$R$8)), (IPMT($N$8/12, (L178-$R$8), $R$7, $N$7)), 0)</f>
        <v>0</v>
      </c>
      <c r="O178" s="5">
        <f>IF(AND(L178&gt;='Amort. Sched.-WORST'!$R$8, L178&lt;= ($R$7+$R$8)), (PPMT($N$8/12, (L178-$R$8), $R$7, $N$7)), 0)</f>
        <v>0</v>
      </c>
      <c r="P178" s="5">
        <f>IF(CreditAmort1WORST[[#This Row],[Month]]=R$8,N$7,0)</f>
        <v>0</v>
      </c>
      <c r="Q178" s="13">
        <f>IF(AND(L178&gt;='Amort. Sched.-WORST'!$R$8, L178&lt;= ($R$7+$R$8)), Q177+O178, 0)</f>
        <v>0</v>
      </c>
      <c r="R178" s="6" t="str">
        <f>IF(AND(L178&gt;='Amort. Sched.-WORST'!$R$8, L178&lt;= ($R$7+$R$8)), N178/M178, " ")</f>
        <v xml:space="preserve"> </v>
      </c>
      <c r="S178" s="21" t="str">
        <f>IF(AND(L178&gt;='Amort. Sched.-WORST'!$R$8, L178&lt;= ($R$7+$R$8)), O178/M178, " ")</f>
        <v xml:space="preserve"> </v>
      </c>
      <c r="U178" s="22">
        <f t="shared" si="36"/>
        <v>167</v>
      </c>
      <c r="V178" s="23">
        <f>IF(AND(U178&gt;='Amort. Sched.-WORST'!$AA$8, U178&lt;= ($AA$7+$AA$8)), PMT('Amort. Sched.-WORST'!$W$8/12, 'Amort. Sched.-WORST'!$AA$7, 'Amort. Sched.-WORST'!$W$7), 0)</f>
        <v>0</v>
      </c>
      <c r="W178" s="5">
        <f>IF(AND(U178&gt;='Amort. Sched.-WORST'!$AA$8, U178&lt;= ($AA$7+$AA$8)), (IPMT($W$8/12, (U178-$AA$8), $AA$7, $W$7)), 0)</f>
        <v>0</v>
      </c>
      <c r="X178" s="23">
        <f>IF(AND(U178&gt;='Amort. Sched.-WORST'!$AA$8, U178&lt;= ($AA$7+$AA$8)), (PPMT($W$8/12, (U178-$AA$8), $AA$7, $W$7)), 0)</f>
        <v>0</v>
      </c>
      <c r="Y178" s="5">
        <f>IF(CreditAmort2WORST[[#This Row],[Month]]=AA$8,W$7,0)</f>
        <v>0</v>
      </c>
      <c r="Z178" s="13">
        <f>IF(AND(U178&gt;='Amort. Sched.-WORST'!$AA$8, U178&lt;= ($AA$7+$AA$8)), Z177+X178, 0)</f>
        <v>0</v>
      </c>
      <c r="AA178" s="24" t="str">
        <f>IF(AND(U178&gt;='Amort. Sched.-WORST'!$AA$8, U178&lt;= ($AA$7+$AA$8)), W178/V178, " ")</f>
        <v xml:space="preserve"> </v>
      </c>
      <c r="AB178" s="25" t="str">
        <f>IF(AND(U178&gt;='Amort. Sched.-WORST'!$AA$8, U178&lt;= ($AA$7+$AA$8)), X178/V178, " ")</f>
        <v xml:space="preserve"> </v>
      </c>
      <c r="AD178" s="20">
        <f t="shared" si="37"/>
        <v>167</v>
      </c>
      <c r="AE178" s="5">
        <f t="shared" si="38"/>
        <v>0</v>
      </c>
      <c r="AF178" s="5">
        <f t="shared" si="39"/>
        <v>0</v>
      </c>
      <c r="AG178" s="5">
        <f t="shared" si="40"/>
        <v>0</v>
      </c>
      <c r="AH178" s="5">
        <f>IF(CreditAmort3WORST[[#This Row],[Month]]=AJ$8,AF$7,0)</f>
        <v>0</v>
      </c>
      <c r="AI178" s="13">
        <f t="shared" si="41"/>
        <v>0</v>
      </c>
      <c r="AJ178" s="6" t="str">
        <f t="shared" si="42"/>
        <v xml:space="preserve"> </v>
      </c>
      <c r="AK178" s="21" t="str">
        <f t="shared" si="43"/>
        <v xml:space="preserve"> </v>
      </c>
      <c r="AM178" s="20">
        <f t="shared" si="44"/>
        <v>167</v>
      </c>
      <c r="AN178" s="5">
        <f t="shared" si="45"/>
        <v>0</v>
      </c>
      <c r="AO178" s="5">
        <f t="shared" si="46"/>
        <v>0</v>
      </c>
      <c r="AP178" s="5">
        <f t="shared" si="47"/>
        <v>0</v>
      </c>
      <c r="AQ178" s="5">
        <f>IF(CreditAmort4WORST[[#This Row],[Month]]=AS$8,AO$7,0)</f>
        <v>0</v>
      </c>
      <c r="AR178" s="13">
        <f t="shared" si="48"/>
        <v>0</v>
      </c>
      <c r="AS178" s="6" t="str">
        <f t="shared" si="49"/>
        <v xml:space="preserve"> </v>
      </c>
      <c r="AT178" s="21" t="str">
        <f t="shared" si="50"/>
        <v xml:space="preserve"> </v>
      </c>
    </row>
    <row r="179" spans="3:46">
      <c r="C179" s="22">
        <f t="shared" si="35"/>
        <v>168</v>
      </c>
      <c r="D179" s="23">
        <f>IF(AND(C179&gt;='Amort. Sched.-WORST'!$I$8, C179&lt;= ($I$7+$I$8)), PMT('Amort. Sched.-WORST'!$E$8/12, 'Amort. Sched.-WORST'!$I$7, 'Amort. Sched.-WORST'!$E$7), 0)</f>
        <v>-2026.0175758541329</v>
      </c>
      <c r="E179" s="5">
        <f>IF(AND(C179&gt;='Amort. Sched.-WORST'!$I$8, C179&lt;= ($I$7+$I$8)), (IPMT($E$8/12, (C179-$I$8), $I$7, $E$7)), 0)</f>
        <v>-1188.7839299800742</v>
      </c>
      <c r="F179" s="23">
        <f>IF(AND(C179&gt;='Amort. Sched.-WORST'!$I$8, C179&lt;= ($I$7+$I$8)), (PPMT($E$8/12, (C179-$I$8), $I$7, $E$7)), 0)</f>
        <v>-837.23364587405911</v>
      </c>
      <c r="G179" s="5">
        <f>IF(MortgageAmortWORST[[#This Row],[Month]]=I$8,E$7,0)</f>
        <v>0</v>
      </c>
      <c r="H179" s="13">
        <f>IF(AND(C179&gt;='Amort. Sched.-WORST'!$I$8, C179&lt;= ($I$7+$I$8)), H178+F179, 0)</f>
        <v>177480.35585113696</v>
      </c>
      <c r="I179" s="24">
        <f>IF(AND(C179&gt;='Amort. Sched.-WORST'!$I$8, C179&lt;= ($I$7+$I$8)), E179/D179, " ")</f>
        <v>0.58675894234476422</v>
      </c>
      <c r="J179" s="25">
        <f>IF(AND(C179&gt;='Amort. Sched.-WORST'!$I$8, C179&lt;= ($I$7+$I$8)), F179/D179, " ")</f>
        <v>0.41324105765523594</v>
      </c>
      <c r="L179" s="20">
        <f t="shared" si="34"/>
        <v>168</v>
      </c>
      <c r="M179" s="5">
        <f>IF(AND(L179&gt;='Amort. Sched.-WORST'!$R$8, L179&lt;= ($R$7+$R$8)), PMT('Amort. Sched.-WORST'!$N$8/12, 'Amort. Sched.-WORST'!$R$7, 'Amort. Sched.-WORST'!$N$7), 0)</f>
        <v>0</v>
      </c>
      <c r="N179" s="5">
        <f>IF(AND(L179&gt;='Amort. Sched.-WORST'!$R$8, L179&lt;= ($R$7+$R$8)), (IPMT($N$8/12, (L179-$R$8), $R$7, $N$7)), 0)</f>
        <v>0</v>
      </c>
      <c r="O179" s="5">
        <f>IF(AND(L179&gt;='Amort. Sched.-WORST'!$R$8, L179&lt;= ($R$7+$R$8)), (PPMT($N$8/12, (L179-$R$8), $R$7, $N$7)), 0)</f>
        <v>0</v>
      </c>
      <c r="P179" s="5">
        <f>IF(CreditAmort1WORST[[#This Row],[Month]]=R$8,N$7,0)</f>
        <v>0</v>
      </c>
      <c r="Q179" s="13">
        <f>IF(AND(L179&gt;='Amort. Sched.-WORST'!$R$8, L179&lt;= ($R$7+$R$8)), Q178+O179, 0)</f>
        <v>0</v>
      </c>
      <c r="R179" s="6" t="str">
        <f>IF(AND(L179&gt;='Amort. Sched.-WORST'!$R$8, L179&lt;= ($R$7+$R$8)), N179/M179, " ")</f>
        <v xml:space="preserve"> </v>
      </c>
      <c r="S179" s="21" t="str">
        <f>IF(AND(L179&gt;='Amort. Sched.-WORST'!$R$8, L179&lt;= ($R$7+$R$8)), O179/M179, " ")</f>
        <v xml:space="preserve"> </v>
      </c>
      <c r="U179" s="22">
        <f t="shared" si="36"/>
        <v>168</v>
      </c>
      <c r="V179" s="23">
        <f>IF(AND(U179&gt;='Amort. Sched.-WORST'!$AA$8, U179&lt;= ($AA$7+$AA$8)), PMT('Amort. Sched.-WORST'!$W$8/12, 'Amort. Sched.-WORST'!$AA$7, 'Amort. Sched.-WORST'!$W$7), 0)</f>
        <v>0</v>
      </c>
      <c r="W179" s="5">
        <f>IF(AND(U179&gt;='Amort. Sched.-WORST'!$AA$8, U179&lt;= ($AA$7+$AA$8)), (IPMT($W$8/12, (U179-$AA$8), $AA$7, $W$7)), 0)</f>
        <v>0</v>
      </c>
      <c r="X179" s="23">
        <f>IF(AND(U179&gt;='Amort. Sched.-WORST'!$AA$8, U179&lt;= ($AA$7+$AA$8)), (PPMT($W$8/12, (U179-$AA$8), $AA$7, $W$7)), 0)</f>
        <v>0</v>
      </c>
      <c r="Y179" s="5">
        <f>IF(CreditAmort2WORST[[#This Row],[Month]]=AA$8,W$7,0)</f>
        <v>0</v>
      </c>
      <c r="Z179" s="13">
        <f>IF(AND(U179&gt;='Amort. Sched.-WORST'!$AA$8, U179&lt;= ($AA$7+$AA$8)), Z178+X179, 0)</f>
        <v>0</v>
      </c>
      <c r="AA179" s="24" t="str">
        <f>IF(AND(U179&gt;='Amort. Sched.-WORST'!$AA$8, U179&lt;= ($AA$7+$AA$8)), W179/V179, " ")</f>
        <v xml:space="preserve"> </v>
      </c>
      <c r="AB179" s="25" t="str">
        <f>IF(AND(U179&gt;='Amort. Sched.-WORST'!$AA$8, U179&lt;= ($AA$7+$AA$8)), X179/V179, " ")</f>
        <v xml:space="preserve"> </v>
      </c>
      <c r="AD179" s="20">
        <f t="shared" si="37"/>
        <v>168</v>
      </c>
      <c r="AE179" s="5">
        <f t="shared" si="38"/>
        <v>0</v>
      </c>
      <c r="AF179" s="5">
        <f t="shared" si="39"/>
        <v>0</v>
      </c>
      <c r="AG179" s="5">
        <f t="shared" si="40"/>
        <v>0</v>
      </c>
      <c r="AH179" s="5">
        <f>IF(CreditAmort3WORST[[#This Row],[Month]]=AJ$8,AF$7,0)</f>
        <v>0</v>
      </c>
      <c r="AI179" s="13">
        <f t="shared" si="41"/>
        <v>0</v>
      </c>
      <c r="AJ179" s="6" t="str">
        <f t="shared" si="42"/>
        <v xml:space="preserve"> </v>
      </c>
      <c r="AK179" s="21" t="str">
        <f t="shared" si="43"/>
        <v xml:space="preserve"> </v>
      </c>
      <c r="AM179" s="20">
        <f t="shared" si="44"/>
        <v>168</v>
      </c>
      <c r="AN179" s="5">
        <f t="shared" si="45"/>
        <v>0</v>
      </c>
      <c r="AO179" s="5">
        <f t="shared" si="46"/>
        <v>0</v>
      </c>
      <c r="AP179" s="5">
        <f t="shared" si="47"/>
        <v>0</v>
      </c>
      <c r="AQ179" s="5">
        <f>IF(CreditAmort4WORST[[#This Row],[Month]]=AS$8,AO$7,0)</f>
        <v>0</v>
      </c>
      <c r="AR179" s="13">
        <f t="shared" si="48"/>
        <v>0</v>
      </c>
      <c r="AS179" s="6" t="str">
        <f t="shared" si="49"/>
        <v xml:space="preserve"> </v>
      </c>
      <c r="AT179" s="21" t="str">
        <f t="shared" si="50"/>
        <v xml:space="preserve"> </v>
      </c>
    </row>
    <row r="180" spans="3:46">
      <c r="C180" s="22">
        <f t="shared" si="35"/>
        <v>169</v>
      </c>
      <c r="D180" s="23">
        <f>IF(AND(C180&gt;='Amort. Sched.-WORST'!$I$8, C180&lt;= ($I$7+$I$8)), PMT('Amort. Sched.-WORST'!$E$8/12, 'Amort. Sched.-WORST'!$I$7, 'Amort. Sched.-WORST'!$E$7), 0)</f>
        <v>-2026.0175758541329</v>
      </c>
      <c r="E180" s="5">
        <f>IF(AND(C180&gt;='Amort. Sched.-WORST'!$I$8, C180&lt;= ($I$7+$I$8)), (IPMT($E$8/12, (C180-$I$8), $I$7, $E$7)), 0)</f>
        <v>-1183.2023723409136</v>
      </c>
      <c r="F180" s="23">
        <f>IF(AND(C180&gt;='Amort. Sched.-WORST'!$I$8, C180&lt;= ($I$7+$I$8)), (PPMT($E$8/12, (C180-$I$8), $I$7, $E$7)), 0)</f>
        <v>-842.81520351321967</v>
      </c>
      <c r="G180" s="5">
        <f>IF(MortgageAmortWORST[[#This Row],[Month]]=I$8,E$7,0)</f>
        <v>0</v>
      </c>
      <c r="H180" s="13">
        <f>IF(AND(C180&gt;='Amort. Sched.-WORST'!$I$8, C180&lt;= ($I$7+$I$8)), H179+F180, 0)</f>
        <v>176637.54064762374</v>
      </c>
      <c r="I180" s="24">
        <f>IF(AND(C180&gt;='Amort. Sched.-WORST'!$I$8, C180&lt;= ($I$7+$I$8)), E180/D180, " ")</f>
        <v>0.58400400196039592</v>
      </c>
      <c r="J180" s="25">
        <f>IF(AND(C180&gt;='Amort. Sched.-WORST'!$I$8, C180&lt;= ($I$7+$I$8)), F180/D180, " ")</f>
        <v>0.41599599803960424</v>
      </c>
      <c r="L180" s="20">
        <f t="shared" si="34"/>
        <v>169</v>
      </c>
      <c r="M180" s="5">
        <f>IF(AND(L180&gt;='Amort. Sched.-WORST'!$R$8, L180&lt;= ($R$7+$R$8)), PMT('Amort. Sched.-WORST'!$N$8/12, 'Amort. Sched.-WORST'!$R$7, 'Amort. Sched.-WORST'!$N$7), 0)</f>
        <v>0</v>
      </c>
      <c r="N180" s="5">
        <f>IF(AND(L180&gt;='Amort. Sched.-WORST'!$R$8, L180&lt;= ($R$7+$R$8)), (IPMT($N$8/12, (L180-$R$8), $R$7, $N$7)), 0)</f>
        <v>0</v>
      </c>
      <c r="O180" s="5">
        <f>IF(AND(L180&gt;='Amort. Sched.-WORST'!$R$8, L180&lt;= ($R$7+$R$8)), (PPMT($N$8/12, (L180-$R$8), $R$7, $N$7)), 0)</f>
        <v>0</v>
      </c>
      <c r="P180" s="5">
        <f>IF(CreditAmort1WORST[[#This Row],[Month]]=R$8,N$7,0)</f>
        <v>0</v>
      </c>
      <c r="Q180" s="13">
        <f>IF(AND(L180&gt;='Amort. Sched.-WORST'!$R$8, L180&lt;= ($R$7+$R$8)), Q179+O180, 0)</f>
        <v>0</v>
      </c>
      <c r="R180" s="6" t="str">
        <f>IF(AND(L180&gt;='Amort. Sched.-WORST'!$R$8, L180&lt;= ($R$7+$R$8)), N180/M180, " ")</f>
        <v xml:space="preserve"> </v>
      </c>
      <c r="S180" s="21" t="str">
        <f>IF(AND(L180&gt;='Amort. Sched.-WORST'!$R$8, L180&lt;= ($R$7+$R$8)), O180/M180, " ")</f>
        <v xml:space="preserve"> </v>
      </c>
      <c r="U180" s="22">
        <f t="shared" si="36"/>
        <v>169</v>
      </c>
      <c r="V180" s="23">
        <f>IF(AND(U180&gt;='Amort. Sched.-WORST'!$AA$8, U180&lt;= ($AA$7+$AA$8)), PMT('Amort. Sched.-WORST'!$W$8/12, 'Amort. Sched.-WORST'!$AA$7, 'Amort. Sched.-WORST'!$W$7), 0)</f>
        <v>0</v>
      </c>
      <c r="W180" s="5">
        <f>IF(AND(U180&gt;='Amort. Sched.-WORST'!$AA$8, U180&lt;= ($AA$7+$AA$8)), (IPMT($W$8/12, (U180-$AA$8), $AA$7, $W$7)), 0)</f>
        <v>0</v>
      </c>
      <c r="X180" s="23">
        <f>IF(AND(U180&gt;='Amort. Sched.-WORST'!$AA$8, U180&lt;= ($AA$7+$AA$8)), (PPMT($W$8/12, (U180-$AA$8), $AA$7, $W$7)), 0)</f>
        <v>0</v>
      </c>
      <c r="Y180" s="5">
        <f>IF(CreditAmort2WORST[[#This Row],[Month]]=AA$8,W$7,0)</f>
        <v>0</v>
      </c>
      <c r="Z180" s="13">
        <f>IF(AND(U180&gt;='Amort. Sched.-WORST'!$AA$8, U180&lt;= ($AA$7+$AA$8)), Z179+X180, 0)</f>
        <v>0</v>
      </c>
      <c r="AA180" s="24" t="str">
        <f>IF(AND(U180&gt;='Amort. Sched.-WORST'!$AA$8, U180&lt;= ($AA$7+$AA$8)), W180/V180, " ")</f>
        <v xml:space="preserve"> </v>
      </c>
      <c r="AB180" s="25" t="str">
        <f>IF(AND(U180&gt;='Amort. Sched.-WORST'!$AA$8, U180&lt;= ($AA$7+$AA$8)), X180/V180, " ")</f>
        <v xml:space="preserve"> </v>
      </c>
      <c r="AD180" s="20">
        <f t="shared" si="37"/>
        <v>169</v>
      </c>
      <c r="AE180" s="5">
        <f t="shared" si="38"/>
        <v>0</v>
      </c>
      <c r="AF180" s="5">
        <f t="shared" si="39"/>
        <v>0</v>
      </c>
      <c r="AG180" s="5">
        <f t="shared" si="40"/>
        <v>0</v>
      </c>
      <c r="AH180" s="5">
        <f>IF(CreditAmort3WORST[[#This Row],[Month]]=AJ$8,AF$7,0)</f>
        <v>0</v>
      </c>
      <c r="AI180" s="13">
        <f t="shared" si="41"/>
        <v>0</v>
      </c>
      <c r="AJ180" s="6" t="str">
        <f t="shared" si="42"/>
        <v xml:space="preserve"> </v>
      </c>
      <c r="AK180" s="21" t="str">
        <f t="shared" si="43"/>
        <v xml:space="preserve"> </v>
      </c>
      <c r="AM180" s="20">
        <f t="shared" si="44"/>
        <v>169</v>
      </c>
      <c r="AN180" s="5">
        <f t="shared" si="45"/>
        <v>0</v>
      </c>
      <c r="AO180" s="5">
        <f t="shared" si="46"/>
        <v>0</v>
      </c>
      <c r="AP180" s="5">
        <f t="shared" si="47"/>
        <v>0</v>
      </c>
      <c r="AQ180" s="5">
        <f>IF(CreditAmort4WORST[[#This Row],[Month]]=AS$8,AO$7,0)</f>
        <v>0</v>
      </c>
      <c r="AR180" s="13">
        <f t="shared" si="48"/>
        <v>0</v>
      </c>
      <c r="AS180" s="6" t="str">
        <f t="shared" si="49"/>
        <v xml:space="preserve"> </v>
      </c>
      <c r="AT180" s="21" t="str">
        <f t="shared" si="50"/>
        <v xml:space="preserve"> </v>
      </c>
    </row>
    <row r="181" spans="3:46">
      <c r="C181" s="22">
        <f t="shared" si="35"/>
        <v>170</v>
      </c>
      <c r="D181" s="23">
        <f>IF(AND(C181&gt;='Amort. Sched.-WORST'!$I$8, C181&lt;= ($I$7+$I$8)), PMT('Amort. Sched.-WORST'!$E$8/12, 'Amort. Sched.-WORST'!$I$7, 'Amort. Sched.-WORST'!$E$7), 0)</f>
        <v>-2026.0175758541329</v>
      </c>
      <c r="E181" s="5">
        <f>IF(AND(C181&gt;='Amort. Sched.-WORST'!$I$8, C181&lt;= ($I$7+$I$8)), (IPMT($E$8/12, (C181-$I$8), $I$7, $E$7)), 0)</f>
        <v>-1177.5836043174922</v>
      </c>
      <c r="F181" s="23">
        <f>IF(AND(C181&gt;='Amort. Sched.-WORST'!$I$8, C181&lt;= ($I$7+$I$8)), (PPMT($E$8/12, (C181-$I$8), $I$7, $E$7)), 0)</f>
        <v>-848.43397153664102</v>
      </c>
      <c r="G181" s="5">
        <f>IF(MortgageAmortWORST[[#This Row],[Month]]=I$8,E$7,0)</f>
        <v>0</v>
      </c>
      <c r="H181" s="13">
        <f>IF(AND(C181&gt;='Amort. Sched.-WORST'!$I$8, C181&lt;= ($I$7+$I$8)), H180+F181, 0)</f>
        <v>175789.1066760871</v>
      </c>
      <c r="I181" s="24">
        <f>IF(AND(C181&gt;='Amort. Sched.-WORST'!$I$8, C181&lt;= ($I$7+$I$8)), E181/D181, " ")</f>
        <v>0.58123069530679861</v>
      </c>
      <c r="J181" s="25">
        <f>IF(AND(C181&gt;='Amort. Sched.-WORST'!$I$8, C181&lt;= ($I$7+$I$8)), F181/D181, " ")</f>
        <v>0.41876930469320156</v>
      </c>
      <c r="L181" s="20">
        <f t="shared" si="34"/>
        <v>170</v>
      </c>
      <c r="M181" s="5">
        <f>IF(AND(L181&gt;='Amort. Sched.-WORST'!$R$8, L181&lt;= ($R$7+$R$8)), PMT('Amort. Sched.-WORST'!$N$8/12, 'Amort. Sched.-WORST'!$R$7, 'Amort. Sched.-WORST'!$N$7), 0)</f>
        <v>0</v>
      </c>
      <c r="N181" s="5">
        <f>IF(AND(L181&gt;='Amort. Sched.-WORST'!$R$8, L181&lt;= ($R$7+$R$8)), (IPMT($N$8/12, (L181-$R$8), $R$7, $N$7)), 0)</f>
        <v>0</v>
      </c>
      <c r="O181" s="5">
        <f>IF(AND(L181&gt;='Amort. Sched.-WORST'!$R$8, L181&lt;= ($R$7+$R$8)), (PPMT($N$8/12, (L181-$R$8), $R$7, $N$7)), 0)</f>
        <v>0</v>
      </c>
      <c r="P181" s="5">
        <f>IF(CreditAmort1WORST[[#This Row],[Month]]=R$8,N$7,0)</f>
        <v>0</v>
      </c>
      <c r="Q181" s="13">
        <f>IF(AND(L181&gt;='Amort. Sched.-WORST'!$R$8, L181&lt;= ($R$7+$R$8)), Q180+O181, 0)</f>
        <v>0</v>
      </c>
      <c r="R181" s="6" t="str">
        <f>IF(AND(L181&gt;='Amort. Sched.-WORST'!$R$8, L181&lt;= ($R$7+$R$8)), N181/M181, " ")</f>
        <v xml:space="preserve"> </v>
      </c>
      <c r="S181" s="21" t="str">
        <f>IF(AND(L181&gt;='Amort. Sched.-WORST'!$R$8, L181&lt;= ($R$7+$R$8)), O181/M181, " ")</f>
        <v xml:space="preserve"> </v>
      </c>
      <c r="U181" s="22">
        <f t="shared" si="36"/>
        <v>170</v>
      </c>
      <c r="V181" s="23">
        <f>IF(AND(U181&gt;='Amort. Sched.-WORST'!$AA$8, U181&lt;= ($AA$7+$AA$8)), PMT('Amort. Sched.-WORST'!$W$8/12, 'Amort. Sched.-WORST'!$AA$7, 'Amort. Sched.-WORST'!$W$7), 0)</f>
        <v>0</v>
      </c>
      <c r="W181" s="5">
        <f>IF(AND(U181&gt;='Amort. Sched.-WORST'!$AA$8, U181&lt;= ($AA$7+$AA$8)), (IPMT($W$8/12, (U181-$AA$8), $AA$7, $W$7)), 0)</f>
        <v>0</v>
      </c>
      <c r="X181" s="23">
        <f>IF(AND(U181&gt;='Amort. Sched.-WORST'!$AA$8, U181&lt;= ($AA$7+$AA$8)), (PPMT($W$8/12, (U181-$AA$8), $AA$7, $W$7)), 0)</f>
        <v>0</v>
      </c>
      <c r="Y181" s="5">
        <f>IF(CreditAmort2WORST[[#This Row],[Month]]=AA$8,W$7,0)</f>
        <v>0</v>
      </c>
      <c r="Z181" s="13">
        <f>IF(AND(U181&gt;='Amort. Sched.-WORST'!$AA$8, U181&lt;= ($AA$7+$AA$8)), Z180+X181, 0)</f>
        <v>0</v>
      </c>
      <c r="AA181" s="24" t="str">
        <f>IF(AND(U181&gt;='Amort. Sched.-WORST'!$AA$8, U181&lt;= ($AA$7+$AA$8)), W181/V181, " ")</f>
        <v xml:space="preserve"> </v>
      </c>
      <c r="AB181" s="25" t="str">
        <f>IF(AND(U181&gt;='Amort. Sched.-WORST'!$AA$8, U181&lt;= ($AA$7+$AA$8)), X181/V181, " ")</f>
        <v xml:space="preserve"> </v>
      </c>
      <c r="AD181" s="20">
        <f t="shared" si="37"/>
        <v>170</v>
      </c>
      <c r="AE181" s="5">
        <f t="shared" si="38"/>
        <v>0</v>
      </c>
      <c r="AF181" s="5">
        <f t="shared" si="39"/>
        <v>0</v>
      </c>
      <c r="AG181" s="5">
        <f t="shared" si="40"/>
        <v>0</v>
      </c>
      <c r="AH181" s="5">
        <f>IF(CreditAmort3WORST[[#This Row],[Month]]=AJ$8,AF$7,0)</f>
        <v>0</v>
      </c>
      <c r="AI181" s="13">
        <f t="shared" si="41"/>
        <v>0</v>
      </c>
      <c r="AJ181" s="6" t="str">
        <f t="shared" si="42"/>
        <v xml:space="preserve"> </v>
      </c>
      <c r="AK181" s="21" t="str">
        <f t="shared" si="43"/>
        <v xml:space="preserve"> </v>
      </c>
      <c r="AM181" s="20">
        <f t="shared" si="44"/>
        <v>170</v>
      </c>
      <c r="AN181" s="5">
        <f t="shared" si="45"/>
        <v>0</v>
      </c>
      <c r="AO181" s="5">
        <f t="shared" si="46"/>
        <v>0</v>
      </c>
      <c r="AP181" s="5">
        <f t="shared" si="47"/>
        <v>0</v>
      </c>
      <c r="AQ181" s="5">
        <f>IF(CreditAmort4WORST[[#This Row],[Month]]=AS$8,AO$7,0)</f>
        <v>0</v>
      </c>
      <c r="AR181" s="13">
        <f t="shared" si="48"/>
        <v>0</v>
      </c>
      <c r="AS181" s="6" t="str">
        <f t="shared" si="49"/>
        <v xml:space="preserve"> </v>
      </c>
      <c r="AT181" s="21" t="str">
        <f t="shared" si="50"/>
        <v xml:space="preserve"> </v>
      </c>
    </row>
    <row r="182" spans="3:46">
      <c r="C182" s="22">
        <f t="shared" si="35"/>
        <v>171</v>
      </c>
      <c r="D182" s="23">
        <f>IF(AND(C182&gt;='Amort. Sched.-WORST'!$I$8, C182&lt;= ($I$7+$I$8)), PMT('Amort. Sched.-WORST'!$E$8/12, 'Amort. Sched.-WORST'!$I$7, 'Amort. Sched.-WORST'!$E$7), 0)</f>
        <v>-2026.0175758541329</v>
      </c>
      <c r="E182" s="5">
        <f>IF(AND(C182&gt;='Amort. Sched.-WORST'!$I$8, C182&lt;= ($I$7+$I$8)), (IPMT($E$8/12, (C182-$I$8), $I$7, $E$7)), 0)</f>
        <v>-1171.9273778405811</v>
      </c>
      <c r="F182" s="23">
        <f>IF(AND(C182&gt;='Amort. Sched.-WORST'!$I$8, C182&lt;= ($I$7+$I$8)), (PPMT($E$8/12, (C182-$I$8), $I$7, $E$7)), 0)</f>
        <v>-854.09019801355191</v>
      </c>
      <c r="G182" s="5">
        <f>IF(MortgageAmortWORST[[#This Row],[Month]]=I$8,E$7,0)</f>
        <v>0</v>
      </c>
      <c r="H182" s="13">
        <f>IF(AND(C182&gt;='Amort. Sched.-WORST'!$I$8, C182&lt;= ($I$7+$I$8)), H181+F182, 0)</f>
        <v>174935.01647807355</v>
      </c>
      <c r="I182" s="24">
        <f>IF(AND(C182&gt;='Amort. Sched.-WORST'!$I$8, C182&lt;= ($I$7+$I$8)), E182/D182, " ")</f>
        <v>0.57843889994217712</v>
      </c>
      <c r="J182" s="25">
        <f>IF(AND(C182&gt;='Amort. Sched.-WORST'!$I$8, C182&lt;= ($I$7+$I$8)), F182/D182, " ")</f>
        <v>0.42156110005782288</v>
      </c>
      <c r="L182" s="20">
        <f t="shared" si="34"/>
        <v>171</v>
      </c>
      <c r="M182" s="5">
        <f>IF(AND(L182&gt;='Amort. Sched.-WORST'!$R$8, L182&lt;= ($R$7+$R$8)), PMT('Amort. Sched.-WORST'!$N$8/12, 'Amort. Sched.-WORST'!$R$7, 'Amort. Sched.-WORST'!$N$7), 0)</f>
        <v>0</v>
      </c>
      <c r="N182" s="5">
        <f>IF(AND(L182&gt;='Amort. Sched.-WORST'!$R$8, L182&lt;= ($R$7+$R$8)), (IPMT($N$8/12, (L182-$R$8), $R$7, $N$7)), 0)</f>
        <v>0</v>
      </c>
      <c r="O182" s="5">
        <f>IF(AND(L182&gt;='Amort. Sched.-WORST'!$R$8, L182&lt;= ($R$7+$R$8)), (PPMT($N$8/12, (L182-$R$8), $R$7, $N$7)), 0)</f>
        <v>0</v>
      </c>
      <c r="P182" s="5">
        <f>IF(CreditAmort1WORST[[#This Row],[Month]]=R$8,N$7,0)</f>
        <v>0</v>
      </c>
      <c r="Q182" s="13">
        <f>IF(AND(L182&gt;='Amort. Sched.-WORST'!$R$8, L182&lt;= ($R$7+$R$8)), Q181+O182, 0)</f>
        <v>0</v>
      </c>
      <c r="R182" s="6" t="str">
        <f>IF(AND(L182&gt;='Amort. Sched.-WORST'!$R$8, L182&lt;= ($R$7+$R$8)), N182/M182, " ")</f>
        <v xml:space="preserve"> </v>
      </c>
      <c r="S182" s="21" t="str">
        <f>IF(AND(L182&gt;='Amort. Sched.-WORST'!$R$8, L182&lt;= ($R$7+$R$8)), O182/M182, " ")</f>
        <v xml:space="preserve"> </v>
      </c>
      <c r="U182" s="22">
        <f t="shared" si="36"/>
        <v>171</v>
      </c>
      <c r="V182" s="23">
        <f>IF(AND(U182&gt;='Amort. Sched.-WORST'!$AA$8, U182&lt;= ($AA$7+$AA$8)), PMT('Amort. Sched.-WORST'!$W$8/12, 'Amort. Sched.-WORST'!$AA$7, 'Amort. Sched.-WORST'!$W$7), 0)</f>
        <v>0</v>
      </c>
      <c r="W182" s="5">
        <f>IF(AND(U182&gt;='Amort. Sched.-WORST'!$AA$8, U182&lt;= ($AA$7+$AA$8)), (IPMT($W$8/12, (U182-$AA$8), $AA$7, $W$7)), 0)</f>
        <v>0</v>
      </c>
      <c r="X182" s="23">
        <f>IF(AND(U182&gt;='Amort. Sched.-WORST'!$AA$8, U182&lt;= ($AA$7+$AA$8)), (PPMT($W$8/12, (U182-$AA$8), $AA$7, $W$7)), 0)</f>
        <v>0</v>
      </c>
      <c r="Y182" s="5">
        <f>IF(CreditAmort2WORST[[#This Row],[Month]]=AA$8,W$7,0)</f>
        <v>0</v>
      </c>
      <c r="Z182" s="13">
        <f>IF(AND(U182&gt;='Amort. Sched.-WORST'!$AA$8, U182&lt;= ($AA$7+$AA$8)), Z181+X182, 0)</f>
        <v>0</v>
      </c>
      <c r="AA182" s="24" t="str">
        <f>IF(AND(U182&gt;='Amort. Sched.-WORST'!$AA$8, U182&lt;= ($AA$7+$AA$8)), W182/V182, " ")</f>
        <v xml:space="preserve"> </v>
      </c>
      <c r="AB182" s="25" t="str">
        <f>IF(AND(U182&gt;='Amort. Sched.-WORST'!$AA$8, U182&lt;= ($AA$7+$AA$8)), X182/V182, " ")</f>
        <v xml:space="preserve"> </v>
      </c>
      <c r="AD182" s="20">
        <f t="shared" si="37"/>
        <v>171</v>
      </c>
      <c r="AE182" s="5">
        <f t="shared" si="38"/>
        <v>0</v>
      </c>
      <c r="AF182" s="5">
        <f t="shared" si="39"/>
        <v>0</v>
      </c>
      <c r="AG182" s="5">
        <f t="shared" si="40"/>
        <v>0</v>
      </c>
      <c r="AH182" s="5">
        <f>IF(CreditAmort3WORST[[#This Row],[Month]]=AJ$8,AF$7,0)</f>
        <v>0</v>
      </c>
      <c r="AI182" s="13">
        <f t="shared" si="41"/>
        <v>0</v>
      </c>
      <c r="AJ182" s="6" t="str">
        <f t="shared" si="42"/>
        <v xml:space="preserve"> </v>
      </c>
      <c r="AK182" s="21" t="str">
        <f t="shared" si="43"/>
        <v xml:space="preserve"> </v>
      </c>
      <c r="AM182" s="20">
        <f t="shared" si="44"/>
        <v>171</v>
      </c>
      <c r="AN182" s="5">
        <f t="shared" si="45"/>
        <v>0</v>
      </c>
      <c r="AO182" s="5">
        <f t="shared" si="46"/>
        <v>0</v>
      </c>
      <c r="AP182" s="5">
        <f t="shared" si="47"/>
        <v>0</v>
      </c>
      <c r="AQ182" s="5">
        <f>IF(CreditAmort4WORST[[#This Row],[Month]]=AS$8,AO$7,0)</f>
        <v>0</v>
      </c>
      <c r="AR182" s="13">
        <f t="shared" si="48"/>
        <v>0</v>
      </c>
      <c r="AS182" s="6" t="str">
        <f t="shared" si="49"/>
        <v xml:space="preserve"> </v>
      </c>
      <c r="AT182" s="21" t="str">
        <f t="shared" si="50"/>
        <v xml:space="preserve"> </v>
      </c>
    </row>
    <row r="183" spans="3:46">
      <c r="C183" s="22">
        <f t="shared" si="35"/>
        <v>172</v>
      </c>
      <c r="D183" s="23">
        <f>IF(AND(C183&gt;='Amort. Sched.-WORST'!$I$8, C183&lt;= ($I$7+$I$8)), PMT('Amort. Sched.-WORST'!$E$8/12, 'Amort. Sched.-WORST'!$I$7, 'Amort. Sched.-WORST'!$E$7), 0)</f>
        <v>-2026.0175758541329</v>
      </c>
      <c r="E183" s="5">
        <f>IF(AND(C183&gt;='Amort. Sched.-WORST'!$I$8, C183&lt;= ($I$7+$I$8)), (IPMT($E$8/12, (C183-$I$8), $I$7, $E$7)), 0)</f>
        <v>-1166.2334431871573</v>
      </c>
      <c r="F183" s="23">
        <f>IF(AND(C183&gt;='Amort. Sched.-WORST'!$I$8, C183&lt;= ($I$7+$I$8)), (PPMT($E$8/12, (C183-$I$8), $I$7, $E$7)), 0)</f>
        <v>-859.78413266697567</v>
      </c>
      <c r="G183" s="5">
        <f>IF(MortgageAmortWORST[[#This Row],[Month]]=I$8,E$7,0)</f>
        <v>0</v>
      </c>
      <c r="H183" s="13">
        <f>IF(AND(C183&gt;='Amort. Sched.-WORST'!$I$8, C183&lt;= ($I$7+$I$8)), H182+F183, 0)</f>
        <v>174075.23234540658</v>
      </c>
      <c r="I183" s="24">
        <f>IF(AND(C183&gt;='Amort. Sched.-WORST'!$I$8, C183&lt;= ($I$7+$I$8)), E183/D183, " ")</f>
        <v>0.57562849260845828</v>
      </c>
      <c r="J183" s="25">
        <f>IF(AND(C183&gt;='Amort. Sched.-WORST'!$I$8, C183&lt;= ($I$7+$I$8)), F183/D183, " ")</f>
        <v>0.42437150739154172</v>
      </c>
      <c r="L183" s="20">
        <f t="shared" si="34"/>
        <v>172</v>
      </c>
      <c r="M183" s="5">
        <f>IF(AND(L183&gt;='Amort. Sched.-WORST'!$R$8, L183&lt;= ($R$7+$R$8)), PMT('Amort. Sched.-WORST'!$N$8/12, 'Amort. Sched.-WORST'!$R$7, 'Amort. Sched.-WORST'!$N$7), 0)</f>
        <v>0</v>
      </c>
      <c r="N183" s="5">
        <f>IF(AND(L183&gt;='Amort. Sched.-WORST'!$R$8, L183&lt;= ($R$7+$R$8)), (IPMT($N$8/12, (L183-$R$8), $R$7, $N$7)), 0)</f>
        <v>0</v>
      </c>
      <c r="O183" s="5">
        <f>IF(AND(L183&gt;='Amort. Sched.-WORST'!$R$8, L183&lt;= ($R$7+$R$8)), (PPMT($N$8/12, (L183-$R$8), $R$7, $N$7)), 0)</f>
        <v>0</v>
      </c>
      <c r="P183" s="5">
        <f>IF(CreditAmort1WORST[[#This Row],[Month]]=R$8,N$7,0)</f>
        <v>0</v>
      </c>
      <c r="Q183" s="13">
        <f>IF(AND(L183&gt;='Amort. Sched.-WORST'!$R$8, L183&lt;= ($R$7+$R$8)), Q182+O183, 0)</f>
        <v>0</v>
      </c>
      <c r="R183" s="6" t="str">
        <f>IF(AND(L183&gt;='Amort. Sched.-WORST'!$R$8, L183&lt;= ($R$7+$R$8)), N183/M183, " ")</f>
        <v xml:space="preserve"> </v>
      </c>
      <c r="S183" s="21" t="str">
        <f>IF(AND(L183&gt;='Amort. Sched.-WORST'!$R$8, L183&lt;= ($R$7+$R$8)), O183/M183, " ")</f>
        <v xml:space="preserve"> </v>
      </c>
      <c r="U183" s="22">
        <f t="shared" si="36"/>
        <v>172</v>
      </c>
      <c r="V183" s="23">
        <f>IF(AND(U183&gt;='Amort. Sched.-WORST'!$AA$8, U183&lt;= ($AA$7+$AA$8)), PMT('Amort. Sched.-WORST'!$W$8/12, 'Amort. Sched.-WORST'!$AA$7, 'Amort. Sched.-WORST'!$W$7), 0)</f>
        <v>0</v>
      </c>
      <c r="W183" s="5">
        <f>IF(AND(U183&gt;='Amort. Sched.-WORST'!$AA$8, U183&lt;= ($AA$7+$AA$8)), (IPMT($W$8/12, (U183-$AA$8), $AA$7, $W$7)), 0)</f>
        <v>0</v>
      </c>
      <c r="X183" s="23">
        <f>IF(AND(U183&gt;='Amort. Sched.-WORST'!$AA$8, U183&lt;= ($AA$7+$AA$8)), (PPMT($W$8/12, (U183-$AA$8), $AA$7, $W$7)), 0)</f>
        <v>0</v>
      </c>
      <c r="Y183" s="5">
        <f>IF(CreditAmort2WORST[[#This Row],[Month]]=AA$8,W$7,0)</f>
        <v>0</v>
      </c>
      <c r="Z183" s="13">
        <f>IF(AND(U183&gt;='Amort. Sched.-WORST'!$AA$8, U183&lt;= ($AA$7+$AA$8)), Z182+X183, 0)</f>
        <v>0</v>
      </c>
      <c r="AA183" s="24" t="str">
        <f>IF(AND(U183&gt;='Amort. Sched.-WORST'!$AA$8, U183&lt;= ($AA$7+$AA$8)), W183/V183, " ")</f>
        <v xml:space="preserve"> </v>
      </c>
      <c r="AB183" s="25" t="str">
        <f>IF(AND(U183&gt;='Amort. Sched.-WORST'!$AA$8, U183&lt;= ($AA$7+$AA$8)), X183/V183, " ")</f>
        <v xml:space="preserve"> </v>
      </c>
      <c r="AD183" s="20">
        <f t="shared" si="37"/>
        <v>172</v>
      </c>
      <c r="AE183" s="5">
        <f t="shared" si="38"/>
        <v>0</v>
      </c>
      <c r="AF183" s="5">
        <f t="shared" si="39"/>
        <v>0</v>
      </c>
      <c r="AG183" s="5">
        <f t="shared" si="40"/>
        <v>0</v>
      </c>
      <c r="AH183" s="5">
        <f>IF(CreditAmort3WORST[[#This Row],[Month]]=AJ$8,AF$7,0)</f>
        <v>0</v>
      </c>
      <c r="AI183" s="13">
        <f t="shared" si="41"/>
        <v>0</v>
      </c>
      <c r="AJ183" s="6" t="str">
        <f t="shared" si="42"/>
        <v xml:space="preserve"> </v>
      </c>
      <c r="AK183" s="21" t="str">
        <f t="shared" si="43"/>
        <v xml:space="preserve"> </v>
      </c>
      <c r="AM183" s="20">
        <f t="shared" si="44"/>
        <v>172</v>
      </c>
      <c r="AN183" s="5">
        <f t="shared" si="45"/>
        <v>0</v>
      </c>
      <c r="AO183" s="5">
        <f t="shared" si="46"/>
        <v>0</v>
      </c>
      <c r="AP183" s="5">
        <f t="shared" si="47"/>
        <v>0</v>
      </c>
      <c r="AQ183" s="5">
        <f>IF(CreditAmort4WORST[[#This Row],[Month]]=AS$8,AO$7,0)</f>
        <v>0</v>
      </c>
      <c r="AR183" s="13">
        <f t="shared" si="48"/>
        <v>0</v>
      </c>
      <c r="AS183" s="6" t="str">
        <f t="shared" si="49"/>
        <v xml:space="preserve"> </v>
      </c>
      <c r="AT183" s="21" t="str">
        <f t="shared" si="50"/>
        <v xml:space="preserve"> </v>
      </c>
    </row>
    <row r="184" spans="3:46">
      <c r="C184" s="22">
        <f t="shared" si="35"/>
        <v>173</v>
      </c>
      <c r="D184" s="23">
        <f>IF(AND(C184&gt;='Amort. Sched.-WORST'!$I$8, C184&lt;= ($I$7+$I$8)), PMT('Amort. Sched.-WORST'!$E$8/12, 'Amort. Sched.-WORST'!$I$7, 'Amort. Sched.-WORST'!$E$7), 0)</f>
        <v>-2026.0175758541329</v>
      </c>
      <c r="E184" s="5">
        <f>IF(AND(C184&gt;='Amort. Sched.-WORST'!$I$8, C184&lt;= ($I$7+$I$8)), (IPMT($E$8/12, (C184-$I$8), $I$7, $E$7)), 0)</f>
        <v>-1160.5015489693776</v>
      </c>
      <c r="F184" s="23">
        <f>IF(AND(C184&gt;='Amort. Sched.-WORST'!$I$8, C184&lt;= ($I$7+$I$8)), (PPMT($E$8/12, (C184-$I$8), $I$7, $E$7)), 0)</f>
        <v>-865.51602688475555</v>
      </c>
      <c r="G184" s="5">
        <f>IF(MortgageAmortWORST[[#This Row],[Month]]=I$8,E$7,0)</f>
        <v>0</v>
      </c>
      <c r="H184" s="13">
        <f>IF(AND(C184&gt;='Amort. Sched.-WORST'!$I$8, C184&lt;= ($I$7+$I$8)), H183+F184, 0)</f>
        <v>173209.71631852182</v>
      </c>
      <c r="I184" s="24">
        <f>IF(AND(C184&gt;='Amort. Sched.-WORST'!$I$8, C184&lt;= ($I$7+$I$8)), E184/D184, " ")</f>
        <v>0.57279934922584808</v>
      </c>
      <c r="J184" s="25">
        <f>IF(AND(C184&gt;='Amort. Sched.-WORST'!$I$8, C184&lt;= ($I$7+$I$8)), F184/D184, " ")</f>
        <v>0.42720065077415204</v>
      </c>
      <c r="L184" s="20">
        <f t="shared" si="34"/>
        <v>173</v>
      </c>
      <c r="M184" s="5">
        <f>IF(AND(L184&gt;='Amort. Sched.-WORST'!$R$8, L184&lt;= ($R$7+$R$8)), PMT('Amort. Sched.-WORST'!$N$8/12, 'Amort. Sched.-WORST'!$R$7, 'Amort. Sched.-WORST'!$N$7), 0)</f>
        <v>0</v>
      </c>
      <c r="N184" s="5">
        <f>IF(AND(L184&gt;='Amort. Sched.-WORST'!$R$8, L184&lt;= ($R$7+$R$8)), (IPMT($N$8/12, (L184-$R$8), $R$7, $N$7)), 0)</f>
        <v>0</v>
      </c>
      <c r="O184" s="5">
        <f>IF(AND(L184&gt;='Amort. Sched.-WORST'!$R$8, L184&lt;= ($R$7+$R$8)), (PPMT($N$8/12, (L184-$R$8), $R$7, $N$7)), 0)</f>
        <v>0</v>
      </c>
      <c r="P184" s="5">
        <f>IF(CreditAmort1WORST[[#This Row],[Month]]=R$8,N$7,0)</f>
        <v>0</v>
      </c>
      <c r="Q184" s="13">
        <f>IF(AND(L184&gt;='Amort. Sched.-WORST'!$R$8, L184&lt;= ($R$7+$R$8)), Q183+O184, 0)</f>
        <v>0</v>
      </c>
      <c r="R184" s="6" t="str">
        <f>IF(AND(L184&gt;='Amort. Sched.-WORST'!$R$8, L184&lt;= ($R$7+$R$8)), N184/M184, " ")</f>
        <v xml:space="preserve"> </v>
      </c>
      <c r="S184" s="21" t="str">
        <f>IF(AND(L184&gt;='Amort. Sched.-WORST'!$R$8, L184&lt;= ($R$7+$R$8)), O184/M184, " ")</f>
        <v xml:space="preserve"> </v>
      </c>
      <c r="U184" s="22">
        <f t="shared" si="36"/>
        <v>173</v>
      </c>
      <c r="V184" s="23">
        <f>IF(AND(U184&gt;='Amort. Sched.-WORST'!$AA$8, U184&lt;= ($AA$7+$AA$8)), PMT('Amort. Sched.-WORST'!$W$8/12, 'Amort. Sched.-WORST'!$AA$7, 'Amort. Sched.-WORST'!$W$7), 0)</f>
        <v>0</v>
      </c>
      <c r="W184" s="5">
        <f>IF(AND(U184&gt;='Amort. Sched.-WORST'!$AA$8, U184&lt;= ($AA$7+$AA$8)), (IPMT($W$8/12, (U184-$AA$8), $AA$7, $W$7)), 0)</f>
        <v>0</v>
      </c>
      <c r="X184" s="23">
        <f>IF(AND(U184&gt;='Amort. Sched.-WORST'!$AA$8, U184&lt;= ($AA$7+$AA$8)), (PPMT($W$8/12, (U184-$AA$8), $AA$7, $W$7)), 0)</f>
        <v>0</v>
      </c>
      <c r="Y184" s="5">
        <f>IF(CreditAmort2WORST[[#This Row],[Month]]=AA$8,W$7,0)</f>
        <v>0</v>
      </c>
      <c r="Z184" s="13">
        <f>IF(AND(U184&gt;='Amort. Sched.-WORST'!$AA$8, U184&lt;= ($AA$7+$AA$8)), Z183+X184, 0)</f>
        <v>0</v>
      </c>
      <c r="AA184" s="24" t="str">
        <f>IF(AND(U184&gt;='Amort. Sched.-WORST'!$AA$8, U184&lt;= ($AA$7+$AA$8)), W184/V184, " ")</f>
        <v xml:space="preserve"> </v>
      </c>
      <c r="AB184" s="25" t="str">
        <f>IF(AND(U184&gt;='Amort. Sched.-WORST'!$AA$8, U184&lt;= ($AA$7+$AA$8)), X184/V184, " ")</f>
        <v xml:space="preserve"> </v>
      </c>
      <c r="AD184" s="20">
        <f t="shared" si="37"/>
        <v>173</v>
      </c>
      <c r="AE184" s="5">
        <f t="shared" si="38"/>
        <v>0</v>
      </c>
      <c r="AF184" s="5">
        <f t="shared" si="39"/>
        <v>0</v>
      </c>
      <c r="AG184" s="5">
        <f t="shared" si="40"/>
        <v>0</v>
      </c>
      <c r="AH184" s="5">
        <f>IF(CreditAmort3WORST[[#This Row],[Month]]=AJ$8,AF$7,0)</f>
        <v>0</v>
      </c>
      <c r="AI184" s="13">
        <f t="shared" si="41"/>
        <v>0</v>
      </c>
      <c r="AJ184" s="6" t="str">
        <f t="shared" si="42"/>
        <v xml:space="preserve"> </v>
      </c>
      <c r="AK184" s="21" t="str">
        <f t="shared" si="43"/>
        <v xml:space="preserve"> </v>
      </c>
      <c r="AM184" s="20">
        <f t="shared" si="44"/>
        <v>173</v>
      </c>
      <c r="AN184" s="5">
        <f t="shared" si="45"/>
        <v>0</v>
      </c>
      <c r="AO184" s="5">
        <f t="shared" si="46"/>
        <v>0</v>
      </c>
      <c r="AP184" s="5">
        <f t="shared" si="47"/>
        <v>0</v>
      </c>
      <c r="AQ184" s="5">
        <f>IF(CreditAmort4WORST[[#This Row],[Month]]=AS$8,AO$7,0)</f>
        <v>0</v>
      </c>
      <c r="AR184" s="13">
        <f t="shared" si="48"/>
        <v>0</v>
      </c>
      <c r="AS184" s="6" t="str">
        <f t="shared" si="49"/>
        <v xml:space="preserve"> </v>
      </c>
      <c r="AT184" s="21" t="str">
        <f t="shared" si="50"/>
        <v xml:space="preserve"> </v>
      </c>
    </row>
    <row r="185" spans="3:46">
      <c r="C185" s="22">
        <f t="shared" si="35"/>
        <v>174</v>
      </c>
      <c r="D185" s="23">
        <f>IF(AND(C185&gt;='Amort. Sched.-WORST'!$I$8, C185&lt;= ($I$7+$I$8)), PMT('Amort. Sched.-WORST'!$E$8/12, 'Amort. Sched.-WORST'!$I$7, 'Amort. Sched.-WORST'!$E$7), 0)</f>
        <v>-2026.0175758541329</v>
      </c>
      <c r="E185" s="5">
        <f>IF(AND(C185&gt;='Amort. Sched.-WORST'!$I$8, C185&lt;= ($I$7+$I$8)), (IPMT($E$8/12, (C185-$I$8), $I$7, $E$7)), 0)</f>
        <v>-1154.7314421234792</v>
      </c>
      <c r="F185" s="23">
        <f>IF(AND(C185&gt;='Amort. Sched.-WORST'!$I$8, C185&lt;= ($I$7+$I$8)), (PPMT($E$8/12, (C185-$I$8), $I$7, $E$7)), 0)</f>
        <v>-871.28613373065377</v>
      </c>
      <c r="G185" s="5">
        <f>IF(MortgageAmortWORST[[#This Row],[Month]]=I$8,E$7,0)</f>
        <v>0</v>
      </c>
      <c r="H185" s="13">
        <f>IF(AND(C185&gt;='Amort. Sched.-WORST'!$I$8, C185&lt;= ($I$7+$I$8)), H184+F185, 0)</f>
        <v>172338.43018479116</v>
      </c>
      <c r="I185" s="24">
        <f>IF(AND(C185&gt;='Amort. Sched.-WORST'!$I$8, C185&lt;= ($I$7+$I$8)), E185/D185, " ")</f>
        <v>0.56995134488735366</v>
      </c>
      <c r="J185" s="25">
        <f>IF(AND(C185&gt;='Amort. Sched.-WORST'!$I$8, C185&lt;= ($I$7+$I$8)), F185/D185, " ")</f>
        <v>0.43004865511264634</v>
      </c>
      <c r="L185" s="20">
        <f t="shared" si="34"/>
        <v>174</v>
      </c>
      <c r="M185" s="5">
        <f>IF(AND(L185&gt;='Amort. Sched.-WORST'!$R$8, L185&lt;= ($R$7+$R$8)), PMT('Amort. Sched.-WORST'!$N$8/12, 'Amort. Sched.-WORST'!$R$7, 'Amort. Sched.-WORST'!$N$7), 0)</f>
        <v>0</v>
      </c>
      <c r="N185" s="5">
        <f>IF(AND(L185&gt;='Amort. Sched.-WORST'!$R$8, L185&lt;= ($R$7+$R$8)), (IPMT($N$8/12, (L185-$R$8), $R$7, $N$7)), 0)</f>
        <v>0</v>
      </c>
      <c r="O185" s="5">
        <f>IF(AND(L185&gt;='Amort. Sched.-WORST'!$R$8, L185&lt;= ($R$7+$R$8)), (PPMT($N$8/12, (L185-$R$8), $R$7, $N$7)), 0)</f>
        <v>0</v>
      </c>
      <c r="P185" s="5">
        <f>IF(CreditAmort1WORST[[#This Row],[Month]]=R$8,N$7,0)</f>
        <v>0</v>
      </c>
      <c r="Q185" s="13">
        <f>IF(AND(L185&gt;='Amort. Sched.-WORST'!$R$8, L185&lt;= ($R$7+$R$8)), Q184+O185, 0)</f>
        <v>0</v>
      </c>
      <c r="R185" s="6" t="str">
        <f>IF(AND(L185&gt;='Amort. Sched.-WORST'!$R$8, L185&lt;= ($R$7+$R$8)), N185/M185, " ")</f>
        <v xml:space="preserve"> </v>
      </c>
      <c r="S185" s="21" t="str">
        <f>IF(AND(L185&gt;='Amort. Sched.-WORST'!$R$8, L185&lt;= ($R$7+$R$8)), O185/M185, " ")</f>
        <v xml:space="preserve"> </v>
      </c>
      <c r="U185" s="22">
        <f t="shared" si="36"/>
        <v>174</v>
      </c>
      <c r="V185" s="23">
        <f>IF(AND(U185&gt;='Amort. Sched.-WORST'!$AA$8, U185&lt;= ($AA$7+$AA$8)), PMT('Amort. Sched.-WORST'!$W$8/12, 'Amort. Sched.-WORST'!$AA$7, 'Amort. Sched.-WORST'!$W$7), 0)</f>
        <v>0</v>
      </c>
      <c r="W185" s="5">
        <f>IF(AND(U185&gt;='Amort. Sched.-WORST'!$AA$8, U185&lt;= ($AA$7+$AA$8)), (IPMT($W$8/12, (U185-$AA$8), $AA$7, $W$7)), 0)</f>
        <v>0</v>
      </c>
      <c r="X185" s="23">
        <f>IF(AND(U185&gt;='Amort. Sched.-WORST'!$AA$8, U185&lt;= ($AA$7+$AA$8)), (PPMT($W$8/12, (U185-$AA$8), $AA$7, $W$7)), 0)</f>
        <v>0</v>
      </c>
      <c r="Y185" s="5">
        <f>IF(CreditAmort2WORST[[#This Row],[Month]]=AA$8,W$7,0)</f>
        <v>0</v>
      </c>
      <c r="Z185" s="13">
        <f>IF(AND(U185&gt;='Amort. Sched.-WORST'!$AA$8, U185&lt;= ($AA$7+$AA$8)), Z184+X185, 0)</f>
        <v>0</v>
      </c>
      <c r="AA185" s="24" t="str">
        <f>IF(AND(U185&gt;='Amort. Sched.-WORST'!$AA$8, U185&lt;= ($AA$7+$AA$8)), W185/V185, " ")</f>
        <v xml:space="preserve"> </v>
      </c>
      <c r="AB185" s="25" t="str">
        <f>IF(AND(U185&gt;='Amort. Sched.-WORST'!$AA$8, U185&lt;= ($AA$7+$AA$8)), X185/V185, " ")</f>
        <v xml:space="preserve"> </v>
      </c>
      <c r="AD185" s="20">
        <f t="shared" si="37"/>
        <v>174</v>
      </c>
      <c r="AE185" s="5">
        <f t="shared" si="38"/>
        <v>0</v>
      </c>
      <c r="AF185" s="5">
        <f t="shared" si="39"/>
        <v>0</v>
      </c>
      <c r="AG185" s="5">
        <f t="shared" si="40"/>
        <v>0</v>
      </c>
      <c r="AH185" s="5">
        <f>IF(CreditAmort3WORST[[#This Row],[Month]]=AJ$8,AF$7,0)</f>
        <v>0</v>
      </c>
      <c r="AI185" s="13">
        <f t="shared" si="41"/>
        <v>0</v>
      </c>
      <c r="AJ185" s="6" t="str">
        <f t="shared" si="42"/>
        <v xml:space="preserve"> </v>
      </c>
      <c r="AK185" s="21" t="str">
        <f t="shared" si="43"/>
        <v xml:space="preserve"> </v>
      </c>
      <c r="AM185" s="20">
        <f t="shared" si="44"/>
        <v>174</v>
      </c>
      <c r="AN185" s="5">
        <f t="shared" si="45"/>
        <v>0</v>
      </c>
      <c r="AO185" s="5">
        <f t="shared" si="46"/>
        <v>0</v>
      </c>
      <c r="AP185" s="5">
        <f t="shared" si="47"/>
        <v>0</v>
      </c>
      <c r="AQ185" s="5">
        <f>IF(CreditAmort4WORST[[#This Row],[Month]]=AS$8,AO$7,0)</f>
        <v>0</v>
      </c>
      <c r="AR185" s="13">
        <f t="shared" si="48"/>
        <v>0</v>
      </c>
      <c r="AS185" s="6" t="str">
        <f t="shared" si="49"/>
        <v xml:space="preserve"> </v>
      </c>
      <c r="AT185" s="21" t="str">
        <f t="shared" si="50"/>
        <v xml:space="preserve"> </v>
      </c>
    </row>
    <row r="186" spans="3:46">
      <c r="C186" s="22">
        <f t="shared" si="35"/>
        <v>175</v>
      </c>
      <c r="D186" s="23">
        <f>IF(AND(C186&gt;='Amort. Sched.-WORST'!$I$8, C186&lt;= ($I$7+$I$8)), PMT('Amort. Sched.-WORST'!$E$8/12, 'Amort. Sched.-WORST'!$I$7, 'Amort. Sched.-WORST'!$E$7), 0)</f>
        <v>-2026.0175758541329</v>
      </c>
      <c r="E186" s="5">
        <f>IF(AND(C186&gt;='Amort. Sched.-WORST'!$I$8, C186&lt;= ($I$7+$I$8)), (IPMT($E$8/12, (C186-$I$8), $I$7, $E$7)), 0)</f>
        <v>-1148.922867898608</v>
      </c>
      <c r="F186" s="23">
        <f>IF(AND(C186&gt;='Amort. Sched.-WORST'!$I$8, C186&lt;= ($I$7+$I$8)), (PPMT($E$8/12, (C186-$I$8), $I$7, $E$7)), 0)</f>
        <v>-877.09470795552488</v>
      </c>
      <c r="G186" s="5">
        <f>IF(MortgageAmortWORST[[#This Row],[Month]]=I$8,E$7,0)</f>
        <v>0</v>
      </c>
      <c r="H186" s="13">
        <f>IF(AND(C186&gt;='Amort. Sched.-WORST'!$I$8, C186&lt;= ($I$7+$I$8)), H185+F186, 0)</f>
        <v>171461.33547683564</v>
      </c>
      <c r="I186" s="24">
        <f>IF(AND(C186&gt;='Amort. Sched.-WORST'!$I$8, C186&lt;= ($I$7+$I$8)), E186/D186, " ")</f>
        <v>0.56708435385326927</v>
      </c>
      <c r="J186" s="25">
        <f>IF(AND(C186&gt;='Amort. Sched.-WORST'!$I$8, C186&lt;= ($I$7+$I$8)), F186/D186, " ")</f>
        <v>0.43291564614673067</v>
      </c>
      <c r="L186" s="20">
        <f t="shared" si="34"/>
        <v>175</v>
      </c>
      <c r="M186" s="5">
        <f>IF(AND(L186&gt;='Amort. Sched.-WORST'!$R$8, L186&lt;= ($R$7+$R$8)), PMT('Amort. Sched.-WORST'!$N$8/12, 'Amort. Sched.-WORST'!$R$7, 'Amort. Sched.-WORST'!$N$7), 0)</f>
        <v>0</v>
      </c>
      <c r="N186" s="5">
        <f>IF(AND(L186&gt;='Amort. Sched.-WORST'!$R$8, L186&lt;= ($R$7+$R$8)), (IPMT($N$8/12, (L186-$R$8), $R$7, $N$7)), 0)</f>
        <v>0</v>
      </c>
      <c r="O186" s="5">
        <f>IF(AND(L186&gt;='Amort. Sched.-WORST'!$R$8, L186&lt;= ($R$7+$R$8)), (PPMT($N$8/12, (L186-$R$8), $R$7, $N$7)), 0)</f>
        <v>0</v>
      </c>
      <c r="P186" s="5">
        <f>IF(CreditAmort1WORST[[#This Row],[Month]]=R$8,N$7,0)</f>
        <v>0</v>
      </c>
      <c r="Q186" s="13">
        <f>IF(AND(L186&gt;='Amort. Sched.-WORST'!$R$8, L186&lt;= ($R$7+$R$8)), Q185+O186, 0)</f>
        <v>0</v>
      </c>
      <c r="R186" s="6" t="str">
        <f>IF(AND(L186&gt;='Amort. Sched.-WORST'!$R$8, L186&lt;= ($R$7+$R$8)), N186/M186, " ")</f>
        <v xml:space="preserve"> </v>
      </c>
      <c r="S186" s="21" t="str">
        <f>IF(AND(L186&gt;='Amort. Sched.-WORST'!$R$8, L186&lt;= ($R$7+$R$8)), O186/M186, " ")</f>
        <v xml:space="preserve"> </v>
      </c>
      <c r="U186" s="22">
        <f t="shared" si="36"/>
        <v>175</v>
      </c>
      <c r="V186" s="23">
        <f>IF(AND(U186&gt;='Amort. Sched.-WORST'!$AA$8, U186&lt;= ($AA$7+$AA$8)), PMT('Amort. Sched.-WORST'!$W$8/12, 'Amort. Sched.-WORST'!$AA$7, 'Amort. Sched.-WORST'!$W$7), 0)</f>
        <v>0</v>
      </c>
      <c r="W186" s="5">
        <f>IF(AND(U186&gt;='Amort. Sched.-WORST'!$AA$8, U186&lt;= ($AA$7+$AA$8)), (IPMT($W$8/12, (U186-$AA$8), $AA$7, $W$7)), 0)</f>
        <v>0</v>
      </c>
      <c r="X186" s="23">
        <f>IF(AND(U186&gt;='Amort. Sched.-WORST'!$AA$8, U186&lt;= ($AA$7+$AA$8)), (PPMT($W$8/12, (U186-$AA$8), $AA$7, $W$7)), 0)</f>
        <v>0</v>
      </c>
      <c r="Y186" s="5">
        <f>IF(CreditAmort2WORST[[#This Row],[Month]]=AA$8,W$7,0)</f>
        <v>0</v>
      </c>
      <c r="Z186" s="13">
        <f>IF(AND(U186&gt;='Amort. Sched.-WORST'!$AA$8, U186&lt;= ($AA$7+$AA$8)), Z185+X186, 0)</f>
        <v>0</v>
      </c>
      <c r="AA186" s="24" t="str">
        <f>IF(AND(U186&gt;='Amort. Sched.-WORST'!$AA$8, U186&lt;= ($AA$7+$AA$8)), W186/V186, " ")</f>
        <v xml:space="preserve"> </v>
      </c>
      <c r="AB186" s="25" t="str">
        <f>IF(AND(U186&gt;='Amort. Sched.-WORST'!$AA$8, U186&lt;= ($AA$7+$AA$8)), X186/V186, " ")</f>
        <v xml:space="preserve"> </v>
      </c>
      <c r="AD186" s="20">
        <f t="shared" si="37"/>
        <v>175</v>
      </c>
      <c r="AE186" s="5">
        <f t="shared" si="38"/>
        <v>0</v>
      </c>
      <c r="AF186" s="5">
        <f t="shared" si="39"/>
        <v>0</v>
      </c>
      <c r="AG186" s="5">
        <f t="shared" si="40"/>
        <v>0</v>
      </c>
      <c r="AH186" s="5">
        <f>IF(CreditAmort3WORST[[#This Row],[Month]]=AJ$8,AF$7,0)</f>
        <v>0</v>
      </c>
      <c r="AI186" s="13">
        <f t="shared" si="41"/>
        <v>0</v>
      </c>
      <c r="AJ186" s="6" t="str">
        <f t="shared" si="42"/>
        <v xml:space="preserve"> </v>
      </c>
      <c r="AK186" s="21" t="str">
        <f t="shared" si="43"/>
        <v xml:space="preserve"> </v>
      </c>
      <c r="AM186" s="20">
        <f t="shared" si="44"/>
        <v>175</v>
      </c>
      <c r="AN186" s="5">
        <f t="shared" si="45"/>
        <v>0</v>
      </c>
      <c r="AO186" s="5">
        <f t="shared" si="46"/>
        <v>0</v>
      </c>
      <c r="AP186" s="5">
        <f t="shared" si="47"/>
        <v>0</v>
      </c>
      <c r="AQ186" s="5">
        <f>IF(CreditAmort4WORST[[#This Row],[Month]]=AS$8,AO$7,0)</f>
        <v>0</v>
      </c>
      <c r="AR186" s="13">
        <f t="shared" si="48"/>
        <v>0</v>
      </c>
      <c r="AS186" s="6" t="str">
        <f t="shared" si="49"/>
        <v xml:space="preserve"> </v>
      </c>
      <c r="AT186" s="21" t="str">
        <f t="shared" si="50"/>
        <v xml:space="preserve"> </v>
      </c>
    </row>
    <row r="187" spans="3:46">
      <c r="C187" s="22">
        <f t="shared" si="35"/>
        <v>176</v>
      </c>
      <c r="D187" s="23">
        <f>IF(AND(C187&gt;='Amort. Sched.-WORST'!$I$8, C187&lt;= ($I$7+$I$8)), PMT('Amort. Sched.-WORST'!$E$8/12, 'Amort. Sched.-WORST'!$I$7, 'Amort. Sched.-WORST'!$E$7), 0)</f>
        <v>-2026.0175758541329</v>
      </c>
      <c r="E187" s="5">
        <f>IF(AND(C187&gt;='Amort. Sched.-WORST'!$I$8, C187&lt;= ($I$7+$I$8)), (IPMT($E$8/12, (C187-$I$8), $I$7, $E$7)), 0)</f>
        <v>-1143.0755698455714</v>
      </c>
      <c r="F187" s="23">
        <f>IF(AND(C187&gt;='Amort. Sched.-WORST'!$I$8, C187&lt;= ($I$7+$I$8)), (PPMT($E$8/12, (C187-$I$8), $I$7, $E$7)), 0)</f>
        <v>-882.94200600856163</v>
      </c>
      <c r="G187" s="5">
        <f>IF(MortgageAmortWORST[[#This Row],[Month]]=I$8,E$7,0)</f>
        <v>0</v>
      </c>
      <c r="H187" s="13">
        <f>IF(AND(C187&gt;='Amort. Sched.-WORST'!$I$8, C187&lt;= ($I$7+$I$8)), H186+F187, 0)</f>
        <v>170578.39347082708</v>
      </c>
      <c r="I187" s="24">
        <f>IF(AND(C187&gt;='Amort. Sched.-WORST'!$I$8, C187&lt;= ($I$7+$I$8)), E187/D187, " ")</f>
        <v>0.56419824954562459</v>
      </c>
      <c r="J187" s="25">
        <f>IF(AND(C187&gt;='Amort. Sched.-WORST'!$I$8, C187&lt;= ($I$7+$I$8)), F187/D187, " ")</f>
        <v>0.43580175045437552</v>
      </c>
      <c r="L187" s="20">
        <f t="shared" si="34"/>
        <v>176</v>
      </c>
      <c r="M187" s="5">
        <f>IF(AND(L187&gt;='Amort. Sched.-WORST'!$R$8, L187&lt;= ($R$7+$R$8)), PMT('Amort. Sched.-WORST'!$N$8/12, 'Amort. Sched.-WORST'!$R$7, 'Amort. Sched.-WORST'!$N$7), 0)</f>
        <v>0</v>
      </c>
      <c r="N187" s="5">
        <f>IF(AND(L187&gt;='Amort. Sched.-WORST'!$R$8, L187&lt;= ($R$7+$R$8)), (IPMT($N$8/12, (L187-$R$8), $R$7, $N$7)), 0)</f>
        <v>0</v>
      </c>
      <c r="O187" s="5">
        <f>IF(AND(L187&gt;='Amort. Sched.-WORST'!$R$8, L187&lt;= ($R$7+$R$8)), (PPMT($N$8/12, (L187-$R$8), $R$7, $N$7)), 0)</f>
        <v>0</v>
      </c>
      <c r="P187" s="5">
        <f>IF(CreditAmort1WORST[[#This Row],[Month]]=R$8,N$7,0)</f>
        <v>0</v>
      </c>
      <c r="Q187" s="13">
        <f>IF(AND(L187&gt;='Amort. Sched.-WORST'!$R$8, L187&lt;= ($R$7+$R$8)), Q186+O187, 0)</f>
        <v>0</v>
      </c>
      <c r="R187" s="6" t="str">
        <f>IF(AND(L187&gt;='Amort. Sched.-WORST'!$R$8, L187&lt;= ($R$7+$R$8)), N187/M187, " ")</f>
        <v xml:space="preserve"> </v>
      </c>
      <c r="S187" s="21" t="str">
        <f>IF(AND(L187&gt;='Amort. Sched.-WORST'!$R$8, L187&lt;= ($R$7+$R$8)), O187/M187, " ")</f>
        <v xml:space="preserve"> </v>
      </c>
      <c r="U187" s="22">
        <f t="shared" si="36"/>
        <v>176</v>
      </c>
      <c r="V187" s="23">
        <f>IF(AND(U187&gt;='Amort. Sched.-WORST'!$AA$8, U187&lt;= ($AA$7+$AA$8)), PMT('Amort. Sched.-WORST'!$W$8/12, 'Amort. Sched.-WORST'!$AA$7, 'Amort. Sched.-WORST'!$W$7), 0)</f>
        <v>0</v>
      </c>
      <c r="W187" s="5">
        <f>IF(AND(U187&gt;='Amort. Sched.-WORST'!$AA$8, U187&lt;= ($AA$7+$AA$8)), (IPMT($W$8/12, (U187-$AA$8), $AA$7, $W$7)), 0)</f>
        <v>0</v>
      </c>
      <c r="X187" s="23">
        <f>IF(AND(U187&gt;='Amort. Sched.-WORST'!$AA$8, U187&lt;= ($AA$7+$AA$8)), (PPMT($W$8/12, (U187-$AA$8), $AA$7, $W$7)), 0)</f>
        <v>0</v>
      </c>
      <c r="Y187" s="5">
        <f>IF(CreditAmort2WORST[[#This Row],[Month]]=AA$8,W$7,0)</f>
        <v>0</v>
      </c>
      <c r="Z187" s="13">
        <f>IF(AND(U187&gt;='Amort. Sched.-WORST'!$AA$8, U187&lt;= ($AA$7+$AA$8)), Z186+X187, 0)</f>
        <v>0</v>
      </c>
      <c r="AA187" s="24" t="str">
        <f>IF(AND(U187&gt;='Amort. Sched.-WORST'!$AA$8, U187&lt;= ($AA$7+$AA$8)), W187/V187, " ")</f>
        <v xml:space="preserve"> </v>
      </c>
      <c r="AB187" s="25" t="str">
        <f>IF(AND(U187&gt;='Amort. Sched.-WORST'!$AA$8, U187&lt;= ($AA$7+$AA$8)), X187/V187, " ")</f>
        <v xml:space="preserve"> </v>
      </c>
      <c r="AD187" s="20">
        <f t="shared" si="37"/>
        <v>176</v>
      </c>
      <c r="AE187" s="5">
        <f t="shared" si="38"/>
        <v>0</v>
      </c>
      <c r="AF187" s="5">
        <f t="shared" si="39"/>
        <v>0</v>
      </c>
      <c r="AG187" s="5">
        <f t="shared" si="40"/>
        <v>0</v>
      </c>
      <c r="AH187" s="5">
        <f>IF(CreditAmort3WORST[[#This Row],[Month]]=AJ$8,AF$7,0)</f>
        <v>0</v>
      </c>
      <c r="AI187" s="13">
        <f t="shared" si="41"/>
        <v>0</v>
      </c>
      <c r="AJ187" s="6" t="str">
        <f t="shared" si="42"/>
        <v xml:space="preserve"> </v>
      </c>
      <c r="AK187" s="21" t="str">
        <f t="shared" si="43"/>
        <v xml:space="preserve"> </v>
      </c>
      <c r="AM187" s="20">
        <f t="shared" si="44"/>
        <v>176</v>
      </c>
      <c r="AN187" s="5">
        <f t="shared" si="45"/>
        <v>0</v>
      </c>
      <c r="AO187" s="5">
        <f t="shared" si="46"/>
        <v>0</v>
      </c>
      <c r="AP187" s="5">
        <f t="shared" si="47"/>
        <v>0</v>
      </c>
      <c r="AQ187" s="5">
        <f>IF(CreditAmort4WORST[[#This Row],[Month]]=AS$8,AO$7,0)</f>
        <v>0</v>
      </c>
      <c r="AR187" s="13">
        <f t="shared" si="48"/>
        <v>0</v>
      </c>
      <c r="AS187" s="6" t="str">
        <f t="shared" si="49"/>
        <v xml:space="preserve"> </v>
      </c>
      <c r="AT187" s="21" t="str">
        <f t="shared" si="50"/>
        <v xml:space="preserve"> </v>
      </c>
    </row>
    <row r="188" spans="3:46">
      <c r="C188" s="22">
        <f t="shared" si="35"/>
        <v>177</v>
      </c>
      <c r="D188" s="23">
        <f>IF(AND(C188&gt;='Amort. Sched.-WORST'!$I$8, C188&lt;= ($I$7+$I$8)), PMT('Amort. Sched.-WORST'!$E$8/12, 'Amort. Sched.-WORST'!$I$7, 'Amort. Sched.-WORST'!$E$7), 0)</f>
        <v>-2026.0175758541329</v>
      </c>
      <c r="E188" s="5">
        <f>IF(AND(C188&gt;='Amort. Sched.-WORST'!$I$8, C188&lt;= ($I$7+$I$8)), (IPMT($E$8/12, (C188-$I$8), $I$7, $E$7)), 0)</f>
        <v>-1137.1892898055141</v>
      </c>
      <c r="F188" s="23">
        <f>IF(AND(C188&gt;='Amort. Sched.-WORST'!$I$8, C188&lt;= ($I$7+$I$8)), (PPMT($E$8/12, (C188-$I$8), $I$7, $E$7)), 0)</f>
        <v>-888.82828604861891</v>
      </c>
      <c r="G188" s="5">
        <f>IF(MortgageAmortWORST[[#This Row],[Month]]=I$8,E$7,0)</f>
        <v>0</v>
      </c>
      <c r="H188" s="13">
        <f>IF(AND(C188&gt;='Amort. Sched.-WORST'!$I$8, C188&lt;= ($I$7+$I$8)), H187+F188, 0)</f>
        <v>169689.56518477848</v>
      </c>
      <c r="I188" s="24">
        <f>IF(AND(C188&gt;='Amort. Sched.-WORST'!$I$8, C188&lt;= ($I$7+$I$8)), E188/D188, " ")</f>
        <v>0.56129290454259528</v>
      </c>
      <c r="J188" s="25">
        <f>IF(AND(C188&gt;='Amort. Sched.-WORST'!$I$8, C188&lt;= ($I$7+$I$8)), F188/D188, " ")</f>
        <v>0.43870709545740477</v>
      </c>
      <c r="L188" s="20">
        <f t="shared" si="34"/>
        <v>177</v>
      </c>
      <c r="M188" s="5">
        <f>IF(AND(L188&gt;='Amort. Sched.-WORST'!$R$8, L188&lt;= ($R$7+$R$8)), PMT('Amort. Sched.-WORST'!$N$8/12, 'Amort. Sched.-WORST'!$R$7, 'Amort. Sched.-WORST'!$N$7), 0)</f>
        <v>0</v>
      </c>
      <c r="N188" s="5">
        <f>IF(AND(L188&gt;='Amort. Sched.-WORST'!$R$8, L188&lt;= ($R$7+$R$8)), (IPMT($N$8/12, (L188-$R$8), $R$7, $N$7)), 0)</f>
        <v>0</v>
      </c>
      <c r="O188" s="5">
        <f>IF(AND(L188&gt;='Amort. Sched.-WORST'!$R$8, L188&lt;= ($R$7+$R$8)), (PPMT($N$8/12, (L188-$R$8), $R$7, $N$7)), 0)</f>
        <v>0</v>
      </c>
      <c r="P188" s="5">
        <f>IF(CreditAmort1WORST[[#This Row],[Month]]=R$8,N$7,0)</f>
        <v>0</v>
      </c>
      <c r="Q188" s="13">
        <f>IF(AND(L188&gt;='Amort. Sched.-WORST'!$R$8, L188&lt;= ($R$7+$R$8)), Q187+O188, 0)</f>
        <v>0</v>
      </c>
      <c r="R188" s="6" t="str">
        <f>IF(AND(L188&gt;='Amort. Sched.-WORST'!$R$8, L188&lt;= ($R$7+$R$8)), N188/M188, " ")</f>
        <v xml:space="preserve"> </v>
      </c>
      <c r="S188" s="21" t="str">
        <f>IF(AND(L188&gt;='Amort. Sched.-WORST'!$R$8, L188&lt;= ($R$7+$R$8)), O188/M188, " ")</f>
        <v xml:space="preserve"> </v>
      </c>
      <c r="U188" s="22">
        <f t="shared" si="36"/>
        <v>177</v>
      </c>
      <c r="V188" s="23">
        <f>IF(AND(U188&gt;='Amort. Sched.-WORST'!$AA$8, U188&lt;= ($AA$7+$AA$8)), PMT('Amort. Sched.-WORST'!$W$8/12, 'Amort. Sched.-WORST'!$AA$7, 'Amort. Sched.-WORST'!$W$7), 0)</f>
        <v>0</v>
      </c>
      <c r="W188" s="5">
        <f>IF(AND(U188&gt;='Amort. Sched.-WORST'!$AA$8, U188&lt;= ($AA$7+$AA$8)), (IPMT($W$8/12, (U188-$AA$8), $AA$7, $W$7)), 0)</f>
        <v>0</v>
      </c>
      <c r="X188" s="23">
        <f>IF(AND(U188&gt;='Amort. Sched.-WORST'!$AA$8, U188&lt;= ($AA$7+$AA$8)), (PPMT($W$8/12, (U188-$AA$8), $AA$7, $W$7)), 0)</f>
        <v>0</v>
      </c>
      <c r="Y188" s="5">
        <f>IF(CreditAmort2WORST[[#This Row],[Month]]=AA$8,W$7,0)</f>
        <v>0</v>
      </c>
      <c r="Z188" s="13">
        <f>IF(AND(U188&gt;='Amort. Sched.-WORST'!$AA$8, U188&lt;= ($AA$7+$AA$8)), Z187+X188, 0)</f>
        <v>0</v>
      </c>
      <c r="AA188" s="24" t="str">
        <f>IF(AND(U188&gt;='Amort. Sched.-WORST'!$AA$8, U188&lt;= ($AA$7+$AA$8)), W188/V188, " ")</f>
        <v xml:space="preserve"> </v>
      </c>
      <c r="AB188" s="25" t="str">
        <f>IF(AND(U188&gt;='Amort. Sched.-WORST'!$AA$8, U188&lt;= ($AA$7+$AA$8)), X188/V188, " ")</f>
        <v xml:space="preserve"> </v>
      </c>
      <c r="AD188" s="20">
        <f t="shared" si="37"/>
        <v>177</v>
      </c>
      <c r="AE188" s="5">
        <f t="shared" si="38"/>
        <v>0</v>
      </c>
      <c r="AF188" s="5">
        <f t="shared" si="39"/>
        <v>0</v>
      </c>
      <c r="AG188" s="5">
        <f t="shared" si="40"/>
        <v>0</v>
      </c>
      <c r="AH188" s="5">
        <f>IF(CreditAmort3WORST[[#This Row],[Month]]=AJ$8,AF$7,0)</f>
        <v>0</v>
      </c>
      <c r="AI188" s="13">
        <f t="shared" si="41"/>
        <v>0</v>
      </c>
      <c r="AJ188" s="6" t="str">
        <f t="shared" si="42"/>
        <v xml:space="preserve"> </v>
      </c>
      <c r="AK188" s="21" t="str">
        <f t="shared" si="43"/>
        <v xml:space="preserve"> </v>
      </c>
      <c r="AM188" s="20">
        <f t="shared" si="44"/>
        <v>177</v>
      </c>
      <c r="AN188" s="5">
        <f t="shared" si="45"/>
        <v>0</v>
      </c>
      <c r="AO188" s="5">
        <f t="shared" si="46"/>
        <v>0</v>
      </c>
      <c r="AP188" s="5">
        <f t="shared" si="47"/>
        <v>0</v>
      </c>
      <c r="AQ188" s="5">
        <f>IF(CreditAmort4WORST[[#This Row],[Month]]=AS$8,AO$7,0)</f>
        <v>0</v>
      </c>
      <c r="AR188" s="13">
        <f t="shared" si="48"/>
        <v>0</v>
      </c>
      <c r="AS188" s="6" t="str">
        <f t="shared" si="49"/>
        <v xml:space="preserve"> </v>
      </c>
      <c r="AT188" s="21" t="str">
        <f t="shared" si="50"/>
        <v xml:space="preserve"> </v>
      </c>
    </row>
    <row r="189" spans="3:46">
      <c r="C189" s="22">
        <f t="shared" si="35"/>
        <v>178</v>
      </c>
      <c r="D189" s="23">
        <f>IF(AND(C189&gt;='Amort. Sched.-WORST'!$I$8, C189&lt;= ($I$7+$I$8)), PMT('Amort. Sched.-WORST'!$E$8/12, 'Amort. Sched.-WORST'!$I$7, 'Amort. Sched.-WORST'!$E$7), 0)</f>
        <v>-2026.0175758541329</v>
      </c>
      <c r="E189" s="5">
        <f>IF(AND(C189&gt;='Amort. Sched.-WORST'!$I$8, C189&lt;= ($I$7+$I$8)), (IPMT($E$8/12, (C189-$I$8), $I$7, $E$7)), 0)</f>
        <v>-1131.2637678985234</v>
      </c>
      <c r="F189" s="23">
        <f>IF(AND(C189&gt;='Amort. Sched.-WORST'!$I$8, C189&lt;= ($I$7+$I$8)), (PPMT($E$8/12, (C189-$I$8), $I$7, $E$7)), 0)</f>
        <v>-894.75380795560955</v>
      </c>
      <c r="G189" s="5">
        <f>IF(MortgageAmortWORST[[#This Row],[Month]]=I$8,E$7,0)</f>
        <v>0</v>
      </c>
      <c r="H189" s="13">
        <f>IF(AND(C189&gt;='Amort. Sched.-WORST'!$I$8, C189&lt;= ($I$7+$I$8)), H188+F189, 0)</f>
        <v>168794.81137682288</v>
      </c>
      <c r="I189" s="24">
        <f>IF(AND(C189&gt;='Amort. Sched.-WORST'!$I$8, C189&lt;= ($I$7+$I$8)), E189/D189, " ")</f>
        <v>0.55836819057287923</v>
      </c>
      <c r="J189" s="25">
        <f>IF(AND(C189&gt;='Amort. Sched.-WORST'!$I$8, C189&lt;= ($I$7+$I$8)), F189/D189, " ")</f>
        <v>0.44163180942712071</v>
      </c>
      <c r="L189" s="20">
        <f t="shared" si="34"/>
        <v>178</v>
      </c>
      <c r="M189" s="5">
        <f>IF(AND(L189&gt;='Amort. Sched.-WORST'!$R$8, L189&lt;= ($R$7+$R$8)), PMT('Amort. Sched.-WORST'!$N$8/12, 'Amort. Sched.-WORST'!$R$7, 'Amort. Sched.-WORST'!$N$7), 0)</f>
        <v>0</v>
      </c>
      <c r="N189" s="5">
        <f>IF(AND(L189&gt;='Amort. Sched.-WORST'!$R$8, L189&lt;= ($R$7+$R$8)), (IPMT($N$8/12, (L189-$R$8), $R$7, $N$7)), 0)</f>
        <v>0</v>
      </c>
      <c r="O189" s="5">
        <f>IF(AND(L189&gt;='Amort. Sched.-WORST'!$R$8, L189&lt;= ($R$7+$R$8)), (PPMT($N$8/12, (L189-$R$8), $R$7, $N$7)), 0)</f>
        <v>0</v>
      </c>
      <c r="P189" s="5">
        <f>IF(CreditAmort1WORST[[#This Row],[Month]]=R$8,N$7,0)</f>
        <v>0</v>
      </c>
      <c r="Q189" s="13">
        <f>IF(AND(L189&gt;='Amort. Sched.-WORST'!$R$8, L189&lt;= ($R$7+$R$8)), Q188+O189, 0)</f>
        <v>0</v>
      </c>
      <c r="R189" s="6" t="str">
        <f>IF(AND(L189&gt;='Amort. Sched.-WORST'!$R$8, L189&lt;= ($R$7+$R$8)), N189/M189, " ")</f>
        <v xml:space="preserve"> </v>
      </c>
      <c r="S189" s="21" t="str">
        <f>IF(AND(L189&gt;='Amort. Sched.-WORST'!$R$8, L189&lt;= ($R$7+$R$8)), O189/M189, " ")</f>
        <v xml:space="preserve"> </v>
      </c>
      <c r="U189" s="22">
        <f t="shared" si="36"/>
        <v>178</v>
      </c>
      <c r="V189" s="23">
        <f>IF(AND(U189&gt;='Amort. Sched.-WORST'!$AA$8, U189&lt;= ($AA$7+$AA$8)), PMT('Amort. Sched.-WORST'!$W$8/12, 'Amort. Sched.-WORST'!$AA$7, 'Amort. Sched.-WORST'!$W$7), 0)</f>
        <v>0</v>
      </c>
      <c r="W189" s="5">
        <f>IF(AND(U189&gt;='Amort. Sched.-WORST'!$AA$8, U189&lt;= ($AA$7+$AA$8)), (IPMT($W$8/12, (U189-$AA$8), $AA$7, $W$7)), 0)</f>
        <v>0</v>
      </c>
      <c r="X189" s="23">
        <f>IF(AND(U189&gt;='Amort. Sched.-WORST'!$AA$8, U189&lt;= ($AA$7+$AA$8)), (PPMT($W$8/12, (U189-$AA$8), $AA$7, $W$7)), 0)</f>
        <v>0</v>
      </c>
      <c r="Y189" s="5">
        <f>IF(CreditAmort2WORST[[#This Row],[Month]]=AA$8,W$7,0)</f>
        <v>0</v>
      </c>
      <c r="Z189" s="13">
        <f>IF(AND(U189&gt;='Amort. Sched.-WORST'!$AA$8, U189&lt;= ($AA$7+$AA$8)), Z188+X189, 0)</f>
        <v>0</v>
      </c>
      <c r="AA189" s="24" t="str">
        <f>IF(AND(U189&gt;='Amort. Sched.-WORST'!$AA$8, U189&lt;= ($AA$7+$AA$8)), W189/V189, " ")</f>
        <v xml:space="preserve"> </v>
      </c>
      <c r="AB189" s="25" t="str">
        <f>IF(AND(U189&gt;='Amort. Sched.-WORST'!$AA$8, U189&lt;= ($AA$7+$AA$8)), X189/V189, " ")</f>
        <v xml:space="preserve"> </v>
      </c>
      <c r="AD189" s="20">
        <f t="shared" si="37"/>
        <v>178</v>
      </c>
      <c r="AE189" s="5">
        <f t="shared" si="38"/>
        <v>0</v>
      </c>
      <c r="AF189" s="5">
        <f t="shared" si="39"/>
        <v>0</v>
      </c>
      <c r="AG189" s="5">
        <f t="shared" si="40"/>
        <v>0</v>
      </c>
      <c r="AH189" s="5">
        <f>IF(CreditAmort3WORST[[#This Row],[Month]]=AJ$8,AF$7,0)</f>
        <v>0</v>
      </c>
      <c r="AI189" s="13">
        <f t="shared" si="41"/>
        <v>0</v>
      </c>
      <c r="AJ189" s="6" t="str">
        <f t="shared" si="42"/>
        <v xml:space="preserve"> </v>
      </c>
      <c r="AK189" s="21" t="str">
        <f t="shared" si="43"/>
        <v xml:space="preserve"> </v>
      </c>
      <c r="AM189" s="20">
        <f t="shared" si="44"/>
        <v>178</v>
      </c>
      <c r="AN189" s="5">
        <f t="shared" si="45"/>
        <v>0</v>
      </c>
      <c r="AO189" s="5">
        <f t="shared" si="46"/>
        <v>0</v>
      </c>
      <c r="AP189" s="5">
        <f t="shared" si="47"/>
        <v>0</v>
      </c>
      <c r="AQ189" s="5">
        <f>IF(CreditAmort4WORST[[#This Row],[Month]]=AS$8,AO$7,0)</f>
        <v>0</v>
      </c>
      <c r="AR189" s="13">
        <f t="shared" si="48"/>
        <v>0</v>
      </c>
      <c r="AS189" s="6" t="str">
        <f t="shared" si="49"/>
        <v xml:space="preserve"> </v>
      </c>
      <c r="AT189" s="21" t="str">
        <f t="shared" si="50"/>
        <v xml:space="preserve"> </v>
      </c>
    </row>
    <row r="190" spans="3:46">
      <c r="C190" s="22">
        <f t="shared" si="35"/>
        <v>179</v>
      </c>
      <c r="D190" s="23">
        <f>IF(AND(C190&gt;='Amort. Sched.-WORST'!$I$8, C190&lt;= ($I$7+$I$8)), PMT('Amort. Sched.-WORST'!$E$8/12, 'Amort. Sched.-WORST'!$I$7, 'Amort. Sched.-WORST'!$E$7), 0)</f>
        <v>-2026.0175758541329</v>
      </c>
      <c r="E190" s="5">
        <f>IF(AND(C190&gt;='Amort. Sched.-WORST'!$I$8, C190&lt;= ($I$7+$I$8)), (IPMT($E$8/12, (C190-$I$8), $I$7, $E$7)), 0)</f>
        <v>-1125.2987425121526</v>
      </c>
      <c r="F190" s="23">
        <f>IF(AND(C190&gt;='Amort. Sched.-WORST'!$I$8, C190&lt;= ($I$7+$I$8)), (PPMT($E$8/12, (C190-$I$8), $I$7, $E$7)), 0)</f>
        <v>-900.71883334198037</v>
      </c>
      <c r="G190" s="5">
        <f>IF(MortgageAmortWORST[[#This Row],[Month]]=I$8,E$7,0)</f>
        <v>0</v>
      </c>
      <c r="H190" s="13">
        <f>IF(AND(C190&gt;='Amort. Sched.-WORST'!$I$8, C190&lt;= ($I$7+$I$8)), H189+F190, 0)</f>
        <v>167894.09254348089</v>
      </c>
      <c r="I190" s="24">
        <f>IF(AND(C190&gt;='Amort. Sched.-WORST'!$I$8, C190&lt;= ($I$7+$I$8)), E190/D190, " ")</f>
        <v>0.55542397851003178</v>
      </c>
      <c r="J190" s="25">
        <f>IF(AND(C190&gt;='Amort. Sched.-WORST'!$I$8, C190&lt;= ($I$7+$I$8)), F190/D190, " ")</f>
        <v>0.44457602148996822</v>
      </c>
      <c r="L190" s="20">
        <f t="shared" si="34"/>
        <v>179</v>
      </c>
      <c r="M190" s="5">
        <f>IF(AND(L190&gt;='Amort. Sched.-WORST'!$R$8, L190&lt;= ($R$7+$R$8)), PMT('Amort. Sched.-WORST'!$N$8/12, 'Amort. Sched.-WORST'!$R$7, 'Amort. Sched.-WORST'!$N$7), 0)</f>
        <v>0</v>
      </c>
      <c r="N190" s="5">
        <f>IF(AND(L190&gt;='Amort. Sched.-WORST'!$R$8, L190&lt;= ($R$7+$R$8)), (IPMT($N$8/12, (L190-$R$8), $R$7, $N$7)), 0)</f>
        <v>0</v>
      </c>
      <c r="O190" s="5">
        <f>IF(AND(L190&gt;='Amort. Sched.-WORST'!$R$8, L190&lt;= ($R$7+$R$8)), (PPMT($N$8/12, (L190-$R$8), $R$7, $N$7)), 0)</f>
        <v>0</v>
      </c>
      <c r="P190" s="5">
        <f>IF(CreditAmort1WORST[[#This Row],[Month]]=R$8,N$7,0)</f>
        <v>0</v>
      </c>
      <c r="Q190" s="13">
        <f>IF(AND(L190&gt;='Amort. Sched.-WORST'!$R$8, L190&lt;= ($R$7+$R$8)), Q189+O190, 0)</f>
        <v>0</v>
      </c>
      <c r="R190" s="6" t="str">
        <f>IF(AND(L190&gt;='Amort. Sched.-WORST'!$R$8, L190&lt;= ($R$7+$R$8)), N190/M190, " ")</f>
        <v xml:space="preserve"> </v>
      </c>
      <c r="S190" s="21" t="str">
        <f>IF(AND(L190&gt;='Amort. Sched.-WORST'!$R$8, L190&lt;= ($R$7+$R$8)), O190/M190, " ")</f>
        <v xml:space="preserve"> </v>
      </c>
      <c r="U190" s="22">
        <f t="shared" si="36"/>
        <v>179</v>
      </c>
      <c r="V190" s="23">
        <f>IF(AND(U190&gt;='Amort. Sched.-WORST'!$AA$8, U190&lt;= ($AA$7+$AA$8)), PMT('Amort. Sched.-WORST'!$W$8/12, 'Amort. Sched.-WORST'!$AA$7, 'Amort. Sched.-WORST'!$W$7), 0)</f>
        <v>0</v>
      </c>
      <c r="W190" s="5">
        <f>IF(AND(U190&gt;='Amort. Sched.-WORST'!$AA$8, U190&lt;= ($AA$7+$AA$8)), (IPMT($W$8/12, (U190-$AA$8), $AA$7, $W$7)), 0)</f>
        <v>0</v>
      </c>
      <c r="X190" s="23">
        <f>IF(AND(U190&gt;='Amort. Sched.-WORST'!$AA$8, U190&lt;= ($AA$7+$AA$8)), (PPMT($W$8/12, (U190-$AA$8), $AA$7, $W$7)), 0)</f>
        <v>0</v>
      </c>
      <c r="Y190" s="5">
        <f>IF(CreditAmort2WORST[[#This Row],[Month]]=AA$8,W$7,0)</f>
        <v>0</v>
      </c>
      <c r="Z190" s="13">
        <f>IF(AND(U190&gt;='Amort. Sched.-WORST'!$AA$8, U190&lt;= ($AA$7+$AA$8)), Z189+X190, 0)</f>
        <v>0</v>
      </c>
      <c r="AA190" s="24" t="str">
        <f>IF(AND(U190&gt;='Amort. Sched.-WORST'!$AA$8, U190&lt;= ($AA$7+$AA$8)), W190/V190, " ")</f>
        <v xml:space="preserve"> </v>
      </c>
      <c r="AB190" s="25" t="str">
        <f>IF(AND(U190&gt;='Amort. Sched.-WORST'!$AA$8, U190&lt;= ($AA$7+$AA$8)), X190/V190, " ")</f>
        <v xml:space="preserve"> </v>
      </c>
      <c r="AD190" s="20">
        <f t="shared" si="37"/>
        <v>179</v>
      </c>
      <c r="AE190" s="5">
        <f t="shared" si="38"/>
        <v>0</v>
      </c>
      <c r="AF190" s="5">
        <f t="shared" si="39"/>
        <v>0</v>
      </c>
      <c r="AG190" s="5">
        <f t="shared" si="40"/>
        <v>0</v>
      </c>
      <c r="AH190" s="5">
        <f>IF(CreditAmort3WORST[[#This Row],[Month]]=AJ$8,AF$7,0)</f>
        <v>0</v>
      </c>
      <c r="AI190" s="13">
        <f t="shared" si="41"/>
        <v>0</v>
      </c>
      <c r="AJ190" s="6" t="str">
        <f t="shared" si="42"/>
        <v xml:space="preserve"> </v>
      </c>
      <c r="AK190" s="21" t="str">
        <f t="shared" si="43"/>
        <v xml:space="preserve"> </v>
      </c>
      <c r="AM190" s="20">
        <f t="shared" si="44"/>
        <v>179</v>
      </c>
      <c r="AN190" s="5">
        <f t="shared" si="45"/>
        <v>0</v>
      </c>
      <c r="AO190" s="5">
        <f t="shared" si="46"/>
        <v>0</v>
      </c>
      <c r="AP190" s="5">
        <f t="shared" si="47"/>
        <v>0</v>
      </c>
      <c r="AQ190" s="5">
        <f>IF(CreditAmort4WORST[[#This Row],[Month]]=AS$8,AO$7,0)</f>
        <v>0</v>
      </c>
      <c r="AR190" s="13">
        <f t="shared" si="48"/>
        <v>0</v>
      </c>
      <c r="AS190" s="6" t="str">
        <f t="shared" si="49"/>
        <v xml:space="preserve"> </v>
      </c>
      <c r="AT190" s="21" t="str">
        <f t="shared" si="50"/>
        <v xml:space="preserve"> </v>
      </c>
    </row>
    <row r="191" spans="3:46">
      <c r="C191" s="22">
        <f t="shared" si="35"/>
        <v>180</v>
      </c>
      <c r="D191" s="23">
        <f>IF(AND(C191&gt;='Amort. Sched.-WORST'!$I$8, C191&lt;= ($I$7+$I$8)), PMT('Amort. Sched.-WORST'!$E$8/12, 'Amort. Sched.-WORST'!$I$7, 'Amort. Sched.-WORST'!$E$7), 0)</f>
        <v>-2026.0175758541329</v>
      </c>
      <c r="E191" s="5">
        <f>IF(AND(C191&gt;='Amort. Sched.-WORST'!$I$8, C191&lt;= ($I$7+$I$8)), (IPMT($E$8/12, (C191-$I$8), $I$7, $E$7)), 0)</f>
        <v>-1119.2939502898728</v>
      </c>
      <c r="F191" s="23">
        <f>IF(AND(C191&gt;='Amort. Sched.-WORST'!$I$8, C191&lt;= ($I$7+$I$8)), (PPMT($E$8/12, (C191-$I$8), $I$7, $E$7)), 0)</f>
        <v>-906.72362556426015</v>
      </c>
      <c r="G191" s="5">
        <f>IF(MortgageAmortWORST[[#This Row],[Month]]=I$8,E$7,0)</f>
        <v>0</v>
      </c>
      <c r="H191" s="13">
        <f>IF(AND(C191&gt;='Amort. Sched.-WORST'!$I$8, C191&lt;= ($I$7+$I$8)), H190+F191, 0)</f>
        <v>166987.36891791664</v>
      </c>
      <c r="I191" s="24">
        <f>IF(AND(C191&gt;='Amort. Sched.-WORST'!$I$8, C191&lt;= ($I$7+$I$8)), E191/D191, " ")</f>
        <v>0.55246013836676533</v>
      </c>
      <c r="J191" s="25">
        <f>IF(AND(C191&gt;='Amort. Sched.-WORST'!$I$8, C191&lt;= ($I$7+$I$8)), F191/D191, " ")</f>
        <v>0.44753986163323467</v>
      </c>
      <c r="L191" s="20">
        <f t="shared" si="34"/>
        <v>180</v>
      </c>
      <c r="M191" s="5">
        <f>IF(AND(L191&gt;='Amort. Sched.-WORST'!$R$8, L191&lt;= ($R$7+$R$8)), PMT('Amort. Sched.-WORST'!$N$8/12, 'Amort. Sched.-WORST'!$R$7, 'Amort. Sched.-WORST'!$N$7), 0)</f>
        <v>0</v>
      </c>
      <c r="N191" s="5">
        <f>IF(AND(L191&gt;='Amort. Sched.-WORST'!$R$8, L191&lt;= ($R$7+$R$8)), (IPMT($N$8/12, (L191-$R$8), $R$7, $N$7)), 0)</f>
        <v>0</v>
      </c>
      <c r="O191" s="5">
        <f>IF(AND(L191&gt;='Amort. Sched.-WORST'!$R$8, L191&lt;= ($R$7+$R$8)), (PPMT($N$8/12, (L191-$R$8), $R$7, $N$7)), 0)</f>
        <v>0</v>
      </c>
      <c r="P191" s="5">
        <f>IF(CreditAmort1WORST[[#This Row],[Month]]=R$8,N$7,0)</f>
        <v>0</v>
      </c>
      <c r="Q191" s="13">
        <f>IF(AND(L191&gt;='Amort. Sched.-WORST'!$R$8, L191&lt;= ($R$7+$R$8)), Q190+O191, 0)</f>
        <v>0</v>
      </c>
      <c r="R191" s="6" t="str">
        <f>IF(AND(L191&gt;='Amort. Sched.-WORST'!$R$8, L191&lt;= ($R$7+$R$8)), N191/M191, " ")</f>
        <v xml:space="preserve"> </v>
      </c>
      <c r="S191" s="21" t="str">
        <f>IF(AND(L191&gt;='Amort. Sched.-WORST'!$R$8, L191&lt;= ($R$7+$R$8)), O191/M191, " ")</f>
        <v xml:space="preserve"> </v>
      </c>
      <c r="U191" s="22">
        <f t="shared" si="36"/>
        <v>180</v>
      </c>
      <c r="V191" s="23">
        <f>IF(AND(U191&gt;='Amort. Sched.-WORST'!$AA$8, U191&lt;= ($AA$7+$AA$8)), PMT('Amort. Sched.-WORST'!$W$8/12, 'Amort. Sched.-WORST'!$AA$7, 'Amort. Sched.-WORST'!$W$7), 0)</f>
        <v>0</v>
      </c>
      <c r="W191" s="5">
        <f>IF(AND(U191&gt;='Amort. Sched.-WORST'!$AA$8, U191&lt;= ($AA$7+$AA$8)), (IPMT($W$8/12, (U191-$AA$8), $AA$7, $W$7)), 0)</f>
        <v>0</v>
      </c>
      <c r="X191" s="23">
        <f>IF(AND(U191&gt;='Amort. Sched.-WORST'!$AA$8, U191&lt;= ($AA$7+$AA$8)), (PPMT($W$8/12, (U191-$AA$8), $AA$7, $W$7)), 0)</f>
        <v>0</v>
      </c>
      <c r="Y191" s="5">
        <f>IF(CreditAmort2WORST[[#This Row],[Month]]=AA$8,W$7,0)</f>
        <v>0</v>
      </c>
      <c r="Z191" s="13">
        <f>IF(AND(U191&gt;='Amort. Sched.-WORST'!$AA$8, U191&lt;= ($AA$7+$AA$8)), Z190+X191, 0)</f>
        <v>0</v>
      </c>
      <c r="AA191" s="24" t="str">
        <f>IF(AND(U191&gt;='Amort. Sched.-WORST'!$AA$8, U191&lt;= ($AA$7+$AA$8)), W191/V191, " ")</f>
        <v xml:space="preserve"> </v>
      </c>
      <c r="AB191" s="25" t="str">
        <f>IF(AND(U191&gt;='Amort. Sched.-WORST'!$AA$8, U191&lt;= ($AA$7+$AA$8)), X191/V191, " ")</f>
        <v xml:space="preserve"> </v>
      </c>
      <c r="AD191" s="20">
        <f t="shared" si="37"/>
        <v>180</v>
      </c>
      <c r="AE191" s="5">
        <f t="shared" si="38"/>
        <v>0</v>
      </c>
      <c r="AF191" s="5">
        <f t="shared" si="39"/>
        <v>0</v>
      </c>
      <c r="AG191" s="5">
        <f t="shared" si="40"/>
        <v>0</v>
      </c>
      <c r="AH191" s="5">
        <f>IF(CreditAmort3WORST[[#This Row],[Month]]=AJ$8,AF$7,0)</f>
        <v>0</v>
      </c>
      <c r="AI191" s="13">
        <f t="shared" si="41"/>
        <v>0</v>
      </c>
      <c r="AJ191" s="6" t="str">
        <f t="shared" si="42"/>
        <v xml:space="preserve"> </v>
      </c>
      <c r="AK191" s="21" t="str">
        <f t="shared" si="43"/>
        <v xml:space="preserve"> </v>
      </c>
      <c r="AM191" s="20">
        <f t="shared" si="44"/>
        <v>180</v>
      </c>
      <c r="AN191" s="5">
        <f t="shared" si="45"/>
        <v>0</v>
      </c>
      <c r="AO191" s="5">
        <f t="shared" si="46"/>
        <v>0</v>
      </c>
      <c r="AP191" s="5">
        <f t="shared" si="47"/>
        <v>0</v>
      </c>
      <c r="AQ191" s="5">
        <f>IF(CreditAmort4WORST[[#This Row],[Month]]=AS$8,AO$7,0)</f>
        <v>0</v>
      </c>
      <c r="AR191" s="13">
        <f t="shared" si="48"/>
        <v>0</v>
      </c>
      <c r="AS191" s="6" t="str">
        <f t="shared" si="49"/>
        <v xml:space="preserve"> </v>
      </c>
      <c r="AT191" s="21" t="str">
        <f t="shared" si="50"/>
        <v xml:space="preserve"> </v>
      </c>
    </row>
    <row r="192" spans="3:46">
      <c r="C192" s="22">
        <f t="shared" si="35"/>
        <v>181</v>
      </c>
      <c r="D192" s="23">
        <f>IF(AND(C192&gt;='Amort. Sched.-WORST'!$I$8, C192&lt;= ($I$7+$I$8)), PMT('Amort. Sched.-WORST'!$E$8/12, 'Amort. Sched.-WORST'!$I$7, 'Amort. Sched.-WORST'!$E$7), 0)</f>
        <v>-2026.0175758541329</v>
      </c>
      <c r="E192" s="5">
        <f>IF(AND(C192&gt;='Amort. Sched.-WORST'!$I$8, C192&lt;= ($I$7+$I$8)), (IPMT($E$8/12, (C192-$I$8), $I$7, $E$7)), 0)</f>
        <v>-1113.2491261194446</v>
      </c>
      <c r="F192" s="23">
        <f>IF(AND(C192&gt;='Amort. Sched.-WORST'!$I$8, C192&lt;= ($I$7+$I$8)), (PPMT($E$8/12, (C192-$I$8), $I$7, $E$7)), 0)</f>
        <v>-912.76844973468849</v>
      </c>
      <c r="G192" s="5">
        <f>IF(MortgageAmortWORST[[#This Row],[Month]]=I$8,E$7,0)</f>
        <v>0</v>
      </c>
      <c r="H192" s="13">
        <f>IF(AND(C192&gt;='Amort. Sched.-WORST'!$I$8, C192&lt;= ($I$7+$I$8)), H191+F192, 0)</f>
        <v>166074.60046818195</v>
      </c>
      <c r="I192" s="24">
        <f>IF(AND(C192&gt;='Amort. Sched.-WORST'!$I$8, C192&lt;= ($I$7+$I$8)), E192/D192, " ")</f>
        <v>0.54947653928921059</v>
      </c>
      <c r="J192" s="25">
        <f>IF(AND(C192&gt;='Amort. Sched.-WORST'!$I$8, C192&lt;= ($I$7+$I$8)), F192/D192, " ")</f>
        <v>0.45052346071078953</v>
      </c>
      <c r="L192" s="20">
        <f t="shared" si="34"/>
        <v>181</v>
      </c>
      <c r="M192" s="5">
        <f>IF(AND(L192&gt;='Amort. Sched.-WORST'!$R$8, L192&lt;= ($R$7+$R$8)), PMT('Amort. Sched.-WORST'!$N$8/12, 'Amort. Sched.-WORST'!$R$7, 'Amort. Sched.-WORST'!$N$7), 0)</f>
        <v>0</v>
      </c>
      <c r="N192" s="5">
        <f>IF(AND(L192&gt;='Amort. Sched.-WORST'!$R$8, L192&lt;= ($R$7+$R$8)), (IPMT($N$8/12, (L192-$R$8), $R$7, $N$7)), 0)</f>
        <v>0</v>
      </c>
      <c r="O192" s="5">
        <f>IF(AND(L192&gt;='Amort. Sched.-WORST'!$R$8, L192&lt;= ($R$7+$R$8)), (PPMT($N$8/12, (L192-$R$8), $R$7, $N$7)), 0)</f>
        <v>0</v>
      </c>
      <c r="P192" s="5">
        <f>IF(CreditAmort1WORST[[#This Row],[Month]]=R$8,N$7,0)</f>
        <v>0</v>
      </c>
      <c r="Q192" s="13">
        <f>IF(AND(L192&gt;='Amort. Sched.-WORST'!$R$8, L192&lt;= ($R$7+$R$8)), Q191+O192, 0)</f>
        <v>0</v>
      </c>
      <c r="R192" s="6" t="str">
        <f>IF(AND(L192&gt;='Amort. Sched.-WORST'!$R$8, L192&lt;= ($R$7+$R$8)), N192/M192, " ")</f>
        <v xml:space="preserve"> </v>
      </c>
      <c r="S192" s="21" t="str">
        <f>IF(AND(L192&gt;='Amort. Sched.-WORST'!$R$8, L192&lt;= ($R$7+$R$8)), O192/M192, " ")</f>
        <v xml:space="preserve"> </v>
      </c>
      <c r="U192" s="22">
        <f t="shared" si="36"/>
        <v>181</v>
      </c>
      <c r="V192" s="23">
        <f>IF(AND(U192&gt;='Amort. Sched.-WORST'!$AA$8, U192&lt;= ($AA$7+$AA$8)), PMT('Amort. Sched.-WORST'!$W$8/12, 'Amort. Sched.-WORST'!$AA$7, 'Amort. Sched.-WORST'!$W$7), 0)</f>
        <v>0</v>
      </c>
      <c r="W192" s="5">
        <f>IF(AND(U192&gt;='Amort. Sched.-WORST'!$AA$8, U192&lt;= ($AA$7+$AA$8)), (IPMT($W$8/12, (U192-$AA$8), $AA$7, $W$7)), 0)</f>
        <v>0</v>
      </c>
      <c r="X192" s="23">
        <f>IF(AND(U192&gt;='Amort. Sched.-WORST'!$AA$8, U192&lt;= ($AA$7+$AA$8)), (PPMT($W$8/12, (U192-$AA$8), $AA$7, $W$7)), 0)</f>
        <v>0</v>
      </c>
      <c r="Y192" s="5">
        <f>IF(CreditAmort2WORST[[#This Row],[Month]]=AA$8,W$7,0)</f>
        <v>0</v>
      </c>
      <c r="Z192" s="13">
        <f>IF(AND(U192&gt;='Amort. Sched.-WORST'!$AA$8, U192&lt;= ($AA$7+$AA$8)), Z191+X192, 0)</f>
        <v>0</v>
      </c>
      <c r="AA192" s="24" t="str">
        <f>IF(AND(U192&gt;='Amort. Sched.-WORST'!$AA$8, U192&lt;= ($AA$7+$AA$8)), W192/V192, " ")</f>
        <v xml:space="preserve"> </v>
      </c>
      <c r="AB192" s="25" t="str">
        <f>IF(AND(U192&gt;='Amort. Sched.-WORST'!$AA$8, U192&lt;= ($AA$7+$AA$8)), X192/V192, " ")</f>
        <v xml:space="preserve"> </v>
      </c>
      <c r="AD192" s="20">
        <f t="shared" si="37"/>
        <v>181</v>
      </c>
      <c r="AE192" s="5">
        <f t="shared" si="38"/>
        <v>0</v>
      </c>
      <c r="AF192" s="5">
        <f t="shared" si="39"/>
        <v>0</v>
      </c>
      <c r="AG192" s="5">
        <f t="shared" si="40"/>
        <v>0</v>
      </c>
      <c r="AH192" s="5">
        <f>IF(CreditAmort3WORST[[#This Row],[Month]]=AJ$8,AF$7,0)</f>
        <v>0</v>
      </c>
      <c r="AI192" s="13">
        <f t="shared" si="41"/>
        <v>0</v>
      </c>
      <c r="AJ192" s="6" t="str">
        <f t="shared" si="42"/>
        <v xml:space="preserve"> </v>
      </c>
      <c r="AK192" s="21" t="str">
        <f t="shared" si="43"/>
        <v xml:space="preserve"> </v>
      </c>
      <c r="AM192" s="20">
        <f t="shared" si="44"/>
        <v>181</v>
      </c>
      <c r="AN192" s="5">
        <f t="shared" si="45"/>
        <v>0</v>
      </c>
      <c r="AO192" s="5">
        <f t="shared" si="46"/>
        <v>0</v>
      </c>
      <c r="AP192" s="5">
        <f t="shared" si="47"/>
        <v>0</v>
      </c>
      <c r="AQ192" s="5">
        <f>IF(CreditAmort4WORST[[#This Row],[Month]]=AS$8,AO$7,0)</f>
        <v>0</v>
      </c>
      <c r="AR192" s="13">
        <f t="shared" si="48"/>
        <v>0</v>
      </c>
      <c r="AS192" s="6" t="str">
        <f t="shared" si="49"/>
        <v xml:space="preserve"> </v>
      </c>
      <c r="AT192" s="21" t="str">
        <f t="shared" si="50"/>
        <v xml:space="preserve"> </v>
      </c>
    </row>
    <row r="193" spans="3:46">
      <c r="C193" s="22">
        <f t="shared" si="35"/>
        <v>182</v>
      </c>
      <c r="D193" s="23">
        <f>IF(AND(C193&gt;='Amort. Sched.-WORST'!$I$8, C193&lt;= ($I$7+$I$8)), PMT('Amort. Sched.-WORST'!$E$8/12, 'Amort. Sched.-WORST'!$I$7, 'Amort. Sched.-WORST'!$E$7), 0)</f>
        <v>-2026.0175758541329</v>
      </c>
      <c r="E193" s="5">
        <f>IF(AND(C193&gt;='Amort. Sched.-WORST'!$I$8, C193&lt;= ($I$7+$I$8)), (IPMT($E$8/12, (C193-$I$8), $I$7, $E$7)), 0)</f>
        <v>-1107.1640031212132</v>
      </c>
      <c r="F193" s="23">
        <f>IF(AND(C193&gt;='Amort. Sched.-WORST'!$I$8, C193&lt;= ($I$7+$I$8)), (PPMT($E$8/12, (C193-$I$8), $I$7, $E$7)), 0)</f>
        <v>-918.85357273291982</v>
      </c>
      <c r="G193" s="5">
        <f>IF(MortgageAmortWORST[[#This Row],[Month]]=I$8,E$7,0)</f>
        <v>0</v>
      </c>
      <c r="H193" s="13">
        <f>IF(AND(C193&gt;='Amort. Sched.-WORST'!$I$8, C193&lt;= ($I$7+$I$8)), H192+F193, 0)</f>
        <v>165155.74689544903</v>
      </c>
      <c r="I193" s="24">
        <f>IF(AND(C193&gt;='Amort. Sched.-WORST'!$I$8, C193&lt;= ($I$7+$I$8)), E193/D193, " ")</f>
        <v>0.54647304955113862</v>
      </c>
      <c r="J193" s="25">
        <f>IF(AND(C193&gt;='Amort. Sched.-WORST'!$I$8, C193&lt;= ($I$7+$I$8)), F193/D193, " ")</f>
        <v>0.45352695044886149</v>
      </c>
      <c r="L193" s="20">
        <f t="shared" si="34"/>
        <v>182</v>
      </c>
      <c r="M193" s="5">
        <f>IF(AND(L193&gt;='Amort. Sched.-WORST'!$R$8, L193&lt;= ($R$7+$R$8)), PMT('Amort. Sched.-WORST'!$N$8/12, 'Amort. Sched.-WORST'!$R$7, 'Amort. Sched.-WORST'!$N$7), 0)</f>
        <v>0</v>
      </c>
      <c r="N193" s="5">
        <f>IF(AND(L193&gt;='Amort. Sched.-WORST'!$R$8, L193&lt;= ($R$7+$R$8)), (IPMT($N$8/12, (L193-$R$8), $R$7, $N$7)), 0)</f>
        <v>0</v>
      </c>
      <c r="O193" s="5">
        <f>IF(AND(L193&gt;='Amort. Sched.-WORST'!$R$8, L193&lt;= ($R$7+$R$8)), (PPMT($N$8/12, (L193-$R$8), $R$7, $N$7)), 0)</f>
        <v>0</v>
      </c>
      <c r="P193" s="5">
        <f>IF(CreditAmort1WORST[[#This Row],[Month]]=R$8,N$7,0)</f>
        <v>0</v>
      </c>
      <c r="Q193" s="13">
        <f>IF(AND(L193&gt;='Amort. Sched.-WORST'!$R$8, L193&lt;= ($R$7+$R$8)), Q192+O193, 0)</f>
        <v>0</v>
      </c>
      <c r="R193" s="6" t="str">
        <f>IF(AND(L193&gt;='Amort. Sched.-WORST'!$R$8, L193&lt;= ($R$7+$R$8)), N193/M193, " ")</f>
        <v xml:space="preserve"> </v>
      </c>
      <c r="S193" s="21" t="str">
        <f>IF(AND(L193&gt;='Amort. Sched.-WORST'!$R$8, L193&lt;= ($R$7+$R$8)), O193/M193, " ")</f>
        <v xml:space="preserve"> </v>
      </c>
      <c r="U193" s="22">
        <f t="shared" si="36"/>
        <v>182</v>
      </c>
      <c r="V193" s="23">
        <f>IF(AND(U193&gt;='Amort. Sched.-WORST'!$AA$8, U193&lt;= ($AA$7+$AA$8)), PMT('Amort. Sched.-WORST'!$W$8/12, 'Amort. Sched.-WORST'!$AA$7, 'Amort. Sched.-WORST'!$W$7), 0)</f>
        <v>0</v>
      </c>
      <c r="W193" s="5">
        <f>IF(AND(U193&gt;='Amort. Sched.-WORST'!$AA$8, U193&lt;= ($AA$7+$AA$8)), (IPMT($W$8/12, (U193-$AA$8), $AA$7, $W$7)), 0)</f>
        <v>0</v>
      </c>
      <c r="X193" s="23">
        <f>IF(AND(U193&gt;='Amort. Sched.-WORST'!$AA$8, U193&lt;= ($AA$7+$AA$8)), (PPMT($W$8/12, (U193-$AA$8), $AA$7, $W$7)), 0)</f>
        <v>0</v>
      </c>
      <c r="Y193" s="5">
        <f>IF(CreditAmort2WORST[[#This Row],[Month]]=AA$8,W$7,0)</f>
        <v>0</v>
      </c>
      <c r="Z193" s="13">
        <f>IF(AND(U193&gt;='Amort. Sched.-WORST'!$AA$8, U193&lt;= ($AA$7+$AA$8)), Z192+X193, 0)</f>
        <v>0</v>
      </c>
      <c r="AA193" s="24" t="str">
        <f>IF(AND(U193&gt;='Amort. Sched.-WORST'!$AA$8, U193&lt;= ($AA$7+$AA$8)), W193/V193, " ")</f>
        <v xml:space="preserve"> </v>
      </c>
      <c r="AB193" s="25" t="str">
        <f>IF(AND(U193&gt;='Amort. Sched.-WORST'!$AA$8, U193&lt;= ($AA$7+$AA$8)), X193/V193, " ")</f>
        <v xml:space="preserve"> </v>
      </c>
      <c r="AD193" s="20">
        <f t="shared" si="37"/>
        <v>182</v>
      </c>
      <c r="AE193" s="5">
        <f t="shared" si="38"/>
        <v>0</v>
      </c>
      <c r="AF193" s="5">
        <f t="shared" si="39"/>
        <v>0</v>
      </c>
      <c r="AG193" s="5">
        <f t="shared" si="40"/>
        <v>0</v>
      </c>
      <c r="AH193" s="5">
        <f>IF(CreditAmort3WORST[[#This Row],[Month]]=AJ$8,AF$7,0)</f>
        <v>0</v>
      </c>
      <c r="AI193" s="13">
        <f t="shared" si="41"/>
        <v>0</v>
      </c>
      <c r="AJ193" s="6" t="str">
        <f t="shared" si="42"/>
        <v xml:space="preserve"> </v>
      </c>
      <c r="AK193" s="21" t="str">
        <f t="shared" si="43"/>
        <v xml:space="preserve"> </v>
      </c>
      <c r="AM193" s="20">
        <f t="shared" si="44"/>
        <v>182</v>
      </c>
      <c r="AN193" s="5">
        <f t="shared" si="45"/>
        <v>0</v>
      </c>
      <c r="AO193" s="5">
        <f t="shared" si="46"/>
        <v>0</v>
      </c>
      <c r="AP193" s="5">
        <f t="shared" si="47"/>
        <v>0</v>
      </c>
      <c r="AQ193" s="5">
        <f>IF(CreditAmort4WORST[[#This Row],[Month]]=AS$8,AO$7,0)</f>
        <v>0</v>
      </c>
      <c r="AR193" s="13">
        <f t="shared" si="48"/>
        <v>0</v>
      </c>
      <c r="AS193" s="6" t="str">
        <f t="shared" si="49"/>
        <v xml:space="preserve"> </v>
      </c>
      <c r="AT193" s="21" t="str">
        <f t="shared" si="50"/>
        <v xml:space="preserve"> </v>
      </c>
    </row>
    <row r="194" spans="3:46">
      <c r="C194" s="22">
        <f t="shared" si="35"/>
        <v>183</v>
      </c>
      <c r="D194" s="23">
        <f>IF(AND(C194&gt;='Amort. Sched.-WORST'!$I$8, C194&lt;= ($I$7+$I$8)), PMT('Amort. Sched.-WORST'!$E$8/12, 'Amort. Sched.-WORST'!$I$7, 'Amort. Sched.-WORST'!$E$7), 0)</f>
        <v>-2026.0175758541329</v>
      </c>
      <c r="E194" s="5">
        <f>IF(AND(C194&gt;='Amort. Sched.-WORST'!$I$8, C194&lt;= ($I$7+$I$8)), (IPMT($E$8/12, (C194-$I$8), $I$7, $E$7)), 0)</f>
        <v>-1101.038312636327</v>
      </c>
      <c r="F194" s="23">
        <f>IF(AND(C194&gt;='Amort. Sched.-WORST'!$I$8, C194&lt;= ($I$7+$I$8)), (PPMT($E$8/12, (C194-$I$8), $I$7, $E$7)), 0)</f>
        <v>-924.97926321780608</v>
      </c>
      <c r="G194" s="5">
        <f>IF(MortgageAmortWORST[[#This Row],[Month]]=I$8,E$7,0)</f>
        <v>0</v>
      </c>
      <c r="H194" s="13">
        <f>IF(AND(C194&gt;='Amort. Sched.-WORST'!$I$8, C194&lt;= ($I$7+$I$8)), H193+F194, 0)</f>
        <v>164230.76763223123</v>
      </c>
      <c r="I194" s="24">
        <f>IF(AND(C194&gt;='Amort. Sched.-WORST'!$I$8, C194&lt;= ($I$7+$I$8)), E194/D194, " ")</f>
        <v>0.54344953654814609</v>
      </c>
      <c r="J194" s="25">
        <f>IF(AND(C194&gt;='Amort. Sched.-WORST'!$I$8, C194&lt;= ($I$7+$I$8)), F194/D194, " ")</f>
        <v>0.45655046345185396</v>
      </c>
      <c r="L194" s="20">
        <f t="shared" si="34"/>
        <v>183</v>
      </c>
      <c r="M194" s="5">
        <f>IF(AND(L194&gt;='Amort. Sched.-WORST'!$R$8, L194&lt;= ($R$7+$R$8)), PMT('Amort. Sched.-WORST'!$N$8/12, 'Amort. Sched.-WORST'!$R$7, 'Amort. Sched.-WORST'!$N$7), 0)</f>
        <v>0</v>
      </c>
      <c r="N194" s="5">
        <f>IF(AND(L194&gt;='Amort. Sched.-WORST'!$R$8, L194&lt;= ($R$7+$R$8)), (IPMT($N$8/12, (L194-$R$8), $R$7, $N$7)), 0)</f>
        <v>0</v>
      </c>
      <c r="O194" s="5">
        <f>IF(AND(L194&gt;='Amort. Sched.-WORST'!$R$8, L194&lt;= ($R$7+$R$8)), (PPMT($N$8/12, (L194-$R$8), $R$7, $N$7)), 0)</f>
        <v>0</v>
      </c>
      <c r="P194" s="5">
        <f>IF(CreditAmort1WORST[[#This Row],[Month]]=R$8,N$7,0)</f>
        <v>0</v>
      </c>
      <c r="Q194" s="13">
        <f>IF(AND(L194&gt;='Amort. Sched.-WORST'!$R$8, L194&lt;= ($R$7+$R$8)), Q193+O194, 0)</f>
        <v>0</v>
      </c>
      <c r="R194" s="6" t="str">
        <f>IF(AND(L194&gt;='Amort. Sched.-WORST'!$R$8, L194&lt;= ($R$7+$R$8)), N194/M194, " ")</f>
        <v xml:space="preserve"> </v>
      </c>
      <c r="S194" s="21" t="str">
        <f>IF(AND(L194&gt;='Amort. Sched.-WORST'!$R$8, L194&lt;= ($R$7+$R$8)), O194/M194, " ")</f>
        <v xml:space="preserve"> </v>
      </c>
      <c r="U194" s="22">
        <f t="shared" si="36"/>
        <v>183</v>
      </c>
      <c r="V194" s="23">
        <f>IF(AND(U194&gt;='Amort. Sched.-WORST'!$AA$8, U194&lt;= ($AA$7+$AA$8)), PMT('Amort. Sched.-WORST'!$W$8/12, 'Amort. Sched.-WORST'!$AA$7, 'Amort. Sched.-WORST'!$W$7), 0)</f>
        <v>0</v>
      </c>
      <c r="W194" s="5">
        <f>IF(AND(U194&gt;='Amort. Sched.-WORST'!$AA$8, U194&lt;= ($AA$7+$AA$8)), (IPMT($W$8/12, (U194-$AA$8), $AA$7, $W$7)), 0)</f>
        <v>0</v>
      </c>
      <c r="X194" s="23">
        <f>IF(AND(U194&gt;='Amort. Sched.-WORST'!$AA$8, U194&lt;= ($AA$7+$AA$8)), (PPMT($W$8/12, (U194-$AA$8), $AA$7, $W$7)), 0)</f>
        <v>0</v>
      </c>
      <c r="Y194" s="5">
        <f>IF(CreditAmort2WORST[[#This Row],[Month]]=AA$8,W$7,0)</f>
        <v>0</v>
      </c>
      <c r="Z194" s="13">
        <f>IF(AND(U194&gt;='Amort. Sched.-WORST'!$AA$8, U194&lt;= ($AA$7+$AA$8)), Z193+X194, 0)</f>
        <v>0</v>
      </c>
      <c r="AA194" s="24" t="str">
        <f>IF(AND(U194&gt;='Amort. Sched.-WORST'!$AA$8, U194&lt;= ($AA$7+$AA$8)), W194/V194, " ")</f>
        <v xml:space="preserve"> </v>
      </c>
      <c r="AB194" s="25" t="str">
        <f>IF(AND(U194&gt;='Amort. Sched.-WORST'!$AA$8, U194&lt;= ($AA$7+$AA$8)), X194/V194, " ")</f>
        <v xml:space="preserve"> </v>
      </c>
      <c r="AD194" s="20">
        <f t="shared" si="37"/>
        <v>183</v>
      </c>
      <c r="AE194" s="5">
        <f t="shared" si="38"/>
        <v>0</v>
      </c>
      <c r="AF194" s="5">
        <f t="shared" si="39"/>
        <v>0</v>
      </c>
      <c r="AG194" s="5">
        <f t="shared" si="40"/>
        <v>0</v>
      </c>
      <c r="AH194" s="5">
        <f>IF(CreditAmort3WORST[[#This Row],[Month]]=AJ$8,AF$7,0)</f>
        <v>0</v>
      </c>
      <c r="AI194" s="13">
        <f t="shared" si="41"/>
        <v>0</v>
      </c>
      <c r="AJ194" s="6" t="str">
        <f t="shared" si="42"/>
        <v xml:space="preserve"> </v>
      </c>
      <c r="AK194" s="21" t="str">
        <f t="shared" si="43"/>
        <v xml:space="preserve"> </v>
      </c>
      <c r="AM194" s="20">
        <f t="shared" si="44"/>
        <v>183</v>
      </c>
      <c r="AN194" s="5">
        <f t="shared" si="45"/>
        <v>0</v>
      </c>
      <c r="AO194" s="5">
        <f t="shared" si="46"/>
        <v>0</v>
      </c>
      <c r="AP194" s="5">
        <f t="shared" si="47"/>
        <v>0</v>
      </c>
      <c r="AQ194" s="5">
        <f>IF(CreditAmort4WORST[[#This Row],[Month]]=AS$8,AO$7,0)</f>
        <v>0</v>
      </c>
      <c r="AR194" s="13">
        <f t="shared" si="48"/>
        <v>0</v>
      </c>
      <c r="AS194" s="6" t="str">
        <f t="shared" si="49"/>
        <v xml:space="preserve"> </v>
      </c>
      <c r="AT194" s="21" t="str">
        <f t="shared" si="50"/>
        <v xml:space="preserve"> </v>
      </c>
    </row>
    <row r="195" spans="3:46">
      <c r="C195" s="22">
        <f t="shared" si="35"/>
        <v>184</v>
      </c>
      <c r="D195" s="23">
        <f>IF(AND(C195&gt;='Amort. Sched.-WORST'!$I$8, C195&lt;= ($I$7+$I$8)), PMT('Amort. Sched.-WORST'!$E$8/12, 'Amort. Sched.-WORST'!$I$7, 'Amort. Sched.-WORST'!$E$7), 0)</f>
        <v>-2026.0175758541329</v>
      </c>
      <c r="E195" s="5">
        <f>IF(AND(C195&gt;='Amort. Sched.-WORST'!$I$8, C195&lt;= ($I$7+$I$8)), (IPMT($E$8/12, (C195-$I$8), $I$7, $E$7)), 0)</f>
        <v>-1094.8717842148749</v>
      </c>
      <c r="F195" s="23">
        <f>IF(AND(C195&gt;='Amort. Sched.-WORST'!$I$8, C195&lt;= ($I$7+$I$8)), (PPMT($E$8/12, (C195-$I$8), $I$7, $E$7)), 0)</f>
        <v>-931.14579163925805</v>
      </c>
      <c r="G195" s="5">
        <f>IF(MortgageAmortWORST[[#This Row],[Month]]=I$8,E$7,0)</f>
        <v>0</v>
      </c>
      <c r="H195" s="13">
        <f>IF(AND(C195&gt;='Amort. Sched.-WORST'!$I$8, C195&lt;= ($I$7+$I$8)), H194+F195, 0)</f>
        <v>163299.62184059198</v>
      </c>
      <c r="I195" s="24">
        <f>IF(AND(C195&gt;='Amort. Sched.-WORST'!$I$8, C195&lt;= ($I$7+$I$8)), E195/D195, " ")</f>
        <v>0.54040586679180036</v>
      </c>
      <c r="J195" s="25">
        <f>IF(AND(C195&gt;='Amort. Sched.-WORST'!$I$8, C195&lt;= ($I$7+$I$8)), F195/D195, " ")</f>
        <v>0.45959413320819964</v>
      </c>
      <c r="L195" s="20">
        <f t="shared" si="34"/>
        <v>184</v>
      </c>
      <c r="M195" s="5">
        <f>IF(AND(L195&gt;='Amort. Sched.-WORST'!$R$8, L195&lt;= ($R$7+$R$8)), PMT('Amort. Sched.-WORST'!$N$8/12, 'Amort. Sched.-WORST'!$R$7, 'Amort. Sched.-WORST'!$N$7), 0)</f>
        <v>0</v>
      </c>
      <c r="N195" s="5">
        <f>IF(AND(L195&gt;='Amort. Sched.-WORST'!$R$8, L195&lt;= ($R$7+$R$8)), (IPMT($N$8/12, (L195-$R$8), $R$7, $N$7)), 0)</f>
        <v>0</v>
      </c>
      <c r="O195" s="5">
        <f>IF(AND(L195&gt;='Amort. Sched.-WORST'!$R$8, L195&lt;= ($R$7+$R$8)), (PPMT($N$8/12, (L195-$R$8), $R$7, $N$7)), 0)</f>
        <v>0</v>
      </c>
      <c r="P195" s="5">
        <f>IF(CreditAmort1WORST[[#This Row],[Month]]=R$8,N$7,0)</f>
        <v>0</v>
      </c>
      <c r="Q195" s="13">
        <f>IF(AND(L195&gt;='Amort. Sched.-WORST'!$R$8, L195&lt;= ($R$7+$R$8)), Q194+O195, 0)</f>
        <v>0</v>
      </c>
      <c r="R195" s="6" t="str">
        <f>IF(AND(L195&gt;='Amort. Sched.-WORST'!$R$8, L195&lt;= ($R$7+$R$8)), N195/M195, " ")</f>
        <v xml:space="preserve"> </v>
      </c>
      <c r="S195" s="21" t="str">
        <f>IF(AND(L195&gt;='Amort. Sched.-WORST'!$R$8, L195&lt;= ($R$7+$R$8)), O195/M195, " ")</f>
        <v xml:space="preserve"> </v>
      </c>
      <c r="U195" s="22">
        <f t="shared" si="36"/>
        <v>184</v>
      </c>
      <c r="V195" s="23">
        <f>IF(AND(U195&gt;='Amort. Sched.-WORST'!$AA$8, U195&lt;= ($AA$7+$AA$8)), PMT('Amort. Sched.-WORST'!$W$8/12, 'Amort. Sched.-WORST'!$AA$7, 'Amort. Sched.-WORST'!$W$7), 0)</f>
        <v>0</v>
      </c>
      <c r="W195" s="5">
        <f>IF(AND(U195&gt;='Amort. Sched.-WORST'!$AA$8, U195&lt;= ($AA$7+$AA$8)), (IPMT($W$8/12, (U195-$AA$8), $AA$7, $W$7)), 0)</f>
        <v>0</v>
      </c>
      <c r="X195" s="23">
        <f>IF(AND(U195&gt;='Amort. Sched.-WORST'!$AA$8, U195&lt;= ($AA$7+$AA$8)), (PPMT($W$8/12, (U195-$AA$8), $AA$7, $W$7)), 0)</f>
        <v>0</v>
      </c>
      <c r="Y195" s="5">
        <f>IF(CreditAmort2WORST[[#This Row],[Month]]=AA$8,W$7,0)</f>
        <v>0</v>
      </c>
      <c r="Z195" s="13">
        <f>IF(AND(U195&gt;='Amort. Sched.-WORST'!$AA$8, U195&lt;= ($AA$7+$AA$8)), Z194+X195, 0)</f>
        <v>0</v>
      </c>
      <c r="AA195" s="24" t="str">
        <f>IF(AND(U195&gt;='Amort. Sched.-WORST'!$AA$8, U195&lt;= ($AA$7+$AA$8)), W195/V195, " ")</f>
        <v xml:space="preserve"> </v>
      </c>
      <c r="AB195" s="25" t="str">
        <f>IF(AND(U195&gt;='Amort. Sched.-WORST'!$AA$8, U195&lt;= ($AA$7+$AA$8)), X195/V195, " ")</f>
        <v xml:space="preserve"> </v>
      </c>
      <c r="AD195" s="20">
        <f t="shared" si="37"/>
        <v>184</v>
      </c>
      <c r="AE195" s="5">
        <f t="shared" si="38"/>
        <v>0</v>
      </c>
      <c r="AF195" s="5">
        <f t="shared" si="39"/>
        <v>0</v>
      </c>
      <c r="AG195" s="5">
        <f t="shared" si="40"/>
        <v>0</v>
      </c>
      <c r="AH195" s="5">
        <f>IF(CreditAmort3WORST[[#This Row],[Month]]=AJ$8,AF$7,0)</f>
        <v>0</v>
      </c>
      <c r="AI195" s="13">
        <f t="shared" si="41"/>
        <v>0</v>
      </c>
      <c r="AJ195" s="6" t="str">
        <f t="shared" si="42"/>
        <v xml:space="preserve"> </v>
      </c>
      <c r="AK195" s="21" t="str">
        <f t="shared" si="43"/>
        <v xml:space="preserve"> </v>
      </c>
      <c r="AM195" s="20">
        <f t="shared" si="44"/>
        <v>184</v>
      </c>
      <c r="AN195" s="5">
        <f t="shared" si="45"/>
        <v>0</v>
      </c>
      <c r="AO195" s="5">
        <f t="shared" si="46"/>
        <v>0</v>
      </c>
      <c r="AP195" s="5">
        <f t="shared" si="47"/>
        <v>0</v>
      </c>
      <c r="AQ195" s="5">
        <f>IF(CreditAmort4WORST[[#This Row],[Month]]=AS$8,AO$7,0)</f>
        <v>0</v>
      </c>
      <c r="AR195" s="13">
        <f t="shared" si="48"/>
        <v>0</v>
      </c>
      <c r="AS195" s="6" t="str">
        <f t="shared" si="49"/>
        <v xml:space="preserve"> </v>
      </c>
      <c r="AT195" s="21" t="str">
        <f t="shared" si="50"/>
        <v xml:space="preserve"> </v>
      </c>
    </row>
    <row r="196" spans="3:46">
      <c r="C196" s="22">
        <f t="shared" si="35"/>
        <v>185</v>
      </c>
      <c r="D196" s="23">
        <f>IF(AND(C196&gt;='Amort. Sched.-WORST'!$I$8, C196&lt;= ($I$7+$I$8)), PMT('Amort. Sched.-WORST'!$E$8/12, 'Amort. Sched.-WORST'!$I$7, 'Amort. Sched.-WORST'!$E$7), 0)</f>
        <v>-2026.0175758541329</v>
      </c>
      <c r="E196" s="5">
        <f>IF(AND(C196&gt;='Amort. Sched.-WORST'!$I$8, C196&lt;= ($I$7+$I$8)), (IPMT($E$8/12, (C196-$I$8), $I$7, $E$7)), 0)</f>
        <v>-1088.6641456039465</v>
      </c>
      <c r="F196" s="23">
        <f>IF(AND(C196&gt;='Amort. Sched.-WORST'!$I$8, C196&lt;= ($I$7+$I$8)), (PPMT($E$8/12, (C196-$I$8), $I$7, $E$7)), 0)</f>
        <v>-937.35343025018642</v>
      </c>
      <c r="G196" s="5">
        <f>IF(MortgageAmortWORST[[#This Row],[Month]]=I$8,E$7,0)</f>
        <v>0</v>
      </c>
      <c r="H196" s="13">
        <f>IF(AND(C196&gt;='Amort. Sched.-WORST'!$I$8, C196&lt;= ($I$7+$I$8)), H195+F196, 0)</f>
        <v>162362.26841034179</v>
      </c>
      <c r="I196" s="24">
        <f>IF(AND(C196&gt;='Amort. Sched.-WORST'!$I$8, C196&lt;= ($I$7+$I$8)), E196/D196, " ")</f>
        <v>0.53734190590374575</v>
      </c>
      <c r="J196" s="25">
        <f>IF(AND(C196&gt;='Amort. Sched.-WORST'!$I$8, C196&lt;= ($I$7+$I$8)), F196/D196, " ")</f>
        <v>0.4626580940962543</v>
      </c>
      <c r="L196" s="20">
        <f t="shared" si="34"/>
        <v>185</v>
      </c>
      <c r="M196" s="5">
        <f>IF(AND(L196&gt;='Amort. Sched.-WORST'!$R$8, L196&lt;= ($R$7+$R$8)), PMT('Amort. Sched.-WORST'!$N$8/12, 'Amort. Sched.-WORST'!$R$7, 'Amort. Sched.-WORST'!$N$7), 0)</f>
        <v>0</v>
      </c>
      <c r="N196" s="5">
        <f>IF(AND(L196&gt;='Amort. Sched.-WORST'!$R$8, L196&lt;= ($R$7+$R$8)), (IPMT($N$8/12, (L196-$R$8), $R$7, $N$7)), 0)</f>
        <v>0</v>
      </c>
      <c r="O196" s="5">
        <f>IF(AND(L196&gt;='Amort. Sched.-WORST'!$R$8, L196&lt;= ($R$7+$R$8)), (PPMT($N$8/12, (L196-$R$8), $R$7, $N$7)), 0)</f>
        <v>0</v>
      </c>
      <c r="P196" s="5">
        <f>IF(CreditAmort1WORST[[#This Row],[Month]]=R$8,N$7,0)</f>
        <v>0</v>
      </c>
      <c r="Q196" s="13">
        <f>IF(AND(L196&gt;='Amort. Sched.-WORST'!$R$8, L196&lt;= ($R$7+$R$8)), Q195+O196, 0)</f>
        <v>0</v>
      </c>
      <c r="R196" s="6" t="str">
        <f>IF(AND(L196&gt;='Amort. Sched.-WORST'!$R$8, L196&lt;= ($R$7+$R$8)), N196/M196, " ")</f>
        <v xml:space="preserve"> </v>
      </c>
      <c r="S196" s="21" t="str">
        <f>IF(AND(L196&gt;='Amort. Sched.-WORST'!$R$8, L196&lt;= ($R$7+$R$8)), O196/M196, " ")</f>
        <v xml:space="preserve"> </v>
      </c>
      <c r="U196" s="22">
        <f t="shared" si="36"/>
        <v>185</v>
      </c>
      <c r="V196" s="23">
        <f>IF(AND(U196&gt;='Amort. Sched.-WORST'!$AA$8, U196&lt;= ($AA$7+$AA$8)), PMT('Amort. Sched.-WORST'!$W$8/12, 'Amort. Sched.-WORST'!$AA$7, 'Amort. Sched.-WORST'!$W$7), 0)</f>
        <v>0</v>
      </c>
      <c r="W196" s="5">
        <f>IF(AND(U196&gt;='Amort. Sched.-WORST'!$AA$8, U196&lt;= ($AA$7+$AA$8)), (IPMT($W$8/12, (U196-$AA$8), $AA$7, $W$7)), 0)</f>
        <v>0</v>
      </c>
      <c r="X196" s="23">
        <f>IF(AND(U196&gt;='Amort. Sched.-WORST'!$AA$8, U196&lt;= ($AA$7+$AA$8)), (PPMT($W$8/12, (U196-$AA$8), $AA$7, $W$7)), 0)</f>
        <v>0</v>
      </c>
      <c r="Y196" s="5">
        <f>IF(CreditAmort2WORST[[#This Row],[Month]]=AA$8,W$7,0)</f>
        <v>0</v>
      </c>
      <c r="Z196" s="13">
        <f>IF(AND(U196&gt;='Amort. Sched.-WORST'!$AA$8, U196&lt;= ($AA$7+$AA$8)), Z195+X196, 0)</f>
        <v>0</v>
      </c>
      <c r="AA196" s="24" t="str">
        <f>IF(AND(U196&gt;='Amort. Sched.-WORST'!$AA$8, U196&lt;= ($AA$7+$AA$8)), W196/V196, " ")</f>
        <v xml:space="preserve"> </v>
      </c>
      <c r="AB196" s="25" t="str">
        <f>IF(AND(U196&gt;='Amort. Sched.-WORST'!$AA$8, U196&lt;= ($AA$7+$AA$8)), X196/V196, " ")</f>
        <v xml:space="preserve"> </v>
      </c>
      <c r="AD196" s="20">
        <f t="shared" si="37"/>
        <v>185</v>
      </c>
      <c r="AE196" s="5">
        <f t="shared" si="38"/>
        <v>0</v>
      </c>
      <c r="AF196" s="5">
        <f t="shared" si="39"/>
        <v>0</v>
      </c>
      <c r="AG196" s="5">
        <f t="shared" si="40"/>
        <v>0</v>
      </c>
      <c r="AH196" s="5">
        <f>IF(CreditAmort3WORST[[#This Row],[Month]]=AJ$8,AF$7,0)</f>
        <v>0</v>
      </c>
      <c r="AI196" s="13">
        <f t="shared" si="41"/>
        <v>0</v>
      </c>
      <c r="AJ196" s="6" t="str">
        <f t="shared" si="42"/>
        <v xml:space="preserve"> </v>
      </c>
      <c r="AK196" s="21" t="str">
        <f t="shared" si="43"/>
        <v xml:space="preserve"> </v>
      </c>
      <c r="AM196" s="20">
        <f t="shared" si="44"/>
        <v>185</v>
      </c>
      <c r="AN196" s="5">
        <f t="shared" si="45"/>
        <v>0</v>
      </c>
      <c r="AO196" s="5">
        <f t="shared" si="46"/>
        <v>0</v>
      </c>
      <c r="AP196" s="5">
        <f t="shared" si="47"/>
        <v>0</v>
      </c>
      <c r="AQ196" s="5">
        <f>IF(CreditAmort4WORST[[#This Row],[Month]]=AS$8,AO$7,0)</f>
        <v>0</v>
      </c>
      <c r="AR196" s="13">
        <f t="shared" si="48"/>
        <v>0</v>
      </c>
      <c r="AS196" s="6" t="str">
        <f t="shared" si="49"/>
        <v xml:space="preserve"> </v>
      </c>
      <c r="AT196" s="21" t="str">
        <f t="shared" si="50"/>
        <v xml:space="preserve"> </v>
      </c>
    </row>
    <row r="197" spans="3:46">
      <c r="C197" s="22">
        <f t="shared" si="35"/>
        <v>186</v>
      </c>
      <c r="D197" s="23">
        <f>IF(AND(C197&gt;='Amort. Sched.-WORST'!$I$8, C197&lt;= ($I$7+$I$8)), PMT('Amort. Sched.-WORST'!$E$8/12, 'Amort. Sched.-WORST'!$I$7, 'Amort. Sched.-WORST'!$E$7), 0)</f>
        <v>-2026.0175758541329</v>
      </c>
      <c r="E197" s="5">
        <f>IF(AND(C197&gt;='Amort. Sched.-WORST'!$I$8, C197&lt;= ($I$7+$I$8)), (IPMT($E$8/12, (C197-$I$8), $I$7, $E$7)), 0)</f>
        <v>-1082.4151227356119</v>
      </c>
      <c r="F197" s="23">
        <f>IF(AND(C197&gt;='Amort. Sched.-WORST'!$I$8, C197&lt;= ($I$7+$I$8)), (PPMT($E$8/12, (C197-$I$8), $I$7, $E$7)), 0)</f>
        <v>-943.602453118521</v>
      </c>
      <c r="G197" s="5">
        <f>IF(MortgageAmortWORST[[#This Row],[Month]]=I$8,E$7,0)</f>
        <v>0</v>
      </c>
      <c r="H197" s="13">
        <f>IF(AND(C197&gt;='Amort. Sched.-WORST'!$I$8, C197&lt;= ($I$7+$I$8)), H196+F197, 0)</f>
        <v>161418.66595722327</v>
      </c>
      <c r="I197" s="24">
        <f>IF(AND(C197&gt;='Amort. Sched.-WORST'!$I$8, C197&lt;= ($I$7+$I$8)), E197/D197, " ")</f>
        <v>0.53425751860977067</v>
      </c>
      <c r="J197" s="25">
        <f>IF(AND(C197&gt;='Amort. Sched.-WORST'!$I$8, C197&lt;= ($I$7+$I$8)), F197/D197, " ")</f>
        <v>0.46574248139022928</v>
      </c>
      <c r="L197" s="20">
        <f t="shared" si="34"/>
        <v>186</v>
      </c>
      <c r="M197" s="5">
        <f>IF(AND(L197&gt;='Amort. Sched.-WORST'!$R$8, L197&lt;= ($R$7+$R$8)), PMT('Amort. Sched.-WORST'!$N$8/12, 'Amort. Sched.-WORST'!$R$7, 'Amort. Sched.-WORST'!$N$7), 0)</f>
        <v>0</v>
      </c>
      <c r="N197" s="5">
        <f>IF(AND(L197&gt;='Amort. Sched.-WORST'!$R$8, L197&lt;= ($R$7+$R$8)), (IPMT($N$8/12, (L197-$R$8), $R$7, $N$7)), 0)</f>
        <v>0</v>
      </c>
      <c r="O197" s="5">
        <f>IF(AND(L197&gt;='Amort. Sched.-WORST'!$R$8, L197&lt;= ($R$7+$R$8)), (PPMT($N$8/12, (L197-$R$8), $R$7, $N$7)), 0)</f>
        <v>0</v>
      </c>
      <c r="P197" s="5">
        <f>IF(CreditAmort1WORST[[#This Row],[Month]]=R$8,N$7,0)</f>
        <v>0</v>
      </c>
      <c r="Q197" s="13">
        <f>IF(AND(L197&gt;='Amort. Sched.-WORST'!$R$8, L197&lt;= ($R$7+$R$8)), Q196+O197, 0)</f>
        <v>0</v>
      </c>
      <c r="R197" s="6" t="str">
        <f>IF(AND(L197&gt;='Amort. Sched.-WORST'!$R$8, L197&lt;= ($R$7+$R$8)), N197/M197, " ")</f>
        <v xml:space="preserve"> </v>
      </c>
      <c r="S197" s="21" t="str">
        <f>IF(AND(L197&gt;='Amort. Sched.-WORST'!$R$8, L197&lt;= ($R$7+$R$8)), O197/M197, " ")</f>
        <v xml:space="preserve"> </v>
      </c>
      <c r="U197" s="22">
        <f t="shared" si="36"/>
        <v>186</v>
      </c>
      <c r="V197" s="23">
        <f>IF(AND(U197&gt;='Amort. Sched.-WORST'!$AA$8, U197&lt;= ($AA$7+$AA$8)), PMT('Amort. Sched.-WORST'!$W$8/12, 'Amort. Sched.-WORST'!$AA$7, 'Amort. Sched.-WORST'!$W$7), 0)</f>
        <v>0</v>
      </c>
      <c r="W197" s="5">
        <f>IF(AND(U197&gt;='Amort. Sched.-WORST'!$AA$8, U197&lt;= ($AA$7+$AA$8)), (IPMT($W$8/12, (U197-$AA$8), $AA$7, $W$7)), 0)</f>
        <v>0</v>
      </c>
      <c r="X197" s="23">
        <f>IF(AND(U197&gt;='Amort. Sched.-WORST'!$AA$8, U197&lt;= ($AA$7+$AA$8)), (PPMT($W$8/12, (U197-$AA$8), $AA$7, $W$7)), 0)</f>
        <v>0</v>
      </c>
      <c r="Y197" s="5">
        <f>IF(CreditAmort2WORST[[#This Row],[Month]]=AA$8,W$7,0)</f>
        <v>0</v>
      </c>
      <c r="Z197" s="13">
        <f>IF(AND(U197&gt;='Amort. Sched.-WORST'!$AA$8, U197&lt;= ($AA$7+$AA$8)), Z196+X197, 0)</f>
        <v>0</v>
      </c>
      <c r="AA197" s="24" t="str">
        <f>IF(AND(U197&gt;='Amort. Sched.-WORST'!$AA$8, U197&lt;= ($AA$7+$AA$8)), W197/V197, " ")</f>
        <v xml:space="preserve"> </v>
      </c>
      <c r="AB197" s="25" t="str">
        <f>IF(AND(U197&gt;='Amort. Sched.-WORST'!$AA$8, U197&lt;= ($AA$7+$AA$8)), X197/V197, " ")</f>
        <v xml:space="preserve"> </v>
      </c>
      <c r="AD197" s="20">
        <f t="shared" si="37"/>
        <v>186</v>
      </c>
      <c r="AE197" s="5">
        <f t="shared" si="38"/>
        <v>0</v>
      </c>
      <c r="AF197" s="5">
        <f t="shared" si="39"/>
        <v>0</v>
      </c>
      <c r="AG197" s="5">
        <f t="shared" si="40"/>
        <v>0</v>
      </c>
      <c r="AH197" s="5">
        <f>IF(CreditAmort3WORST[[#This Row],[Month]]=AJ$8,AF$7,0)</f>
        <v>0</v>
      </c>
      <c r="AI197" s="13">
        <f t="shared" si="41"/>
        <v>0</v>
      </c>
      <c r="AJ197" s="6" t="str">
        <f t="shared" si="42"/>
        <v xml:space="preserve"> </v>
      </c>
      <c r="AK197" s="21" t="str">
        <f t="shared" si="43"/>
        <v xml:space="preserve"> </v>
      </c>
      <c r="AM197" s="20">
        <f t="shared" si="44"/>
        <v>186</v>
      </c>
      <c r="AN197" s="5">
        <f t="shared" si="45"/>
        <v>0</v>
      </c>
      <c r="AO197" s="5">
        <f t="shared" si="46"/>
        <v>0</v>
      </c>
      <c r="AP197" s="5">
        <f t="shared" si="47"/>
        <v>0</v>
      </c>
      <c r="AQ197" s="5">
        <f>IF(CreditAmort4WORST[[#This Row],[Month]]=AS$8,AO$7,0)</f>
        <v>0</v>
      </c>
      <c r="AR197" s="13">
        <f t="shared" si="48"/>
        <v>0</v>
      </c>
      <c r="AS197" s="6" t="str">
        <f t="shared" si="49"/>
        <v xml:space="preserve"> </v>
      </c>
      <c r="AT197" s="21" t="str">
        <f t="shared" si="50"/>
        <v xml:space="preserve"> </v>
      </c>
    </row>
    <row r="198" spans="3:46">
      <c r="C198" s="22">
        <f t="shared" si="35"/>
        <v>187</v>
      </c>
      <c r="D198" s="23">
        <f>IF(AND(C198&gt;='Amort. Sched.-WORST'!$I$8, C198&lt;= ($I$7+$I$8)), PMT('Amort. Sched.-WORST'!$E$8/12, 'Amort. Sched.-WORST'!$I$7, 'Amort. Sched.-WORST'!$E$7), 0)</f>
        <v>-2026.0175758541329</v>
      </c>
      <c r="E198" s="5">
        <f>IF(AND(C198&gt;='Amort. Sched.-WORST'!$I$8, C198&lt;= ($I$7+$I$8)), (IPMT($E$8/12, (C198-$I$8), $I$7, $E$7)), 0)</f>
        <v>-1076.1244397148218</v>
      </c>
      <c r="F198" s="23">
        <f>IF(AND(C198&gt;='Amort. Sched.-WORST'!$I$8, C198&lt;= ($I$7+$I$8)), (PPMT($E$8/12, (C198-$I$8), $I$7, $E$7)), 0)</f>
        <v>-949.89313613931108</v>
      </c>
      <c r="G198" s="5">
        <f>IF(MortgageAmortWORST[[#This Row],[Month]]=I$8,E$7,0)</f>
        <v>0</v>
      </c>
      <c r="H198" s="13">
        <f>IF(AND(C198&gt;='Amort. Sched.-WORST'!$I$8, C198&lt;= ($I$7+$I$8)), H197+F198, 0)</f>
        <v>160468.77282108396</v>
      </c>
      <c r="I198" s="24">
        <f>IF(AND(C198&gt;='Amort. Sched.-WORST'!$I$8, C198&lt;= ($I$7+$I$8)), E198/D198, " ")</f>
        <v>0.53115256873383587</v>
      </c>
      <c r="J198" s="25">
        <f>IF(AND(C198&gt;='Amort. Sched.-WORST'!$I$8, C198&lt;= ($I$7+$I$8)), F198/D198, " ")</f>
        <v>0.46884743126616413</v>
      </c>
      <c r="L198" s="20">
        <f t="shared" si="34"/>
        <v>187</v>
      </c>
      <c r="M198" s="5">
        <f>IF(AND(L198&gt;='Amort. Sched.-WORST'!$R$8, L198&lt;= ($R$7+$R$8)), PMT('Amort. Sched.-WORST'!$N$8/12, 'Amort. Sched.-WORST'!$R$7, 'Amort. Sched.-WORST'!$N$7), 0)</f>
        <v>0</v>
      </c>
      <c r="N198" s="5">
        <f>IF(AND(L198&gt;='Amort. Sched.-WORST'!$R$8, L198&lt;= ($R$7+$R$8)), (IPMT($N$8/12, (L198-$R$8), $R$7, $N$7)), 0)</f>
        <v>0</v>
      </c>
      <c r="O198" s="5">
        <f>IF(AND(L198&gt;='Amort. Sched.-WORST'!$R$8, L198&lt;= ($R$7+$R$8)), (PPMT($N$8/12, (L198-$R$8), $R$7, $N$7)), 0)</f>
        <v>0</v>
      </c>
      <c r="P198" s="5">
        <f>IF(CreditAmort1WORST[[#This Row],[Month]]=R$8,N$7,0)</f>
        <v>0</v>
      </c>
      <c r="Q198" s="13">
        <f>IF(AND(L198&gt;='Amort. Sched.-WORST'!$R$8, L198&lt;= ($R$7+$R$8)), Q197+O198, 0)</f>
        <v>0</v>
      </c>
      <c r="R198" s="6" t="str">
        <f>IF(AND(L198&gt;='Amort. Sched.-WORST'!$R$8, L198&lt;= ($R$7+$R$8)), N198/M198, " ")</f>
        <v xml:space="preserve"> </v>
      </c>
      <c r="S198" s="21" t="str">
        <f>IF(AND(L198&gt;='Amort. Sched.-WORST'!$R$8, L198&lt;= ($R$7+$R$8)), O198/M198, " ")</f>
        <v xml:space="preserve"> </v>
      </c>
      <c r="U198" s="22">
        <f t="shared" si="36"/>
        <v>187</v>
      </c>
      <c r="V198" s="23">
        <f>IF(AND(U198&gt;='Amort. Sched.-WORST'!$AA$8, U198&lt;= ($AA$7+$AA$8)), PMT('Amort. Sched.-WORST'!$W$8/12, 'Amort. Sched.-WORST'!$AA$7, 'Amort. Sched.-WORST'!$W$7), 0)</f>
        <v>0</v>
      </c>
      <c r="W198" s="5">
        <f>IF(AND(U198&gt;='Amort. Sched.-WORST'!$AA$8, U198&lt;= ($AA$7+$AA$8)), (IPMT($W$8/12, (U198-$AA$8), $AA$7, $W$7)), 0)</f>
        <v>0</v>
      </c>
      <c r="X198" s="23">
        <f>IF(AND(U198&gt;='Amort. Sched.-WORST'!$AA$8, U198&lt;= ($AA$7+$AA$8)), (PPMT($W$8/12, (U198-$AA$8), $AA$7, $W$7)), 0)</f>
        <v>0</v>
      </c>
      <c r="Y198" s="5">
        <f>IF(CreditAmort2WORST[[#This Row],[Month]]=AA$8,W$7,0)</f>
        <v>0</v>
      </c>
      <c r="Z198" s="13">
        <f>IF(AND(U198&gt;='Amort. Sched.-WORST'!$AA$8, U198&lt;= ($AA$7+$AA$8)), Z197+X198, 0)</f>
        <v>0</v>
      </c>
      <c r="AA198" s="24" t="str">
        <f>IF(AND(U198&gt;='Amort. Sched.-WORST'!$AA$8, U198&lt;= ($AA$7+$AA$8)), W198/V198, " ")</f>
        <v xml:space="preserve"> </v>
      </c>
      <c r="AB198" s="25" t="str">
        <f>IF(AND(U198&gt;='Amort. Sched.-WORST'!$AA$8, U198&lt;= ($AA$7+$AA$8)), X198/V198, " ")</f>
        <v xml:space="preserve"> </v>
      </c>
      <c r="AD198" s="20">
        <f t="shared" si="37"/>
        <v>187</v>
      </c>
      <c r="AE198" s="5">
        <f t="shared" si="38"/>
        <v>0</v>
      </c>
      <c r="AF198" s="5">
        <f t="shared" si="39"/>
        <v>0</v>
      </c>
      <c r="AG198" s="5">
        <f t="shared" si="40"/>
        <v>0</v>
      </c>
      <c r="AH198" s="5">
        <f>IF(CreditAmort3WORST[[#This Row],[Month]]=AJ$8,AF$7,0)</f>
        <v>0</v>
      </c>
      <c r="AI198" s="13">
        <f t="shared" si="41"/>
        <v>0</v>
      </c>
      <c r="AJ198" s="6" t="str">
        <f t="shared" si="42"/>
        <v xml:space="preserve"> </v>
      </c>
      <c r="AK198" s="21" t="str">
        <f t="shared" si="43"/>
        <v xml:space="preserve"> </v>
      </c>
      <c r="AM198" s="20">
        <f t="shared" si="44"/>
        <v>187</v>
      </c>
      <c r="AN198" s="5">
        <f t="shared" si="45"/>
        <v>0</v>
      </c>
      <c r="AO198" s="5">
        <f t="shared" si="46"/>
        <v>0</v>
      </c>
      <c r="AP198" s="5">
        <f t="shared" si="47"/>
        <v>0</v>
      </c>
      <c r="AQ198" s="5">
        <f>IF(CreditAmort4WORST[[#This Row],[Month]]=AS$8,AO$7,0)</f>
        <v>0</v>
      </c>
      <c r="AR198" s="13">
        <f t="shared" si="48"/>
        <v>0</v>
      </c>
      <c r="AS198" s="6" t="str">
        <f t="shared" si="49"/>
        <v xml:space="preserve"> </v>
      </c>
      <c r="AT198" s="21" t="str">
        <f t="shared" si="50"/>
        <v xml:space="preserve"> </v>
      </c>
    </row>
    <row r="199" spans="3:46">
      <c r="C199" s="22">
        <f t="shared" si="35"/>
        <v>188</v>
      </c>
      <c r="D199" s="23">
        <f>IF(AND(C199&gt;='Amort. Sched.-WORST'!$I$8, C199&lt;= ($I$7+$I$8)), PMT('Amort. Sched.-WORST'!$E$8/12, 'Amort. Sched.-WORST'!$I$7, 'Amort. Sched.-WORST'!$E$7), 0)</f>
        <v>-2026.0175758541329</v>
      </c>
      <c r="E199" s="5">
        <f>IF(AND(C199&gt;='Amort. Sched.-WORST'!$I$8, C199&lt;= ($I$7+$I$8)), (IPMT($E$8/12, (C199-$I$8), $I$7, $E$7)), 0)</f>
        <v>-1069.7918188072267</v>
      </c>
      <c r="F199" s="23">
        <f>IF(AND(C199&gt;='Amort. Sched.-WORST'!$I$8, C199&lt;= ($I$7+$I$8)), (PPMT($E$8/12, (C199-$I$8), $I$7, $E$7)), 0)</f>
        <v>-956.22575704690655</v>
      </c>
      <c r="G199" s="5">
        <f>IF(MortgageAmortWORST[[#This Row],[Month]]=I$8,E$7,0)</f>
        <v>0</v>
      </c>
      <c r="H199" s="13">
        <f>IF(AND(C199&gt;='Amort. Sched.-WORST'!$I$8, C199&lt;= ($I$7+$I$8)), H198+F199, 0)</f>
        <v>159512.54706403706</v>
      </c>
      <c r="I199" s="24">
        <f>IF(AND(C199&gt;='Amort. Sched.-WORST'!$I$8, C199&lt;= ($I$7+$I$8)), E199/D199, " ")</f>
        <v>0.52802691919206157</v>
      </c>
      <c r="J199" s="25">
        <f>IF(AND(C199&gt;='Amort. Sched.-WORST'!$I$8, C199&lt;= ($I$7+$I$8)), F199/D199, " ")</f>
        <v>0.47197308080793859</v>
      </c>
      <c r="L199" s="20">
        <f t="shared" si="34"/>
        <v>188</v>
      </c>
      <c r="M199" s="5">
        <f>IF(AND(L199&gt;='Amort. Sched.-WORST'!$R$8, L199&lt;= ($R$7+$R$8)), PMT('Amort. Sched.-WORST'!$N$8/12, 'Amort. Sched.-WORST'!$R$7, 'Amort. Sched.-WORST'!$N$7), 0)</f>
        <v>0</v>
      </c>
      <c r="N199" s="5">
        <f>IF(AND(L199&gt;='Amort. Sched.-WORST'!$R$8, L199&lt;= ($R$7+$R$8)), (IPMT($N$8/12, (L199-$R$8), $R$7, $N$7)), 0)</f>
        <v>0</v>
      </c>
      <c r="O199" s="5">
        <f>IF(AND(L199&gt;='Amort. Sched.-WORST'!$R$8, L199&lt;= ($R$7+$R$8)), (PPMT($N$8/12, (L199-$R$8), $R$7, $N$7)), 0)</f>
        <v>0</v>
      </c>
      <c r="P199" s="5">
        <f>IF(CreditAmort1WORST[[#This Row],[Month]]=R$8,N$7,0)</f>
        <v>0</v>
      </c>
      <c r="Q199" s="13">
        <f>IF(AND(L199&gt;='Amort. Sched.-WORST'!$R$8, L199&lt;= ($R$7+$R$8)), Q198+O199, 0)</f>
        <v>0</v>
      </c>
      <c r="R199" s="6" t="str">
        <f>IF(AND(L199&gt;='Amort. Sched.-WORST'!$R$8, L199&lt;= ($R$7+$R$8)), N199/M199, " ")</f>
        <v xml:space="preserve"> </v>
      </c>
      <c r="S199" s="21" t="str">
        <f>IF(AND(L199&gt;='Amort. Sched.-WORST'!$R$8, L199&lt;= ($R$7+$R$8)), O199/M199, " ")</f>
        <v xml:space="preserve"> </v>
      </c>
      <c r="U199" s="22">
        <f t="shared" si="36"/>
        <v>188</v>
      </c>
      <c r="V199" s="23">
        <f>IF(AND(U199&gt;='Amort. Sched.-WORST'!$AA$8, U199&lt;= ($AA$7+$AA$8)), PMT('Amort. Sched.-WORST'!$W$8/12, 'Amort. Sched.-WORST'!$AA$7, 'Amort. Sched.-WORST'!$W$7), 0)</f>
        <v>0</v>
      </c>
      <c r="W199" s="5">
        <f>IF(AND(U199&gt;='Amort. Sched.-WORST'!$AA$8, U199&lt;= ($AA$7+$AA$8)), (IPMT($W$8/12, (U199-$AA$8), $AA$7, $W$7)), 0)</f>
        <v>0</v>
      </c>
      <c r="X199" s="23">
        <f>IF(AND(U199&gt;='Amort. Sched.-WORST'!$AA$8, U199&lt;= ($AA$7+$AA$8)), (PPMT($W$8/12, (U199-$AA$8), $AA$7, $W$7)), 0)</f>
        <v>0</v>
      </c>
      <c r="Y199" s="5">
        <f>IF(CreditAmort2WORST[[#This Row],[Month]]=AA$8,W$7,0)</f>
        <v>0</v>
      </c>
      <c r="Z199" s="13">
        <f>IF(AND(U199&gt;='Amort. Sched.-WORST'!$AA$8, U199&lt;= ($AA$7+$AA$8)), Z198+X199, 0)</f>
        <v>0</v>
      </c>
      <c r="AA199" s="24" t="str">
        <f>IF(AND(U199&gt;='Amort. Sched.-WORST'!$AA$8, U199&lt;= ($AA$7+$AA$8)), W199/V199, " ")</f>
        <v xml:space="preserve"> </v>
      </c>
      <c r="AB199" s="25" t="str">
        <f>IF(AND(U199&gt;='Amort. Sched.-WORST'!$AA$8, U199&lt;= ($AA$7+$AA$8)), X199/V199, " ")</f>
        <v xml:space="preserve"> </v>
      </c>
      <c r="AD199" s="20">
        <f t="shared" si="37"/>
        <v>188</v>
      </c>
      <c r="AE199" s="5">
        <f t="shared" si="38"/>
        <v>0</v>
      </c>
      <c r="AF199" s="5">
        <f t="shared" si="39"/>
        <v>0</v>
      </c>
      <c r="AG199" s="5">
        <f t="shared" si="40"/>
        <v>0</v>
      </c>
      <c r="AH199" s="5">
        <f>IF(CreditAmort3WORST[[#This Row],[Month]]=AJ$8,AF$7,0)</f>
        <v>0</v>
      </c>
      <c r="AI199" s="13">
        <f t="shared" si="41"/>
        <v>0</v>
      </c>
      <c r="AJ199" s="6" t="str">
        <f t="shared" si="42"/>
        <v xml:space="preserve"> </v>
      </c>
      <c r="AK199" s="21" t="str">
        <f t="shared" si="43"/>
        <v xml:space="preserve"> </v>
      </c>
      <c r="AM199" s="20">
        <f t="shared" si="44"/>
        <v>188</v>
      </c>
      <c r="AN199" s="5">
        <f t="shared" si="45"/>
        <v>0</v>
      </c>
      <c r="AO199" s="5">
        <f t="shared" si="46"/>
        <v>0</v>
      </c>
      <c r="AP199" s="5">
        <f t="shared" si="47"/>
        <v>0</v>
      </c>
      <c r="AQ199" s="5">
        <f>IF(CreditAmort4WORST[[#This Row],[Month]]=AS$8,AO$7,0)</f>
        <v>0</v>
      </c>
      <c r="AR199" s="13">
        <f t="shared" si="48"/>
        <v>0</v>
      </c>
      <c r="AS199" s="6" t="str">
        <f t="shared" si="49"/>
        <v xml:space="preserve"> </v>
      </c>
      <c r="AT199" s="21" t="str">
        <f t="shared" si="50"/>
        <v xml:space="preserve"> </v>
      </c>
    </row>
    <row r="200" spans="3:46">
      <c r="C200" s="22">
        <f t="shared" si="35"/>
        <v>189</v>
      </c>
      <c r="D200" s="23">
        <f>IF(AND(C200&gt;='Amort. Sched.-WORST'!$I$8, C200&lt;= ($I$7+$I$8)), PMT('Amort. Sched.-WORST'!$E$8/12, 'Amort. Sched.-WORST'!$I$7, 'Amort. Sched.-WORST'!$E$7), 0)</f>
        <v>-2026.0175758541329</v>
      </c>
      <c r="E200" s="5">
        <f>IF(AND(C200&gt;='Amort. Sched.-WORST'!$I$8, C200&lt;= ($I$7+$I$8)), (IPMT($E$8/12, (C200-$I$8), $I$7, $E$7)), 0)</f>
        <v>-1063.4169804269136</v>
      </c>
      <c r="F200" s="23">
        <f>IF(AND(C200&gt;='Amort. Sched.-WORST'!$I$8, C200&lt;= ($I$7+$I$8)), (PPMT($E$8/12, (C200-$I$8), $I$7, $E$7)), 0)</f>
        <v>-962.60059542721922</v>
      </c>
      <c r="G200" s="5">
        <f>IF(MortgageAmortWORST[[#This Row],[Month]]=I$8,E$7,0)</f>
        <v>0</v>
      </c>
      <c r="H200" s="13">
        <f>IF(AND(C200&gt;='Amort. Sched.-WORST'!$I$8, C200&lt;= ($I$7+$I$8)), H199+F200, 0)</f>
        <v>158549.94646860985</v>
      </c>
      <c r="I200" s="24">
        <f>IF(AND(C200&gt;='Amort. Sched.-WORST'!$I$8, C200&lt;= ($I$7+$I$8)), E200/D200, " ")</f>
        <v>0.52488043198667511</v>
      </c>
      <c r="J200" s="25">
        <f>IF(AND(C200&gt;='Amort. Sched.-WORST'!$I$8, C200&lt;= ($I$7+$I$8)), F200/D200, " ")</f>
        <v>0.47511956801332483</v>
      </c>
      <c r="L200" s="20">
        <f t="shared" si="34"/>
        <v>189</v>
      </c>
      <c r="M200" s="5">
        <f>IF(AND(L200&gt;='Amort. Sched.-WORST'!$R$8, L200&lt;= ($R$7+$R$8)), PMT('Amort. Sched.-WORST'!$N$8/12, 'Amort. Sched.-WORST'!$R$7, 'Amort. Sched.-WORST'!$N$7), 0)</f>
        <v>0</v>
      </c>
      <c r="N200" s="5">
        <f>IF(AND(L200&gt;='Amort. Sched.-WORST'!$R$8, L200&lt;= ($R$7+$R$8)), (IPMT($N$8/12, (L200-$R$8), $R$7, $N$7)), 0)</f>
        <v>0</v>
      </c>
      <c r="O200" s="5">
        <f>IF(AND(L200&gt;='Amort. Sched.-WORST'!$R$8, L200&lt;= ($R$7+$R$8)), (PPMT($N$8/12, (L200-$R$8), $R$7, $N$7)), 0)</f>
        <v>0</v>
      </c>
      <c r="P200" s="5">
        <f>IF(CreditAmort1WORST[[#This Row],[Month]]=R$8,N$7,0)</f>
        <v>0</v>
      </c>
      <c r="Q200" s="13">
        <f>IF(AND(L200&gt;='Amort. Sched.-WORST'!$R$8, L200&lt;= ($R$7+$R$8)), Q199+O200, 0)</f>
        <v>0</v>
      </c>
      <c r="R200" s="6" t="str">
        <f>IF(AND(L200&gt;='Amort. Sched.-WORST'!$R$8, L200&lt;= ($R$7+$R$8)), N200/M200, " ")</f>
        <v xml:space="preserve"> </v>
      </c>
      <c r="S200" s="21" t="str">
        <f>IF(AND(L200&gt;='Amort. Sched.-WORST'!$R$8, L200&lt;= ($R$7+$R$8)), O200/M200, " ")</f>
        <v xml:space="preserve"> </v>
      </c>
      <c r="U200" s="22">
        <f t="shared" si="36"/>
        <v>189</v>
      </c>
      <c r="V200" s="23">
        <f>IF(AND(U200&gt;='Amort. Sched.-WORST'!$AA$8, U200&lt;= ($AA$7+$AA$8)), PMT('Amort. Sched.-WORST'!$W$8/12, 'Amort. Sched.-WORST'!$AA$7, 'Amort. Sched.-WORST'!$W$7), 0)</f>
        <v>0</v>
      </c>
      <c r="W200" s="5">
        <f>IF(AND(U200&gt;='Amort. Sched.-WORST'!$AA$8, U200&lt;= ($AA$7+$AA$8)), (IPMT($W$8/12, (U200-$AA$8), $AA$7, $W$7)), 0)</f>
        <v>0</v>
      </c>
      <c r="X200" s="23">
        <f>IF(AND(U200&gt;='Amort. Sched.-WORST'!$AA$8, U200&lt;= ($AA$7+$AA$8)), (PPMT($W$8/12, (U200-$AA$8), $AA$7, $W$7)), 0)</f>
        <v>0</v>
      </c>
      <c r="Y200" s="5">
        <f>IF(CreditAmort2WORST[[#This Row],[Month]]=AA$8,W$7,0)</f>
        <v>0</v>
      </c>
      <c r="Z200" s="13">
        <f>IF(AND(U200&gt;='Amort. Sched.-WORST'!$AA$8, U200&lt;= ($AA$7+$AA$8)), Z199+X200, 0)</f>
        <v>0</v>
      </c>
      <c r="AA200" s="24" t="str">
        <f>IF(AND(U200&gt;='Amort. Sched.-WORST'!$AA$8, U200&lt;= ($AA$7+$AA$8)), W200/V200, " ")</f>
        <v xml:space="preserve"> </v>
      </c>
      <c r="AB200" s="25" t="str">
        <f>IF(AND(U200&gt;='Amort. Sched.-WORST'!$AA$8, U200&lt;= ($AA$7+$AA$8)), X200/V200, " ")</f>
        <v xml:space="preserve"> </v>
      </c>
      <c r="AD200" s="20">
        <f t="shared" si="37"/>
        <v>189</v>
      </c>
      <c r="AE200" s="5">
        <f t="shared" si="38"/>
        <v>0</v>
      </c>
      <c r="AF200" s="5">
        <f t="shared" si="39"/>
        <v>0</v>
      </c>
      <c r="AG200" s="5">
        <f t="shared" si="40"/>
        <v>0</v>
      </c>
      <c r="AH200" s="5">
        <f>IF(CreditAmort3WORST[[#This Row],[Month]]=AJ$8,AF$7,0)</f>
        <v>0</v>
      </c>
      <c r="AI200" s="13">
        <f t="shared" si="41"/>
        <v>0</v>
      </c>
      <c r="AJ200" s="6" t="str">
        <f t="shared" si="42"/>
        <v xml:space="preserve"> </v>
      </c>
      <c r="AK200" s="21" t="str">
        <f t="shared" si="43"/>
        <v xml:space="preserve"> </v>
      </c>
      <c r="AM200" s="20">
        <f t="shared" si="44"/>
        <v>189</v>
      </c>
      <c r="AN200" s="5">
        <f t="shared" si="45"/>
        <v>0</v>
      </c>
      <c r="AO200" s="5">
        <f t="shared" si="46"/>
        <v>0</v>
      </c>
      <c r="AP200" s="5">
        <f t="shared" si="47"/>
        <v>0</v>
      </c>
      <c r="AQ200" s="5">
        <f>IF(CreditAmort4WORST[[#This Row],[Month]]=AS$8,AO$7,0)</f>
        <v>0</v>
      </c>
      <c r="AR200" s="13">
        <f t="shared" si="48"/>
        <v>0</v>
      </c>
      <c r="AS200" s="6" t="str">
        <f t="shared" si="49"/>
        <v xml:space="preserve"> </v>
      </c>
      <c r="AT200" s="21" t="str">
        <f t="shared" si="50"/>
        <v xml:space="preserve"> </v>
      </c>
    </row>
    <row r="201" spans="3:46">
      <c r="C201" s="22">
        <f t="shared" si="35"/>
        <v>190</v>
      </c>
      <c r="D201" s="23">
        <f>IF(AND(C201&gt;='Amort. Sched.-WORST'!$I$8, C201&lt;= ($I$7+$I$8)), PMT('Amort. Sched.-WORST'!$E$8/12, 'Amort. Sched.-WORST'!$I$7, 'Amort. Sched.-WORST'!$E$7), 0)</f>
        <v>-2026.0175758541329</v>
      </c>
      <c r="E201" s="5">
        <f>IF(AND(C201&gt;='Amort. Sched.-WORST'!$I$8, C201&lt;= ($I$7+$I$8)), (IPMT($E$8/12, (C201-$I$8), $I$7, $E$7)), 0)</f>
        <v>-1056.9996431240656</v>
      </c>
      <c r="F201" s="23">
        <f>IF(AND(C201&gt;='Amort. Sched.-WORST'!$I$8, C201&lt;= ($I$7+$I$8)), (PPMT($E$8/12, (C201-$I$8), $I$7, $E$7)), 0)</f>
        <v>-969.01793273006729</v>
      </c>
      <c r="G201" s="5">
        <f>IF(MortgageAmortWORST[[#This Row],[Month]]=I$8,E$7,0)</f>
        <v>0</v>
      </c>
      <c r="H201" s="13">
        <f>IF(AND(C201&gt;='Amort. Sched.-WORST'!$I$8, C201&lt;= ($I$7+$I$8)), H200+F201, 0)</f>
        <v>157580.92853587979</v>
      </c>
      <c r="I201" s="24">
        <f>IF(AND(C201&gt;='Amort. Sched.-WORST'!$I$8, C201&lt;= ($I$7+$I$8)), E201/D201, " ")</f>
        <v>0.52171296819991975</v>
      </c>
      <c r="J201" s="25">
        <f>IF(AND(C201&gt;='Amort. Sched.-WORST'!$I$8, C201&lt;= ($I$7+$I$8)), F201/D201, " ")</f>
        <v>0.47828703180008031</v>
      </c>
      <c r="L201" s="20">
        <f t="shared" si="34"/>
        <v>190</v>
      </c>
      <c r="M201" s="5">
        <f>IF(AND(L201&gt;='Amort. Sched.-WORST'!$R$8, L201&lt;= ($R$7+$R$8)), PMT('Amort. Sched.-WORST'!$N$8/12, 'Amort. Sched.-WORST'!$R$7, 'Amort. Sched.-WORST'!$N$7), 0)</f>
        <v>0</v>
      </c>
      <c r="N201" s="5">
        <f>IF(AND(L201&gt;='Amort. Sched.-WORST'!$R$8, L201&lt;= ($R$7+$R$8)), (IPMT($N$8/12, (L201-$R$8), $R$7, $N$7)), 0)</f>
        <v>0</v>
      </c>
      <c r="O201" s="5">
        <f>IF(AND(L201&gt;='Amort. Sched.-WORST'!$R$8, L201&lt;= ($R$7+$R$8)), (PPMT($N$8/12, (L201-$R$8), $R$7, $N$7)), 0)</f>
        <v>0</v>
      </c>
      <c r="P201" s="5">
        <f>IF(CreditAmort1WORST[[#This Row],[Month]]=R$8,N$7,0)</f>
        <v>0</v>
      </c>
      <c r="Q201" s="13">
        <f>IF(AND(L201&gt;='Amort. Sched.-WORST'!$R$8, L201&lt;= ($R$7+$R$8)), Q200+O201, 0)</f>
        <v>0</v>
      </c>
      <c r="R201" s="6" t="str">
        <f>IF(AND(L201&gt;='Amort. Sched.-WORST'!$R$8, L201&lt;= ($R$7+$R$8)), N201/M201, " ")</f>
        <v xml:space="preserve"> </v>
      </c>
      <c r="S201" s="21" t="str">
        <f>IF(AND(L201&gt;='Amort. Sched.-WORST'!$R$8, L201&lt;= ($R$7+$R$8)), O201/M201, " ")</f>
        <v xml:space="preserve"> </v>
      </c>
      <c r="U201" s="22">
        <f t="shared" si="36"/>
        <v>190</v>
      </c>
      <c r="V201" s="23">
        <f>IF(AND(U201&gt;='Amort. Sched.-WORST'!$AA$8, U201&lt;= ($AA$7+$AA$8)), PMT('Amort. Sched.-WORST'!$W$8/12, 'Amort. Sched.-WORST'!$AA$7, 'Amort. Sched.-WORST'!$W$7), 0)</f>
        <v>0</v>
      </c>
      <c r="W201" s="5">
        <f>IF(AND(U201&gt;='Amort. Sched.-WORST'!$AA$8, U201&lt;= ($AA$7+$AA$8)), (IPMT($W$8/12, (U201-$AA$8), $AA$7, $W$7)), 0)</f>
        <v>0</v>
      </c>
      <c r="X201" s="23">
        <f>IF(AND(U201&gt;='Amort. Sched.-WORST'!$AA$8, U201&lt;= ($AA$7+$AA$8)), (PPMT($W$8/12, (U201-$AA$8), $AA$7, $W$7)), 0)</f>
        <v>0</v>
      </c>
      <c r="Y201" s="5">
        <f>IF(CreditAmort2WORST[[#This Row],[Month]]=AA$8,W$7,0)</f>
        <v>0</v>
      </c>
      <c r="Z201" s="13">
        <f>IF(AND(U201&gt;='Amort. Sched.-WORST'!$AA$8, U201&lt;= ($AA$7+$AA$8)), Z200+X201, 0)</f>
        <v>0</v>
      </c>
      <c r="AA201" s="24" t="str">
        <f>IF(AND(U201&gt;='Amort. Sched.-WORST'!$AA$8, U201&lt;= ($AA$7+$AA$8)), W201/V201, " ")</f>
        <v xml:space="preserve"> </v>
      </c>
      <c r="AB201" s="25" t="str">
        <f>IF(AND(U201&gt;='Amort. Sched.-WORST'!$AA$8, U201&lt;= ($AA$7+$AA$8)), X201/V201, " ")</f>
        <v xml:space="preserve"> </v>
      </c>
      <c r="AD201" s="20">
        <f t="shared" si="37"/>
        <v>190</v>
      </c>
      <c r="AE201" s="5">
        <f t="shared" si="38"/>
        <v>0</v>
      </c>
      <c r="AF201" s="5">
        <f t="shared" si="39"/>
        <v>0</v>
      </c>
      <c r="AG201" s="5">
        <f t="shared" si="40"/>
        <v>0</v>
      </c>
      <c r="AH201" s="5">
        <f>IF(CreditAmort3WORST[[#This Row],[Month]]=AJ$8,AF$7,0)</f>
        <v>0</v>
      </c>
      <c r="AI201" s="13">
        <f t="shared" si="41"/>
        <v>0</v>
      </c>
      <c r="AJ201" s="6" t="str">
        <f t="shared" si="42"/>
        <v xml:space="preserve"> </v>
      </c>
      <c r="AK201" s="21" t="str">
        <f t="shared" si="43"/>
        <v xml:space="preserve"> </v>
      </c>
      <c r="AM201" s="20">
        <f t="shared" si="44"/>
        <v>190</v>
      </c>
      <c r="AN201" s="5">
        <f t="shared" si="45"/>
        <v>0</v>
      </c>
      <c r="AO201" s="5">
        <f t="shared" si="46"/>
        <v>0</v>
      </c>
      <c r="AP201" s="5">
        <f t="shared" si="47"/>
        <v>0</v>
      </c>
      <c r="AQ201" s="5">
        <f>IF(CreditAmort4WORST[[#This Row],[Month]]=AS$8,AO$7,0)</f>
        <v>0</v>
      </c>
      <c r="AR201" s="13">
        <f t="shared" si="48"/>
        <v>0</v>
      </c>
      <c r="AS201" s="6" t="str">
        <f t="shared" si="49"/>
        <v xml:space="preserve"> </v>
      </c>
      <c r="AT201" s="21" t="str">
        <f t="shared" si="50"/>
        <v xml:space="preserve"> </v>
      </c>
    </row>
    <row r="202" spans="3:46">
      <c r="C202" s="22">
        <f t="shared" si="35"/>
        <v>191</v>
      </c>
      <c r="D202" s="23">
        <f>IF(AND(C202&gt;='Amort. Sched.-WORST'!$I$8, C202&lt;= ($I$7+$I$8)), PMT('Amort. Sched.-WORST'!$E$8/12, 'Amort. Sched.-WORST'!$I$7, 'Amort. Sched.-WORST'!$E$7), 0)</f>
        <v>-2026.0175758541329</v>
      </c>
      <c r="E202" s="5">
        <f>IF(AND(C202&gt;='Amort. Sched.-WORST'!$I$8, C202&lt;= ($I$7+$I$8)), (IPMT($E$8/12, (C202-$I$8), $I$7, $E$7)), 0)</f>
        <v>-1050.5395235725318</v>
      </c>
      <c r="F202" s="23">
        <f>IF(AND(C202&gt;='Amort. Sched.-WORST'!$I$8, C202&lt;= ($I$7+$I$8)), (PPMT($E$8/12, (C202-$I$8), $I$7, $E$7)), 0)</f>
        <v>-975.47805228160121</v>
      </c>
      <c r="G202" s="5">
        <f>IF(MortgageAmortWORST[[#This Row],[Month]]=I$8,E$7,0)</f>
        <v>0</v>
      </c>
      <c r="H202" s="13">
        <f>IF(AND(C202&gt;='Amort. Sched.-WORST'!$I$8, C202&lt;= ($I$7+$I$8)), H201+F202, 0)</f>
        <v>156605.45048359819</v>
      </c>
      <c r="I202" s="24">
        <f>IF(AND(C202&gt;='Amort. Sched.-WORST'!$I$8, C202&lt;= ($I$7+$I$8)), E202/D202, " ")</f>
        <v>0.51852438798791911</v>
      </c>
      <c r="J202" s="25">
        <f>IF(AND(C202&gt;='Amort. Sched.-WORST'!$I$8, C202&lt;= ($I$7+$I$8)), F202/D202, " ")</f>
        <v>0.48147561201208089</v>
      </c>
      <c r="L202" s="20">
        <f t="shared" si="34"/>
        <v>191</v>
      </c>
      <c r="M202" s="5">
        <f>IF(AND(L202&gt;='Amort. Sched.-WORST'!$R$8, L202&lt;= ($R$7+$R$8)), PMT('Amort. Sched.-WORST'!$N$8/12, 'Amort. Sched.-WORST'!$R$7, 'Amort. Sched.-WORST'!$N$7), 0)</f>
        <v>0</v>
      </c>
      <c r="N202" s="5">
        <f>IF(AND(L202&gt;='Amort. Sched.-WORST'!$R$8, L202&lt;= ($R$7+$R$8)), (IPMT($N$8/12, (L202-$R$8), $R$7, $N$7)), 0)</f>
        <v>0</v>
      </c>
      <c r="O202" s="5">
        <f>IF(AND(L202&gt;='Amort. Sched.-WORST'!$R$8, L202&lt;= ($R$7+$R$8)), (PPMT($N$8/12, (L202-$R$8), $R$7, $N$7)), 0)</f>
        <v>0</v>
      </c>
      <c r="P202" s="5">
        <f>IF(CreditAmort1WORST[[#This Row],[Month]]=R$8,N$7,0)</f>
        <v>0</v>
      </c>
      <c r="Q202" s="13">
        <f>IF(AND(L202&gt;='Amort. Sched.-WORST'!$R$8, L202&lt;= ($R$7+$R$8)), Q201+O202, 0)</f>
        <v>0</v>
      </c>
      <c r="R202" s="6" t="str">
        <f>IF(AND(L202&gt;='Amort. Sched.-WORST'!$R$8, L202&lt;= ($R$7+$R$8)), N202/M202, " ")</f>
        <v xml:space="preserve"> </v>
      </c>
      <c r="S202" s="21" t="str">
        <f>IF(AND(L202&gt;='Amort. Sched.-WORST'!$R$8, L202&lt;= ($R$7+$R$8)), O202/M202, " ")</f>
        <v xml:space="preserve"> </v>
      </c>
      <c r="U202" s="22">
        <f t="shared" si="36"/>
        <v>191</v>
      </c>
      <c r="V202" s="23">
        <f>IF(AND(U202&gt;='Amort. Sched.-WORST'!$AA$8, U202&lt;= ($AA$7+$AA$8)), PMT('Amort. Sched.-WORST'!$W$8/12, 'Amort. Sched.-WORST'!$AA$7, 'Amort. Sched.-WORST'!$W$7), 0)</f>
        <v>0</v>
      </c>
      <c r="W202" s="5">
        <f>IF(AND(U202&gt;='Amort. Sched.-WORST'!$AA$8, U202&lt;= ($AA$7+$AA$8)), (IPMT($W$8/12, (U202-$AA$8), $AA$7, $W$7)), 0)</f>
        <v>0</v>
      </c>
      <c r="X202" s="23">
        <f>IF(AND(U202&gt;='Amort. Sched.-WORST'!$AA$8, U202&lt;= ($AA$7+$AA$8)), (PPMT($W$8/12, (U202-$AA$8), $AA$7, $W$7)), 0)</f>
        <v>0</v>
      </c>
      <c r="Y202" s="5">
        <f>IF(CreditAmort2WORST[[#This Row],[Month]]=AA$8,W$7,0)</f>
        <v>0</v>
      </c>
      <c r="Z202" s="13">
        <f>IF(AND(U202&gt;='Amort. Sched.-WORST'!$AA$8, U202&lt;= ($AA$7+$AA$8)), Z201+X202, 0)</f>
        <v>0</v>
      </c>
      <c r="AA202" s="24" t="str">
        <f>IF(AND(U202&gt;='Amort. Sched.-WORST'!$AA$8, U202&lt;= ($AA$7+$AA$8)), W202/V202, " ")</f>
        <v xml:space="preserve"> </v>
      </c>
      <c r="AB202" s="25" t="str">
        <f>IF(AND(U202&gt;='Amort. Sched.-WORST'!$AA$8, U202&lt;= ($AA$7+$AA$8)), X202/V202, " ")</f>
        <v xml:space="preserve"> </v>
      </c>
      <c r="AD202" s="20">
        <f t="shared" si="37"/>
        <v>191</v>
      </c>
      <c r="AE202" s="5">
        <f t="shared" si="38"/>
        <v>0</v>
      </c>
      <c r="AF202" s="5">
        <f t="shared" si="39"/>
        <v>0</v>
      </c>
      <c r="AG202" s="5">
        <f t="shared" si="40"/>
        <v>0</v>
      </c>
      <c r="AH202" s="5">
        <f>IF(CreditAmort3WORST[[#This Row],[Month]]=AJ$8,AF$7,0)</f>
        <v>0</v>
      </c>
      <c r="AI202" s="13">
        <f t="shared" si="41"/>
        <v>0</v>
      </c>
      <c r="AJ202" s="6" t="str">
        <f t="shared" si="42"/>
        <v xml:space="preserve"> </v>
      </c>
      <c r="AK202" s="21" t="str">
        <f t="shared" si="43"/>
        <v xml:space="preserve"> </v>
      </c>
      <c r="AM202" s="20">
        <f t="shared" si="44"/>
        <v>191</v>
      </c>
      <c r="AN202" s="5">
        <f t="shared" si="45"/>
        <v>0</v>
      </c>
      <c r="AO202" s="5">
        <f t="shared" si="46"/>
        <v>0</v>
      </c>
      <c r="AP202" s="5">
        <f t="shared" si="47"/>
        <v>0</v>
      </c>
      <c r="AQ202" s="5">
        <f>IF(CreditAmort4WORST[[#This Row],[Month]]=AS$8,AO$7,0)</f>
        <v>0</v>
      </c>
      <c r="AR202" s="13">
        <f t="shared" si="48"/>
        <v>0</v>
      </c>
      <c r="AS202" s="6" t="str">
        <f t="shared" si="49"/>
        <v xml:space="preserve"> </v>
      </c>
      <c r="AT202" s="21" t="str">
        <f t="shared" si="50"/>
        <v xml:space="preserve"> </v>
      </c>
    </row>
    <row r="203" spans="3:46">
      <c r="C203" s="22">
        <f t="shared" si="35"/>
        <v>192</v>
      </c>
      <c r="D203" s="23">
        <f>IF(AND(C203&gt;='Amort. Sched.-WORST'!$I$8, C203&lt;= ($I$7+$I$8)), PMT('Amort. Sched.-WORST'!$E$8/12, 'Amort. Sched.-WORST'!$I$7, 'Amort. Sched.-WORST'!$E$7), 0)</f>
        <v>-2026.0175758541329</v>
      </c>
      <c r="E203" s="5">
        <f>IF(AND(C203&gt;='Amort. Sched.-WORST'!$I$8, C203&lt;= ($I$7+$I$8)), (IPMT($E$8/12, (C203-$I$8), $I$7, $E$7)), 0)</f>
        <v>-1044.0363365573212</v>
      </c>
      <c r="F203" s="23">
        <f>IF(AND(C203&gt;='Amort. Sched.-WORST'!$I$8, C203&lt;= ($I$7+$I$8)), (PPMT($E$8/12, (C203-$I$8), $I$7, $E$7)), 0)</f>
        <v>-981.98123929681185</v>
      </c>
      <c r="G203" s="5">
        <f>IF(MortgageAmortWORST[[#This Row],[Month]]=I$8,E$7,0)</f>
        <v>0</v>
      </c>
      <c r="H203" s="13">
        <f>IF(AND(C203&gt;='Amort. Sched.-WORST'!$I$8, C203&lt;= ($I$7+$I$8)), H202+F203, 0)</f>
        <v>155623.46924430138</v>
      </c>
      <c r="I203" s="24">
        <f>IF(AND(C203&gt;='Amort. Sched.-WORST'!$I$8, C203&lt;= ($I$7+$I$8)), E203/D203, " ")</f>
        <v>0.51531455057450526</v>
      </c>
      <c r="J203" s="25">
        <f>IF(AND(C203&gt;='Amort. Sched.-WORST'!$I$8, C203&lt;= ($I$7+$I$8)), F203/D203, " ")</f>
        <v>0.48468544942549474</v>
      </c>
      <c r="L203" s="20">
        <f t="shared" si="34"/>
        <v>192</v>
      </c>
      <c r="M203" s="5">
        <f>IF(AND(L203&gt;='Amort. Sched.-WORST'!$R$8, L203&lt;= ($R$7+$R$8)), PMT('Amort. Sched.-WORST'!$N$8/12, 'Amort. Sched.-WORST'!$R$7, 'Amort. Sched.-WORST'!$N$7), 0)</f>
        <v>0</v>
      </c>
      <c r="N203" s="5">
        <f>IF(AND(L203&gt;='Amort. Sched.-WORST'!$R$8, L203&lt;= ($R$7+$R$8)), (IPMT($N$8/12, (L203-$R$8), $R$7, $N$7)), 0)</f>
        <v>0</v>
      </c>
      <c r="O203" s="5">
        <f>IF(AND(L203&gt;='Amort. Sched.-WORST'!$R$8, L203&lt;= ($R$7+$R$8)), (PPMT($N$8/12, (L203-$R$8), $R$7, $N$7)), 0)</f>
        <v>0</v>
      </c>
      <c r="P203" s="5">
        <f>IF(CreditAmort1WORST[[#This Row],[Month]]=R$8,N$7,0)</f>
        <v>0</v>
      </c>
      <c r="Q203" s="13">
        <f>IF(AND(L203&gt;='Amort. Sched.-WORST'!$R$8, L203&lt;= ($R$7+$R$8)), Q202+O203, 0)</f>
        <v>0</v>
      </c>
      <c r="R203" s="6" t="str">
        <f>IF(AND(L203&gt;='Amort. Sched.-WORST'!$R$8, L203&lt;= ($R$7+$R$8)), N203/M203, " ")</f>
        <v xml:space="preserve"> </v>
      </c>
      <c r="S203" s="21" t="str">
        <f>IF(AND(L203&gt;='Amort. Sched.-WORST'!$R$8, L203&lt;= ($R$7+$R$8)), O203/M203, " ")</f>
        <v xml:space="preserve"> </v>
      </c>
      <c r="U203" s="22">
        <f t="shared" si="36"/>
        <v>192</v>
      </c>
      <c r="V203" s="23">
        <f>IF(AND(U203&gt;='Amort. Sched.-WORST'!$AA$8, U203&lt;= ($AA$7+$AA$8)), PMT('Amort. Sched.-WORST'!$W$8/12, 'Amort. Sched.-WORST'!$AA$7, 'Amort. Sched.-WORST'!$W$7), 0)</f>
        <v>0</v>
      </c>
      <c r="W203" s="5">
        <f>IF(AND(U203&gt;='Amort. Sched.-WORST'!$AA$8, U203&lt;= ($AA$7+$AA$8)), (IPMT($W$8/12, (U203-$AA$8), $AA$7, $W$7)), 0)</f>
        <v>0</v>
      </c>
      <c r="X203" s="23">
        <f>IF(AND(U203&gt;='Amort. Sched.-WORST'!$AA$8, U203&lt;= ($AA$7+$AA$8)), (PPMT($W$8/12, (U203-$AA$8), $AA$7, $W$7)), 0)</f>
        <v>0</v>
      </c>
      <c r="Y203" s="5">
        <f>IF(CreditAmort2WORST[[#This Row],[Month]]=AA$8,W$7,0)</f>
        <v>0</v>
      </c>
      <c r="Z203" s="13">
        <f>IF(AND(U203&gt;='Amort. Sched.-WORST'!$AA$8, U203&lt;= ($AA$7+$AA$8)), Z202+X203, 0)</f>
        <v>0</v>
      </c>
      <c r="AA203" s="24" t="str">
        <f>IF(AND(U203&gt;='Amort. Sched.-WORST'!$AA$8, U203&lt;= ($AA$7+$AA$8)), W203/V203, " ")</f>
        <v xml:space="preserve"> </v>
      </c>
      <c r="AB203" s="25" t="str">
        <f>IF(AND(U203&gt;='Amort. Sched.-WORST'!$AA$8, U203&lt;= ($AA$7+$AA$8)), X203/V203, " ")</f>
        <v xml:space="preserve"> </v>
      </c>
      <c r="AD203" s="20">
        <f t="shared" si="37"/>
        <v>192</v>
      </c>
      <c r="AE203" s="5">
        <f t="shared" si="38"/>
        <v>0</v>
      </c>
      <c r="AF203" s="5">
        <f t="shared" si="39"/>
        <v>0</v>
      </c>
      <c r="AG203" s="5">
        <f t="shared" si="40"/>
        <v>0</v>
      </c>
      <c r="AH203" s="5">
        <f>IF(CreditAmort3WORST[[#This Row],[Month]]=AJ$8,AF$7,0)</f>
        <v>0</v>
      </c>
      <c r="AI203" s="13">
        <f t="shared" si="41"/>
        <v>0</v>
      </c>
      <c r="AJ203" s="6" t="str">
        <f t="shared" si="42"/>
        <v xml:space="preserve"> </v>
      </c>
      <c r="AK203" s="21" t="str">
        <f t="shared" si="43"/>
        <v xml:space="preserve"> </v>
      </c>
      <c r="AM203" s="20">
        <f t="shared" si="44"/>
        <v>192</v>
      </c>
      <c r="AN203" s="5">
        <f t="shared" si="45"/>
        <v>0</v>
      </c>
      <c r="AO203" s="5">
        <f t="shared" si="46"/>
        <v>0</v>
      </c>
      <c r="AP203" s="5">
        <f t="shared" si="47"/>
        <v>0</v>
      </c>
      <c r="AQ203" s="5">
        <f>IF(CreditAmort4WORST[[#This Row],[Month]]=AS$8,AO$7,0)</f>
        <v>0</v>
      </c>
      <c r="AR203" s="13">
        <f t="shared" si="48"/>
        <v>0</v>
      </c>
      <c r="AS203" s="6" t="str">
        <f t="shared" si="49"/>
        <v xml:space="preserve"> </v>
      </c>
      <c r="AT203" s="21" t="str">
        <f t="shared" si="50"/>
        <v xml:space="preserve"> </v>
      </c>
    </row>
    <row r="204" spans="3:46">
      <c r="C204" s="22">
        <f t="shared" si="35"/>
        <v>193</v>
      </c>
      <c r="D204" s="23">
        <f>IF(AND(C204&gt;='Amort. Sched.-WORST'!$I$8, C204&lt;= ($I$7+$I$8)), PMT('Amort. Sched.-WORST'!$E$8/12, 'Amort. Sched.-WORST'!$I$7, 'Amort. Sched.-WORST'!$E$7), 0)</f>
        <v>-2026.0175758541329</v>
      </c>
      <c r="E204" s="5">
        <f>IF(AND(C204&gt;='Amort. Sched.-WORST'!$I$8, C204&lt;= ($I$7+$I$8)), (IPMT($E$8/12, (C204-$I$8), $I$7, $E$7)), 0)</f>
        <v>-1037.489794962009</v>
      </c>
      <c r="F204" s="23">
        <f>IF(AND(C204&gt;='Amort. Sched.-WORST'!$I$8, C204&lt;= ($I$7+$I$8)), (PPMT($E$8/12, (C204-$I$8), $I$7, $E$7)), 0)</f>
        <v>-988.52778089212393</v>
      </c>
      <c r="G204" s="5">
        <f>IF(MortgageAmortWORST[[#This Row],[Month]]=I$8,E$7,0)</f>
        <v>0</v>
      </c>
      <c r="H204" s="13">
        <f>IF(AND(C204&gt;='Amort. Sched.-WORST'!$I$8, C204&lt;= ($I$7+$I$8)), H203+F204, 0)</f>
        <v>154634.94146340925</v>
      </c>
      <c r="I204" s="24">
        <f>IF(AND(C204&gt;='Amort. Sched.-WORST'!$I$8, C204&lt;= ($I$7+$I$8)), E204/D204, " ")</f>
        <v>0.51208331424500197</v>
      </c>
      <c r="J204" s="25">
        <f>IF(AND(C204&gt;='Amort. Sched.-WORST'!$I$8, C204&lt;= ($I$7+$I$8)), F204/D204, " ")</f>
        <v>0.48791668575499808</v>
      </c>
      <c r="L204" s="20">
        <f t="shared" ref="L204:L267" si="51">L203+1</f>
        <v>193</v>
      </c>
      <c r="M204" s="5">
        <f>IF(AND(L204&gt;='Amort. Sched.-WORST'!$R$8, L204&lt;= ($R$7+$R$8)), PMT('Amort. Sched.-WORST'!$N$8/12, 'Amort. Sched.-WORST'!$R$7, 'Amort. Sched.-WORST'!$N$7), 0)</f>
        <v>0</v>
      </c>
      <c r="N204" s="5">
        <f>IF(AND(L204&gt;='Amort. Sched.-WORST'!$R$8, L204&lt;= ($R$7+$R$8)), (IPMT($N$8/12, (L204-$R$8), $R$7, $N$7)), 0)</f>
        <v>0</v>
      </c>
      <c r="O204" s="5">
        <f>IF(AND(L204&gt;='Amort. Sched.-WORST'!$R$8, L204&lt;= ($R$7+$R$8)), (PPMT($N$8/12, (L204-$R$8), $R$7, $N$7)), 0)</f>
        <v>0</v>
      </c>
      <c r="P204" s="5">
        <f>IF(CreditAmort1WORST[[#This Row],[Month]]=R$8,N$7,0)</f>
        <v>0</v>
      </c>
      <c r="Q204" s="13">
        <f>IF(AND(L204&gt;='Amort. Sched.-WORST'!$R$8, L204&lt;= ($R$7+$R$8)), Q203+O204, 0)</f>
        <v>0</v>
      </c>
      <c r="R204" s="6" t="str">
        <f>IF(AND(L204&gt;='Amort. Sched.-WORST'!$R$8, L204&lt;= ($R$7+$R$8)), N204/M204, " ")</f>
        <v xml:space="preserve"> </v>
      </c>
      <c r="S204" s="21" t="str">
        <f>IF(AND(L204&gt;='Amort. Sched.-WORST'!$R$8, L204&lt;= ($R$7+$R$8)), O204/M204, " ")</f>
        <v xml:space="preserve"> </v>
      </c>
      <c r="U204" s="22">
        <f t="shared" si="36"/>
        <v>193</v>
      </c>
      <c r="V204" s="23">
        <f>IF(AND(U204&gt;='Amort. Sched.-WORST'!$AA$8, U204&lt;= ($AA$7+$AA$8)), PMT('Amort. Sched.-WORST'!$W$8/12, 'Amort. Sched.-WORST'!$AA$7, 'Amort. Sched.-WORST'!$W$7), 0)</f>
        <v>0</v>
      </c>
      <c r="W204" s="5">
        <f>IF(AND(U204&gt;='Amort. Sched.-WORST'!$AA$8, U204&lt;= ($AA$7+$AA$8)), (IPMT($W$8/12, (U204-$AA$8), $AA$7, $W$7)), 0)</f>
        <v>0</v>
      </c>
      <c r="X204" s="23">
        <f>IF(AND(U204&gt;='Amort. Sched.-WORST'!$AA$8, U204&lt;= ($AA$7+$AA$8)), (PPMT($W$8/12, (U204-$AA$8), $AA$7, $W$7)), 0)</f>
        <v>0</v>
      </c>
      <c r="Y204" s="5">
        <f>IF(CreditAmort2WORST[[#This Row],[Month]]=AA$8,W$7,0)</f>
        <v>0</v>
      </c>
      <c r="Z204" s="13">
        <f>IF(AND(U204&gt;='Amort. Sched.-WORST'!$AA$8, U204&lt;= ($AA$7+$AA$8)), Z203+X204, 0)</f>
        <v>0</v>
      </c>
      <c r="AA204" s="24" t="str">
        <f>IF(AND(U204&gt;='Amort. Sched.-WORST'!$AA$8, U204&lt;= ($AA$7+$AA$8)), W204/V204, " ")</f>
        <v xml:space="preserve"> </v>
      </c>
      <c r="AB204" s="25" t="str">
        <f>IF(AND(U204&gt;='Amort. Sched.-WORST'!$AA$8, U204&lt;= ($AA$7+$AA$8)), X204/V204, " ")</f>
        <v xml:space="preserve"> </v>
      </c>
      <c r="AD204" s="20">
        <f t="shared" si="37"/>
        <v>193</v>
      </c>
      <c r="AE204" s="5">
        <f t="shared" si="38"/>
        <v>0</v>
      </c>
      <c r="AF204" s="5">
        <f t="shared" si="39"/>
        <v>0</v>
      </c>
      <c r="AG204" s="5">
        <f t="shared" si="40"/>
        <v>0</v>
      </c>
      <c r="AH204" s="5">
        <f>IF(CreditAmort3WORST[[#This Row],[Month]]=AJ$8,AF$7,0)</f>
        <v>0</v>
      </c>
      <c r="AI204" s="13">
        <f t="shared" si="41"/>
        <v>0</v>
      </c>
      <c r="AJ204" s="6" t="str">
        <f t="shared" si="42"/>
        <v xml:space="preserve"> </v>
      </c>
      <c r="AK204" s="21" t="str">
        <f t="shared" si="43"/>
        <v xml:space="preserve"> </v>
      </c>
      <c r="AM204" s="20">
        <f t="shared" si="44"/>
        <v>193</v>
      </c>
      <c r="AN204" s="5">
        <f t="shared" si="45"/>
        <v>0</v>
      </c>
      <c r="AO204" s="5">
        <f t="shared" si="46"/>
        <v>0</v>
      </c>
      <c r="AP204" s="5">
        <f t="shared" si="47"/>
        <v>0</v>
      </c>
      <c r="AQ204" s="5">
        <f>IF(CreditAmort4WORST[[#This Row],[Month]]=AS$8,AO$7,0)</f>
        <v>0</v>
      </c>
      <c r="AR204" s="13">
        <f t="shared" si="48"/>
        <v>0</v>
      </c>
      <c r="AS204" s="6" t="str">
        <f t="shared" si="49"/>
        <v xml:space="preserve"> </v>
      </c>
      <c r="AT204" s="21" t="str">
        <f t="shared" si="50"/>
        <v xml:space="preserve"> </v>
      </c>
    </row>
    <row r="205" spans="3:46">
      <c r="C205" s="22">
        <f t="shared" ref="C205:C268" si="52">C204+1</f>
        <v>194</v>
      </c>
      <c r="D205" s="23">
        <f>IF(AND(C205&gt;='Amort. Sched.-WORST'!$I$8, C205&lt;= ($I$7+$I$8)), PMT('Amort. Sched.-WORST'!$E$8/12, 'Amort. Sched.-WORST'!$I$7, 'Amort. Sched.-WORST'!$E$7), 0)</f>
        <v>-2026.0175758541329</v>
      </c>
      <c r="E205" s="5">
        <f>IF(AND(C205&gt;='Amort. Sched.-WORST'!$I$8, C205&lt;= ($I$7+$I$8)), (IPMT($E$8/12, (C205-$I$8), $I$7, $E$7)), 0)</f>
        <v>-1030.8996097560614</v>
      </c>
      <c r="F205" s="23">
        <f>IF(AND(C205&gt;='Amort. Sched.-WORST'!$I$8, C205&lt;= ($I$7+$I$8)), (PPMT($E$8/12, (C205-$I$8), $I$7, $E$7)), 0)</f>
        <v>-995.11796609807141</v>
      </c>
      <c r="G205" s="5">
        <f>IF(MortgageAmortWORST[[#This Row],[Month]]=I$8,E$7,0)</f>
        <v>0</v>
      </c>
      <c r="H205" s="13">
        <f>IF(AND(C205&gt;='Amort. Sched.-WORST'!$I$8, C205&lt;= ($I$7+$I$8)), H204+F205, 0)</f>
        <v>153639.82349731118</v>
      </c>
      <c r="I205" s="24">
        <f>IF(AND(C205&gt;='Amort. Sched.-WORST'!$I$8, C205&lt;= ($I$7+$I$8)), E205/D205, " ")</f>
        <v>0.50883053633996855</v>
      </c>
      <c r="J205" s="25">
        <f>IF(AND(C205&gt;='Amort. Sched.-WORST'!$I$8, C205&lt;= ($I$7+$I$8)), F205/D205, " ")</f>
        <v>0.49116946366003139</v>
      </c>
      <c r="L205" s="20">
        <f t="shared" si="51"/>
        <v>194</v>
      </c>
      <c r="M205" s="5">
        <f>IF(AND(L205&gt;='Amort. Sched.-WORST'!$R$8, L205&lt;= ($R$7+$R$8)), PMT('Amort. Sched.-WORST'!$N$8/12, 'Amort. Sched.-WORST'!$R$7, 'Amort. Sched.-WORST'!$N$7), 0)</f>
        <v>0</v>
      </c>
      <c r="N205" s="5">
        <f>IF(AND(L205&gt;='Amort. Sched.-WORST'!$R$8, L205&lt;= ($R$7+$R$8)), (IPMT($N$8/12, (L205-$R$8), $R$7, $N$7)), 0)</f>
        <v>0</v>
      </c>
      <c r="O205" s="5">
        <f>IF(AND(L205&gt;='Amort. Sched.-WORST'!$R$8, L205&lt;= ($R$7+$R$8)), (PPMT($N$8/12, (L205-$R$8), $R$7, $N$7)), 0)</f>
        <v>0</v>
      </c>
      <c r="P205" s="5">
        <f>IF(CreditAmort1WORST[[#This Row],[Month]]=R$8,N$7,0)</f>
        <v>0</v>
      </c>
      <c r="Q205" s="13">
        <f>IF(AND(L205&gt;='Amort. Sched.-WORST'!$R$8, L205&lt;= ($R$7+$R$8)), Q204+O205, 0)</f>
        <v>0</v>
      </c>
      <c r="R205" s="6" t="str">
        <f>IF(AND(L205&gt;='Amort. Sched.-WORST'!$R$8, L205&lt;= ($R$7+$R$8)), N205/M205, " ")</f>
        <v xml:space="preserve"> </v>
      </c>
      <c r="S205" s="21" t="str">
        <f>IF(AND(L205&gt;='Amort. Sched.-WORST'!$R$8, L205&lt;= ($R$7+$R$8)), O205/M205, " ")</f>
        <v xml:space="preserve"> </v>
      </c>
      <c r="U205" s="22">
        <f t="shared" ref="U205:U268" si="53">U204+1</f>
        <v>194</v>
      </c>
      <c r="V205" s="23">
        <f>IF(AND(U205&gt;='Amort. Sched.-WORST'!$AA$8, U205&lt;= ($AA$7+$AA$8)), PMT('Amort. Sched.-WORST'!$W$8/12, 'Amort. Sched.-WORST'!$AA$7, 'Amort. Sched.-WORST'!$W$7), 0)</f>
        <v>0</v>
      </c>
      <c r="W205" s="5">
        <f>IF(AND(U205&gt;='Amort. Sched.-WORST'!$AA$8, U205&lt;= ($AA$7+$AA$8)), (IPMT($W$8/12, (U205-$AA$8), $AA$7, $W$7)), 0)</f>
        <v>0</v>
      </c>
      <c r="X205" s="23">
        <f>IF(AND(U205&gt;='Amort. Sched.-WORST'!$AA$8, U205&lt;= ($AA$7+$AA$8)), (PPMT($W$8/12, (U205-$AA$8), $AA$7, $W$7)), 0)</f>
        <v>0</v>
      </c>
      <c r="Y205" s="5">
        <f>IF(CreditAmort2WORST[[#This Row],[Month]]=AA$8,W$7,0)</f>
        <v>0</v>
      </c>
      <c r="Z205" s="13">
        <f>IF(AND(U205&gt;='Amort. Sched.-WORST'!$AA$8, U205&lt;= ($AA$7+$AA$8)), Z204+X205, 0)</f>
        <v>0</v>
      </c>
      <c r="AA205" s="24" t="str">
        <f>IF(AND(U205&gt;='Amort. Sched.-WORST'!$AA$8, U205&lt;= ($AA$7+$AA$8)), W205/V205, " ")</f>
        <v xml:space="preserve"> </v>
      </c>
      <c r="AB205" s="25" t="str">
        <f>IF(AND(U205&gt;='Amort. Sched.-WORST'!$AA$8, U205&lt;= ($AA$7+$AA$8)), X205/V205, " ")</f>
        <v xml:space="preserve"> </v>
      </c>
      <c r="AD205" s="20">
        <f t="shared" ref="AD205:AD268" si="54">AD204+1</f>
        <v>194</v>
      </c>
      <c r="AE205" s="5">
        <f t="shared" ref="AE205:AE268" si="55">IF(AND(AD205&gt;=$AJ$8, AD205&lt;= ($AJ$7+$AJ$8)), PMT($AF$8/12, $AJ$7, $AF$7), 0)</f>
        <v>0</v>
      </c>
      <c r="AF205" s="5">
        <f t="shared" ref="AF205:AF268" si="56">IF(AND(AD205&gt;=$AJ$8, AD205&lt;= ($AJ$7+$AJ$8)), (IPMT($AF$8/12, (AD205-$AJ$8), $AJ$7, $AF$7)), 0)</f>
        <v>0</v>
      </c>
      <c r="AG205" s="5">
        <f t="shared" ref="AG205:AG268" si="57">IF(AND(AD205&gt;=$AJ$8, AD205&lt;= ($AJ$7+$AJ$8)), (PPMT($AF$8/12, (AD205-$AJ$8), $AJ$7, $AF$7)), 0)</f>
        <v>0</v>
      </c>
      <c r="AH205" s="5">
        <f>IF(CreditAmort3WORST[[#This Row],[Month]]=AJ$8,AF$7,0)</f>
        <v>0</v>
      </c>
      <c r="AI205" s="13">
        <f t="shared" ref="AI205:AI268" si="58">IF(AND(AD205&gt;=$AJ$8, AD205&lt;= ($AJ$7+$AA$8)), AI204+AG205, 0)</f>
        <v>0</v>
      </c>
      <c r="AJ205" s="6" t="str">
        <f t="shared" ref="AJ205:AJ268" si="59">IF(AND(AD205&gt;=$AJ$8, AD205&lt;= ($AJ$7+$AJ$8)), AF205/AE205, " ")</f>
        <v xml:space="preserve"> </v>
      </c>
      <c r="AK205" s="21" t="str">
        <f t="shared" ref="AK205:AK268" si="60">IF(AND(AD205&gt;=$AJ$8, AD205&lt;= ($AJ$7+$AJ$8)), AG205/AE205, " ")</f>
        <v xml:space="preserve"> </v>
      </c>
      <c r="AM205" s="20">
        <f t="shared" ref="AM205:AM268" si="61">AM204+1</f>
        <v>194</v>
      </c>
      <c r="AN205" s="5">
        <f t="shared" ref="AN205:AN268" si="62">IF(AND(AM205&gt;=$AS$8, AM205&lt;= ($AS$7+$AS$8)), PMT($AO$8/12, $AS$7, $AO$7), 0)</f>
        <v>0</v>
      </c>
      <c r="AO205" s="5">
        <f t="shared" ref="AO205:AO268" si="63">IF(AND(AM205&gt;=$AS$8, AM205&lt;= ($AS$7+$AS$8)), (IPMT($AO$8/12, (AM205-$AS$8), $AS$7, $AO$7)), 0)</f>
        <v>0</v>
      </c>
      <c r="AP205" s="5">
        <f t="shared" ref="AP205:AP268" si="64">IF(AND(AM205&gt;=$AS$8, AM205&lt;= ($AS$7+$AS$8)), (PPMT($AO$8/12, (AM205-$AS$8), $AS$7, $AO$7)), 0)</f>
        <v>0</v>
      </c>
      <c r="AQ205" s="5">
        <f>IF(CreditAmort4WORST[[#This Row],[Month]]=AS$8,AO$7,0)</f>
        <v>0</v>
      </c>
      <c r="AR205" s="13">
        <f t="shared" ref="AR205:AR268" si="65">IF(AND(AM205&gt;=$AS$8, AM205&lt;= ($AS$7+$AS$8)), AR204+AP205, 0)</f>
        <v>0</v>
      </c>
      <c r="AS205" s="6" t="str">
        <f t="shared" ref="AS205:AS268" si="66">IF(AND(AM205&gt;=$AS$8, AM205&lt;= ($AS$7+$AS$8)), AO205/AN205, " ")</f>
        <v xml:space="preserve"> </v>
      </c>
      <c r="AT205" s="21" t="str">
        <f t="shared" ref="AT205:AT268" si="67">IF(AND(AM205&gt;=$AS$8, AM205&lt;= ($AS$7+$AS$8)), AP205/AN205, " ")</f>
        <v xml:space="preserve"> </v>
      </c>
    </row>
    <row r="206" spans="3:46">
      <c r="C206" s="22">
        <f t="shared" si="52"/>
        <v>195</v>
      </c>
      <c r="D206" s="23">
        <f>IF(AND(C206&gt;='Amort. Sched.-WORST'!$I$8, C206&lt;= ($I$7+$I$8)), PMT('Amort. Sched.-WORST'!$E$8/12, 'Amort. Sched.-WORST'!$I$7, 'Amort. Sched.-WORST'!$E$7), 0)</f>
        <v>-2026.0175758541329</v>
      </c>
      <c r="E206" s="5">
        <f>IF(AND(C206&gt;='Amort. Sched.-WORST'!$I$8, C206&lt;= ($I$7+$I$8)), (IPMT($E$8/12, (C206-$I$8), $I$7, $E$7)), 0)</f>
        <v>-1024.2654899820743</v>
      </c>
      <c r="F206" s="23">
        <f>IF(AND(C206&gt;='Amort. Sched.-WORST'!$I$8, C206&lt;= ($I$7+$I$8)), (PPMT($E$8/12, (C206-$I$8), $I$7, $E$7)), 0)</f>
        <v>-1001.7520858720586</v>
      </c>
      <c r="G206" s="5">
        <f>IF(MortgageAmortWORST[[#This Row],[Month]]=I$8,E$7,0)</f>
        <v>0</v>
      </c>
      <c r="H206" s="13">
        <f>IF(AND(C206&gt;='Amort. Sched.-WORST'!$I$8, C206&lt;= ($I$7+$I$8)), H205+F206, 0)</f>
        <v>152638.07141143913</v>
      </c>
      <c r="I206" s="24">
        <f>IF(AND(C206&gt;='Amort. Sched.-WORST'!$I$8, C206&lt;= ($I$7+$I$8)), E206/D206, " ")</f>
        <v>0.50555607324890173</v>
      </c>
      <c r="J206" s="25">
        <f>IF(AND(C206&gt;='Amort. Sched.-WORST'!$I$8, C206&lt;= ($I$7+$I$8)), F206/D206, " ")</f>
        <v>0.49444392675109827</v>
      </c>
      <c r="L206" s="20">
        <f t="shared" si="51"/>
        <v>195</v>
      </c>
      <c r="M206" s="5">
        <f>IF(AND(L206&gt;='Amort. Sched.-WORST'!$R$8, L206&lt;= ($R$7+$R$8)), PMT('Amort. Sched.-WORST'!$N$8/12, 'Amort. Sched.-WORST'!$R$7, 'Amort. Sched.-WORST'!$N$7), 0)</f>
        <v>0</v>
      </c>
      <c r="N206" s="5">
        <f>IF(AND(L206&gt;='Amort. Sched.-WORST'!$R$8, L206&lt;= ($R$7+$R$8)), (IPMT($N$8/12, (L206-$R$8), $R$7, $N$7)), 0)</f>
        <v>0</v>
      </c>
      <c r="O206" s="5">
        <f>IF(AND(L206&gt;='Amort. Sched.-WORST'!$R$8, L206&lt;= ($R$7+$R$8)), (PPMT($N$8/12, (L206-$R$8), $R$7, $N$7)), 0)</f>
        <v>0</v>
      </c>
      <c r="P206" s="5">
        <f>IF(CreditAmort1WORST[[#This Row],[Month]]=R$8,N$7,0)</f>
        <v>0</v>
      </c>
      <c r="Q206" s="13">
        <f>IF(AND(L206&gt;='Amort. Sched.-WORST'!$R$8, L206&lt;= ($R$7+$R$8)), Q205+O206, 0)</f>
        <v>0</v>
      </c>
      <c r="R206" s="6" t="str">
        <f>IF(AND(L206&gt;='Amort. Sched.-WORST'!$R$8, L206&lt;= ($R$7+$R$8)), N206/M206, " ")</f>
        <v xml:space="preserve"> </v>
      </c>
      <c r="S206" s="21" t="str">
        <f>IF(AND(L206&gt;='Amort. Sched.-WORST'!$R$8, L206&lt;= ($R$7+$R$8)), O206/M206, " ")</f>
        <v xml:space="preserve"> </v>
      </c>
      <c r="U206" s="22">
        <f t="shared" si="53"/>
        <v>195</v>
      </c>
      <c r="V206" s="23">
        <f>IF(AND(U206&gt;='Amort. Sched.-WORST'!$AA$8, U206&lt;= ($AA$7+$AA$8)), PMT('Amort. Sched.-WORST'!$W$8/12, 'Amort. Sched.-WORST'!$AA$7, 'Amort. Sched.-WORST'!$W$7), 0)</f>
        <v>0</v>
      </c>
      <c r="W206" s="5">
        <f>IF(AND(U206&gt;='Amort. Sched.-WORST'!$AA$8, U206&lt;= ($AA$7+$AA$8)), (IPMT($W$8/12, (U206-$AA$8), $AA$7, $W$7)), 0)</f>
        <v>0</v>
      </c>
      <c r="X206" s="23">
        <f>IF(AND(U206&gt;='Amort. Sched.-WORST'!$AA$8, U206&lt;= ($AA$7+$AA$8)), (PPMT($W$8/12, (U206-$AA$8), $AA$7, $W$7)), 0)</f>
        <v>0</v>
      </c>
      <c r="Y206" s="5">
        <f>IF(CreditAmort2WORST[[#This Row],[Month]]=AA$8,W$7,0)</f>
        <v>0</v>
      </c>
      <c r="Z206" s="13">
        <f>IF(AND(U206&gt;='Amort. Sched.-WORST'!$AA$8, U206&lt;= ($AA$7+$AA$8)), Z205+X206, 0)</f>
        <v>0</v>
      </c>
      <c r="AA206" s="24" t="str">
        <f>IF(AND(U206&gt;='Amort. Sched.-WORST'!$AA$8, U206&lt;= ($AA$7+$AA$8)), W206/V206, " ")</f>
        <v xml:space="preserve"> </v>
      </c>
      <c r="AB206" s="25" t="str">
        <f>IF(AND(U206&gt;='Amort. Sched.-WORST'!$AA$8, U206&lt;= ($AA$7+$AA$8)), X206/V206, " ")</f>
        <v xml:space="preserve"> </v>
      </c>
      <c r="AD206" s="20">
        <f t="shared" si="54"/>
        <v>195</v>
      </c>
      <c r="AE206" s="5">
        <f t="shared" si="55"/>
        <v>0</v>
      </c>
      <c r="AF206" s="5">
        <f t="shared" si="56"/>
        <v>0</v>
      </c>
      <c r="AG206" s="5">
        <f t="shared" si="57"/>
        <v>0</v>
      </c>
      <c r="AH206" s="5">
        <f>IF(CreditAmort3WORST[[#This Row],[Month]]=AJ$8,AF$7,0)</f>
        <v>0</v>
      </c>
      <c r="AI206" s="13">
        <f t="shared" si="58"/>
        <v>0</v>
      </c>
      <c r="AJ206" s="6" t="str">
        <f t="shared" si="59"/>
        <v xml:space="preserve"> </v>
      </c>
      <c r="AK206" s="21" t="str">
        <f t="shared" si="60"/>
        <v xml:space="preserve"> </v>
      </c>
      <c r="AM206" s="20">
        <f t="shared" si="61"/>
        <v>195</v>
      </c>
      <c r="AN206" s="5">
        <f t="shared" si="62"/>
        <v>0</v>
      </c>
      <c r="AO206" s="5">
        <f t="shared" si="63"/>
        <v>0</v>
      </c>
      <c r="AP206" s="5">
        <f t="shared" si="64"/>
        <v>0</v>
      </c>
      <c r="AQ206" s="5">
        <f>IF(CreditAmort4WORST[[#This Row],[Month]]=AS$8,AO$7,0)</f>
        <v>0</v>
      </c>
      <c r="AR206" s="13">
        <f t="shared" si="65"/>
        <v>0</v>
      </c>
      <c r="AS206" s="6" t="str">
        <f t="shared" si="66"/>
        <v xml:space="preserve"> </v>
      </c>
      <c r="AT206" s="21" t="str">
        <f t="shared" si="67"/>
        <v xml:space="preserve"> </v>
      </c>
    </row>
    <row r="207" spans="3:46">
      <c r="C207" s="22">
        <f t="shared" si="52"/>
        <v>196</v>
      </c>
      <c r="D207" s="23">
        <f>IF(AND(C207&gt;='Amort. Sched.-WORST'!$I$8, C207&lt;= ($I$7+$I$8)), PMT('Amort. Sched.-WORST'!$E$8/12, 'Amort. Sched.-WORST'!$I$7, 'Amort. Sched.-WORST'!$E$7), 0)</f>
        <v>-2026.0175758541329</v>
      </c>
      <c r="E207" s="5">
        <f>IF(AND(C207&gt;='Amort. Sched.-WORST'!$I$8, C207&lt;= ($I$7+$I$8)), (IPMT($E$8/12, (C207-$I$8), $I$7, $E$7)), 0)</f>
        <v>-1017.5871427429274</v>
      </c>
      <c r="F207" s="23">
        <f>IF(AND(C207&gt;='Amort. Sched.-WORST'!$I$8, C207&lt;= ($I$7+$I$8)), (PPMT($E$8/12, (C207-$I$8), $I$7, $E$7)), 0)</f>
        <v>-1008.4304331112056</v>
      </c>
      <c r="G207" s="5">
        <f>IF(MortgageAmortWORST[[#This Row],[Month]]=I$8,E$7,0)</f>
        <v>0</v>
      </c>
      <c r="H207" s="13">
        <f>IF(AND(C207&gt;='Amort. Sched.-WORST'!$I$8, C207&lt;= ($I$7+$I$8)), H206+F207, 0)</f>
        <v>151629.64097832792</v>
      </c>
      <c r="I207" s="24">
        <f>IF(AND(C207&gt;='Amort. Sched.-WORST'!$I$8, C207&lt;= ($I$7+$I$8)), E207/D207, " ")</f>
        <v>0.50225978040389452</v>
      </c>
      <c r="J207" s="25">
        <f>IF(AND(C207&gt;='Amort. Sched.-WORST'!$I$8, C207&lt;= ($I$7+$I$8)), F207/D207, " ")</f>
        <v>0.49774021959610559</v>
      </c>
      <c r="L207" s="20">
        <f t="shared" si="51"/>
        <v>196</v>
      </c>
      <c r="M207" s="5">
        <f>IF(AND(L207&gt;='Amort. Sched.-WORST'!$R$8, L207&lt;= ($R$7+$R$8)), PMT('Amort. Sched.-WORST'!$N$8/12, 'Amort. Sched.-WORST'!$R$7, 'Amort. Sched.-WORST'!$N$7), 0)</f>
        <v>0</v>
      </c>
      <c r="N207" s="5">
        <f>IF(AND(L207&gt;='Amort. Sched.-WORST'!$R$8, L207&lt;= ($R$7+$R$8)), (IPMT($N$8/12, (L207-$R$8), $R$7, $N$7)), 0)</f>
        <v>0</v>
      </c>
      <c r="O207" s="5">
        <f>IF(AND(L207&gt;='Amort. Sched.-WORST'!$R$8, L207&lt;= ($R$7+$R$8)), (PPMT($N$8/12, (L207-$R$8), $R$7, $N$7)), 0)</f>
        <v>0</v>
      </c>
      <c r="P207" s="5">
        <f>IF(CreditAmort1WORST[[#This Row],[Month]]=R$8,N$7,0)</f>
        <v>0</v>
      </c>
      <c r="Q207" s="13">
        <f>IF(AND(L207&gt;='Amort. Sched.-WORST'!$R$8, L207&lt;= ($R$7+$R$8)), Q206+O207, 0)</f>
        <v>0</v>
      </c>
      <c r="R207" s="6" t="str">
        <f>IF(AND(L207&gt;='Amort. Sched.-WORST'!$R$8, L207&lt;= ($R$7+$R$8)), N207/M207, " ")</f>
        <v xml:space="preserve"> </v>
      </c>
      <c r="S207" s="21" t="str">
        <f>IF(AND(L207&gt;='Amort. Sched.-WORST'!$R$8, L207&lt;= ($R$7+$R$8)), O207/M207, " ")</f>
        <v xml:space="preserve"> </v>
      </c>
      <c r="U207" s="22">
        <f t="shared" si="53"/>
        <v>196</v>
      </c>
      <c r="V207" s="23">
        <f>IF(AND(U207&gt;='Amort. Sched.-WORST'!$AA$8, U207&lt;= ($AA$7+$AA$8)), PMT('Amort. Sched.-WORST'!$W$8/12, 'Amort. Sched.-WORST'!$AA$7, 'Amort. Sched.-WORST'!$W$7), 0)</f>
        <v>0</v>
      </c>
      <c r="W207" s="5">
        <f>IF(AND(U207&gt;='Amort. Sched.-WORST'!$AA$8, U207&lt;= ($AA$7+$AA$8)), (IPMT($W$8/12, (U207-$AA$8), $AA$7, $W$7)), 0)</f>
        <v>0</v>
      </c>
      <c r="X207" s="23">
        <f>IF(AND(U207&gt;='Amort. Sched.-WORST'!$AA$8, U207&lt;= ($AA$7+$AA$8)), (PPMT($W$8/12, (U207-$AA$8), $AA$7, $W$7)), 0)</f>
        <v>0</v>
      </c>
      <c r="Y207" s="5">
        <f>IF(CreditAmort2WORST[[#This Row],[Month]]=AA$8,W$7,0)</f>
        <v>0</v>
      </c>
      <c r="Z207" s="13">
        <f>IF(AND(U207&gt;='Amort. Sched.-WORST'!$AA$8, U207&lt;= ($AA$7+$AA$8)), Z206+X207, 0)</f>
        <v>0</v>
      </c>
      <c r="AA207" s="24" t="str">
        <f>IF(AND(U207&gt;='Amort. Sched.-WORST'!$AA$8, U207&lt;= ($AA$7+$AA$8)), W207/V207, " ")</f>
        <v xml:space="preserve"> </v>
      </c>
      <c r="AB207" s="25" t="str">
        <f>IF(AND(U207&gt;='Amort. Sched.-WORST'!$AA$8, U207&lt;= ($AA$7+$AA$8)), X207/V207, " ")</f>
        <v xml:space="preserve"> </v>
      </c>
      <c r="AD207" s="20">
        <f t="shared" si="54"/>
        <v>196</v>
      </c>
      <c r="AE207" s="5">
        <f t="shared" si="55"/>
        <v>0</v>
      </c>
      <c r="AF207" s="5">
        <f t="shared" si="56"/>
        <v>0</v>
      </c>
      <c r="AG207" s="5">
        <f t="shared" si="57"/>
        <v>0</v>
      </c>
      <c r="AH207" s="5">
        <f>IF(CreditAmort3WORST[[#This Row],[Month]]=AJ$8,AF$7,0)</f>
        <v>0</v>
      </c>
      <c r="AI207" s="13">
        <f t="shared" si="58"/>
        <v>0</v>
      </c>
      <c r="AJ207" s="6" t="str">
        <f t="shared" si="59"/>
        <v xml:space="preserve"> </v>
      </c>
      <c r="AK207" s="21" t="str">
        <f t="shared" si="60"/>
        <v xml:space="preserve"> </v>
      </c>
      <c r="AM207" s="20">
        <f t="shared" si="61"/>
        <v>196</v>
      </c>
      <c r="AN207" s="5">
        <f t="shared" si="62"/>
        <v>0</v>
      </c>
      <c r="AO207" s="5">
        <f t="shared" si="63"/>
        <v>0</v>
      </c>
      <c r="AP207" s="5">
        <f t="shared" si="64"/>
        <v>0</v>
      </c>
      <c r="AQ207" s="5">
        <f>IF(CreditAmort4WORST[[#This Row],[Month]]=AS$8,AO$7,0)</f>
        <v>0</v>
      </c>
      <c r="AR207" s="13">
        <f t="shared" si="65"/>
        <v>0</v>
      </c>
      <c r="AS207" s="6" t="str">
        <f t="shared" si="66"/>
        <v xml:space="preserve"> </v>
      </c>
      <c r="AT207" s="21" t="str">
        <f t="shared" si="67"/>
        <v xml:space="preserve"> </v>
      </c>
    </row>
    <row r="208" spans="3:46">
      <c r="C208" s="22">
        <f t="shared" si="52"/>
        <v>197</v>
      </c>
      <c r="D208" s="23">
        <f>IF(AND(C208&gt;='Amort. Sched.-WORST'!$I$8, C208&lt;= ($I$7+$I$8)), PMT('Amort. Sched.-WORST'!$E$8/12, 'Amort. Sched.-WORST'!$I$7, 'Amort. Sched.-WORST'!$E$7), 0)</f>
        <v>-2026.0175758541329</v>
      </c>
      <c r="E208" s="5">
        <f>IF(AND(C208&gt;='Amort. Sched.-WORST'!$I$8, C208&lt;= ($I$7+$I$8)), (IPMT($E$8/12, (C208-$I$8), $I$7, $E$7)), 0)</f>
        <v>-1010.8642731888527</v>
      </c>
      <c r="F208" s="23">
        <f>IF(AND(C208&gt;='Amort. Sched.-WORST'!$I$8, C208&lt;= ($I$7+$I$8)), (PPMT($E$8/12, (C208-$I$8), $I$7, $E$7)), 0)</f>
        <v>-1015.1533026652805</v>
      </c>
      <c r="G208" s="5">
        <f>IF(MortgageAmortWORST[[#This Row],[Month]]=I$8,E$7,0)</f>
        <v>0</v>
      </c>
      <c r="H208" s="13">
        <f>IF(AND(C208&gt;='Amort. Sched.-WORST'!$I$8, C208&lt;= ($I$7+$I$8)), H207+F208, 0)</f>
        <v>150614.48767566265</v>
      </c>
      <c r="I208" s="24">
        <f>IF(AND(C208&gt;='Amort. Sched.-WORST'!$I$8, C208&lt;= ($I$7+$I$8)), E208/D208, " ")</f>
        <v>0.49894151227325378</v>
      </c>
      <c r="J208" s="25">
        <f>IF(AND(C208&gt;='Amort. Sched.-WORST'!$I$8, C208&lt;= ($I$7+$I$8)), F208/D208, " ")</f>
        <v>0.50105848772674644</v>
      </c>
      <c r="L208" s="20">
        <f t="shared" si="51"/>
        <v>197</v>
      </c>
      <c r="M208" s="5">
        <f>IF(AND(L208&gt;='Amort. Sched.-WORST'!$R$8, L208&lt;= ($R$7+$R$8)), PMT('Amort. Sched.-WORST'!$N$8/12, 'Amort. Sched.-WORST'!$R$7, 'Amort. Sched.-WORST'!$N$7), 0)</f>
        <v>0</v>
      </c>
      <c r="N208" s="5">
        <f>IF(AND(L208&gt;='Amort. Sched.-WORST'!$R$8, L208&lt;= ($R$7+$R$8)), (IPMT($N$8/12, (L208-$R$8), $R$7, $N$7)), 0)</f>
        <v>0</v>
      </c>
      <c r="O208" s="5">
        <f>IF(AND(L208&gt;='Amort. Sched.-WORST'!$R$8, L208&lt;= ($R$7+$R$8)), (PPMT($N$8/12, (L208-$R$8), $R$7, $N$7)), 0)</f>
        <v>0</v>
      </c>
      <c r="P208" s="5">
        <f>IF(CreditAmort1WORST[[#This Row],[Month]]=R$8,N$7,0)</f>
        <v>0</v>
      </c>
      <c r="Q208" s="13">
        <f>IF(AND(L208&gt;='Amort. Sched.-WORST'!$R$8, L208&lt;= ($R$7+$R$8)), Q207+O208, 0)</f>
        <v>0</v>
      </c>
      <c r="R208" s="6" t="str">
        <f>IF(AND(L208&gt;='Amort. Sched.-WORST'!$R$8, L208&lt;= ($R$7+$R$8)), N208/M208, " ")</f>
        <v xml:space="preserve"> </v>
      </c>
      <c r="S208" s="21" t="str">
        <f>IF(AND(L208&gt;='Amort. Sched.-WORST'!$R$8, L208&lt;= ($R$7+$R$8)), O208/M208, " ")</f>
        <v xml:space="preserve"> </v>
      </c>
      <c r="U208" s="22">
        <f t="shared" si="53"/>
        <v>197</v>
      </c>
      <c r="V208" s="23">
        <f>IF(AND(U208&gt;='Amort. Sched.-WORST'!$AA$8, U208&lt;= ($AA$7+$AA$8)), PMT('Amort. Sched.-WORST'!$W$8/12, 'Amort. Sched.-WORST'!$AA$7, 'Amort. Sched.-WORST'!$W$7), 0)</f>
        <v>0</v>
      </c>
      <c r="W208" s="5">
        <f>IF(AND(U208&gt;='Amort. Sched.-WORST'!$AA$8, U208&lt;= ($AA$7+$AA$8)), (IPMT($W$8/12, (U208-$AA$8), $AA$7, $W$7)), 0)</f>
        <v>0</v>
      </c>
      <c r="X208" s="23">
        <f>IF(AND(U208&gt;='Amort. Sched.-WORST'!$AA$8, U208&lt;= ($AA$7+$AA$8)), (PPMT($W$8/12, (U208-$AA$8), $AA$7, $W$7)), 0)</f>
        <v>0</v>
      </c>
      <c r="Y208" s="5">
        <f>IF(CreditAmort2WORST[[#This Row],[Month]]=AA$8,W$7,0)</f>
        <v>0</v>
      </c>
      <c r="Z208" s="13">
        <f>IF(AND(U208&gt;='Amort. Sched.-WORST'!$AA$8, U208&lt;= ($AA$7+$AA$8)), Z207+X208, 0)</f>
        <v>0</v>
      </c>
      <c r="AA208" s="24" t="str">
        <f>IF(AND(U208&gt;='Amort. Sched.-WORST'!$AA$8, U208&lt;= ($AA$7+$AA$8)), W208/V208, " ")</f>
        <v xml:space="preserve"> </v>
      </c>
      <c r="AB208" s="25" t="str">
        <f>IF(AND(U208&gt;='Amort. Sched.-WORST'!$AA$8, U208&lt;= ($AA$7+$AA$8)), X208/V208, " ")</f>
        <v xml:space="preserve"> </v>
      </c>
      <c r="AD208" s="20">
        <f t="shared" si="54"/>
        <v>197</v>
      </c>
      <c r="AE208" s="5">
        <f t="shared" si="55"/>
        <v>0</v>
      </c>
      <c r="AF208" s="5">
        <f t="shared" si="56"/>
        <v>0</v>
      </c>
      <c r="AG208" s="5">
        <f t="shared" si="57"/>
        <v>0</v>
      </c>
      <c r="AH208" s="5">
        <f>IF(CreditAmort3WORST[[#This Row],[Month]]=AJ$8,AF$7,0)</f>
        <v>0</v>
      </c>
      <c r="AI208" s="13">
        <f t="shared" si="58"/>
        <v>0</v>
      </c>
      <c r="AJ208" s="6" t="str">
        <f t="shared" si="59"/>
        <v xml:space="preserve"> </v>
      </c>
      <c r="AK208" s="21" t="str">
        <f t="shared" si="60"/>
        <v xml:space="preserve"> </v>
      </c>
      <c r="AM208" s="20">
        <f t="shared" si="61"/>
        <v>197</v>
      </c>
      <c r="AN208" s="5">
        <f t="shared" si="62"/>
        <v>0</v>
      </c>
      <c r="AO208" s="5">
        <f t="shared" si="63"/>
        <v>0</v>
      </c>
      <c r="AP208" s="5">
        <f t="shared" si="64"/>
        <v>0</v>
      </c>
      <c r="AQ208" s="5">
        <f>IF(CreditAmort4WORST[[#This Row],[Month]]=AS$8,AO$7,0)</f>
        <v>0</v>
      </c>
      <c r="AR208" s="13">
        <f t="shared" si="65"/>
        <v>0</v>
      </c>
      <c r="AS208" s="6" t="str">
        <f t="shared" si="66"/>
        <v xml:space="preserve"> </v>
      </c>
      <c r="AT208" s="21" t="str">
        <f t="shared" si="67"/>
        <v xml:space="preserve"> </v>
      </c>
    </row>
    <row r="209" spans="3:46">
      <c r="C209" s="22">
        <f t="shared" si="52"/>
        <v>198</v>
      </c>
      <c r="D209" s="23">
        <f>IF(AND(C209&gt;='Amort. Sched.-WORST'!$I$8, C209&lt;= ($I$7+$I$8)), PMT('Amort. Sched.-WORST'!$E$8/12, 'Amort. Sched.-WORST'!$I$7, 'Amort. Sched.-WORST'!$E$7), 0)</f>
        <v>-2026.0175758541329</v>
      </c>
      <c r="E209" s="5">
        <f>IF(AND(C209&gt;='Amort. Sched.-WORST'!$I$8, C209&lt;= ($I$7+$I$8)), (IPMT($E$8/12, (C209-$I$8), $I$7, $E$7)), 0)</f>
        <v>-1004.0965845044175</v>
      </c>
      <c r="F209" s="23">
        <f>IF(AND(C209&gt;='Amort. Sched.-WORST'!$I$8, C209&lt;= ($I$7+$I$8)), (PPMT($E$8/12, (C209-$I$8), $I$7, $E$7)), 0)</f>
        <v>-1021.9209913497157</v>
      </c>
      <c r="G209" s="5">
        <f>IF(MortgageAmortWORST[[#This Row],[Month]]=I$8,E$7,0)</f>
        <v>0</v>
      </c>
      <c r="H209" s="13">
        <f>IF(AND(C209&gt;='Amort. Sched.-WORST'!$I$8, C209&lt;= ($I$7+$I$8)), H208+F209, 0)</f>
        <v>149592.56668431294</v>
      </c>
      <c r="I209" s="24">
        <f>IF(AND(C209&gt;='Amort. Sched.-WORST'!$I$8, C209&lt;= ($I$7+$I$8)), E209/D209, " ")</f>
        <v>0.49560112235507542</v>
      </c>
      <c r="J209" s="25">
        <f>IF(AND(C209&gt;='Amort. Sched.-WORST'!$I$8, C209&lt;= ($I$7+$I$8)), F209/D209, " ")</f>
        <v>0.50439887764492464</v>
      </c>
      <c r="L209" s="20">
        <f t="shared" si="51"/>
        <v>198</v>
      </c>
      <c r="M209" s="5">
        <f>IF(AND(L209&gt;='Amort. Sched.-WORST'!$R$8, L209&lt;= ($R$7+$R$8)), PMT('Amort. Sched.-WORST'!$N$8/12, 'Amort. Sched.-WORST'!$R$7, 'Amort. Sched.-WORST'!$N$7), 0)</f>
        <v>0</v>
      </c>
      <c r="N209" s="5">
        <f>IF(AND(L209&gt;='Amort. Sched.-WORST'!$R$8, L209&lt;= ($R$7+$R$8)), (IPMT($N$8/12, (L209-$R$8), $R$7, $N$7)), 0)</f>
        <v>0</v>
      </c>
      <c r="O209" s="5">
        <f>IF(AND(L209&gt;='Amort. Sched.-WORST'!$R$8, L209&lt;= ($R$7+$R$8)), (PPMT($N$8/12, (L209-$R$8), $R$7, $N$7)), 0)</f>
        <v>0</v>
      </c>
      <c r="P209" s="5">
        <f>IF(CreditAmort1WORST[[#This Row],[Month]]=R$8,N$7,0)</f>
        <v>0</v>
      </c>
      <c r="Q209" s="13">
        <f>IF(AND(L209&gt;='Amort. Sched.-WORST'!$R$8, L209&lt;= ($R$7+$R$8)), Q208+O209, 0)</f>
        <v>0</v>
      </c>
      <c r="R209" s="6" t="str">
        <f>IF(AND(L209&gt;='Amort. Sched.-WORST'!$R$8, L209&lt;= ($R$7+$R$8)), N209/M209, " ")</f>
        <v xml:space="preserve"> </v>
      </c>
      <c r="S209" s="21" t="str">
        <f>IF(AND(L209&gt;='Amort. Sched.-WORST'!$R$8, L209&lt;= ($R$7+$R$8)), O209/M209, " ")</f>
        <v xml:space="preserve"> </v>
      </c>
      <c r="U209" s="22">
        <f t="shared" si="53"/>
        <v>198</v>
      </c>
      <c r="V209" s="23">
        <f>IF(AND(U209&gt;='Amort. Sched.-WORST'!$AA$8, U209&lt;= ($AA$7+$AA$8)), PMT('Amort. Sched.-WORST'!$W$8/12, 'Amort. Sched.-WORST'!$AA$7, 'Amort. Sched.-WORST'!$W$7), 0)</f>
        <v>0</v>
      </c>
      <c r="W209" s="5">
        <f>IF(AND(U209&gt;='Amort. Sched.-WORST'!$AA$8, U209&lt;= ($AA$7+$AA$8)), (IPMT($W$8/12, (U209-$AA$8), $AA$7, $W$7)), 0)</f>
        <v>0</v>
      </c>
      <c r="X209" s="23">
        <f>IF(AND(U209&gt;='Amort. Sched.-WORST'!$AA$8, U209&lt;= ($AA$7+$AA$8)), (PPMT($W$8/12, (U209-$AA$8), $AA$7, $W$7)), 0)</f>
        <v>0</v>
      </c>
      <c r="Y209" s="5">
        <f>IF(CreditAmort2WORST[[#This Row],[Month]]=AA$8,W$7,0)</f>
        <v>0</v>
      </c>
      <c r="Z209" s="13">
        <f>IF(AND(U209&gt;='Amort. Sched.-WORST'!$AA$8, U209&lt;= ($AA$7+$AA$8)), Z208+X209, 0)</f>
        <v>0</v>
      </c>
      <c r="AA209" s="24" t="str">
        <f>IF(AND(U209&gt;='Amort. Sched.-WORST'!$AA$8, U209&lt;= ($AA$7+$AA$8)), W209/V209, " ")</f>
        <v xml:space="preserve"> </v>
      </c>
      <c r="AB209" s="25" t="str">
        <f>IF(AND(U209&gt;='Amort. Sched.-WORST'!$AA$8, U209&lt;= ($AA$7+$AA$8)), X209/V209, " ")</f>
        <v xml:space="preserve"> </v>
      </c>
      <c r="AD209" s="20">
        <f t="shared" si="54"/>
        <v>198</v>
      </c>
      <c r="AE209" s="5">
        <f t="shared" si="55"/>
        <v>0</v>
      </c>
      <c r="AF209" s="5">
        <f t="shared" si="56"/>
        <v>0</v>
      </c>
      <c r="AG209" s="5">
        <f t="shared" si="57"/>
        <v>0</v>
      </c>
      <c r="AH209" s="5">
        <f>IF(CreditAmort3WORST[[#This Row],[Month]]=AJ$8,AF$7,0)</f>
        <v>0</v>
      </c>
      <c r="AI209" s="13">
        <f t="shared" si="58"/>
        <v>0</v>
      </c>
      <c r="AJ209" s="6" t="str">
        <f t="shared" si="59"/>
        <v xml:space="preserve"> </v>
      </c>
      <c r="AK209" s="21" t="str">
        <f t="shared" si="60"/>
        <v xml:space="preserve"> </v>
      </c>
      <c r="AM209" s="20">
        <f t="shared" si="61"/>
        <v>198</v>
      </c>
      <c r="AN209" s="5">
        <f t="shared" si="62"/>
        <v>0</v>
      </c>
      <c r="AO209" s="5">
        <f t="shared" si="63"/>
        <v>0</v>
      </c>
      <c r="AP209" s="5">
        <f t="shared" si="64"/>
        <v>0</v>
      </c>
      <c r="AQ209" s="5">
        <f>IF(CreditAmort4WORST[[#This Row],[Month]]=AS$8,AO$7,0)</f>
        <v>0</v>
      </c>
      <c r="AR209" s="13">
        <f t="shared" si="65"/>
        <v>0</v>
      </c>
      <c r="AS209" s="6" t="str">
        <f t="shared" si="66"/>
        <v xml:space="preserve"> </v>
      </c>
      <c r="AT209" s="21" t="str">
        <f t="shared" si="67"/>
        <v xml:space="preserve"> </v>
      </c>
    </row>
    <row r="210" spans="3:46">
      <c r="C210" s="22">
        <f t="shared" si="52"/>
        <v>199</v>
      </c>
      <c r="D210" s="23">
        <f>IF(AND(C210&gt;='Amort. Sched.-WORST'!$I$8, C210&lt;= ($I$7+$I$8)), PMT('Amort. Sched.-WORST'!$E$8/12, 'Amort. Sched.-WORST'!$I$7, 'Amort. Sched.-WORST'!$E$7), 0)</f>
        <v>-2026.0175758541329</v>
      </c>
      <c r="E210" s="5">
        <f>IF(AND(C210&gt;='Amort. Sched.-WORST'!$I$8, C210&lt;= ($I$7+$I$8)), (IPMT($E$8/12, (C210-$I$8), $I$7, $E$7)), 0)</f>
        <v>-997.28377789541935</v>
      </c>
      <c r="F210" s="23">
        <f>IF(AND(C210&gt;='Amort. Sched.-WORST'!$I$8, C210&lt;= ($I$7+$I$8)), (PPMT($E$8/12, (C210-$I$8), $I$7, $E$7)), 0)</f>
        <v>-1028.7337979587137</v>
      </c>
      <c r="G210" s="5">
        <f>IF(MortgageAmortWORST[[#This Row],[Month]]=I$8,E$7,0)</f>
        <v>0</v>
      </c>
      <c r="H210" s="13">
        <f>IF(AND(C210&gt;='Amort. Sched.-WORST'!$I$8, C210&lt;= ($I$7+$I$8)), H209+F210, 0)</f>
        <v>148563.83288635424</v>
      </c>
      <c r="I210" s="24">
        <f>IF(AND(C210&gt;='Amort. Sched.-WORST'!$I$8, C210&lt;= ($I$7+$I$8)), E210/D210, " ")</f>
        <v>0.49223846317077591</v>
      </c>
      <c r="J210" s="25">
        <f>IF(AND(C210&gt;='Amort. Sched.-WORST'!$I$8, C210&lt;= ($I$7+$I$8)), F210/D210, " ")</f>
        <v>0.50776153682922409</v>
      </c>
      <c r="L210" s="20">
        <f t="shared" si="51"/>
        <v>199</v>
      </c>
      <c r="M210" s="5">
        <f>IF(AND(L210&gt;='Amort. Sched.-WORST'!$R$8, L210&lt;= ($R$7+$R$8)), PMT('Amort. Sched.-WORST'!$N$8/12, 'Amort. Sched.-WORST'!$R$7, 'Amort. Sched.-WORST'!$N$7), 0)</f>
        <v>0</v>
      </c>
      <c r="N210" s="5">
        <f>IF(AND(L210&gt;='Amort. Sched.-WORST'!$R$8, L210&lt;= ($R$7+$R$8)), (IPMT($N$8/12, (L210-$R$8), $R$7, $N$7)), 0)</f>
        <v>0</v>
      </c>
      <c r="O210" s="5">
        <f>IF(AND(L210&gt;='Amort. Sched.-WORST'!$R$8, L210&lt;= ($R$7+$R$8)), (PPMT($N$8/12, (L210-$R$8), $R$7, $N$7)), 0)</f>
        <v>0</v>
      </c>
      <c r="P210" s="5">
        <f>IF(CreditAmort1WORST[[#This Row],[Month]]=R$8,N$7,0)</f>
        <v>0</v>
      </c>
      <c r="Q210" s="13">
        <f>IF(AND(L210&gt;='Amort. Sched.-WORST'!$R$8, L210&lt;= ($R$7+$R$8)), Q209+O210, 0)</f>
        <v>0</v>
      </c>
      <c r="R210" s="6" t="str">
        <f>IF(AND(L210&gt;='Amort. Sched.-WORST'!$R$8, L210&lt;= ($R$7+$R$8)), N210/M210, " ")</f>
        <v xml:space="preserve"> </v>
      </c>
      <c r="S210" s="21" t="str">
        <f>IF(AND(L210&gt;='Amort. Sched.-WORST'!$R$8, L210&lt;= ($R$7+$R$8)), O210/M210, " ")</f>
        <v xml:space="preserve"> </v>
      </c>
      <c r="U210" s="22">
        <f t="shared" si="53"/>
        <v>199</v>
      </c>
      <c r="V210" s="23">
        <f>IF(AND(U210&gt;='Amort. Sched.-WORST'!$AA$8, U210&lt;= ($AA$7+$AA$8)), PMT('Amort. Sched.-WORST'!$W$8/12, 'Amort. Sched.-WORST'!$AA$7, 'Amort. Sched.-WORST'!$W$7), 0)</f>
        <v>0</v>
      </c>
      <c r="W210" s="5">
        <f>IF(AND(U210&gt;='Amort. Sched.-WORST'!$AA$8, U210&lt;= ($AA$7+$AA$8)), (IPMT($W$8/12, (U210-$AA$8), $AA$7, $W$7)), 0)</f>
        <v>0</v>
      </c>
      <c r="X210" s="23">
        <f>IF(AND(U210&gt;='Amort. Sched.-WORST'!$AA$8, U210&lt;= ($AA$7+$AA$8)), (PPMT($W$8/12, (U210-$AA$8), $AA$7, $W$7)), 0)</f>
        <v>0</v>
      </c>
      <c r="Y210" s="5">
        <f>IF(CreditAmort2WORST[[#This Row],[Month]]=AA$8,W$7,0)</f>
        <v>0</v>
      </c>
      <c r="Z210" s="13">
        <f>IF(AND(U210&gt;='Amort. Sched.-WORST'!$AA$8, U210&lt;= ($AA$7+$AA$8)), Z209+X210, 0)</f>
        <v>0</v>
      </c>
      <c r="AA210" s="24" t="str">
        <f>IF(AND(U210&gt;='Amort. Sched.-WORST'!$AA$8, U210&lt;= ($AA$7+$AA$8)), W210/V210, " ")</f>
        <v xml:space="preserve"> </v>
      </c>
      <c r="AB210" s="25" t="str">
        <f>IF(AND(U210&gt;='Amort. Sched.-WORST'!$AA$8, U210&lt;= ($AA$7+$AA$8)), X210/V210, " ")</f>
        <v xml:space="preserve"> </v>
      </c>
      <c r="AD210" s="20">
        <f t="shared" si="54"/>
        <v>199</v>
      </c>
      <c r="AE210" s="5">
        <f t="shared" si="55"/>
        <v>0</v>
      </c>
      <c r="AF210" s="5">
        <f t="shared" si="56"/>
        <v>0</v>
      </c>
      <c r="AG210" s="5">
        <f t="shared" si="57"/>
        <v>0</v>
      </c>
      <c r="AH210" s="5">
        <f>IF(CreditAmort3WORST[[#This Row],[Month]]=AJ$8,AF$7,0)</f>
        <v>0</v>
      </c>
      <c r="AI210" s="13">
        <f t="shared" si="58"/>
        <v>0</v>
      </c>
      <c r="AJ210" s="6" t="str">
        <f t="shared" si="59"/>
        <v xml:space="preserve"> </v>
      </c>
      <c r="AK210" s="21" t="str">
        <f t="shared" si="60"/>
        <v xml:space="preserve"> </v>
      </c>
      <c r="AM210" s="20">
        <f t="shared" si="61"/>
        <v>199</v>
      </c>
      <c r="AN210" s="5">
        <f t="shared" si="62"/>
        <v>0</v>
      </c>
      <c r="AO210" s="5">
        <f t="shared" si="63"/>
        <v>0</v>
      </c>
      <c r="AP210" s="5">
        <f t="shared" si="64"/>
        <v>0</v>
      </c>
      <c r="AQ210" s="5">
        <f>IF(CreditAmort4WORST[[#This Row],[Month]]=AS$8,AO$7,0)</f>
        <v>0</v>
      </c>
      <c r="AR210" s="13">
        <f t="shared" si="65"/>
        <v>0</v>
      </c>
      <c r="AS210" s="6" t="str">
        <f t="shared" si="66"/>
        <v xml:space="preserve"> </v>
      </c>
      <c r="AT210" s="21" t="str">
        <f t="shared" si="67"/>
        <v xml:space="preserve"> </v>
      </c>
    </row>
    <row r="211" spans="3:46">
      <c r="C211" s="22">
        <f t="shared" si="52"/>
        <v>200</v>
      </c>
      <c r="D211" s="23">
        <f>IF(AND(C211&gt;='Amort. Sched.-WORST'!$I$8, C211&lt;= ($I$7+$I$8)), PMT('Amort. Sched.-WORST'!$E$8/12, 'Amort. Sched.-WORST'!$I$7, 'Amort. Sched.-WORST'!$E$7), 0)</f>
        <v>-2026.0175758541329</v>
      </c>
      <c r="E211" s="5">
        <f>IF(AND(C211&gt;='Amort. Sched.-WORST'!$I$8, C211&lt;= ($I$7+$I$8)), (IPMT($E$8/12, (C211-$I$8), $I$7, $E$7)), 0)</f>
        <v>-990.42555257569461</v>
      </c>
      <c r="F211" s="23">
        <f>IF(AND(C211&gt;='Amort. Sched.-WORST'!$I$8, C211&lt;= ($I$7+$I$8)), (PPMT($E$8/12, (C211-$I$8), $I$7, $E$7)), 0)</f>
        <v>-1035.5920232784383</v>
      </c>
      <c r="G211" s="5">
        <f>IF(MortgageAmortWORST[[#This Row],[Month]]=I$8,E$7,0)</f>
        <v>0</v>
      </c>
      <c r="H211" s="13">
        <f>IF(AND(C211&gt;='Amort. Sched.-WORST'!$I$8, C211&lt;= ($I$7+$I$8)), H210+F211, 0)</f>
        <v>147528.2408630758</v>
      </c>
      <c r="I211" s="24">
        <f>IF(AND(C211&gt;='Amort. Sched.-WORST'!$I$8, C211&lt;= ($I$7+$I$8)), E211/D211, " ")</f>
        <v>0.4888533862585811</v>
      </c>
      <c r="J211" s="25">
        <f>IF(AND(C211&gt;='Amort. Sched.-WORST'!$I$8, C211&lt;= ($I$7+$I$8)), F211/D211, " ")</f>
        <v>0.5111466137414189</v>
      </c>
      <c r="L211" s="20">
        <f t="shared" si="51"/>
        <v>200</v>
      </c>
      <c r="M211" s="5">
        <f>IF(AND(L211&gt;='Amort. Sched.-WORST'!$R$8, L211&lt;= ($R$7+$R$8)), PMT('Amort. Sched.-WORST'!$N$8/12, 'Amort. Sched.-WORST'!$R$7, 'Amort. Sched.-WORST'!$N$7), 0)</f>
        <v>0</v>
      </c>
      <c r="N211" s="5">
        <f>IF(AND(L211&gt;='Amort. Sched.-WORST'!$R$8, L211&lt;= ($R$7+$R$8)), (IPMT($N$8/12, (L211-$R$8), $R$7, $N$7)), 0)</f>
        <v>0</v>
      </c>
      <c r="O211" s="5">
        <f>IF(AND(L211&gt;='Amort. Sched.-WORST'!$R$8, L211&lt;= ($R$7+$R$8)), (PPMT($N$8/12, (L211-$R$8), $R$7, $N$7)), 0)</f>
        <v>0</v>
      </c>
      <c r="P211" s="5">
        <f>IF(CreditAmort1WORST[[#This Row],[Month]]=R$8,N$7,0)</f>
        <v>0</v>
      </c>
      <c r="Q211" s="13">
        <f>IF(AND(L211&gt;='Amort. Sched.-WORST'!$R$8, L211&lt;= ($R$7+$R$8)), Q210+O211, 0)</f>
        <v>0</v>
      </c>
      <c r="R211" s="6" t="str">
        <f>IF(AND(L211&gt;='Amort. Sched.-WORST'!$R$8, L211&lt;= ($R$7+$R$8)), N211/M211, " ")</f>
        <v xml:space="preserve"> </v>
      </c>
      <c r="S211" s="21" t="str">
        <f>IF(AND(L211&gt;='Amort. Sched.-WORST'!$R$8, L211&lt;= ($R$7+$R$8)), O211/M211, " ")</f>
        <v xml:space="preserve"> </v>
      </c>
      <c r="U211" s="22">
        <f t="shared" si="53"/>
        <v>200</v>
      </c>
      <c r="V211" s="23">
        <f>IF(AND(U211&gt;='Amort. Sched.-WORST'!$AA$8, U211&lt;= ($AA$7+$AA$8)), PMT('Amort. Sched.-WORST'!$W$8/12, 'Amort. Sched.-WORST'!$AA$7, 'Amort. Sched.-WORST'!$W$7), 0)</f>
        <v>0</v>
      </c>
      <c r="W211" s="5">
        <f>IF(AND(U211&gt;='Amort. Sched.-WORST'!$AA$8, U211&lt;= ($AA$7+$AA$8)), (IPMT($W$8/12, (U211-$AA$8), $AA$7, $W$7)), 0)</f>
        <v>0</v>
      </c>
      <c r="X211" s="23">
        <f>IF(AND(U211&gt;='Amort. Sched.-WORST'!$AA$8, U211&lt;= ($AA$7+$AA$8)), (PPMT($W$8/12, (U211-$AA$8), $AA$7, $W$7)), 0)</f>
        <v>0</v>
      </c>
      <c r="Y211" s="5">
        <f>IF(CreditAmort2WORST[[#This Row],[Month]]=AA$8,W$7,0)</f>
        <v>0</v>
      </c>
      <c r="Z211" s="13">
        <f>IF(AND(U211&gt;='Amort. Sched.-WORST'!$AA$8, U211&lt;= ($AA$7+$AA$8)), Z210+X211, 0)</f>
        <v>0</v>
      </c>
      <c r="AA211" s="24" t="str">
        <f>IF(AND(U211&gt;='Amort. Sched.-WORST'!$AA$8, U211&lt;= ($AA$7+$AA$8)), W211/V211, " ")</f>
        <v xml:space="preserve"> </v>
      </c>
      <c r="AB211" s="25" t="str">
        <f>IF(AND(U211&gt;='Amort. Sched.-WORST'!$AA$8, U211&lt;= ($AA$7+$AA$8)), X211/V211, " ")</f>
        <v xml:space="preserve"> </v>
      </c>
      <c r="AD211" s="20">
        <f t="shared" si="54"/>
        <v>200</v>
      </c>
      <c r="AE211" s="5">
        <f t="shared" si="55"/>
        <v>0</v>
      </c>
      <c r="AF211" s="5">
        <f t="shared" si="56"/>
        <v>0</v>
      </c>
      <c r="AG211" s="5">
        <f t="shared" si="57"/>
        <v>0</v>
      </c>
      <c r="AH211" s="5">
        <f>IF(CreditAmort3WORST[[#This Row],[Month]]=AJ$8,AF$7,0)</f>
        <v>0</v>
      </c>
      <c r="AI211" s="13">
        <f t="shared" si="58"/>
        <v>0</v>
      </c>
      <c r="AJ211" s="6" t="str">
        <f t="shared" si="59"/>
        <v xml:space="preserve"> </v>
      </c>
      <c r="AK211" s="21" t="str">
        <f t="shared" si="60"/>
        <v xml:space="preserve"> </v>
      </c>
      <c r="AM211" s="20">
        <f t="shared" si="61"/>
        <v>200</v>
      </c>
      <c r="AN211" s="5">
        <f t="shared" si="62"/>
        <v>0</v>
      </c>
      <c r="AO211" s="5">
        <f t="shared" si="63"/>
        <v>0</v>
      </c>
      <c r="AP211" s="5">
        <f t="shared" si="64"/>
        <v>0</v>
      </c>
      <c r="AQ211" s="5">
        <f>IF(CreditAmort4WORST[[#This Row],[Month]]=AS$8,AO$7,0)</f>
        <v>0</v>
      </c>
      <c r="AR211" s="13">
        <f t="shared" si="65"/>
        <v>0</v>
      </c>
      <c r="AS211" s="6" t="str">
        <f t="shared" si="66"/>
        <v xml:space="preserve"> </v>
      </c>
      <c r="AT211" s="21" t="str">
        <f t="shared" si="67"/>
        <v xml:space="preserve"> </v>
      </c>
    </row>
    <row r="212" spans="3:46">
      <c r="C212" s="22">
        <f t="shared" si="52"/>
        <v>201</v>
      </c>
      <c r="D212" s="23">
        <f>IF(AND(C212&gt;='Amort. Sched.-WORST'!$I$8, C212&lt;= ($I$7+$I$8)), PMT('Amort. Sched.-WORST'!$E$8/12, 'Amort. Sched.-WORST'!$I$7, 'Amort. Sched.-WORST'!$E$7), 0)</f>
        <v>-2026.0175758541329</v>
      </c>
      <c r="E212" s="5">
        <f>IF(AND(C212&gt;='Amort. Sched.-WORST'!$I$8, C212&lt;= ($I$7+$I$8)), (IPMT($E$8/12, (C212-$I$8), $I$7, $E$7)), 0)</f>
        <v>-983.52160575383834</v>
      </c>
      <c r="F212" s="23">
        <f>IF(AND(C212&gt;='Amort. Sched.-WORST'!$I$8, C212&lt;= ($I$7+$I$8)), (PPMT($E$8/12, (C212-$I$8), $I$7, $E$7)), 0)</f>
        <v>-1042.4959701002947</v>
      </c>
      <c r="G212" s="5">
        <f>IF(MortgageAmortWORST[[#This Row],[Month]]=I$8,E$7,0)</f>
        <v>0</v>
      </c>
      <c r="H212" s="13">
        <f>IF(AND(C212&gt;='Amort. Sched.-WORST'!$I$8, C212&lt;= ($I$7+$I$8)), H211+F212, 0)</f>
        <v>146485.74489297552</v>
      </c>
      <c r="I212" s="24">
        <f>IF(AND(C212&gt;='Amort. Sched.-WORST'!$I$8, C212&lt;= ($I$7+$I$8)), E212/D212, " ")</f>
        <v>0.48544574216697167</v>
      </c>
      <c r="J212" s="25">
        <f>IF(AND(C212&gt;='Amort. Sched.-WORST'!$I$8, C212&lt;= ($I$7+$I$8)), F212/D212, " ")</f>
        <v>0.51455425783302844</v>
      </c>
      <c r="L212" s="20">
        <f t="shared" si="51"/>
        <v>201</v>
      </c>
      <c r="M212" s="5">
        <f>IF(AND(L212&gt;='Amort. Sched.-WORST'!$R$8, L212&lt;= ($R$7+$R$8)), PMT('Amort. Sched.-WORST'!$N$8/12, 'Amort. Sched.-WORST'!$R$7, 'Amort. Sched.-WORST'!$N$7), 0)</f>
        <v>0</v>
      </c>
      <c r="N212" s="5">
        <f>IF(AND(L212&gt;='Amort. Sched.-WORST'!$R$8, L212&lt;= ($R$7+$R$8)), (IPMT($N$8/12, (L212-$R$8), $R$7, $N$7)), 0)</f>
        <v>0</v>
      </c>
      <c r="O212" s="5">
        <f>IF(AND(L212&gt;='Amort. Sched.-WORST'!$R$8, L212&lt;= ($R$7+$R$8)), (PPMT($N$8/12, (L212-$R$8), $R$7, $N$7)), 0)</f>
        <v>0</v>
      </c>
      <c r="P212" s="5">
        <f>IF(CreditAmort1WORST[[#This Row],[Month]]=R$8,N$7,0)</f>
        <v>0</v>
      </c>
      <c r="Q212" s="13">
        <f>IF(AND(L212&gt;='Amort. Sched.-WORST'!$R$8, L212&lt;= ($R$7+$R$8)), Q211+O212, 0)</f>
        <v>0</v>
      </c>
      <c r="R212" s="6" t="str">
        <f>IF(AND(L212&gt;='Amort. Sched.-WORST'!$R$8, L212&lt;= ($R$7+$R$8)), N212/M212, " ")</f>
        <v xml:space="preserve"> </v>
      </c>
      <c r="S212" s="21" t="str">
        <f>IF(AND(L212&gt;='Amort. Sched.-WORST'!$R$8, L212&lt;= ($R$7+$R$8)), O212/M212, " ")</f>
        <v xml:space="preserve"> </v>
      </c>
      <c r="U212" s="22">
        <f t="shared" si="53"/>
        <v>201</v>
      </c>
      <c r="V212" s="23">
        <f>IF(AND(U212&gt;='Amort. Sched.-WORST'!$AA$8, U212&lt;= ($AA$7+$AA$8)), PMT('Amort. Sched.-WORST'!$W$8/12, 'Amort. Sched.-WORST'!$AA$7, 'Amort. Sched.-WORST'!$W$7), 0)</f>
        <v>0</v>
      </c>
      <c r="W212" s="5">
        <f>IF(AND(U212&gt;='Amort. Sched.-WORST'!$AA$8, U212&lt;= ($AA$7+$AA$8)), (IPMT($W$8/12, (U212-$AA$8), $AA$7, $W$7)), 0)</f>
        <v>0</v>
      </c>
      <c r="X212" s="23">
        <f>IF(AND(U212&gt;='Amort. Sched.-WORST'!$AA$8, U212&lt;= ($AA$7+$AA$8)), (PPMT($W$8/12, (U212-$AA$8), $AA$7, $W$7)), 0)</f>
        <v>0</v>
      </c>
      <c r="Y212" s="5">
        <f>IF(CreditAmort2WORST[[#This Row],[Month]]=AA$8,W$7,0)</f>
        <v>0</v>
      </c>
      <c r="Z212" s="13">
        <f>IF(AND(U212&gt;='Amort. Sched.-WORST'!$AA$8, U212&lt;= ($AA$7+$AA$8)), Z211+X212, 0)</f>
        <v>0</v>
      </c>
      <c r="AA212" s="24" t="str">
        <f>IF(AND(U212&gt;='Amort. Sched.-WORST'!$AA$8, U212&lt;= ($AA$7+$AA$8)), W212/V212, " ")</f>
        <v xml:space="preserve"> </v>
      </c>
      <c r="AB212" s="25" t="str">
        <f>IF(AND(U212&gt;='Amort. Sched.-WORST'!$AA$8, U212&lt;= ($AA$7+$AA$8)), X212/V212, " ")</f>
        <v xml:space="preserve"> </v>
      </c>
      <c r="AD212" s="20">
        <f t="shared" si="54"/>
        <v>201</v>
      </c>
      <c r="AE212" s="5">
        <f t="shared" si="55"/>
        <v>0</v>
      </c>
      <c r="AF212" s="5">
        <f t="shared" si="56"/>
        <v>0</v>
      </c>
      <c r="AG212" s="5">
        <f t="shared" si="57"/>
        <v>0</v>
      </c>
      <c r="AH212" s="5">
        <f>IF(CreditAmort3WORST[[#This Row],[Month]]=AJ$8,AF$7,0)</f>
        <v>0</v>
      </c>
      <c r="AI212" s="13">
        <f t="shared" si="58"/>
        <v>0</v>
      </c>
      <c r="AJ212" s="6" t="str">
        <f t="shared" si="59"/>
        <v xml:space="preserve"> </v>
      </c>
      <c r="AK212" s="21" t="str">
        <f t="shared" si="60"/>
        <v xml:space="preserve"> </v>
      </c>
      <c r="AM212" s="20">
        <f t="shared" si="61"/>
        <v>201</v>
      </c>
      <c r="AN212" s="5">
        <f t="shared" si="62"/>
        <v>0</v>
      </c>
      <c r="AO212" s="5">
        <f t="shared" si="63"/>
        <v>0</v>
      </c>
      <c r="AP212" s="5">
        <f t="shared" si="64"/>
        <v>0</v>
      </c>
      <c r="AQ212" s="5">
        <f>IF(CreditAmort4WORST[[#This Row],[Month]]=AS$8,AO$7,0)</f>
        <v>0</v>
      </c>
      <c r="AR212" s="13">
        <f t="shared" si="65"/>
        <v>0</v>
      </c>
      <c r="AS212" s="6" t="str">
        <f t="shared" si="66"/>
        <v xml:space="preserve"> </v>
      </c>
      <c r="AT212" s="21" t="str">
        <f t="shared" si="67"/>
        <v xml:space="preserve"> </v>
      </c>
    </row>
    <row r="213" spans="3:46">
      <c r="C213" s="22">
        <f t="shared" si="52"/>
        <v>202</v>
      </c>
      <c r="D213" s="23">
        <f>IF(AND(C213&gt;='Amort. Sched.-WORST'!$I$8, C213&lt;= ($I$7+$I$8)), PMT('Amort. Sched.-WORST'!$E$8/12, 'Amort. Sched.-WORST'!$I$7, 'Amort. Sched.-WORST'!$E$7), 0)</f>
        <v>-2026.0175758541329</v>
      </c>
      <c r="E213" s="5">
        <f>IF(AND(C213&gt;='Amort. Sched.-WORST'!$I$8, C213&lt;= ($I$7+$I$8)), (IPMT($E$8/12, (C213-$I$8), $I$7, $E$7)), 0)</f>
        <v>-976.57163261983646</v>
      </c>
      <c r="F213" s="23">
        <f>IF(AND(C213&gt;='Amort. Sched.-WORST'!$I$8, C213&lt;= ($I$7+$I$8)), (PPMT($E$8/12, (C213-$I$8), $I$7, $E$7)), 0)</f>
        <v>-1049.4459432342965</v>
      </c>
      <c r="G213" s="5">
        <f>IF(MortgageAmortWORST[[#This Row],[Month]]=I$8,E$7,0)</f>
        <v>0</v>
      </c>
      <c r="H213" s="13">
        <f>IF(AND(C213&gt;='Amort. Sched.-WORST'!$I$8, C213&lt;= ($I$7+$I$8)), H212+F213, 0)</f>
        <v>145436.29894974123</v>
      </c>
      <c r="I213" s="24">
        <f>IF(AND(C213&gt;='Amort. Sched.-WORST'!$I$8, C213&lt;= ($I$7+$I$8)), E213/D213, " ")</f>
        <v>0.48201538044808484</v>
      </c>
      <c r="J213" s="25">
        <f>IF(AND(C213&gt;='Amort. Sched.-WORST'!$I$8, C213&lt;= ($I$7+$I$8)), F213/D213, " ")</f>
        <v>0.51798461955191522</v>
      </c>
      <c r="L213" s="20">
        <f t="shared" si="51"/>
        <v>202</v>
      </c>
      <c r="M213" s="5">
        <f>IF(AND(L213&gt;='Amort. Sched.-WORST'!$R$8, L213&lt;= ($R$7+$R$8)), PMT('Amort. Sched.-WORST'!$N$8/12, 'Amort. Sched.-WORST'!$R$7, 'Amort. Sched.-WORST'!$N$7), 0)</f>
        <v>0</v>
      </c>
      <c r="N213" s="5">
        <f>IF(AND(L213&gt;='Amort. Sched.-WORST'!$R$8, L213&lt;= ($R$7+$R$8)), (IPMT($N$8/12, (L213-$R$8), $R$7, $N$7)), 0)</f>
        <v>0</v>
      </c>
      <c r="O213" s="5">
        <f>IF(AND(L213&gt;='Amort. Sched.-WORST'!$R$8, L213&lt;= ($R$7+$R$8)), (PPMT($N$8/12, (L213-$R$8), $R$7, $N$7)), 0)</f>
        <v>0</v>
      </c>
      <c r="P213" s="5">
        <f>IF(CreditAmort1WORST[[#This Row],[Month]]=R$8,N$7,0)</f>
        <v>0</v>
      </c>
      <c r="Q213" s="13">
        <f>IF(AND(L213&gt;='Amort. Sched.-WORST'!$R$8, L213&lt;= ($R$7+$R$8)), Q212+O213, 0)</f>
        <v>0</v>
      </c>
      <c r="R213" s="6" t="str">
        <f>IF(AND(L213&gt;='Amort. Sched.-WORST'!$R$8, L213&lt;= ($R$7+$R$8)), N213/M213, " ")</f>
        <v xml:space="preserve"> </v>
      </c>
      <c r="S213" s="21" t="str">
        <f>IF(AND(L213&gt;='Amort. Sched.-WORST'!$R$8, L213&lt;= ($R$7+$R$8)), O213/M213, " ")</f>
        <v xml:space="preserve"> </v>
      </c>
      <c r="U213" s="22">
        <f t="shared" si="53"/>
        <v>202</v>
      </c>
      <c r="V213" s="23">
        <f>IF(AND(U213&gt;='Amort. Sched.-WORST'!$AA$8, U213&lt;= ($AA$7+$AA$8)), PMT('Amort. Sched.-WORST'!$W$8/12, 'Amort. Sched.-WORST'!$AA$7, 'Amort. Sched.-WORST'!$W$7), 0)</f>
        <v>0</v>
      </c>
      <c r="W213" s="5">
        <f>IF(AND(U213&gt;='Amort. Sched.-WORST'!$AA$8, U213&lt;= ($AA$7+$AA$8)), (IPMT($W$8/12, (U213-$AA$8), $AA$7, $W$7)), 0)</f>
        <v>0</v>
      </c>
      <c r="X213" s="23">
        <f>IF(AND(U213&gt;='Amort. Sched.-WORST'!$AA$8, U213&lt;= ($AA$7+$AA$8)), (PPMT($W$8/12, (U213-$AA$8), $AA$7, $W$7)), 0)</f>
        <v>0</v>
      </c>
      <c r="Y213" s="5">
        <f>IF(CreditAmort2WORST[[#This Row],[Month]]=AA$8,W$7,0)</f>
        <v>0</v>
      </c>
      <c r="Z213" s="13">
        <f>IF(AND(U213&gt;='Amort. Sched.-WORST'!$AA$8, U213&lt;= ($AA$7+$AA$8)), Z212+X213, 0)</f>
        <v>0</v>
      </c>
      <c r="AA213" s="24" t="str">
        <f>IF(AND(U213&gt;='Amort. Sched.-WORST'!$AA$8, U213&lt;= ($AA$7+$AA$8)), W213/V213, " ")</f>
        <v xml:space="preserve"> </v>
      </c>
      <c r="AB213" s="25" t="str">
        <f>IF(AND(U213&gt;='Amort. Sched.-WORST'!$AA$8, U213&lt;= ($AA$7+$AA$8)), X213/V213, " ")</f>
        <v xml:space="preserve"> </v>
      </c>
      <c r="AD213" s="20">
        <f t="shared" si="54"/>
        <v>202</v>
      </c>
      <c r="AE213" s="5">
        <f t="shared" si="55"/>
        <v>0</v>
      </c>
      <c r="AF213" s="5">
        <f t="shared" si="56"/>
        <v>0</v>
      </c>
      <c r="AG213" s="5">
        <f t="shared" si="57"/>
        <v>0</v>
      </c>
      <c r="AH213" s="5">
        <f>IF(CreditAmort3WORST[[#This Row],[Month]]=AJ$8,AF$7,0)</f>
        <v>0</v>
      </c>
      <c r="AI213" s="13">
        <f t="shared" si="58"/>
        <v>0</v>
      </c>
      <c r="AJ213" s="6" t="str">
        <f t="shared" si="59"/>
        <v xml:space="preserve"> </v>
      </c>
      <c r="AK213" s="21" t="str">
        <f t="shared" si="60"/>
        <v xml:space="preserve"> </v>
      </c>
      <c r="AM213" s="20">
        <f t="shared" si="61"/>
        <v>202</v>
      </c>
      <c r="AN213" s="5">
        <f t="shared" si="62"/>
        <v>0</v>
      </c>
      <c r="AO213" s="5">
        <f t="shared" si="63"/>
        <v>0</v>
      </c>
      <c r="AP213" s="5">
        <f t="shared" si="64"/>
        <v>0</v>
      </c>
      <c r="AQ213" s="5">
        <f>IF(CreditAmort4WORST[[#This Row],[Month]]=AS$8,AO$7,0)</f>
        <v>0</v>
      </c>
      <c r="AR213" s="13">
        <f t="shared" si="65"/>
        <v>0</v>
      </c>
      <c r="AS213" s="6" t="str">
        <f t="shared" si="66"/>
        <v xml:space="preserve"> </v>
      </c>
      <c r="AT213" s="21" t="str">
        <f t="shared" si="67"/>
        <v xml:space="preserve"> </v>
      </c>
    </row>
    <row r="214" spans="3:46">
      <c r="C214" s="22">
        <f t="shared" si="52"/>
        <v>203</v>
      </c>
      <c r="D214" s="23">
        <f>IF(AND(C214&gt;='Amort. Sched.-WORST'!$I$8, C214&lt;= ($I$7+$I$8)), PMT('Amort. Sched.-WORST'!$E$8/12, 'Amort. Sched.-WORST'!$I$7, 'Amort. Sched.-WORST'!$E$7), 0)</f>
        <v>-2026.0175758541329</v>
      </c>
      <c r="E214" s="5">
        <f>IF(AND(C214&gt;='Amort. Sched.-WORST'!$I$8, C214&lt;= ($I$7+$I$8)), (IPMT($E$8/12, (C214-$I$8), $I$7, $E$7)), 0)</f>
        <v>-969.57532633160793</v>
      </c>
      <c r="F214" s="23">
        <f>IF(AND(C214&gt;='Amort. Sched.-WORST'!$I$8, C214&lt;= ($I$7+$I$8)), (PPMT($E$8/12, (C214-$I$8), $I$7, $E$7)), 0)</f>
        <v>-1056.4422495225253</v>
      </c>
      <c r="G214" s="5">
        <f>IF(MortgageAmortWORST[[#This Row],[Month]]=I$8,E$7,0)</f>
        <v>0</v>
      </c>
      <c r="H214" s="13">
        <f>IF(AND(C214&gt;='Amort. Sched.-WORST'!$I$8, C214&lt;= ($I$7+$I$8)), H213+F214, 0)</f>
        <v>144379.85670021872</v>
      </c>
      <c r="I214" s="24">
        <f>IF(AND(C214&gt;='Amort. Sched.-WORST'!$I$8, C214&lt;= ($I$7+$I$8)), E214/D214, " ")</f>
        <v>0.47856214965107213</v>
      </c>
      <c r="J214" s="25">
        <f>IF(AND(C214&gt;='Amort. Sched.-WORST'!$I$8, C214&lt;= ($I$7+$I$8)), F214/D214, " ")</f>
        <v>0.52143785034892809</v>
      </c>
      <c r="L214" s="20">
        <f t="shared" si="51"/>
        <v>203</v>
      </c>
      <c r="M214" s="5">
        <f>IF(AND(L214&gt;='Amort. Sched.-WORST'!$R$8, L214&lt;= ($R$7+$R$8)), PMT('Amort. Sched.-WORST'!$N$8/12, 'Amort. Sched.-WORST'!$R$7, 'Amort. Sched.-WORST'!$N$7), 0)</f>
        <v>0</v>
      </c>
      <c r="N214" s="5">
        <f>IF(AND(L214&gt;='Amort. Sched.-WORST'!$R$8, L214&lt;= ($R$7+$R$8)), (IPMT($N$8/12, (L214-$R$8), $R$7, $N$7)), 0)</f>
        <v>0</v>
      </c>
      <c r="O214" s="5">
        <f>IF(AND(L214&gt;='Amort. Sched.-WORST'!$R$8, L214&lt;= ($R$7+$R$8)), (PPMT($N$8/12, (L214-$R$8), $R$7, $N$7)), 0)</f>
        <v>0</v>
      </c>
      <c r="P214" s="5">
        <f>IF(CreditAmort1WORST[[#This Row],[Month]]=R$8,N$7,0)</f>
        <v>0</v>
      </c>
      <c r="Q214" s="13">
        <f>IF(AND(L214&gt;='Amort. Sched.-WORST'!$R$8, L214&lt;= ($R$7+$R$8)), Q213+O214, 0)</f>
        <v>0</v>
      </c>
      <c r="R214" s="6" t="str">
        <f>IF(AND(L214&gt;='Amort. Sched.-WORST'!$R$8, L214&lt;= ($R$7+$R$8)), N214/M214, " ")</f>
        <v xml:space="preserve"> </v>
      </c>
      <c r="S214" s="21" t="str">
        <f>IF(AND(L214&gt;='Amort. Sched.-WORST'!$R$8, L214&lt;= ($R$7+$R$8)), O214/M214, " ")</f>
        <v xml:space="preserve"> </v>
      </c>
      <c r="U214" s="22">
        <f t="shared" si="53"/>
        <v>203</v>
      </c>
      <c r="V214" s="23">
        <f>IF(AND(U214&gt;='Amort. Sched.-WORST'!$AA$8, U214&lt;= ($AA$7+$AA$8)), PMT('Amort. Sched.-WORST'!$W$8/12, 'Amort. Sched.-WORST'!$AA$7, 'Amort. Sched.-WORST'!$W$7), 0)</f>
        <v>0</v>
      </c>
      <c r="W214" s="5">
        <f>IF(AND(U214&gt;='Amort. Sched.-WORST'!$AA$8, U214&lt;= ($AA$7+$AA$8)), (IPMT($W$8/12, (U214-$AA$8), $AA$7, $W$7)), 0)</f>
        <v>0</v>
      </c>
      <c r="X214" s="23">
        <f>IF(AND(U214&gt;='Amort. Sched.-WORST'!$AA$8, U214&lt;= ($AA$7+$AA$8)), (PPMT($W$8/12, (U214-$AA$8), $AA$7, $W$7)), 0)</f>
        <v>0</v>
      </c>
      <c r="Y214" s="5">
        <f>IF(CreditAmort2WORST[[#This Row],[Month]]=AA$8,W$7,0)</f>
        <v>0</v>
      </c>
      <c r="Z214" s="13">
        <f>IF(AND(U214&gt;='Amort. Sched.-WORST'!$AA$8, U214&lt;= ($AA$7+$AA$8)), Z213+X214, 0)</f>
        <v>0</v>
      </c>
      <c r="AA214" s="24" t="str">
        <f>IF(AND(U214&gt;='Amort. Sched.-WORST'!$AA$8, U214&lt;= ($AA$7+$AA$8)), W214/V214, " ")</f>
        <v xml:space="preserve"> </v>
      </c>
      <c r="AB214" s="25" t="str">
        <f>IF(AND(U214&gt;='Amort. Sched.-WORST'!$AA$8, U214&lt;= ($AA$7+$AA$8)), X214/V214, " ")</f>
        <v xml:space="preserve"> </v>
      </c>
      <c r="AD214" s="20">
        <f t="shared" si="54"/>
        <v>203</v>
      </c>
      <c r="AE214" s="5">
        <f t="shared" si="55"/>
        <v>0</v>
      </c>
      <c r="AF214" s="5">
        <f t="shared" si="56"/>
        <v>0</v>
      </c>
      <c r="AG214" s="5">
        <f t="shared" si="57"/>
        <v>0</v>
      </c>
      <c r="AH214" s="5">
        <f>IF(CreditAmort3WORST[[#This Row],[Month]]=AJ$8,AF$7,0)</f>
        <v>0</v>
      </c>
      <c r="AI214" s="13">
        <f t="shared" si="58"/>
        <v>0</v>
      </c>
      <c r="AJ214" s="6" t="str">
        <f t="shared" si="59"/>
        <v xml:space="preserve"> </v>
      </c>
      <c r="AK214" s="21" t="str">
        <f t="shared" si="60"/>
        <v xml:space="preserve"> </v>
      </c>
      <c r="AM214" s="20">
        <f t="shared" si="61"/>
        <v>203</v>
      </c>
      <c r="AN214" s="5">
        <f t="shared" si="62"/>
        <v>0</v>
      </c>
      <c r="AO214" s="5">
        <f t="shared" si="63"/>
        <v>0</v>
      </c>
      <c r="AP214" s="5">
        <f t="shared" si="64"/>
        <v>0</v>
      </c>
      <c r="AQ214" s="5">
        <f>IF(CreditAmort4WORST[[#This Row],[Month]]=AS$8,AO$7,0)</f>
        <v>0</v>
      </c>
      <c r="AR214" s="13">
        <f t="shared" si="65"/>
        <v>0</v>
      </c>
      <c r="AS214" s="6" t="str">
        <f t="shared" si="66"/>
        <v xml:space="preserve"> </v>
      </c>
      <c r="AT214" s="21" t="str">
        <f t="shared" si="67"/>
        <v xml:space="preserve"> </v>
      </c>
    </row>
    <row r="215" spans="3:46">
      <c r="C215" s="22">
        <f t="shared" si="52"/>
        <v>204</v>
      </c>
      <c r="D215" s="23">
        <f>IF(AND(C215&gt;='Amort. Sched.-WORST'!$I$8, C215&lt;= ($I$7+$I$8)), PMT('Amort. Sched.-WORST'!$E$8/12, 'Amort. Sched.-WORST'!$I$7, 'Amort. Sched.-WORST'!$E$7), 0)</f>
        <v>-2026.0175758541329</v>
      </c>
      <c r="E215" s="5">
        <f>IF(AND(C215&gt;='Amort. Sched.-WORST'!$I$8, C215&lt;= ($I$7+$I$8)), (IPMT($E$8/12, (C215-$I$8), $I$7, $E$7)), 0)</f>
        <v>-962.53237800145746</v>
      </c>
      <c r="F215" s="23">
        <f>IF(AND(C215&gt;='Amort. Sched.-WORST'!$I$8, C215&lt;= ($I$7+$I$8)), (PPMT($E$8/12, (C215-$I$8), $I$7, $E$7)), 0)</f>
        <v>-1063.4851978526754</v>
      </c>
      <c r="G215" s="5">
        <f>IF(MortgageAmortWORST[[#This Row],[Month]]=I$8,E$7,0)</f>
        <v>0</v>
      </c>
      <c r="H215" s="13">
        <f>IF(AND(C215&gt;='Amort. Sched.-WORST'!$I$8, C215&lt;= ($I$7+$I$8)), H214+F215, 0)</f>
        <v>143316.37150236603</v>
      </c>
      <c r="I215" s="24">
        <f>IF(AND(C215&gt;='Amort. Sched.-WORST'!$I$8, C215&lt;= ($I$7+$I$8)), E215/D215, " ")</f>
        <v>0.47508589731541245</v>
      </c>
      <c r="J215" s="25">
        <f>IF(AND(C215&gt;='Amort. Sched.-WORST'!$I$8, C215&lt;= ($I$7+$I$8)), F215/D215, " ")</f>
        <v>0.52491410268458749</v>
      </c>
      <c r="L215" s="20">
        <f t="shared" si="51"/>
        <v>204</v>
      </c>
      <c r="M215" s="5">
        <f>IF(AND(L215&gt;='Amort. Sched.-WORST'!$R$8, L215&lt;= ($R$7+$R$8)), PMT('Amort. Sched.-WORST'!$N$8/12, 'Amort. Sched.-WORST'!$R$7, 'Amort. Sched.-WORST'!$N$7), 0)</f>
        <v>0</v>
      </c>
      <c r="N215" s="5">
        <f>IF(AND(L215&gt;='Amort. Sched.-WORST'!$R$8, L215&lt;= ($R$7+$R$8)), (IPMT($N$8/12, (L215-$R$8), $R$7, $N$7)), 0)</f>
        <v>0</v>
      </c>
      <c r="O215" s="5">
        <f>IF(AND(L215&gt;='Amort. Sched.-WORST'!$R$8, L215&lt;= ($R$7+$R$8)), (PPMT($N$8/12, (L215-$R$8), $R$7, $N$7)), 0)</f>
        <v>0</v>
      </c>
      <c r="P215" s="5">
        <f>IF(CreditAmort1WORST[[#This Row],[Month]]=R$8,N$7,0)</f>
        <v>0</v>
      </c>
      <c r="Q215" s="13">
        <f>IF(AND(L215&gt;='Amort. Sched.-WORST'!$R$8, L215&lt;= ($R$7+$R$8)), Q214+O215, 0)</f>
        <v>0</v>
      </c>
      <c r="R215" s="6" t="str">
        <f>IF(AND(L215&gt;='Amort. Sched.-WORST'!$R$8, L215&lt;= ($R$7+$R$8)), N215/M215, " ")</f>
        <v xml:space="preserve"> </v>
      </c>
      <c r="S215" s="21" t="str">
        <f>IF(AND(L215&gt;='Amort. Sched.-WORST'!$R$8, L215&lt;= ($R$7+$R$8)), O215/M215, " ")</f>
        <v xml:space="preserve"> </v>
      </c>
      <c r="U215" s="22">
        <f t="shared" si="53"/>
        <v>204</v>
      </c>
      <c r="V215" s="23">
        <f>IF(AND(U215&gt;='Amort. Sched.-WORST'!$AA$8, U215&lt;= ($AA$7+$AA$8)), PMT('Amort. Sched.-WORST'!$W$8/12, 'Amort. Sched.-WORST'!$AA$7, 'Amort. Sched.-WORST'!$W$7), 0)</f>
        <v>0</v>
      </c>
      <c r="W215" s="5">
        <f>IF(AND(U215&gt;='Amort. Sched.-WORST'!$AA$8, U215&lt;= ($AA$7+$AA$8)), (IPMT($W$8/12, (U215-$AA$8), $AA$7, $W$7)), 0)</f>
        <v>0</v>
      </c>
      <c r="X215" s="23">
        <f>IF(AND(U215&gt;='Amort. Sched.-WORST'!$AA$8, U215&lt;= ($AA$7+$AA$8)), (PPMT($W$8/12, (U215-$AA$8), $AA$7, $W$7)), 0)</f>
        <v>0</v>
      </c>
      <c r="Y215" s="5">
        <f>IF(CreditAmort2WORST[[#This Row],[Month]]=AA$8,W$7,0)</f>
        <v>0</v>
      </c>
      <c r="Z215" s="13">
        <f>IF(AND(U215&gt;='Amort. Sched.-WORST'!$AA$8, U215&lt;= ($AA$7+$AA$8)), Z214+X215, 0)</f>
        <v>0</v>
      </c>
      <c r="AA215" s="24" t="str">
        <f>IF(AND(U215&gt;='Amort. Sched.-WORST'!$AA$8, U215&lt;= ($AA$7+$AA$8)), W215/V215, " ")</f>
        <v xml:space="preserve"> </v>
      </c>
      <c r="AB215" s="25" t="str">
        <f>IF(AND(U215&gt;='Amort. Sched.-WORST'!$AA$8, U215&lt;= ($AA$7+$AA$8)), X215/V215, " ")</f>
        <v xml:space="preserve"> </v>
      </c>
      <c r="AD215" s="20">
        <f t="shared" si="54"/>
        <v>204</v>
      </c>
      <c r="AE215" s="5">
        <f t="shared" si="55"/>
        <v>0</v>
      </c>
      <c r="AF215" s="5">
        <f t="shared" si="56"/>
        <v>0</v>
      </c>
      <c r="AG215" s="5">
        <f t="shared" si="57"/>
        <v>0</v>
      </c>
      <c r="AH215" s="5">
        <f>IF(CreditAmort3WORST[[#This Row],[Month]]=AJ$8,AF$7,0)</f>
        <v>0</v>
      </c>
      <c r="AI215" s="13">
        <f t="shared" si="58"/>
        <v>0</v>
      </c>
      <c r="AJ215" s="6" t="str">
        <f t="shared" si="59"/>
        <v xml:space="preserve"> </v>
      </c>
      <c r="AK215" s="21" t="str">
        <f t="shared" si="60"/>
        <v xml:space="preserve"> </v>
      </c>
      <c r="AM215" s="20">
        <f t="shared" si="61"/>
        <v>204</v>
      </c>
      <c r="AN215" s="5">
        <f t="shared" si="62"/>
        <v>0</v>
      </c>
      <c r="AO215" s="5">
        <f t="shared" si="63"/>
        <v>0</v>
      </c>
      <c r="AP215" s="5">
        <f t="shared" si="64"/>
        <v>0</v>
      </c>
      <c r="AQ215" s="5">
        <f>IF(CreditAmort4WORST[[#This Row],[Month]]=AS$8,AO$7,0)</f>
        <v>0</v>
      </c>
      <c r="AR215" s="13">
        <f t="shared" si="65"/>
        <v>0</v>
      </c>
      <c r="AS215" s="6" t="str">
        <f t="shared" si="66"/>
        <v xml:space="preserve"> </v>
      </c>
      <c r="AT215" s="21" t="str">
        <f t="shared" si="67"/>
        <v xml:space="preserve"> </v>
      </c>
    </row>
    <row r="216" spans="3:46">
      <c r="C216" s="22">
        <f t="shared" si="52"/>
        <v>205</v>
      </c>
      <c r="D216" s="23">
        <f>IF(AND(C216&gt;='Amort. Sched.-WORST'!$I$8, C216&lt;= ($I$7+$I$8)), PMT('Amort. Sched.-WORST'!$E$8/12, 'Amort. Sched.-WORST'!$I$7, 'Amort. Sched.-WORST'!$E$7), 0)</f>
        <v>-2026.0175758541329</v>
      </c>
      <c r="E216" s="5">
        <f>IF(AND(C216&gt;='Amort. Sched.-WORST'!$I$8, C216&lt;= ($I$7+$I$8)), (IPMT($E$8/12, (C216-$I$8), $I$7, $E$7)), 0)</f>
        <v>-955.44247668243975</v>
      </c>
      <c r="F216" s="23">
        <f>IF(AND(C216&gt;='Amort. Sched.-WORST'!$I$8, C216&lt;= ($I$7+$I$8)), (PPMT($E$8/12, (C216-$I$8), $I$7, $E$7)), 0)</f>
        <v>-1070.5750991716934</v>
      </c>
      <c r="G216" s="5">
        <f>IF(MortgageAmortWORST[[#This Row],[Month]]=I$8,E$7,0)</f>
        <v>0</v>
      </c>
      <c r="H216" s="13">
        <f>IF(AND(C216&gt;='Amort. Sched.-WORST'!$I$8, C216&lt;= ($I$7+$I$8)), H215+F216, 0)</f>
        <v>142245.79640319434</v>
      </c>
      <c r="I216" s="24">
        <f>IF(AND(C216&gt;='Amort. Sched.-WORST'!$I$8, C216&lt;= ($I$7+$I$8)), E216/D216, " ")</f>
        <v>0.47158646996418191</v>
      </c>
      <c r="J216" s="25">
        <f>IF(AND(C216&gt;='Amort. Sched.-WORST'!$I$8, C216&lt;= ($I$7+$I$8)), F216/D216, " ")</f>
        <v>0.52841353003581815</v>
      </c>
      <c r="L216" s="20">
        <f t="shared" si="51"/>
        <v>205</v>
      </c>
      <c r="M216" s="5">
        <f>IF(AND(L216&gt;='Amort. Sched.-WORST'!$R$8, L216&lt;= ($R$7+$R$8)), PMT('Amort. Sched.-WORST'!$N$8/12, 'Amort. Sched.-WORST'!$R$7, 'Amort. Sched.-WORST'!$N$7), 0)</f>
        <v>0</v>
      </c>
      <c r="N216" s="5">
        <f>IF(AND(L216&gt;='Amort. Sched.-WORST'!$R$8, L216&lt;= ($R$7+$R$8)), (IPMT($N$8/12, (L216-$R$8), $R$7, $N$7)), 0)</f>
        <v>0</v>
      </c>
      <c r="O216" s="5">
        <f>IF(AND(L216&gt;='Amort. Sched.-WORST'!$R$8, L216&lt;= ($R$7+$R$8)), (PPMT($N$8/12, (L216-$R$8), $R$7, $N$7)), 0)</f>
        <v>0</v>
      </c>
      <c r="P216" s="5">
        <f>IF(CreditAmort1WORST[[#This Row],[Month]]=R$8,N$7,0)</f>
        <v>0</v>
      </c>
      <c r="Q216" s="13">
        <f>IF(AND(L216&gt;='Amort. Sched.-WORST'!$R$8, L216&lt;= ($R$7+$R$8)), Q215+O216, 0)</f>
        <v>0</v>
      </c>
      <c r="R216" s="6" t="str">
        <f>IF(AND(L216&gt;='Amort. Sched.-WORST'!$R$8, L216&lt;= ($R$7+$R$8)), N216/M216, " ")</f>
        <v xml:space="preserve"> </v>
      </c>
      <c r="S216" s="21" t="str">
        <f>IF(AND(L216&gt;='Amort. Sched.-WORST'!$R$8, L216&lt;= ($R$7+$R$8)), O216/M216, " ")</f>
        <v xml:space="preserve"> </v>
      </c>
      <c r="U216" s="22">
        <f t="shared" si="53"/>
        <v>205</v>
      </c>
      <c r="V216" s="23">
        <f>IF(AND(U216&gt;='Amort. Sched.-WORST'!$AA$8, U216&lt;= ($AA$7+$AA$8)), PMT('Amort. Sched.-WORST'!$W$8/12, 'Amort. Sched.-WORST'!$AA$7, 'Amort. Sched.-WORST'!$W$7), 0)</f>
        <v>0</v>
      </c>
      <c r="W216" s="5">
        <f>IF(AND(U216&gt;='Amort. Sched.-WORST'!$AA$8, U216&lt;= ($AA$7+$AA$8)), (IPMT($W$8/12, (U216-$AA$8), $AA$7, $W$7)), 0)</f>
        <v>0</v>
      </c>
      <c r="X216" s="23">
        <f>IF(AND(U216&gt;='Amort. Sched.-WORST'!$AA$8, U216&lt;= ($AA$7+$AA$8)), (PPMT($W$8/12, (U216-$AA$8), $AA$7, $W$7)), 0)</f>
        <v>0</v>
      </c>
      <c r="Y216" s="5">
        <f>IF(CreditAmort2WORST[[#This Row],[Month]]=AA$8,W$7,0)</f>
        <v>0</v>
      </c>
      <c r="Z216" s="13">
        <f>IF(AND(U216&gt;='Amort. Sched.-WORST'!$AA$8, U216&lt;= ($AA$7+$AA$8)), Z215+X216, 0)</f>
        <v>0</v>
      </c>
      <c r="AA216" s="24" t="str">
        <f>IF(AND(U216&gt;='Amort. Sched.-WORST'!$AA$8, U216&lt;= ($AA$7+$AA$8)), W216/V216, " ")</f>
        <v xml:space="preserve"> </v>
      </c>
      <c r="AB216" s="25" t="str">
        <f>IF(AND(U216&gt;='Amort. Sched.-WORST'!$AA$8, U216&lt;= ($AA$7+$AA$8)), X216/V216, " ")</f>
        <v xml:space="preserve"> </v>
      </c>
      <c r="AD216" s="20">
        <f t="shared" si="54"/>
        <v>205</v>
      </c>
      <c r="AE216" s="5">
        <f t="shared" si="55"/>
        <v>0</v>
      </c>
      <c r="AF216" s="5">
        <f t="shared" si="56"/>
        <v>0</v>
      </c>
      <c r="AG216" s="5">
        <f t="shared" si="57"/>
        <v>0</v>
      </c>
      <c r="AH216" s="5">
        <f>IF(CreditAmort3WORST[[#This Row],[Month]]=AJ$8,AF$7,0)</f>
        <v>0</v>
      </c>
      <c r="AI216" s="13">
        <f t="shared" si="58"/>
        <v>0</v>
      </c>
      <c r="AJ216" s="6" t="str">
        <f t="shared" si="59"/>
        <v xml:space="preserve"> </v>
      </c>
      <c r="AK216" s="21" t="str">
        <f t="shared" si="60"/>
        <v xml:space="preserve"> </v>
      </c>
      <c r="AM216" s="20">
        <f t="shared" si="61"/>
        <v>205</v>
      </c>
      <c r="AN216" s="5">
        <f t="shared" si="62"/>
        <v>0</v>
      </c>
      <c r="AO216" s="5">
        <f t="shared" si="63"/>
        <v>0</v>
      </c>
      <c r="AP216" s="5">
        <f t="shared" si="64"/>
        <v>0</v>
      </c>
      <c r="AQ216" s="5">
        <f>IF(CreditAmort4WORST[[#This Row],[Month]]=AS$8,AO$7,0)</f>
        <v>0</v>
      </c>
      <c r="AR216" s="13">
        <f t="shared" si="65"/>
        <v>0</v>
      </c>
      <c r="AS216" s="6" t="str">
        <f t="shared" si="66"/>
        <v xml:space="preserve"> </v>
      </c>
      <c r="AT216" s="21" t="str">
        <f t="shared" si="67"/>
        <v xml:space="preserve"> </v>
      </c>
    </row>
    <row r="217" spans="3:46">
      <c r="C217" s="22">
        <f t="shared" si="52"/>
        <v>206</v>
      </c>
      <c r="D217" s="23">
        <f>IF(AND(C217&gt;='Amort. Sched.-WORST'!$I$8, C217&lt;= ($I$7+$I$8)), PMT('Amort. Sched.-WORST'!$E$8/12, 'Amort. Sched.-WORST'!$I$7, 'Amort. Sched.-WORST'!$E$7), 0)</f>
        <v>-2026.0175758541329</v>
      </c>
      <c r="E217" s="5">
        <f>IF(AND(C217&gt;='Amort. Sched.-WORST'!$I$8, C217&lt;= ($I$7+$I$8)), (IPMT($E$8/12, (C217-$I$8), $I$7, $E$7)), 0)</f>
        <v>-948.30530935462843</v>
      </c>
      <c r="F217" s="23">
        <f>IF(AND(C217&gt;='Amort. Sched.-WORST'!$I$8, C217&lt;= ($I$7+$I$8)), (PPMT($E$8/12, (C217-$I$8), $I$7, $E$7)), 0)</f>
        <v>-1077.7122664995045</v>
      </c>
      <c r="G217" s="5">
        <f>IF(MortgageAmortWORST[[#This Row],[Month]]=I$8,E$7,0)</f>
        <v>0</v>
      </c>
      <c r="H217" s="13">
        <f>IF(AND(C217&gt;='Amort. Sched.-WORST'!$I$8, C217&lt;= ($I$7+$I$8)), H216+F217, 0)</f>
        <v>141168.08413669484</v>
      </c>
      <c r="I217" s="24">
        <f>IF(AND(C217&gt;='Amort. Sched.-WORST'!$I$8, C217&lt;= ($I$7+$I$8)), E217/D217, " ")</f>
        <v>0.46806371309727646</v>
      </c>
      <c r="J217" s="25">
        <f>IF(AND(C217&gt;='Amort. Sched.-WORST'!$I$8, C217&lt;= ($I$7+$I$8)), F217/D217, " ")</f>
        <v>0.53193628690272354</v>
      </c>
      <c r="L217" s="20">
        <f t="shared" si="51"/>
        <v>206</v>
      </c>
      <c r="M217" s="5">
        <f>IF(AND(L217&gt;='Amort. Sched.-WORST'!$R$8, L217&lt;= ($R$7+$R$8)), PMT('Amort. Sched.-WORST'!$N$8/12, 'Amort. Sched.-WORST'!$R$7, 'Amort. Sched.-WORST'!$N$7), 0)</f>
        <v>0</v>
      </c>
      <c r="N217" s="5">
        <f>IF(AND(L217&gt;='Amort. Sched.-WORST'!$R$8, L217&lt;= ($R$7+$R$8)), (IPMT($N$8/12, (L217-$R$8), $R$7, $N$7)), 0)</f>
        <v>0</v>
      </c>
      <c r="O217" s="5">
        <f>IF(AND(L217&gt;='Amort. Sched.-WORST'!$R$8, L217&lt;= ($R$7+$R$8)), (PPMT($N$8/12, (L217-$R$8), $R$7, $N$7)), 0)</f>
        <v>0</v>
      </c>
      <c r="P217" s="5">
        <f>IF(CreditAmort1WORST[[#This Row],[Month]]=R$8,N$7,0)</f>
        <v>0</v>
      </c>
      <c r="Q217" s="13">
        <f>IF(AND(L217&gt;='Amort. Sched.-WORST'!$R$8, L217&lt;= ($R$7+$R$8)), Q216+O217, 0)</f>
        <v>0</v>
      </c>
      <c r="R217" s="6" t="str">
        <f>IF(AND(L217&gt;='Amort. Sched.-WORST'!$R$8, L217&lt;= ($R$7+$R$8)), N217/M217, " ")</f>
        <v xml:space="preserve"> </v>
      </c>
      <c r="S217" s="21" t="str">
        <f>IF(AND(L217&gt;='Amort. Sched.-WORST'!$R$8, L217&lt;= ($R$7+$R$8)), O217/M217, " ")</f>
        <v xml:space="preserve"> </v>
      </c>
      <c r="U217" s="22">
        <f t="shared" si="53"/>
        <v>206</v>
      </c>
      <c r="V217" s="23">
        <f>IF(AND(U217&gt;='Amort. Sched.-WORST'!$AA$8, U217&lt;= ($AA$7+$AA$8)), PMT('Amort. Sched.-WORST'!$W$8/12, 'Amort. Sched.-WORST'!$AA$7, 'Amort. Sched.-WORST'!$W$7), 0)</f>
        <v>0</v>
      </c>
      <c r="W217" s="5">
        <f>IF(AND(U217&gt;='Amort. Sched.-WORST'!$AA$8, U217&lt;= ($AA$7+$AA$8)), (IPMT($W$8/12, (U217-$AA$8), $AA$7, $W$7)), 0)</f>
        <v>0</v>
      </c>
      <c r="X217" s="23">
        <f>IF(AND(U217&gt;='Amort. Sched.-WORST'!$AA$8, U217&lt;= ($AA$7+$AA$8)), (PPMT($W$8/12, (U217-$AA$8), $AA$7, $W$7)), 0)</f>
        <v>0</v>
      </c>
      <c r="Y217" s="5">
        <f>IF(CreditAmort2WORST[[#This Row],[Month]]=AA$8,W$7,0)</f>
        <v>0</v>
      </c>
      <c r="Z217" s="13">
        <f>IF(AND(U217&gt;='Amort. Sched.-WORST'!$AA$8, U217&lt;= ($AA$7+$AA$8)), Z216+X217, 0)</f>
        <v>0</v>
      </c>
      <c r="AA217" s="24" t="str">
        <f>IF(AND(U217&gt;='Amort. Sched.-WORST'!$AA$8, U217&lt;= ($AA$7+$AA$8)), W217/V217, " ")</f>
        <v xml:space="preserve"> </v>
      </c>
      <c r="AB217" s="25" t="str">
        <f>IF(AND(U217&gt;='Amort. Sched.-WORST'!$AA$8, U217&lt;= ($AA$7+$AA$8)), X217/V217, " ")</f>
        <v xml:space="preserve"> </v>
      </c>
      <c r="AD217" s="20">
        <f t="shared" si="54"/>
        <v>206</v>
      </c>
      <c r="AE217" s="5">
        <f t="shared" si="55"/>
        <v>0</v>
      </c>
      <c r="AF217" s="5">
        <f t="shared" si="56"/>
        <v>0</v>
      </c>
      <c r="AG217" s="5">
        <f t="shared" si="57"/>
        <v>0</v>
      </c>
      <c r="AH217" s="5">
        <f>IF(CreditAmort3WORST[[#This Row],[Month]]=AJ$8,AF$7,0)</f>
        <v>0</v>
      </c>
      <c r="AI217" s="13">
        <f t="shared" si="58"/>
        <v>0</v>
      </c>
      <c r="AJ217" s="6" t="str">
        <f t="shared" si="59"/>
        <v xml:space="preserve"> </v>
      </c>
      <c r="AK217" s="21" t="str">
        <f t="shared" si="60"/>
        <v xml:space="preserve"> </v>
      </c>
      <c r="AM217" s="20">
        <f t="shared" si="61"/>
        <v>206</v>
      </c>
      <c r="AN217" s="5">
        <f t="shared" si="62"/>
        <v>0</v>
      </c>
      <c r="AO217" s="5">
        <f t="shared" si="63"/>
        <v>0</v>
      </c>
      <c r="AP217" s="5">
        <f t="shared" si="64"/>
        <v>0</v>
      </c>
      <c r="AQ217" s="5">
        <f>IF(CreditAmort4WORST[[#This Row],[Month]]=AS$8,AO$7,0)</f>
        <v>0</v>
      </c>
      <c r="AR217" s="13">
        <f t="shared" si="65"/>
        <v>0</v>
      </c>
      <c r="AS217" s="6" t="str">
        <f t="shared" si="66"/>
        <v xml:space="preserve"> </v>
      </c>
      <c r="AT217" s="21" t="str">
        <f t="shared" si="67"/>
        <v xml:space="preserve"> </v>
      </c>
    </row>
    <row r="218" spans="3:46">
      <c r="C218" s="22">
        <f t="shared" si="52"/>
        <v>207</v>
      </c>
      <c r="D218" s="23">
        <f>IF(AND(C218&gt;='Amort. Sched.-WORST'!$I$8, C218&lt;= ($I$7+$I$8)), PMT('Amort. Sched.-WORST'!$E$8/12, 'Amort. Sched.-WORST'!$I$7, 'Amort. Sched.-WORST'!$E$7), 0)</f>
        <v>-2026.0175758541329</v>
      </c>
      <c r="E218" s="5">
        <f>IF(AND(C218&gt;='Amort. Sched.-WORST'!$I$8, C218&lt;= ($I$7+$I$8)), (IPMT($E$8/12, (C218-$I$8), $I$7, $E$7)), 0)</f>
        <v>-941.12056091129864</v>
      </c>
      <c r="F218" s="23">
        <f>IF(AND(C218&gt;='Amort. Sched.-WORST'!$I$8, C218&lt;= ($I$7+$I$8)), (PPMT($E$8/12, (C218-$I$8), $I$7, $E$7)), 0)</f>
        <v>-1084.8970149428346</v>
      </c>
      <c r="G218" s="5">
        <f>IF(MortgageAmortWORST[[#This Row],[Month]]=I$8,E$7,0)</f>
        <v>0</v>
      </c>
      <c r="H218" s="13">
        <f>IF(AND(C218&gt;='Amort. Sched.-WORST'!$I$8, C218&lt;= ($I$7+$I$8)), H217+F218, 0)</f>
        <v>140083.18712175201</v>
      </c>
      <c r="I218" s="24">
        <f>IF(AND(C218&gt;='Amort. Sched.-WORST'!$I$8, C218&lt;= ($I$7+$I$8)), E218/D218, " ")</f>
        <v>0.46451747118459175</v>
      </c>
      <c r="J218" s="25">
        <f>IF(AND(C218&gt;='Amort. Sched.-WORST'!$I$8, C218&lt;= ($I$7+$I$8)), F218/D218, " ")</f>
        <v>0.53548252881540837</v>
      </c>
      <c r="L218" s="20">
        <f t="shared" si="51"/>
        <v>207</v>
      </c>
      <c r="M218" s="5">
        <f>IF(AND(L218&gt;='Amort. Sched.-WORST'!$R$8, L218&lt;= ($R$7+$R$8)), PMT('Amort. Sched.-WORST'!$N$8/12, 'Amort. Sched.-WORST'!$R$7, 'Amort. Sched.-WORST'!$N$7), 0)</f>
        <v>0</v>
      </c>
      <c r="N218" s="5">
        <f>IF(AND(L218&gt;='Amort. Sched.-WORST'!$R$8, L218&lt;= ($R$7+$R$8)), (IPMT($N$8/12, (L218-$R$8), $R$7, $N$7)), 0)</f>
        <v>0</v>
      </c>
      <c r="O218" s="5">
        <f>IF(AND(L218&gt;='Amort. Sched.-WORST'!$R$8, L218&lt;= ($R$7+$R$8)), (PPMT($N$8/12, (L218-$R$8), $R$7, $N$7)), 0)</f>
        <v>0</v>
      </c>
      <c r="P218" s="5">
        <f>IF(CreditAmort1WORST[[#This Row],[Month]]=R$8,N$7,0)</f>
        <v>0</v>
      </c>
      <c r="Q218" s="13">
        <f>IF(AND(L218&gt;='Amort. Sched.-WORST'!$R$8, L218&lt;= ($R$7+$R$8)), Q217+O218, 0)</f>
        <v>0</v>
      </c>
      <c r="R218" s="6" t="str">
        <f>IF(AND(L218&gt;='Amort. Sched.-WORST'!$R$8, L218&lt;= ($R$7+$R$8)), N218/M218, " ")</f>
        <v xml:space="preserve"> </v>
      </c>
      <c r="S218" s="21" t="str">
        <f>IF(AND(L218&gt;='Amort. Sched.-WORST'!$R$8, L218&lt;= ($R$7+$R$8)), O218/M218, " ")</f>
        <v xml:space="preserve"> </v>
      </c>
      <c r="U218" s="22">
        <f t="shared" si="53"/>
        <v>207</v>
      </c>
      <c r="V218" s="23">
        <f>IF(AND(U218&gt;='Amort. Sched.-WORST'!$AA$8, U218&lt;= ($AA$7+$AA$8)), PMT('Amort. Sched.-WORST'!$W$8/12, 'Amort. Sched.-WORST'!$AA$7, 'Amort. Sched.-WORST'!$W$7), 0)</f>
        <v>0</v>
      </c>
      <c r="W218" s="5">
        <f>IF(AND(U218&gt;='Amort. Sched.-WORST'!$AA$8, U218&lt;= ($AA$7+$AA$8)), (IPMT($W$8/12, (U218-$AA$8), $AA$7, $W$7)), 0)</f>
        <v>0</v>
      </c>
      <c r="X218" s="23">
        <f>IF(AND(U218&gt;='Amort. Sched.-WORST'!$AA$8, U218&lt;= ($AA$7+$AA$8)), (PPMT($W$8/12, (U218-$AA$8), $AA$7, $W$7)), 0)</f>
        <v>0</v>
      </c>
      <c r="Y218" s="5">
        <f>IF(CreditAmort2WORST[[#This Row],[Month]]=AA$8,W$7,0)</f>
        <v>0</v>
      </c>
      <c r="Z218" s="13">
        <f>IF(AND(U218&gt;='Amort. Sched.-WORST'!$AA$8, U218&lt;= ($AA$7+$AA$8)), Z217+X218, 0)</f>
        <v>0</v>
      </c>
      <c r="AA218" s="24" t="str">
        <f>IF(AND(U218&gt;='Amort. Sched.-WORST'!$AA$8, U218&lt;= ($AA$7+$AA$8)), W218/V218, " ")</f>
        <v xml:space="preserve"> </v>
      </c>
      <c r="AB218" s="25" t="str">
        <f>IF(AND(U218&gt;='Amort. Sched.-WORST'!$AA$8, U218&lt;= ($AA$7+$AA$8)), X218/V218, " ")</f>
        <v xml:space="preserve"> </v>
      </c>
      <c r="AD218" s="20">
        <f t="shared" si="54"/>
        <v>207</v>
      </c>
      <c r="AE218" s="5">
        <f t="shared" si="55"/>
        <v>0</v>
      </c>
      <c r="AF218" s="5">
        <f t="shared" si="56"/>
        <v>0</v>
      </c>
      <c r="AG218" s="5">
        <f t="shared" si="57"/>
        <v>0</v>
      </c>
      <c r="AH218" s="5">
        <f>IF(CreditAmort3WORST[[#This Row],[Month]]=AJ$8,AF$7,0)</f>
        <v>0</v>
      </c>
      <c r="AI218" s="13">
        <f t="shared" si="58"/>
        <v>0</v>
      </c>
      <c r="AJ218" s="6" t="str">
        <f t="shared" si="59"/>
        <v xml:space="preserve"> </v>
      </c>
      <c r="AK218" s="21" t="str">
        <f t="shared" si="60"/>
        <v xml:space="preserve"> </v>
      </c>
      <c r="AM218" s="20">
        <f t="shared" si="61"/>
        <v>207</v>
      </c>
      <c r="AN218" s="5">
        <f t="shared" si="62"/>
        <v>0</v>
      </c>
      <c r="AO218" s="5">
        <f t="shared" si="63"/>
        <v>0</v>
      </c>
      <c r="AP218" s="5">
        <f t="shared" si="64"/>
        <v>0</v>
      </c>
      <c r="AQ218" s="5">
        <f>IF(CreditAmort4WORST[[#This Row],[Month]]=AS$8,AO$7,0)</f>
        <v>0</v>
      </c>
      <c r="AR218" s="13">
        <f t="shared" si="65"/>
        <v>0</v>
      </c>
      <c r="AS218" s="6" t="str">
        <f t="shared" si="66"/>
        <v xml:space="preserve"> </v>
      </c>
      <c r="AT218" s="21" t="str">
        <f t="shared" si="67"/>
        <v xml:space="preserve"> </v>
      </c>
    </row>
    <row r="219" spans="3:46">
      <c r="C219" s="22">
        <f t="shared" si="52"/>
        <v>208</v>
      </c>
      <c r="D219" s="23">
        <f>IF(AND(C219&gt;='Amort. Sched.-WORST'!$I$8, C219&lt;= ($I$7+$I$8)), PMT('Amort. Sched.-WORST'!$E$8/12, 'Amort. Sched.-WORST'!$I$7, 'Amort. Sched.-WORST'!$E$7), 0)</f>
        <v>-2026.0175758541329</v>
      </c>
      <c r="E219" s="5">
        <f>IF(AND(C219&gt;='Amort. Sched.-WORST'!$I$8, C219&lt;= ($I$7+$I$8)), (IPMT($E$8/12, (C219-$I$8), $I$7, $E$7)), 0)</f>
        <v>-933.88791414501293</v>
      </c>
      <c r="F219" s="23">
        <f>IF(AND(C219&gt;='Amort. Sched.-WORST'!$I$8, C219&lt;= ($I$7+$I$8)), (PPMT($E$8/12, (C219-$I$8), $I$7, $E$7)), 0)</f>
        <v>-1092.1296617091202</v>
      </c>
      <c r="G219" s="5">
        <f>IF(MortgageAmortWORST[[#This Row],[Month]]=I$8,E$7,0)</f>
        <v>0</v>
      </c>
      <c r="H219" s="13">
        <f>IF(AND(C219&gt;='Amort. Sched.-WORST'!$I$8, C219&lt;= ($I$7+$I$8)), H218+F219, 0)</f>
        <v>138991.05746004288</v>
      </c>
      <c r="I219" s="24">
        <f>IF(AND(C219&gt;='Amort. Sched.-WORST'!$I$8, C219&lt;= ($I$7+$I$8)), E219/D219, " ")</f>
        <v>0.46094758765915561</v>
      </c>
      <c r="J219" s="25">
        <f>IF(AND(C219&gt;='Amort. Sched.-WORST'!$I$8, C219&lt;= ($I$7+$I$8)), F219/D219, " ")</f>
        <v>0.53905241234084444</v>
      </c>
      <c r="L219" s="20">
        <f t="shared" si="51"/>
        <v>208</v>
      </c>
      <c r="M219" s="5">
        <f>IF(AND(L219&gt;='Amort. Sched.-WORST'!$R$8, L219&lt;= ($R$7+$R$8)), PMT('Amort. Sched.-WORST'!$N$8/12, 'Amort. Sched.-WORST'!$R$7, 'Amort. Sched.-WORST'!$N$7), 0)</f>
        <v>0</v>
      </c>
      <c r="N219" s="5">
        <f>IF(AND(L219&gt;='Amort. Sched.-WORST'!$R$8, L219&lt;= ($R$7+$R$8)), (IPMT($N$8/12, (L219-$R$8), $R$7, $N$7)), 0)</f>
        <v>0</v>
      </c>
      <c r="O219" s="5">
        <f>IF(AND(L219&gt;='Amort. Sched.-WORST'!$R$8, L219&lt;= ($R$7+$R$8)), (PPMT($N$8/12, (L219-$R$8), $R$7, $N$7)), 0)</f>
        <v>0</v>
      </c>
      <c r="P219" s="5">
        <f>IF(CreditAmort1WORST[[#This Row],[Month]]=R$8,N$7,0)</f>
        <v>0</v>
      </c>
      <c r="Q219" s="13">
        <f>IF(AND(L219&gt;='Amort. Sched.-WORST'!$R$8, L219&lt;= ($R$7+$R$8)), Q218+O219, 0)</f>
        <v>0</v>
      </c>
      <c r="R219" s="6" t="str">
        <f>IF(AND(L219&gt;='Amort. Sched.-WORST'!$R$8, L219&lt;= ($R$7+$R$8)), N219/M219, " ")</f>
        <v xml:space="preserve"> </v>
      </c>
      <c r="S219" s="21" t="str">
        <f>IF(AND(L219&gt;='Amort. Sched.-WORST'!$R$8, L219&lt;= ($R$7+$R$8)), O219/M219, " ")</f>
        <v xml:space="preserve"> </v>
      </c>
      <c r="U219" s="22">
        <f t="shared" si="53"/>
        <v>208</v>
      </c>
      <c r="V219" s="23">
        <f>IF(AND(U219&gt;='Amort. Sched.-WORST'!$AA$8, U219&lt;= ($AA$7+$AA$8)), PMT('Amort. Sched.-WORST'!$W$8/12, 'Amort. Sched.-WORST'!$AA$7, 'Amort. Sched.-WORST'!$W$7), 0)</f>
        <v>0</v>
      </c>
      <c r="W219" s="5">
        <f>IF(AND(U219&gt;='Amort. Sched.-WORST'!$AA$8, U219&lt;= ($AA$7+$AA$8)), (IPMT($W$8/12, (U219-$AA$8), $AA$7, $W$7)), 0)</f>
        <v>0</v>
      </c>
      <c r="X219" s="23">
        <f>IF(AND(U219&gt;='Amort. Sched.-WORST'!$AA$8, U219&lt;= ($AA$7+$AA$8)), (PPMT($W$8/12, (U219-$AA$8), $AA$7, $W$7)), 0)</f>
        <v>0</v>
      </c>
      <c r="Y219" s="5">
        <f>IF(CreditAmort2WORST[[#This Row],[Month]]=AA$8,W$7,0)</f>
        <v>0</v>
      </c>
      <c r="Z219" s="13">
        <f>IF(AND(U219&gt;='Amort. Sched.-WORST'!$AA$8, U219&lt;= ($AA$7+$AA$8)), Z218+X219, 0)</f>
        <v>0</v>
      </c>
      <c r="AA219" s="24" t="str">
        <f>IF(AND(U219&gt;='Amort. Sched.-WORST'!$AA$8, U219&lt;= ($AA$7+$AA$8)), W219/V219, " ")</f>
        <v xml:space="preserve"> </v>
      </c>
      <c r="AB219" s="25" t="str">
        <f>IF(AND(U219&gt;='Amort. Sched.-WORST'!$AA$8, U219&lt;= ($AA$7+$AA$8)), X219/V219, " ")</f>
        <v xml:space="preserve"> </v>
      </c>
      <c r="AD219" s="20">
        <f t="shared" si="54"/>
        <v>208</v>
      </c>
      <c r="AE219" s="5">
        <f t="shared" si="55"/>
        <v>0</v>
      </c>
      <c r="AF219" s="5">
        <f t="shared" si="56"/>
        <v>0</v>
      </c>
      <c r="AG219" s="5">
        <f t="shared" si="57"/>
        <v>0</v>
      </c>
      <c r="AH219" s="5">
        <f>IF(CreditAmort3WORST[[#This Row],[Month]]=AJ$8,AF$7,0)</f>
        <v>0</v>
      </c>
      <c r="AI219" s="13">
        <f t="shared" si="58"/>
        <v>0</v>
      </c>
      <c r="AJ219" s="6" t="str">
        <f t="shared" si="59"/>
        <v xml:space="preserve"> </v>
      </c>
      <c r="AK219" s="21" t="str">
        <f t="shared" si="60"/>
        <v xml:space="preserve"> </v>
      </c>
      <c r="AM219" s="20">
        <f t="shared" si="61"/>
        <v>208</v>
      </c>
      <c r="AN219" s="5">
        <f t="shared" si="62"/>
        <v>0</v>
      </c>
      <c r="AO219" s="5">
        <f t="shared" si="63"/>
        <v>0</v>
      </c>
      <c r="AP219" s="5">
        <f t="shared" si="64"/>
        <v>0</v>
      </c>
      <c r="AQ219" s="5">
        <f>IF(CreditAmort4WORST[[#This Row],[Month]]=AS$8,AO$7,0)</f>
        <v>0</v>
      </c>
      <c r="AR219" s="13">
        <f t="shared" si="65"/>
        <v>0</v>
      </c>
      <c r="AS219" s="6" t="str">
        <f t="shared" si="66"/>
        <v xml:space="preserve"> </v>
      </c>
      <c r="AT219" s="21" t="str">
        <f t="shared" si="67"/>
        <v xml:space="preserve"> </v>
      </c>
    </row>
    <row r="220" spans="3:46">
      <c r="C220" s="22">
        <f t="shared" si="52"/>
        <v>209</v>
      </c>
      <c r="D220" s="23">
        <f>IF(AND(C220&gt;='Amort. Sched.-WORST'!$I$8, C220&lt;= ($I$7+$I$8)), PMT('Amort. Sched.-WORST'!$E$8/12, 'Amort. Sched.-WORST'!$I$7, 'Amort. Sched.-WORST'!$E$7), 0)</f>
        <v>-2026.0175758541329</v>
      </c>
      <c r="E220" s="5">
        <f>IF(AND(C220&gt;='Amort. Sched.-WORST'!$I$8, C220&lt;= ($I$7+$I$8)), (IPMT($E$8/12, (C220-$I$8), $I$7, $E$7)), 0)</f>
        <v>-926.60704973361874</v>
      </c>
      <c r="F220" s="23">
        <f>IF(AND(C220&gt;='Amort. Sched.-WORST'!$I$8, C220&lt;= ($I$7+$I$8)), (PPMT($E$8/12, (C220-$I$8), $I$7, $E$7)), 0)</f>
        <v>-1099.4105261205141</v>
      </c>
      <c r="G220" s="5">
        <f>IF(MortgageAmortWORST[[#This Row],[Month]]=I$8,E$7,0)</f>
        <v>0</v>
      </c>
      <c r="H220" s="13">
        <f>IF(AND(C220&gt;='Amort. Sched.-WORST'!$I$8, C220&lt;= ($I$7+$I$8)), H219+F220, 0)</f>
        <v>137891.64693392237</v>
      </c>
      <c r="I220" s="24">
        <f>IF(AND(C220&gt;='Amort. Sched.-WORST'!$I$8, C220&lt;= ($I$7+$I$8)), E220/D220, " ")</f>
        <v>0.45735390491021666</v>
      </c>
      <c r="J220" s="25">
        <f>IF(AND(C220&gt;='Amort. Sched.-WORST'!$I$8, C220&lt;= ($I$7+$I$8)), F220/D220, " ")</f>
        <v>0.54264609508978334</v>
      </c>
      <c r="L220" s="20">
        <f t="shared" si="51"/>
        <v>209</v>
      </c>
      <c r="M220" s="5">
        <f>IF(AND(L220&gt;='Amort. Sched.-WORST'!$R$8, L220&lt;= ($R$7+$R$8)), PMT('Amort. Sched.-WORST'!$N$8/12, 'Amort. Sched.-WORST'!$R$7, 'Amort. Sched.-WORST'!$N$7), 0)</f>
        <v>0</v>
      </c>
      <c r="N220" s="5">
        <f>IF(AND(L220&gt;='Amort. Sched.-WORST'!$R$8, L220&lt;= ($R$7+$R$8)), (IPMT($N$8/12, (L220-$R$8), $R$7, $N$7)), 0)</f>
        <v>0</v>
      </c>
      <c r="O220" s="5">
        <f>IF(AND(L220&gt;='Amort. Sched.-WORST'!$R$8, L220&lt;= ($R$7+$R$8)), (PPMT($N$8/12, (L220-$R$8), $R$7, $N$7)), 0)</f>
        <v>0</v>
      </c>
      <c r="P220" s="5">
        <f>IF(CreditAmort1WORST[[#This Row],[Month]]=R$8,N$7,0)</f>
        <v>0</v>
      </c>
      <c r="Q220" s="13">
        <f>IF(AND(L220&gt;='Amort. Sched.-WORST'!$R$8, L220&lt;= ($R$7+$R$8)), Q219+O220, 0)</f>
        <v>0</v>
      </c>
      <c r="R220" s="6" t="str">
        <f>IF(AND(L220&gt;='Amort. Sched.-WORST'!$R$8, L220&lt;= ($R$7+$R$8)), N220/M220, " ")</f>
        <v xml:space="preserve"> </v>
      </c>
      <c r="S220" s="21" t="str">
        <f>IF(AND(L220&gt;='Amort. Sched.-WORST'!$R$8, L220&lt;= ($R$7+$R$8)), O220/M220, " ")</f>
        <v xml:space="preserve"> </v>
      </c>
      <c r="U220" s="22">
        <f t="shared" si="53"/>
        <v>209</v>
      </c>
      <c r="V220" s="23">
        <f>IF(AND(U220&gt;='Amort. Sched.-WORST'!$AA$8, U220&lt;= ($AA$7+$AA$8)), PMT('Amort. Sched.-WORST'!$W$8/12, 'Amort. Sched.-WORST'!$AA$7, 'Amort. Sched.-WORST'!$W$7), 0)</f>
        <v>0</v>
      </c>
      <c r="W220" s="5">
        <f>IF(AND(U220&gt;='Amort. Sched.-WORST'!$AA$8, U220&lt;= ($AA$7+$AA$8)), (IPMT($W$8/12, (U220-$AA$8), $AA$7, $W$7)), 0)</f>
        <v>0</v>
      </c>
      <c r="X220" s="23">
        <f>IF(AND(U220&gt;='Amort. Sched.-WORST'!$AA$8, U220&lt;= ($AA$7+$AA$8)), (PPMT($W$8/12, (U220-$AA$8), $AA$7, $W$7)), 0)</f>
        <v>0</v>
      </c>
      <c r="Y220" s="5">
        <f>IF(CreditAmort2WORST[[#This Row],[Month]]=AA$8,W$7,0)</f>
        <v>0</v>
      </c>
      <c r="Z220" s="13">
        <f>IF(AND(U220&gt;='Amort. Sched.-WORST'!$AA$8, U220&lt;= ($AA$7+$AA$8)), Z219+X220, 0)</f>
        <v>0</v>
      </c>
      <c r="AA220" s="24" t="str">
        <f>IF(AND(U220&gt;='Amort. Sched.-WORST'!$AA$8, U220&lt;= ($AA$7+$AA$8)), W220/V220, " ")</f>
        <v xml:space="preserve"> </v>
      </c>
      <c r="AB220" s="25" t="str">
        <f>IF(AND(U220&gt;='Amort. Sched.-WORST'!$AA$8, U220&lt;= ($AA$7+$AA$8)), X220/V220, " ")</f>
        <v xml:space="preserve"> </v>
      </c>
      <c r="AD220" s="20">
        <f t="shared" si="54"/>
        <v>209</v>
      </c>
      <c r="AE220" s="5">
        <f t="shared" si="55"/>
        <v>0</v>
      </c>
      <c r="AF220" s="5">
        <f t="shared" si="56"/>
        <v>0</v>
      </c>
      <c r="AG220" s="5">
        <f t="shared" si="57"/>
        <v>0</v>
      </c>
      <c r="AH220" s="5">
        <f>IF(CreditAmort3WORST[[#This Row],[Month]]=AJ$8,AF$7,0)</f>
        <v>0</v>
      </c>
      <c r="AI220" s="13">
        <f t="shared" si="58"/>
        <v>0</v>
      </c>
      <c r="AJ220" s="6" t="str">
        <f t="shared" si="59"/>
        <v xml:space="preserve"> </v>
      </c>
      <c r="AK220" s="21" t="str">
        <f t="shared" si="60"/>
        <v xml:space="preserve"> </v>
      </c>
      <c r="AM220" s="20">
        <f t="shared" si="61"/>
        <v>209</v>
      </c>
      <c r="AN220" s="5">
        <f t="shared" si="62"/>
        <v>0</v>
      </c>
      <c r="AO220" s="5">
        <f t="shared" si="63"/>
        <v>0</v>
      </c>
      <c r="AP220" s="5">
        <f t="shared" si="64"/>
        <v>0</v>
      </c>
      <c r="AQ220" s="5">
        <f>IF(CreditAmort4WORST[[#This Row],[Month]]=AS$8,AO$7,0)</f>
        <v>0</v>
      </c>
      <c r="AR220" s="13">
        <f t="shared" si="65"/>
        <v>0</v>
      </c>
      <c r="AS220" s="6" t="str">
        <f t="shared" si="66"/>
        <v xml:space="preserve"> </v>
      </c>
      <c r="AT220" s="21" t="str">
        <f t="shared" si="67"/>
        <v xml:space="preserve"> </v>
      </c>
    </row>
    <row r="221" spans="3:46">
      <c r="C221" s="22">
        <f t="shared" si="52"/>
        <v>210</v>
      </c>
      <c r="D221" s="23">
        <f>IF(AND(C221&gt;='Amort. Sched.-WORST'!$I$8, C221&lt;= ($I$7+$I$8)), PMT('Amort. Sched.-WORST'!$E$8/12, 'Amort. Sched.-WORST'!$I$7, 'Amort. Sched.-WORST'!$E$7), 0)</f>
        <v>-2026.0175758541329</v>
      </c>
      <c r="E221" s="5">
        <f>IF(AND(C221&gt;='Amort. Sched.-WORST'!$I$8, C221&lt;= ($I$7+$I$8)), (IPMT($E$8/12, (C221-$I$8), $I$7, $E$7)), 0)</f>
        <v>-919.27764622614859</v>
      </c>
      <c r="F221" s="23">
        <f>IF(AND(C221&gt;='Amort. Sched.-WORST'!$I$8, C221&lt;= ($I$7+$I$8)), (PPMT($E$8/12, (C221-$I$8), $I$7, $E$7)), 0)</f>
        <v>-1106.7399296279846</v>
      </c>
      <c r="G221" s="5">
        <f>IF(MortgageAmortWORST[[#This Row],[Month]]=I$8,E$7,0)</f>
        <v>0</v>
      </c>
      <c r="H221" s="13">
        <f>IF(AND(C221&gt;='Amort. Sched.-WORST'!$I$8, C221&lt;= ($I$7+$I$8)), H220+F221, 0)</f>
        <v>136784.90700429439</v>
      </c>
      <c r="I221" s="24">
        <f>IF(AND(C221&gt;='Amort. Sched.-WORST'!$I$8, C221&lt;= ($I$7+$I$8)), E221/D221, " ")</f>
        <v>0.45373626427628472</v>
      </c>
      <c r="J221" s="25">
        <f>IF(AND(C221&gt;='Amort. Sched.-WORST'!$I$8, C221&lt;= ($I$7+$I$8)), F221/D221, " ")</f>
        <v>0.54626373572371534</v>
      </c>
      <c r="L221" s="20">
        <f t="shared" si="51"/>
        <v>210</v>
      </c>
      <c r="M221" s="5">
        <f>IF(AND(L221&gt;='Amort. Sched.-WORST'!$R$8, L221&lt;= ($R$7+$R$8)), PMT('Amort. Sched.-WORST'!$N$8/12, 'Amort. Sched.-WORST'!$R$7, 'Amort. Sched.-WORST'!$N$7), 0)</f>
        <v>0</v>
      </c>
      <c r="N221" s="5">
        <f>IF(AND(L221&gt;='Amort. Sched.-WORST'!$R$8, L221&lt;= ($R$7+$R$8)), (IPMT($N$8/12, (L221-$R$8), $R$7, $N$7)), 0)</f>
        <v>0</v>
      </c>
      <c r="O221" s="5">
        <f>IF(AND(L221&gt;='Amort. Sched.-WORST'!$R$8, L221&lt;= ($R$7+$R$8)), (PPMT($N$8/12, (L221-$R$8), $R$7, $N$7)), 0)</f>
        <v>0</v>
      </c>
      <c r="P221" s="5">
        <f>IF(CreditAmort1WORST[[#This Row],[Month]]=R$8,N$7,0)</f>
        <v>0</v>
      </c>
      <c r="Q221" s="13">
        <f>IF(AND(L221&gt;='Amort. Sched.-WORST'!$R$8, L221&lt;= ($R$7+$R$8)), Q220+O221, 0)</f>
        <v>0</v>
      </c>
      <c r="R221" s="6" t="str">
        <f>IF(AND(L221&gt;='Amort. Sched.-WORST'!$R$8, L221&lt;= ($R$7+$R$8)), N221/M221, " ")</f>
        <v xml:space="preserve"> </v>
      </c>
      <c r="S221" s="21" t="str">
        <f>IF(AND(L221&gt;='Amort. Sched.-WORST'!$R$8, L221&lt;= ($R$7+$R$8)), O221/M221, " ")</f>
        <v xml:space="preserve"> </v>
      </c>
      <c r="U221" s="22">
        <f t="shared" si="53"/>
        <v>210</v>
      </c>
      <c r="V221" s="23">
        <f>IF(AND(U221&gt;='Amort. Sched.-WORST'!$AA$8, U221&lt;= ($AA$7+$AA$8)), PMT('Amort. Sched.-WORST'!$W$8/12, 'Amort. Sched.-WORST'!$AA$7, 'Amort. Sched.-WORST'!$W$7), 0)</f>
        <v>0</v>
      </c>
      <c r="W221" s="5">
        <f>IF(AND(U221&gt;='Amort. Sched.-WORST'!$AA$8, U221&lt;= ($AA$7+$AA$8)), (IPMT($W$8/12, (U221-$AA$8), $AA$7, $W$7)), 0)</f>
        <v>0</v>
      </c>
      <c r="X221" s="23">
        <f>IF(AND(U221&gt;='Amort. Sched.-WORST'!$AA$8, U221&lt;= ($AA$7+$AA$8)), (PPMT($W$8/12, (U221-$AA$8), $AA$7, $W$7)), 0)</f>
        <v>0</v>
      </c>
      <c r="Y221" s="5">
        <f>IF(CreditAmort2WORST[[#This Row],[Month]]=AA$8,W$7,0)</f>
        <v>0</v>
      </c>
      <c r="Z221" s="13">
        <f>IF(AND(U221&gt;='Amort. Sched.-WORST'!$AA$8, U221&lt;= ($AA$7+$AA$8)), Z220+X221, 0)</f>
        <v>0</v>
      </c>
      <c r="AA221" s="24" t="str">
        <f>IF(AND(U221&gt;='Amort. Sched.-WORST'!$AA$8, U221&lt;= ($AA$7+$AA$8)), W221/V221, " ")</f>
        <v xml:space="preserve"> </v>
      </c>
      <c r="AB221" s="25" t="str">
        <f>IF(AND(U221&gt;='Amort. Sched.-WORST'!$AA$8, U221&lt;= ($AA$7+$AA$8)), X221/V221, " ")</f>
        <v xml:space="preserve"> </v>
      </c>
      <c r="AD221" s="20">
        <f t="shared" si="54"/>
        <v>210</v>
      </c>
      <c r="AE221" s="5">
        <f t="shared" si="55"/>
        <v>0</v>
      </c>
      <c r="AF221" s="5">
        <f t="shared" si="56"/>
        <v>0</v>
      </c>
      <c r="AG221" s="5">
        <f t="shared" si="57"/>
        <v>0</v>
      </c>
      <c r="AH221" s="5">
        <f>IF(CreditAmort3WORST[[#This Row],[Month]]=AJ$8,AF$7,0)</f>
        <v>0</v>
      </c>
      <c r="AI221" s="13">
        <f t="shared" si="58"/>
        <v>0</v>
      </c>
      <c r="AJ221" s="6" t="str">
        <f t="shared" si="59"/>
        <v xml:space="preserve"> </v>
      </c>
      <c r="AK221" s="21" t="str">
        <f t="shared" si="60"/>
        <v xml:space="preserve"> </v>
      </c>
      <c r="AM221" s="20">
        <f t="shared" si="61"/>
        <v>210</v>
      </c>
      <c r="AN221" s="5">
        <f t="shared" si="62"/>
        <v>0</v>
      </c>
      <c r="AO221" s="5">
        <f t="shared" si="63"/>
        <v>0</v>
      </c>
      <c r="AP221" s="5">
        <f t="shared" si="64"/>
        <v>0</v>
      </c>
      <c r="AQ221" s="5">
        <f>IF(CreditAmort4WORST[[#This Row],[Month]]=AS$8,AO$7,0)</f>
        <v>0</v>
      </c>
      <c r="AR221" s="13">
        <f t="shared" si="65"/>
        <v>0</v>
      </c>
      <c r="AS221" s="6" t="str">
        <f t="shared" si="66"/>
        <v xml:space="preserve"> </v>
      </c>
      <c r="AT221" s="21" t="str">
        <f t="shared" si="67"/>
        <v xml:space="preserve"> </v>
      </c>
    </row>
    <row r="222" spans="3:46">
      <c r="C222" s="22">
        <f t="shared" si="52"/>
        <v>211</v>
      </c>
      <c r="D222" s="23">
        <f>IF(AND(C222&gt;='Amort. Sched.-WORST'!$I$8, C222&lt;= ($I$7+$I$8)), PMT('Amort. Sched.-WORST'!$E$8/12, 'Amort. Sched.-WORST'!$I$7, 'Amort. Sched.-WORST'!$E$7), 0)</f>
        <v>-2026.0175758541329</v>
      </c>
      <c r="E222" s="5">
        <f>IF(AND(C222&gt;='Amort. Sched.-WORST'!$I$8, C222&lt;= ($I$7+$I$8)), (IPMT($E$8/12, (C222-$I$8), $I$7, $E$7)), 0)</f>
        <v>-911.8993800286288</v>
      </c>
      <c r="F222" s="23">
        <f>IF(AND(C222&gt;='Amort. Sched.-WORST'!$I$8, C222&lt;= ($I$7+$I$8)), (PPMT($E$8/12, (C222-$I$8), $I$7, $E$7)), 0)</f>
        <v>-1114.1181958255042</v>
      </c>
      <c r="G222" s="5">
        <f>IF(MortgageAmortWORST[[#This Row],[Month]]=I$8,E$7,0)</f>
        <v>0</v>
      </c>
      <c r="H222" s="13">
        <f>IF(AND(C222&gt;='Amort. Sched.-WORST'!$I$8, C222&lt;= ($I$7+$I$8)), H221+F222, 0)</f>
        <v>135670.78880846887</v>
      </c>
      <c r="I222" s="24">
        <f>IF(AND(C222&gt;='Amort. Sched.-WORST'!$I$8, C222&lt;= ($I$7+$I$8)), E222/D222, " ")</f>
        <v>0.45009450603812667</v>
      </c>
      <c r="J222" s="25">
        <f>IF(AND(C222&gt;='Amort. Sched.-WORST'!$I$8, C222&lt;= ($I$7+$I$8)), F222/D222, " ")</f>
        <v>0.54990549396187338</v>
      </c>
      <c r="L222" s="20">
        <f t="shared" si="51"/>
        <v>211</v>
      </c>
      <c r="M222" s="5">
        <f>IF(AND(L222&gt;='Amort. Sched.-WORST'!$R$8, L222&lt;= ($R$7+$R$8)), PMT('Amort. Sched.-WORST'!$N$8/12, 'Amort. Sched.-WORST'!$R$7, 'Amort. Sched.-WORST'!$N$7), 0)</f>
        <v>0</v>
      </c>
      <c r="N222" s="5">
        <f>IF(AND(L222&gt;='Amort. Sched.-WORST'!$R$8, L222&lt;= ($R$7+$R$8)), (IPMT($N$8/12, (L222-$R$8), $R$7, $N$7)), 0)</f>
        <v>0</v>
      </c>
      <c r="O222" s="5">
        <f>IF(AND(L222&gt;='Amort. Sched.-WORST'!$R$8, L222&lt;= ($R$7+$R$8)), (PPMT($N$8/12, (L222-$R$8), $R$7, $N$7)), 0)</f>
        <v>0</v>
      </c>
      <c r="P222" s="5">
        <f>IF(CreditAmort1WORST[[#This Row],[Month]]=R$8,N$7,0)</f>
        <v>0</v>
      </c>
      <c r="Q222" s="13">
        <f>IF(AND(L222&gt;='Amort. Sched.-WORST'!$R$8, L222&lt;= ($R$7+$R$8)), Q221+O222, 0)</f>
        <v>0</v>
      </c>
      <c r="R222" s="6" t="str">
        <f>IF(AND(L222&gt;='Amort. Sched.-WORST'!$R$8, L222&lt;= ($R$7+$R$8)), N222/M222, " ")</f>
        <v xml:space="preserve"> </v>
      </c>
      <c r="S222" s="21" t="str">
        <f>IF(AND(L222&gt;='Amort. Sched.-WORST'!$R$8, L222&lt;= ($R$7+$R$8)), O222/M222, " ")</f>
        <v xml:space="preserve"> </v>
      </c>
      <c r="U222" s="22">
        <f t="shared" si="53"/>
        <v>211</v>
      </c>
      <c r="V222" s="23">
        <f>IF(AND(U222&gt;='Amort. Sched.-WORST'!$AA$8, U222&lt;= ($AA$7+$AA$8)), PMT('Amort. Sched.-WORST'!$W$8/12, 'Amort. Sched.-WORST'!$AA$7, 'Amort. Sched.-WORST'!$W$7), 0)</f>
        <v>0</v>
      </c>
      <c r="W222" s="5">
        <f>IF(AND(U222&gt;='Amort. Sched.-WORST'!$AA$8, U222&lt;= ($AA$7+$AA$8)), (IPMT($W$8/12, (U222-$AA$8), $AA$7, $W$7)), 0)</f>
        <v>0</v>
      </c>
      <c r="X222" s="23">
        <f>IF(AND(U222&gt;='Amort. Sched.-WORST'!$AA$8, U222&lt;= ($AA$7+$AA$8)), (PPMT($W$8/12, (U222-$AA$8), $AA$7, $W$7)), 0)</f>
        <v>0</v>
      </c>
      <c r="Y222" s="5">
        <f>IF(CreditAmort2WORST[[#This Row],[Month]]=AA$8,W$7,0)</f>
        <v>0</v>
      </c>
      <c r="Z222" s="13">
        <f>IF(AND(U222&gt;='Amort. Sched.-WORST'!$AA$8, U222&lt;= ($AA$7+$AA$8)), Z221+X222, 0)</f>
        <v>0</v>
      </c>
      <c r="AA222" s="24" t="str">
        <f>IF(AND(U222&gt;='Amort. Sched.-WORST'!$AA$8, U222&lt;= ($AA$7+$AA$8)), W222/V222, " ")</f>
        <v xml:space="preserve"> </v>
      </c>
      <c r="AB222" s="25" t="str">
        <f>IF(AND(U222&gt;='Amort. Sched.-WORST'!$AA$8, U222&lt;= ($AA$7+$AA$8)), X222/V222, " ")</f>
        <v xml:space="preserve"> </v>
      </c>
      <c r="AD222" s="20">
        <f t="shared" si="54"/>
        <v>211</v>
      </c>
      <c r="AE222" s="5">
        <f t="shared" si="55"/>
        <v>0</v>
      </c>
      <c r="AF222" s="5">
        <f t="shared" si="56"/>
        <v>0</v>
      </c>
      <c r="AG222" s="5">
        <f t="shared" si="57"/>
        <v>0</v>
      </c>
      <c r="AH222" s="5">
        <f>IF(CreditAmort3WORST[[#This Row],[Month]]=AJ$8,AF$7,0)</f>
        <v>0</v>
      </c>
      <c r="AI222" s="13">
        <f t="shared" si="58"/>
        <v>0</v>
      </c>
      <c r="AJ222" s="6" t="str">
        <f t="shared" si="59"/>
        <v xml:space="preserve"> </v>
      </c>
      <c r="AK222" s="21" t="str">
        <f t="shared" si="60"/>
        <v xml:space="preserve"> </v>
      </c>
      <c r="AM222" s="20">
        <f t="shared" si="61"/>
        <v>211</v>
      </c>
      <c r="AN222" s="5">
        <f t="shared" si="62"/>
        <v>0</v>
      </c>
      <c r="AO222" s="5">
        <f t="shared" si="63"/>
        <v>0</v>
      </c>
      <c r="AP222" s="5">
        <f t="shared" si="64"/>
        <v>0</v>
      </c>
      <c r="AQ222" s="5">
        <f>IF(CreditAmort4WORST[[#This Row],[Month]]=AS$8,AO$7,0)</f>
        <v>0</v>
      </c>
      <c r="AR222" s="13">
        <f t="shared" si="65"/>
        <v>0</v>
      </c>
      <c r="AS222" s="6" t="str">
        <f t="shared" si="66"/>
        <v xml:space="preserve"> </v>
      </c>
      <c r="AT222" s="21" t="str">
        <f t="shared" si="67"/>
        <v xml:space="preserve"> </v>
      </c>
    </row>
    <row r="223" spans="3:46">
      <c r="C223" s="22">
        <f t="shared" si="52"/>
        <v>212</v>
      </c>
      <c r="D223" s="23">
        <f>IF(AND(C223&gt;='Amort. Sched.-WORST'!$I$8, C223&lt;= ($I$7+$I$8)), PMT('Amort. Sched.-WORST'!$E$8/12, 'Amort. Sched.-WORST'!$I$7, 'Amort. Sched.-WORST'!$E$7), 0)</f>
        <v>-2026.0175758541329</v>
      </c>
      <c r="E223" s="5">
        <f>IF(AND(C223&gt;='Amort. Sched.-WORST'!$I$8, C223&lt;= ($I$7+$I$8)), (IPMT($E$8/12, (C223-$I$8), $I$7, $E$7)), 0)</f>
        <v>-904.4719253897922</v>
      </c>
      <c r="F223" s="23">
        <f>IF(AND(C223&gt;='Amort. Sched.-WORST'!$I$8, C223&lt;= ($I$7+$I$8)), (PPMT($E$8/12, (C223-$I$8), $I$7, $E$7)), 0)</f>
        <v>-1121.545650464341</v>
      </c>
      <c r="G223" s="5">
        <f>IF(MortgageAmortWORST[[#This Row],[Month]]=I$8,E$7,0)</f>
        <v>0</v>
      </c>
      <c r="H223" s="13">
        <f>IF(AND(C223&gt;='Amort. Sched.-WORST'!$I$8, C223&lt;= ($I$7+$I$8)), H222+F223, 0)</f>
        <v>134549.24315800454</v>
      </c>
      <c r="I223" s="24">
        <f>IF(AND(C223&gt;='Amort. Sched.-WORST'!$I$8, C223&lt;= ($I$7+$I$8)), E223/D223, " ")</f>
        <v>0.44642846941171421</v>
      </c>
      <c r="J223" s="25">
        <f>IF(AND(C223&gt;='Amort. Sched.-WORST'!$I$8, C223&lt;= ($I$7+$I$8)), F223/D223, " ")</f>
        <v>0.5535715305882859</v>
      </c>
      <c r="L223" s="20">
        <f t="shared" si="51"/>
        <v>212</v>
      </c>
      <c r="M223" s="5">
        <f>IF(AND(L223&gt;='Amort. Sched.-WORST'!$R$8, L223&lt;= ($R$7+$R$8)), PMT('Amort. Sched.-WORST'!$N$8/12, 'Amort. Sched.-WORST'!$R$7, 'Amort. Sched.-WORST'!$N$7), 0)</f>
        <v>0</v>
      </c>
      <c r="N223" s="5">
        <f>IF(AND(L223&gt;='Amort. Sched.-WORST'!$R$8, L223&lt;= ($R$7+$R$8)), (IPMT($N$8/12, (L223-$R$8), $R$7, $N$7)), 0)</f>
        <v>0</v>
      </c>
      <c r="O223" s="5">
        <f>IF(AND(L223&gt;='Amort. Sched.-WORST'!$R$8, L223&lt;= ($R$7+$R$8)), (PPMT($N$8/12, (L223-$R$8), $R$7, $N$7)), 0)</f>
        <v>0</v>
      </c>
      <c r="P223" s="5">
        <f>IF(CreditAmort1WORST[[#This Row],[Month]]=R$8,N$7,0)</f>
        <v>0</v>
      </c>
      <c r="Q223" s="13">
        <f>IF(AND(L223&gt;='Amort. Sched.-WORST'!$R$8, L223&lt;= ($R$7+$R$8)), Q222+O223, 0)</f>
        <v>0</v>
      </c>
      <c r="R223" s="6" t="str">
        <f>IF(AND(L223&gt;='Amort. Sched.-WORST'!$R$8, L223&lt;= ($R$7+$R$8)), N223/M223, " ")</f>
        <v xml:space="preserve"> </v>
      </c>
      <c r="S223" s="21" t="str">
        <f>IF(AND(L223&gt;='Amort. Sched.-WORST'!$R$8, L223&lt;= ($R$7+$R$8)), O223/M223, " ")</f>
        <v xml:space="preserve"> </v>
      </c>
      <c r="U223" s="22">
        <f t="shared" si="53"/>
        <v>212</v>
      </c>
      <c r="V223" s="23">
        <f>IF(AND(U223&gt;='Amort. Sched.-WORST'!$AA$8, U223&lt;= ($AA$7+$AA$8)), PMT('Amort. Sched.-WORST'!$W$8/12, 'Amort. Sched.-WORST'!$AA$7, 'Amort. Sched.-WORST'!$W$7), 0)</f>
        <v>0</v>
      </c>
      <c r="W223" s="5">
        <f>IF(AND(U223&gt;='Amort. Sched.-WORST'!$AA$8, U223&lt;= ($AA$7+$AA$8)), (IPMT($W$8/12, (U223-$AA$8), $AA$7, $W$7)), 0)</f>
        <v>0</v>
      </c>
      <c r="X223" s="23">
        <f>IF(AND(U223&gt;='Amort. Sched.-WORST'!$AA$8, U223&lt;= ($AA$7+$AA$8)), (PPMT($W$8/12, (U223-$AA$8), $AA$7, $W$7)), 0)</f>
        <v>0</v>
      </c>
      <c r="Y223" s="5">
        <f>IF(CreditAmort2WORST[[#This Row],[Month]]=AA$8,W$7,0)</f>
        <v>0</v>
      </c>
      <c r="Z223" s="13">
        <f>IF(AND(U223&gt;='Amort. Sched.-WORST'!$AA$8, U223&lt;= ($AA$7+$AA$8)), Z222+X223, 0)</f>
        <v>0</v>
      </c>
      <c r="AA223" s="24" t="str">
        <f>IF(AND(U223&gt;='Amort. Sched.-WORST'!$AA$8, U223&lt;= ($AA$7+$AA$8)), W223/V223, " ")</f>
        <v xml:space="preserve"> </v>
      </c>
      <c r="AB223" s="25" t="str">
        <f>IF(AND(U223&gt;='Amort. Sched.-WORST'!$AA$8, U223&lt;= ($AA$7+$AA$8)), X223/V223, " ")</f>
        <v xml:space="preserve"> </v>
      </c>
      <c r="AD223" s="20">
        <f t="shared" si="54"/>
        <v>212</v>
      </c>
      <c r="AE223" s="5">
        <f t="shared" si="55"/>
        <v>0</v>
      </c>
      <c r="AF223" s="5">
        <f t="shared" si="56"/>
        <v>0</v>
      </c>
      <c r="AG223" s="5">
        <f t="shared" si="57"/>
        <v>0</v>
      </c>
      <c r="AH223" s="5">
        <f>IF(CreditAmort3WORST[[#This Row],[Month]]=AJ$8,AF$7,0)</f>
        <v>0</v>
      </c>
      <c r="AI223" s="13">
        <f t="shared" si="58"/>
        <v>0</v>
      </c>
      <c r="AJ223" s="6" t="str">
        <f t="shared" si="59"/>
        <v xml:space="preserve"> </v>
      </c>
      <c r="AK223" s="21" t="str">
        <f t="shared" si="60"/>
        <v xml:space="preserve"> </v>
      </c>
      <c r="AM223" s="20">
        <f t="shared" si="61"/>
        <v>212</v>
      </c>
      <c r="AN223" s="5">
        <f t="shared" si="62"/>
        <v>0</v>
      </c>
      <c r="AO223" s="5">
        <f t="shared" si="63"/>
        <v>0</v>
      </c>
      <c r="AP223" s="5">
        <f t="shared" si="64"/>
        <v>0</v>
      </c>
      <c r="AQ223" s="5">
        <f>IF(CreditAmort4WORST[[#This Row],[Month]]=AS$8,AO$7,0)</f>
        <v>0</v>
      </c>
      <c r="AR223" s="13">
        <f t="shared" si="65"/>
        <v>0</v>
      </c>
      <c r="AS223" s="6" t="str">
        <f t="shared" si="66"/>
        <v xml:space="preserve"> </v>
      </c>
      <c r="AT223" s="21" t="str">
        <f t="shared" si="67"/>
        <v xml:space="preserve"> </v>
      </c>
    </row>
    <row r="224" spans="3:46">
      <c r="C224" s="22">
        <f t="shared" si="52"/>
        <v>213</v>
      </c>
      <c r="D224" s="23">
        <f>IF(AND(C224&gt;='Amort. Sched.-WORST'!$I$8, C224&lt;= ($I$7+$I$8)), PMT('Amort. Sched.-WORST'!$E$8/12, 'Amort. Sched.-WORST'!$I$7, 'Amort. Sched.-WORST'!$E$7), 0)</f>
        <v>-2026.0175758541329</v>
      </c>
      <c r="E224" s="5">
        <f>IF(AND(C224&gt;='Amort. Sched.-WORST'!$I$8, C224&lt;= ($I$7+$I$8)), (IPMT($E$8/12, (C224-$I$8), $I$7, $E$7)), 0)</f>
        <v>-896.99495438669635</v>
      </c>
      <c r="F224" s="23">
        <f>IF(AND(C224&gt;='Amort. Sched.-WORST'!$I$8, C224&lt;= ($I$7+$I$8)), (PPMT($E$8/12, (C224-$I$8), $I$7, $E$7)), 0)</f>
        <v>-1129.0226214674367</v>
      </c>
      <c r="G224" s="5">
        <f>IF(MortgageAmortWORST[[#This Row],[Month]]=I$8,E$7,0)</f>
        <v>0</v>
      </c>
      <c r="H224" s="13">
        <f>IF(AND(C224&gt;='Amort. Sched.-WORST'!$I$8, C224&lt;= ($I$7+$I$8)), H223+F224, 0)</f>
        <v>133420.22053653709</v>
      </c>
      <c r="I224" s="24">
        <f>IF(AND(C224&gt;='Amort. Sched.-WORST'!$I$8, C224&lt;= ($I$7+$I$8)), E224/D224, " ")</f>
        <v>0.44273799254112556</v>
      </c>
      <c r="J224" s="25">
        <f>IF(AND(C224&gt;='Amort. Sched.-WORST'!$I$8, C224&lt;= ($I$7+$I$8)), F224/D224, " ")</f>
        <v>0.55726200745887455</v>
      </c>
      <c r="L224" s="20">
        <f t="shared" si="51"/>
        <v>213</v>
      </c>
      <c r="M224" s="5">
        <f>IF(AND(L224&gt;='Amort. Sched.-WORST'!$R$8, L224&lt;= ($R$7+$R$8)), PMT('Amort. Sched.-WORST'!$N$8/12, 'Amort. Sched.-WORST'!$R$7, 'Amort. Sched.-WORST'!$N$7), 0)</f>
        <v>0</v>
      </c>
      <c r="N224" s="5">
        <f>IF(AND(L224&gt;='Amort. Sched.-WORST'!$R$8, L224&lt;= ($R$7+$R$8)), (IPMT($N$8/12, (L224-$R$8), $R$7, $N$7)), 0)</f>
        <v>0</v>
      </c>
      <c r="O224" s="5">
        <f>IF(AND(L224&gt;='Amort. Sched.-WORST'!$R$8, L224&lt;= ($R$7+$R$8)), (PPMT($N$8/12, (L224-$R$8), $R$7, $N$7)), 0)</f>
        <v>0</v>
      </c>
      <c r="P224" s="5">
        <f>IF(CreditAmort1WORST[[#This Row],[Month]]=R$8,N$7,0)</f>
        <v>0</v>
      </c>
      <c r="Q224" s="13">
        <f>IF(AND(L224&gt;='Amort. Sched.-WORST'!$R$8, L224&lt;= ($R$7+$R$8)), Q223+O224, 0)</f>
        <v>0</v>
      </c>
      <c r="R224" s="6" t="str">
        <f>IF(AND(L224&gt;='Amort. Sched.-WORST'!$R$8, L224&lt;= ($R$7+$R$8)), N224/M224, " ")</f>
        <v xml:space="preserve"> </v>
      </c>
      <c r="S224" s="21" t="str">
        <f>IF(AND(L224&gt;='Amort. Sched.-WORST'!$R$8, L224&lt;= ($R$7+$R$8)), O224/M224, " ")</f>
        <v xml:space="preserve"> </v>
      </c>
      <c r="U224" s="22">
        <f t="shared" si="53"/>
        <v>213</v>
      </c>
      <c r="V224" s="23">
        <f>IF(AND(U224&gt;='Amort. Sched.-WORST'!$AA$8, U224&lt;= ($AA$7+$AA$8)), PMT('Amort. Sched.-WORST'!$W$8/12, 'Amort. Sched.-WORST'!$AA$7, 'Amort. Sched.-WORST'!$W$7), 0)</f>
        <v>0</v>
      </c>
      <c r="W224" s="5">
        <f>IF(AND(U224&gt;='Amort. Sched.-WORST'!$AA$8, U224&lt;= ($AA$7+$AA$8)), (IPMT($W$8/12, (U224-$AA$8), $AA$7, $W$7)), 0)</f>
        <v>0</v>
      </c>
      <c r="X224" s="23">
        <f>IF(AND(U224&gt;='Amort. Sched.-WORST'!$AA$8, U224&lt;= ($AA$7+$AA$8)), (PPMT($W$8/12, (U224-$AA$8), $AA$7, $W$7)), 0)</f>
        <v>0</v>
      </c>
      <c r="Y224" s="5">
        <f>IF(CreditAmort2WORST[[#This Row],[Month]]=AA$8,W$7,0)</f>
        <v>0</v>
      </c>
      <c r="Z224" s="13">
        <f>IF(AND(U224&gt;='Amort. Sched.-WORST'!$AA$8, U224&lt;= ($AA$7+$AA$8)), Z223+X224, 0)</f>
        <v>0</v>
      </c>
      <c r="AA224" s="24" t="str">
        <f>IF(AND(U224&gt;='Amort. Sched.-WORST'!$AA$8, U224&lt;= ($AA$7+$AA$8)), W224/V224, " ")</f>
        <v xml:space="preserve"> </v>
      </c>
      <c r="AB224" s="25" t="str">
        <f>IF(AND(U224&gt;='Amort. Sched.-WORST'!$AA$8, U224&lt;= ($AA$7+$AA$8)), X224/V224, " ")</f>
        <v xml:space="preserve"> </v>
      </c>
      <c r="AD224" s="20">
        <f t="shared" si="54"/>
        <v>213</v>
      </c>
      <c r="AE224" s="5">
        <f t="shared" si="55"/>
        <v>0</v>
      </c>
      <c r="AF224" s="5">
        <f t="shared" si="56"/>
        <v>0</v>
      </c>
      <c r="AG224" s="5">
        <f t="shared" si="57"/>
        <v>0</v>
      </c>
      <c r="AH224" s="5">
        <f>IF(CreditAmort3WORST[[#This Row],[Month]]=AJ$8,AF$7,0)</f>
        <v>0</v>
      </c>
      <c r="AI224" s="13">
        <f t="shared" si="58"/>
        <v>0</v>
      </c>
      <c r="AJ224" s="6" t="str">
        <f t="shared" si="59"/>
        <v xml:space="preserve"> </v>
      </c>
      <c r="AK224" s="21" t="str">
        <f t="shared" si="60"/>
        <v xml:space="preserve"> </v>
      </c>
      <c r="AM224" s="20">
        <f t="shared" si="61"/>
        <v>213</v>
      </c>
      <c r="AN224" s="5">
        <f t="shared" si="62"/>
        <v>0</v>
      </c>
      <c r="AO224" s="5">
        <f t="shared" si="63"/>
        <v>0</v>
      </c>
      <c r="AP224" s="5">
        <f t="shared" si="64"/>
        <v>0</v>
      </c>
      <c r="AQ224" s="5">
        <f>IF(CreditAmort4WORST[[#This Row],[Month]]=AS$8,AO$7,0)</f>
        <v>0</v>
      </c>
      <c r="AR224" s="13">
        <f t="shared" si="65"/>
        <v>0</v>
      </c>
      <c r="AS224" s="6" t="str">
        <f t="shared" si="66"/>
        <v xml:space="preserve"> </v>
      </c>
      <c r="AT224" s="21" t="str">
        <f t="shared" si="67"/>
        <v xml:space="preserve"> </v>
      </c>
    </row>
    <row r="225" spans="3:46">
      <c r="C225" s="22">
        <f t="shared" si="52"/>
        <v>214</v>
      </c>
      <c r="D225" s="23">
        <f>IF(AND(C225&gt;='Amort. Sched.-WORST'!$I$8, C225&lt;= ($I$7+$I$8)), PMT('Amort. Sched.-WORST'!$E$8/12, 'Amort. Sched.-WORST'!$I$7, 'Amort. Sched.-WORST'!$E$7), 0)</f>
        <v>-2026.0175758541329</v>
      </c>
      <c r="E225" s="5">
        <f>IF(AND(C225&gt;='Amort. Sched.-WORST'!$I$8, C225&lt;= ($I$7+$I$8)), (IPMT($E$8/12, (C225-$I$8), $I$7, $E$7)), 0)</f>
        <v>-889.4681369102467</v>
      </c>
      <c r="F225" s="23">
        <f>IF(AND(C225&gt;='Amort. Sched.-WORST'!$I$8, C225&lt;= ($I$7+$I$8)), (PPMT($E$8/12, (C225-$I$8), $I$7, $E$7)), 0)</f>
        <v>-1136.5494389438863</v>
      </c>
      <c r="G225" s="5">
        <f>IF(MortgageAmortWORST[[#This Row],[Month]]=I$8,E$7,0)</f>
        <v>0</v>
      </c>
      <c r="H225" s="13">
        <f>IF(AND(C225&gt;='Amort. Sched.-WORST'!$I$8, C225&lt;= ($I$7+$I$8)), H224+F225, 0)</f>
        <v>132283.67109759321</v>
      </c>
      <c r="I225" s="24">
        <f>IF(AND(C225&gt;='Amort. Sched.-WORST'!$I$8, C225&lt;= ($I$7+$I$8)), E225/D225, " ")</f>
        <v>0.43902291249139969</v>
      </c>
      <c r="J225" s="25">
        <f>IF(AND(C225&gt;='Amort. Sched.-WORST'!$I$8, C225&lt;= ($I$7+$I$8)), F225/D225, " ")</f>
        <v>0.56097708750860042</v>
      </c>
      <c r="L225" s="20">
        <f t="shared" si="51"/>
        <v>214</v>
      </c>
      <c r="M225" s="5">
        <f>IF(AND(L225&gt;='Amort. Sched.-WORST'!$R$8, L225&lt;= ($R$7+$R$8)), PMT('Amort. Sched.-WORST'!$N$8/12, 'Amort. Sched.-WORST'!$R$7, 'Amort. Sched.-WORST'!$N$7), 0)</f>
        <v>0</v>
      </c>
      <c r="N225" s="5">
        <f>IF(AND(L225&gt;='Amort. Sched.-WORST'!$R$8, L225&lt;= ($R$7+$R$8)), (IPMT($N$8/12, (L225-$R$8), $R$7, $N$7)), 0)</f>
        <v>0</v>
      </c>
      <c r="O225" s="5">
        <f>IF(AND(L225&gt;='Amort. Sched.-WORST'!$R$8, L225&lt;= ($R$7+$R$8)), (PPMT($N$8/12, (L225-$R$8), $R$7, $N$7)), 0)</f>
        <v>0</v>
      </c>
      <c r="P225" s="5">
        <f>IF(CreditAmort1WORST[[#This Row],[Month]]=R$8,N$7,0)</f>
        <v>0</v>
      </c>
      <c r="Q225" s="13">
        <f>IF(AND(L225&gt;='Amort. Sched.-WORST'!$R$8, L225&lt;= ($R$7+$R$8)), Q224+O225, 0)</f>
        <v>0</v>
      </c>
      <c r="R225" s="6" t="str">
        <f>IF(AND(L225&gt;='Amort. Sched.-WORST'!$R$8, L225&lt;= ($R$7+$R$8)), N225/M225, " ")</f>
        <v xml:space="preserve"> </v>
      </c>
      <c r="S225" s="21" t="str">
        <f>IF(AND(L225&gt;='Amort. Sched.-WORST'!$R$8, L225&lt;= ($R$7+$R$8)), O225/M225, " ")</f>
        <v xml:space="preserve"> </v>
      </c>
      <c r="U225" s="22">
        <f t="shared" si="53"/>
        <v>214</v>
      </c>
      <c r="V225" s="23">
        <f>IF(AND(U225&gt;='Amort. Sched.-WORST'!$AA$8, U225&lt;= ($AA$7+$AA$8)), PMT('Amort. Sched.-WORST'!$W$8/12, 'Amort. Sched.-WORST'!$AA$7, 'Amort. Sched.-WORST'!$W$7), 0)</f>
        <v>0</v>
      </c>
      <c r="W225" s="5">
        <f>IF(AND(U225&gt;='Amort. Sched.-WORST'!$AA$8, U225&lt;= ($AA$7+$AA$8)), (IPMT($W$8/12, (U225-$AA$8), $AA$7, $W$7)), 0)</f>
        <v>0</v>
      </c>
      <c r="X225" s="23">
        <f>IF(AND(U225&gt;='Amort. Sched.-WORST'!$AA$8, U225&lt;= ($AA$7+$AA$8)), (PPMT($W$8/12, (U225-$AA$8), $AA$7, $W$7)), 0)</f>
        <v>0</v>
      </c>
      <c r="Y225" s="5">
        <f>IF(CreditAmort2WORST[[#This Row],[Month]]=AA$8,W$7,0)</f>
        <v>0</v>
      </c>
      <c r="Z225" s="13">
        <f>IF(AND(U225&gt;='Amort. Sched.-WORST'!$AA$8, U225&lt;= ($AA$7+$AA$8)), Z224+X225, 0)</f>
        <v>0</v>
      </c>
      <c r="AA225" s="24" t="str">
        <f>IF(AND(U225&gt;='Amort. Sched.-WORST'!$AA$8, U225&lt;= ($AA$7+$AA$8)), W225/V225, " ")</f>
        <v xml:space="preserve"> </v>
      </c>
      <c r="AB225" s="25" t="str">
        <f>IF(AND(U225&gt;='Amort. Sched.-WORST'!$AA$8, U225&lt;= ($AA$7+$AA$8)), X225/V225, " ")</f>
        <v xml:space="preserve"> </v>
      </c>
      <c r="AD225" s="20">
        <f t="shared" si="54"/>
        <v>214</v>
      </c>
      <c r="AE225" s="5">
        <f t="shared" si="55"/>
        <v>0</v>
      </c>
      <c r="AF225" s="5">
        <f t="shared" si="56"/>
        <v>0</v>
      </c>
      <c r="AG225" s="5">
        <f t="shared" si="57"/>
        <v>0</v>
      </c>
      <c r="AH225" s="5">
        <f>IF(CreditAmort3WORST[[#This Row],[Month]]=AJ$8,AF$7,0)</f>
        <v>0</v>
      </c>
      <c r="AI225" s="13">
        <f t="shared" si="58"/>
        <v>0</v>
      </c>
      <c r="AJ225" s="6" t="str">
        <f t="shared" si="59"/>
        <v xml:space="preserve"> </v>
      </c>
      <c r="AK225" s="21" t="str">
        <f t="shared" si="60"/>
        <v xml:space="preserve"> </v>
      </c>
      <c r="AM225" s="20">
        <f t="shared" si="61"/>
        <v>214</v>
      </c>
      <c r="AN225" s="5">
        <f t="shared" si="62"/>
        <v>0</v>
      </c>
      <c r="AO225" s="5">
        <f t="shared" si="63"/>
        <v>0</v>
      </c>
      <c r="AP225" s="5">
        <f t="shared" si="64"/>
        <v>0</v>
      </c>
      <c r="AQ225" s="5">
        <f>IF(CreditAmort4WORST[[#This Row],[Month]]=AS$8,AO$7,0)</f>
        <v>0</v>
      </c>
      <c r="AR225" s="13">
        <f t="shared" si="65"/>
        <v>0</v>
      </c>
      <c r="AS225" s="6" t="str">
        <f t="shared" si="66"/>
        <v xml:space="preserve"> </v>
      </c>
      <c r="AT225" s="21" t="str">
        <f t="shared" si="67"/>
        <v xml:space="preserve"> </v>
      </c>
    </row>
    <row r="226" spans="3:46">
      <c r="C226" s="22">
        <f t="shared" si="52"/>
        <v>215</v>
      </c>
      <c r="D226" s="23">
        <f>IF(AND(C226&gt;='Amort. Sched.-WORST'!$I$8, C226&lt;= ($I$7+$I$8)), PMT('Amort. Sched.-WORST'!$E$8/12, 'Amort. Sched.-WORST'!$I$7, 'Amort. Sched.-WORST'!$E$7), 0)</f>
        <v>-2026.0175758541329</v>
      </c>
      <c r="E226" s="5">
        <f>IF(AND(C226&gt;='Amort. Sched.-WORST'!$I$8, C226&lt;= ($I$7+$I$8)), (IPMT($E$8/12, (C226-$I$8), $I$7, $E$7)), 0)</f>
        <v>-881.89114065062108</v>
      </c>
      <c r="F226" s="23">
        <f>IF(AND(C226&gt;='Amort. Sched.-WORST'!$I$8, C226&lt;= ($I$7+$I$8)), (PPMT($E$8/12, (C226-$I$8), $I$7, $E$7)), 0)</f>
        <v>-1144.1264352035121</v>
      </c>
      <c r="G226" s="5">
        <f>IF(MortgageAmortWORST[[#This Row],[Month]]=I$8,E$7,0)</f>
        <v>0</v>
      </c>
      <c r="H226" s="13">
        <f>IF(AND(C226&gt;='Amort. Sched.-WORST'!$I$8, C226&lt;= ($I$7+$I$8)), H225+F226, 0)</f>
        <v>131139.5446623897</v>
      </c>
      <c r="I226" s="24">
        <f>IF(AND(C226&gt;='Amort. Sched.-WORST'!$I$8, C226&lt;= ($I$7+$I$8)), E226/D226, " ")</f>
        <v>0.43528306524134247</v>
      </c>
      <c r="J226" s="25">
        <f>IF(AND(C226&gt;='Amort. Sched.-WORST'!$I$8, C226&lt;= ($I$7+$I$8)), F226/D226, " ")</f>
        <v>0.56471693475865758</v>
      </c>
      <c r="L226" s="20">
        <f t="shared" si="51"/>
        <v>215</v>
      </c>
      <c r="M226" s="5">
        <f>IF(AND(L226&gt;='Amort. Sched.-WORST'!$R$8, L226&lt;= ($R$7+$R$8)), PMT('Amort. Sched.-WORST'!$N$8/12, 'Amort. Sched.-WORST'!$R$7, 'Amort. Sched.-WORST'!$N$7), 0)</f>
        <v>0</v>
      </c>
      <c r="N226" s="5">
        <f>IF(AND(L226&gt;='Amort. Sched.-WORST'!$R$8, L226&lt;= ($R$7+$R$8)), (IPMT($N$8/12, (L226-$R$8), $R$7, $N$7)), 0)</f>
        <v>0</v>
      </c>
      <c r="O226" s="5">
        <f>IF(AND(L226&gt;='Amort. Sched.-WORST'!$R$8, L226&lt;= ($R$7+$R$8)), (PPMT($N$8/12, (L226-$R$8), $R$7, $N$7)), 0)</f>
        <v>0</v>
      </c>
      <c r="P226" s="5">
        <f>IF(CreditAmort1WORST[[#This Row],[Month]]=R$8,N$7,0)</f>
        <v>0</v>
      </c>
      <c r="Q226" s="13">
        <f>IF(AND(L226&gt;='Amort. Sched.-WORST'!$R$8, L226&lt;= ($R$7+$R$8)), Q225+O226, 0)</f>
        <v>0</v>
      </c>
      <c r="R226" s="6" t="str">
        <f>IF(AND(L226&gt;='Amort. Sched.-WORST'!$R$8, L226&lt;= ($R$7+$R$8)), N226/M226, " ")</f>
        <v xml:space="preserve"> </v>
      </c>
      <c r="S226" s="21" t="str">
        <f>IF(AND(L226&gt;='Amort. Sched.-WORST'!$R$8, L226&lt;= ($R$7+$R$8)), O226/M226, " ")</f>
        <v xml:space="preserve"> </v>
      </c>
      <c r="U226" s="22">
        <f t="shared" si="53"/>
        <v>215</v>
      </c>
      <c r="V226" s="23">
        <f>IF(AND(U226&gt;='Amort. Sched.-WORST'!$AA$8, U226&lt;= ($AA$7+$AA$8)), PMT('Amort. Sched.-WORST'!$W$8/12, 'Amort. Sched.-WORST'!$AA$7, 'Amort. Sched.-WORST'!$W$7), 0)</f>
        <v>0</v>
      </c>
      <c r="W226" s="5">
        <f>IF(AND(U226&gt;='Amort. Sched.-WORST'!$AA$8, U226&lt;= ($AA$7+$AA$8)), (IPMT($W$8/12, (U226-$AA$8), $AA$7, $W$7)), 0)</f>
        <v>0</v>
      </c>
      <c r="X226" s="23">
        <f>IF(AND(U226&gt;='Amort. Sched.-WORST'!$AA$8, U226&lt;= ($AA$7+$AA$8)), (PPMT($W$8/12, (U226-$AA$8), $AA$7, $W$7)), 0)</f>
        <v>0</v>
      </c>
      <c r="Y226" s="5">
        <f>IF(CreditAmort2WORST[[#This Row],[Month]]=AA$8,W$7,0)</f>
        <v>0</v>
      </c>
      <c r="Z226" s="13">
        <f>IF(AND(U226&gt;='Amort. Sched.-WORST'!$AA$8, U226&lt;= ($AA$7+$AA$8)), Z225+X226, 0)</f>
        <v>0</v>
      </c>
      <c r="AA226" s="24" t="str">
        <f>IF(AND(U226&gt;='Amort. Sched.-WORST'!$AA$8, U226&lt;= ($AA$7+$AA$8)), W226/V226, " ")</f>
        <v xml:space="preserve"> </v>
      </c>
      <c r="AB226" s="25" t="str">
        <f>IF(AND(U226&gt;='Amort. Sched.-WORST'!$AA$8, U226&lt;= ($AA$7+$AA$8)), X226/V226, " ")</f>
        <v xml:space="preserve"> </v>
      </c>
      <c r="AD226" s="20">
        <f t="shared" si="54"/>
        <v>215</v>
      </c>
      <c r="AE226" s="5">
        <f t="shared" si="55"/>
        <v>0</v>
      </c>
      <c r="AF226" s="5">
        <f t="shared" si="56"/>
        <v>0</v>
      </c>
      <c r="AG226" s="5">
        <f t="shared" si="57"/>
        <v>0</v>
      </c>
      <c r="AH226" s="5">
        <f>IF(CreditAmort3WORST[[#This Row],[Month]]=AJ$8,AF$7,0)</f>
        <v>0</v>
      </c>
      <c r="AI226" s="13">
        <f t="shared" si="58"/>
        <v>0</v>
      </c>
      <c r="AJ226" s="6" t="str">
        <f t="shared" si="59"/>
        <v xml:space="preserve"> </v>
      </c>
      <c r="AK226" s="21" t="str">
        <f t="shared" si="60"/>
        <v xml:space="preserve"> </v>
      </c>
      <c r="AM226" s="20">
        <f t="shared" si="61"/>
        <v>215</v>
      </c>
      <c r="AN226" s="5">
        <f t="shared" si="62"/>
        <v>0</v>
      </c>
      <c r="AO226" s="5">
        <f t="shared" si="63"/>
        <v>0</v>
      </c>
      <c r="AP226" s="5">
        <f t="shared" si="64"/>
        <v>0</v>
      </c>
      <c r="AQ226" s="5">
        <f>IF(CreditAmort4WORST[[#This Row],[Month]]=AS$8,AO$7,0)</f>
        <v>0</v>
      </c>
      <c r="AR226" s="13">
        <f t="shared" si="65"/>
        <v>0</v>
      </c>
      <c r="AS226" s="6" t="str">
        <f t="shared" si="66"/>
        <v xml:space="preserve"> </v>
      </c>
      <c r="AT226" s="21" t="str">
        <f t="shared" si="67"/>
        <v xml:space="preserve"> </v>
      </c>
    </row>
    <row r="227" spans="3:46">
      <c r="C227" s="22">
        <f t="shared" si="52"/>
        <v>216</v>
      </c>
      <c r="D227" s="23">
        <f>IF(AND(C227&gt;='Amort. Sched.-WORST'!$I$8, C227&lt;= ($I$7+$I$8)), PMT('Amort. Sched.-WORST'!$E$8/12, 'Amort. Sched.-WORST'!$I$7, 'Amort. Sched.-WORST'!$E$7), 0)</f>
        <v>-2026.0175758541329</v>
      </c>
      <c r="E227" s="5">
        <f>IF(AND(C227&gt;='Amort. Sched.-WORST'!$I$8, C227&lt;= ($I$7+$I$8)), (IPMT($E$8/12, (C227-$I$8), $I$7, $E$7)), 0)</f>
        <v>-874.2636310825975</v>
      </c>
      <c r="F227" s="23">
        <f>IF(AND(C227&gt;='Amort. Sched.-WORST'!$I$8, C227&lt;= ($I$7+$I$8)), (PPMT($E$8/12, (C227-$I$8), $I$7, $E$7)), 0)</f>
        <v>-1151.7539447715355</v>
      </c>
      <c r="G227" s="5">
        <f>IF(MortgageAmortWORST[[#This Row],[Month]]=I$8,E$7,0)</f>
        <v>0</v>
      </c>
      <c r="H227" s="13">
        <f>IF(AND(C227&gt;='Amort. Sched.-WORST'!$I$8, C227&lt;= ($I$7+$I$8)), H226+F227, 0)</f>
        <v>129987.79071761816</v>
      </c>
      <c r="I227" s="24">
        <f>IF(AND(C227&gt;='Amort. Sched.-WORST'!$I$8, C227&lt;= ($I$7+$I$8)), E227/D227, " ")</f>
        <v>0.4315182856762847</v>
      </c>
      <c r="J227" s="25">
        <f>IF(AND(C227&gt;='Amort. Sched.-WORST'!$I$8, C227&lt;= ($I$7+$I$8)), F227/D227, " ")</f>
        <v>0.56848171432371541</v>
      </c>
      <c r="L227" s="20">
        <f t="shared" si="51"/>
        <v>216</v>
      </c>
      <c r="M227" s="5">
        <f>IF(AND(L227&gt;='Amort. Sched.-WORST'!$R$8, L227&lt;= ($R$7+$R$8)), PMT('Amort. Sched.-WORST'!$N$8/12, 'Amort. Sched.-WORST'!$R$7, 'Amort. Sched.-WORST'!$N$7), 0)</f>
        <v>0</v>
      </c>
      <c r="N227" s="5">
        <f>IF(AND(L227&gt;='Amort. Sched.-WORST'!$R$8, L227&lt;= ($R$7+$R$8)), (IPMT($N$8/12, (L227-$R$8), $R$7, $N$7)), 0)</f>
        <v>0</v>
      </c>
      <c r="O227" s="5">
        <f>IF(AND(L227&gt;='Amort. Sched.-WORST'!$R$8, L227&lt;= ($R$7+$R$8)), (PPMT($N$8/12, (L227-$R$8), $R$7, $N$7)), 0)</f>
        <v>0</v>
      </c>
      <c r="P227" s="5">
        <f>IF(CreditAmort1WORST[[#This Row],[Month]]=R$8,N$7,0)</f>
        <v>0</v>
      </c>
      <c r="Q227" s="13">
        <f>IF(AND(L227&gt;='Amort. Sched.-WORST'!$R$8, L227&lt;= ($R$7+$R$8)), Q226+O227, 0)</f>
        <v>0</v>
      </c>
      <c r="R227" s="6" t="str">
        <f>IF(AND(L227&gt;='Amort. Sched.-WORST'!$R$8, L227&lt;= ($R$7+$R$8)), N227/M227, " ")</f>
        <v xml:space="preserve"> </v>
      </c>
      <c r="S227" s="21" t="str">
        <f>IF(AND(L227&gt;='Amort. Sched.-WORST'!$R$8, L227&lt;= ($R$7+$R$8)), O227/M227, " ")</f>
        <v xml:space="preserve"> </v>
      </c>
      <c r="U227" s="22">
        <f t="shared" si="53"/>
        <v>216</v>
      </c>
      <c r="V227" s="23">
        <f>IF(AND(U227&gt;='Amort. Sched.-WORST'!$AA$8, U227&lt;= ($AA$7+$AA$8)), PMT('Amort. Sched.-WORST'!$W$8/12, 'Amort. Sched.-WORST'!$AA$7, 'Amort. Sched.-WORST'!$W$7), 0)</f>
        <v>0</v>
      </c>
      <c r="W227" s="5">
        <f>IF(AND(U227&gt;='Amort. Sched.-WORST'!$AA$8, U227&lt;= ($AA$7+$AA$8)), (IPMT($W$8/12, (U227-$AA$8), $AA$7, $W$7)), 0)</f>
        <v>0</v>
      </c>
      <c r="X227" s="23">
        <f>IF(AND(U227&gt;='Amort. Sched.-WORST'!$AA$8, U227&lt;= ($AA$7+$AA$8)), (PPMT($W$8/12, (U227-$AA$8), $AA$7, $W$7)), 0)</f>
        <v>0</v>
      </c>
      <c r="Y227" s="5">
        <f>IF(CreditAmort2WORST[[#This Row],[Month]]=AA$8,W$7,0)</f>
        <v>0</v>
      </c>
      <c r="Z227" s="13">
        <f>IF(AND(U227&gt;='Amort. Sched.-WORST'!$AA$8, U227&lt;= ($AA$7+$AA$8)), Z226+X227, 0)</f>
        <v>0</v>
      </c>
      <c r="AA227" s="24" t="str">
        <f>IF(AND(U227&gt;='Amort. Sched.-WORST'!$AA$8, U227&lt;= ($AA$7+$AA$8)), W227/V227, " ")</f>
        <v xml:space="preserve"> </v>
      </c>
      <c r="AB227" s="25" t="str">
        <f>IF(AND(U227&gt;='Amort. Sched.-WORST'!$AA$8, U227&lt;= ($AA$7+$AA$8)), X227/V227, " ")</f>
        <v xml:space="preserve"> </v>
      </c>
      <c r="AD227" s="20">
        <f t="shared" si="54"/>
        <v>216</v>
      </c>
      <c r="AE227" s="5">
        <f t="shared" si="55"/>
        <v>0</v>
      </c>
      <c r="AF227" s="5">
        <f t="shared" si="56"/>
        <v>0</v>
      </c>
      <c r="AG227" s="5">
        <f t="shared" si="57"/>
        <v>0</v>
      </c>
      <c r="AH227" s="5">
        <f>IF(CreditAmort3WORST[[#This Row],[Month]]=AJ$8,AF$7,0)</f>
        <v>0</v>
      </c>
      <c r="AI227" s="13">
        <f t="shared" si="58"/>
        <v>0</v>
      </c>
      <c r="AJ227" s="6" t="str">
        <f t="shared" si="59"/>
        <v xml:space="preserve"> </v>
      </c>
      <c r="AK227" s="21" t="str">
        <f t="shared" si="60"/>
        <v xml:space="preserve"> </v>
      </c>
      <c r="AM227" s="20">
        <f t="shared" si="61"/>
        <v>216</v>
      </c>
      <c r="AN227" s="5">
        <f t="shared" si="62"/>
        <v>0</v>
      </c>
      <c r="AO227" s="5">
        <f t="shared" si="63"/>
        <v>0</v>
      </c>
      <c r="AP227" s="5">
        <f t="shared" si="64"/>
        <v>0</v>
      </c>
      <c r="AQ227" s="5">
        <f>IF(CreditAmort4WORST[[#This Row],[Month]]=AS$8,AO$7,0)</f>
        <v>0</v>
      </c>
      <c r="AR227" s="13">
        <f t="shared" si="65"/>
        <v>0</v>
      </c>
      <c r="AS227" s="6" t="str">
        <f t="shared" si="66"/>
        <v xml:space="preserve"> </v>
      </c>
      <c r="AT227" s="21" t="str">
        <f t="shared" si="67"/>
        <v xml:space="preserve"> </v>
      </c>
    </row>
    <row r="228" spans="3:46">
      <c r="C228" s="22">
        <f t="shared" si="52"/>
        <v>217</v>
      </c>
      <c r="D228" s="23">
        <f>IF(AND(C228&gt;='Amort. Sched.-WORST'!$I$8, C228&lt;= ($I$7+$I$8)), PMT('Amort. Sched.-WORST'!$E$8/12, 'Amort. Sched.-WORST'!$I$7, 'Amort. Sched.-WORST'!$E$7), 0)</f>
        <v>-2026.0175758541329</v>
      </c>
      <c r="E228" s="5">
        <f>IF(AND(C228&gt;='Amort. Sched.-WORST'!$I$8, C228&lt;= ($I$7+$I$8)), (IPMT($E$8/12, (C228-$I$8), $I$7, $E$7)), 0)</f>
        <v>-866.58527145078722</v>
      </c>
      <c r="F228" s="23">
        <f>IF(AND(C228&gt;='Amort. Sched.-WORST'!$I$8, C228&lt;= ($I$7+$I$8)), (PPMT($E$8/12, (C228-$I$8), $I$7, $E$7)), 0)</f>
        <v>-1159.4323044033458</v>
      </c>
      <c r="G228" s="5">
        <f>IF(MortgageAmortWORST[[#This Row],[Month]]=I$8,E$7,0)</f>
        <v>0</v>
      </c>
      <c r="H228" s="13">
        <f>IF(AND(C228&gt;='Amort. Sched.-WORST'!$I$8, C228&lt;= ($I$7+$I$8)), H227+F228, 0)</f>
        <v>128828.35841321481</v>
      </c>
      <c r="I228" s="24">
        <f>IF(AND(C228&gt;='Amort. Sched.-WORST'!$I$8, C228&lt;= ($I$7+$I$8)), E228/D228, " ")</f>
        <v>0.42772840758079322</v>
      </c>
      <c r="J228" s="25">
        <f>IF(AND(C228&gt;='Amort. Sched.-WORST'!$I$8, C228&lt;= ($I$7+$I$8)), F228/D228, " ")</f>
        <v>0.57227159241920689</v>
      </c>
      <c r="L228" s="20">
        <f t="shared" si="51"/>
        <v>217</v>
      </c>
      <c r="M228" s="5">
        <f>IF(AND(L228&gt;='Amort. Sched.-WORST'!$R$8, L228&lt;= ($R$7+$R$8)), PMT('Amort. Sched.-WORST'!$N$8/12, 'Amort. Sched.-WORST'!$R$7, 'Amort. Sched.-WORST'!$N$7), 0)</f>
        <v>0</v>
      </c>
      <c r="N228" s="5">
        <f>IF(AND(L228&gt;='Amort. Sched.-WORST'!$R$8, L228&lt;= ($R$7+$R$8)), (IPMT($N$8/12, (L228-$R$8), $R$7, $N$7)), 0)</f>
        <v>0</v>
      </c>
      <c r="O228" s="5">
        <f>IF(AND(L228&gt;='Amort. Sched.-WORST'!$R$8, L228&lt;= ($R$7+$R$8)), (PPMT($N$8/12, (L228-$R$8), $R$7, $N$7)), 0)</f>
        <v>0</v>
      </c>
      <c r="P228" s="5">
        <f>IF(CreditAmort1WORST[[#This Row],[Month]]=R$8,N$7,0)</f>
        <v>0</v>
      </c>
      <c r="Q228" s="13">
        <f>IF(AND(L228&gt;='Amort. Sched.-WORST'!$R$8, L228&lt;= ($R$7+$R$8)), Q227+O228, 0)</f>
        <v>0</v>
      </c>
      <c r="R228" s="6" t="str">
        <f>IF(AND(L228&gt;='Amort. Sched.-WORST'!$R$8, L228&lt;= ($R$7+$R$8)), N228/M228, " ")</f>
        <v xml:space="preserve"> </v>
      </c>
      <c r="S228" s="21" t="str">
        <f>IF(AND(L228&gt;='Amort. Sched.-WORST'!$R$8, L228&lt;= ($R$7+$R$8)), O228/M228, " ")</f>
        <v xml:space="preserve"> </v>
      </c>
      <c r="U228" s="22">
        <f t="shared" si="53"/>
        <v>217</v>
      </c>
      <c r="V228" s="23">
        <f>IF(AND(U228&gt;='Amort. Sched.-WORST'!$AA$8, U228&lt;= ($AA$7+$AA$8)), PMT('Amort. Sched.-WORST'!$W$8/12, 'Amort. Sched.-WORST'!$AA$7, 'Amort. Sched.-WORST'!$W$7), 0)</f>
        <v>0</v>
      </c>
      <c r="W228" s="5">
        <f>IF(AND(U228&gt;='Amort. Sched.-WORST'!$AA$8, U228&lt;= ($AA$7+$AA$8)), (IPMT($W$8/12, (U228-$AA$8), $AA$7, $W$7)), 0)</f>
        <v>0</v>
      </c>
      <c r="X228" s="23">
        <f>IF(AND(U228&gt;='Amort. Sched.-WORST'!$AA$8, U228&lt;= ($AA$7+$AA$8)), (PPMT($W$8/12, (U228-$AA$8), $AA$7, $W$7)), 0)</f>
        <v>0</v>
      </c>
      <c r="Y228" s="5">
        <f>IF(CreditAmort2WORST[[#This Row],[Month]]=AA$8,W$7,0)</f>
        <v>0</v>
      </c>
      <c r="Z228" s="13">
        <f>IF(AND(U228&gt;='Amort. Sched.-WORST'!$AA$8, U228&lt;= ($AA$7+$AA$8)), Z227+X228, 0)</f>
        <v>0</v>
      </c>
      <c r="AA228" s="24" t="str">
        <f>IF(AND(U228&gt;='Amort. Sched.-WORST'!$AA$8, U228&lt;= ($AA$7+$AA$8)), W228/V228, " ")</f>
        <v xml:space="preserve"> </v>
      </c>
      <c r="AB228" s="25" t="str">
        <f>IF(AND(U228&gt;='Amort. Sched.-WORST'!$AA$8, U228&lt;= ($AA$7+$AA$8)), X228/V228, " ")</f>
        <v xml:space="preserve"> </v>
      </c>
      <c r="AD228" s="20">
        <f t="shared" si="54"/>
        <v>217</v>
      </c>
      <c r="AE228" s="5">
        <f t="shared" si="55"/>
        <v>0</v>
      </c>
      <c r="AF228" s="5">
        <f t="shared" si="56"/>
        <v>0</v>
      </c>
      <c r="AG228" s="5">
        <f t="shared" si="57"/>
        <v>0</v>
      </c>
      <c r="AH228" s="5">
        <f>IF(CreditAmort3WORST[[#This Row],[Month]]=AJ$8,AF$7,0)</f>
        <v>0</v>
      </c>
      <c r="AI228" s="13">
        <f t="shared" si="58"/>
        <v>0</v>
      </c>
      <c r="AJ228" s="6" t="str">
        <f t="shared" si="59"/>
        <v xml:space="preserve"> </v>
      </c>
      <c r="AK228" s="21" t="str">
        <f t="shared" si="60"/>
        <v xml:space="preserve"> </v>
      </c>
      <c r="AM228" s="20">
        <f t="shared" si="61"/>
        <v>217</v>
      </c>
      <c r="AN228" s="5">
        <f t="shared" si="62"/>
        <v>0</v>
      </c>
      <c r="AO228" s="5">
        <f t="shared" si="63"/>
        <v>0</v>
      </c>
      <c r="AP228" s="5">
        <f t="shared" si="64"/>
        <v>0</v>
      </c>
      <c r="AQ228" s="5">
        <f>IF(CreditAmort4WORST[[#This Row],[Month]]=AS$8,AO$7,0)</f>
        <v>0</v>
      </c>
      <c r="AR228" s="13">
        <f t="shared" si="65"/>
        <v>0</v>
      </c>
      <c r="AS228" s="6" t="str">
        <f t="shared" si="66"/>
        <v xml:space="preserve"> </v>
      </c>
      <c r="AT228" s="21" t="str">
        <f t="shared" si="67"/>
        <v xml:space="preserve"> </v>
      </c>
    </row>
    <row r="229" spans="3:46">
      <c r="C229" s="22">
        <f t="shared" si="52"/>
        <v>218</v>
      </c>
      <c r="D229" s="23">
        <f>IF(AND(C229&gt;='Amort. Sched.-WORST'!$I$8, C229&lt;= ($I$7+$I$8)), PMT('Amort. Sched.-WORST'!$E$8/12, 'Amort. Sched.-WORST'!$I$7, 'Amort. Sched.-WORST'!$E$7), 0)</f>
        <v>-2026.0175758541329</v>
      </c>
      <c r="E229" s="5">
        <f>IF(AND(C229&gt;='Amort. Sched.-WORST'!$I$8, C229&lt;= ($I$7+$I$8)), (IPMT($E$8/12, (C229-$I$8), $I$7, $E$7)), 0)</f>
        <v>-858.855722754765</v>
      </c>
      <c r="F229" s="23">
        <f>IF(AND(C229&gt;='Amort. Sched.-WORST'!$I$8, C229&lt;= ($I$7+$I$8)), (PPMT($E$8/12, (C229-$I$8), $I$7, $E$7)), 0)</f>
        <v>-1167.161853099368</v>
      </c>
      <c r="G229" s="5">
        <f>IF(MortgageAmortWORST[[#This Row],[Month]]=I$8,E$7,0)</f>
        <v>0</v>
      </c>
      <c r="H229" s="13">
        <f>IF(AND(C229&gt;='Amort. Sched.-WORST'!$I$8, C229&lt;= ($I$7+$I$8)), H228+F229, 0)</f>
        <v>127661.19656011544</v>
      </c>
      <c r="I229" s="24">
        <f>IF(AND(C229&gt;='Amort. Sched.-WORST'!$I$8, C229&lt;= ($I$7+$I$8)), E229/D229, " ")</f>
        <v>0.42391326363133186</v>
      </c>
      <c r="J229" s="25">
        <f>IF(AND(C229&gt;='Amort. Sched.-WORST'!$I$8, C229&lt;= ($I$7+$I$8)), F229/D229, " ")</f>
        <v>0.57608673636866814</v>
      </c>
      <c r="L229" s="20">
        <f t="shared" si="51"/>
        <v>218</v>
      </c>
      <c r="M229" s="5">
        <f>IF(AND(L229&gt;='Amort. Sched.-WORST'!$R$8, L229&lt;= ($R$7+$R$8)), PMT('Amort. Sched.-WORST'!$N$8/12, 'Amort. Sched.-WORST'!$R$7, 'Amort. Sched.-WORST'!$N$7), 0)</f>
        <v>0</v>
      </c>
      <c r="N229" s="5">
        <f>IF(AND(L229&gt;='Amort. Sched.-WORST'!$R$8, L229&lt;= ($R$7+$R$8)), (IPMT($N$8/12, (L229-$R$8), $R$7, $N$7)), 0)</f>
        <v>0</v>
      </c>
      <c r="O229" s="5">
        <f>IF(AND(L229&gt;='Amort. Sched.-WORST'!$R$8, L229&lt;= ($R$7+$R$8)), (PPMT($N$8/12, (L229-$R$8), $R$7, $N$7)), 0)</f>
        <v>0</v>
      </c>
      <c r="P229" s="5">
        <f>IF(CreditAmort1WORST[[#This Row],[Month]]=R$8,N$7,0)</f>
        <v>0</v>
      </c>
      <c r="Q229" s="13">
        <f>IF(AND(L229&gt;='Amort. Sched.-WORST'!$R$8, L229&lt;= ($R$7+$R$8)), Q228+O229, 0)</f>
        <v>0</v>
      </c>
      <c r="R229" s="6" t="str">
        <f>IF(AND(L229&gt;='Amort. Sched.-WORST'!$R$8, L229&lt;= ($R$7+$R$8)), N229/M229, " ")</f>
        <v xml:space="preserve"> </v>
      </c>
      <c r="S229" s="21" t="str">
        <f>IF(AND(L229&gt;='Amort. Sched.-WORST'!$R$8, L229&lt;= ($R$7+$R$8)), O229/M229, " ")</f>
        <v xml:space="preserve"> </v>
      </c>
      <c r="U229" s="22">
        <f t="shared" si="53"/>
        <v>218</v>
      </c>
      <c r="V229" s="23">
        <f>IF(AND(U229&gt;='Amort. Sched.-WORST'!$AA$8, U229&lt;= ($AA$7+$AA$8)), PMT('Amort. Sched.-WORST'!$W$8/12, 'Amort. Sched.-WORST'!$AA$7, 'Amort. Sched.-WORST'!$W$7), 0)</f>
        <v>0</v>
      </c>
      <c r="W229" s="5">
        <f>IF(AND(U229&gt;='Amort. Sched.-WORST'!$AA$8, U229&lt;= ($AA$7+$AA$8)), (IPMT($W$8/12, (U229-$AA$8), $AA$7, $W$7)), 0)</f>
        <v>0</v>
      </c>
      <c r="X229" s="23">
        <f>IF(AND(U229&gt;='Amort. Sched.-WORST'!$AA$8, U229&lt;= ($AA$7+$AA$8)), (PPMT($W$8/12, (U229-$AA$8), $AA$7, $W$7)), 0)</f>
        <v>0</v>
      </c>
      <c r="Y229" s="5">
        <f>IF(CreditAmort2WORST[[#This Row],[Month]]=AA$8,W$7,0)</f>
        <v>0</v>
      </c>
      <c r="Z229" s="13">
        <f>IF(AND(U229&gt;='Amort. Sched.-WORST'!$AA$8, U229&lt;= ($AA$7+$AA$8)), Z228+X229, 0)</f>
        <v>0</v>
      </c>
      <c r="AA229" s="24" t="str">
        <f>IF(AND(U229&gt;='Amort. Sched.-WORST'!$AA$8, U229&lt;= ($AA$7+$AA$8)), W229/V229, " ")</f>
        <v xml:space="preserve"> </v>
      </c>
      <c r="AB229" s="25" t="str">
        <f>IF(AND(U229&gt;='Amort. Sched.-WORST'!$AA$8, U229&lt;= ($AA$7+$AA$8)), X229/V229, " ")</f>
        <v xml:space="preserve"> </v>
      </c>
      <c r="AD229" s="20">
        <f t="shared" si="54"/>
        <v>218</v>
      </c>
      <c r="AE229" s="5">
        <f t="shared" si="55"/>
        <v>0</v>
      </c>
      <c r="AF229" s="5">
        <f t="shared" si="56"/>
        <v>0</v>
      </c>
      <c r="AG229" s="5">
        <f t="shared" si="57"/>
        <v>0</v>
      </c>
      <c r="AH229" s="5">
        <f>IF(CreditAmort3WORST[[#This Row],[Month]]=AJ$8,AF$7,0)</f>
        <v>0</v>
      </c>
      <c r="AI229" s="13">
        <f t="shared" si="58"/>
        <v>0</v>
      </c>
      <c r="AJ229" s="6" t="str">
        <f t="shared" si="59"/>
        <v xml:space="preserve"> </v>
      </c>
      <c r="AK229" s="21" t="str">
        <f t="shared" si="60"/>
        <v xml:space="preserve"> </v>
      </c>
      <c r="AM229" s="20">
        <f t="shared" si="61"/>
        <v>218</v>
      </c>
      <c r="AN229" s="5">
        <f t="shared" si="62"/>
        <v>0</v>
      </c>
      <c r="AO229" s="5">
        <f t="shared" si="63"/>
        <v>0</v>
      </c>
      <c r="AP229" s="5">
        <f t="shared" si="64"/>
        <v>0</v>
      </c>
      <c r="AQ229" s="5">
        <f>IF(CreditAmort4WORST[[#This Row],[Month]]=AS$8,AO$7,0)</f>
        <v>0</v>
      </c>
      <c r="AR229" s="13">
        <f t="shared" si="65"/>
        <v>0</v>
      </c>
      <c r="AS229" s="6" t="str">
        <f t="shared" si="66"/>
        <v xml:space="preserve"> </v>
      </c>
      <c r="AT229" s="21" t="str">
        <f t="shared" si="67"/>
        <v xml:space="preserve"> </v>
      </c>
    </row>
    <row r="230" spans="3:46">
      <c r="C230" s="22">
        <f t="shared" si="52"/>
        <v>219</v>
      </c>
      <c r="D230" s="23">
        <f>IF(AND(C230&gt;='Amort. Sched.-WORST'!$I$8, C230&lt;= ($I$7+$I$8)), PMT('Amort. Sched.-WORST'!$E$8/12, 'Amort. Sched.-WORST'!$I$7, 'Amort. Sched.-WORST'!$E$7), 0)</f>
        <v>-2026.0175758541329</v>
      </c>
      <c r="E230" s="5">
        <f>IF(AND(C230&gt;='Amort. Sched.-WORST'!$I$8, C230&lt;= ($I$7+$I$8)), (IPMT($E$8/12, (C230-$I$8), $I$7, $E$7)), 0)</f>
        <v>-851.07464373410255</v>
      </c>
      <c r="F230" s="23">
        <f>IF(AND(C230&gt;='Amort. Sched.-WORST'!$I$8, C230&lt;= ($I$7+$I$8)), (PPMT($E$8/12, (C230-$I$8), $I$7, $E$7)), 0)</f>
        <v>-1174.9429321200305</v>
      </c>
      <c r="G230" s="5">
        <f>IF(MortgageAmortWORST[[#This Row],[Month]]=I$8,E$7,0)</f>
        <v>0</v>
      </c>
      <c r="H230" s="13">
        <f>IF(AND(C230&gt;='Amort. Sched.-WORST'!$I$8, C230&lt;= ($I$7+$I$8)), H229+F230, 0)</f>
        <v>126486.25362799541</v>
      </c>
      <c r="I230" s="24">
        <f>IF(AND(C230&gt;='Amort. Sched.-WORST'!$I$8, C230&lt;= ($I$7+$I$8)), E230/D230, " ")</f>
        <v>0.4200726853888741</v>
      </c>
      <c r="J230" s="25">
        <f>IF(AND(C230&gt;='Amort. Sched.-WORST'!$I$8, C230&lt;= ($I$7+$I$8)), F230/D230, " ")</f>
        <v>0.57992731461112601</v>
      </c>
      <c r="L230" s="20">
        <f t="shared" si="51"/>
        <v>219</v>
      </c>
      <c r="M230" s="5">
        <f>IF(AND(L230&gt;='Amort. Sched.-WORST'!$R$8, L230&lt;= ($R$7+$R$8)), PMT('Amort. Sched.-WORST'!$N$8/12, 'Amort. Sched.-WORST'!$R$7, 'Amort. Sched.-WORST'!$N$7), 0)</f>
        <v>0</v>
      </c>
      <c r="N230" s="5">
        <f>IF(AND(L230&gt;='Amort. Sched.-WORST'!$R$8, L230&lt;= ($R$7+$R$8)), (IPMT($N$8/12, (L230-$R$8), $R$7, $N$7)), 0)</f>
        <v>0</v>
      </c>
      <c r="O230" s="5">
        <f>IF(AND(L230&gt;='Amort. Sched.-WORST'!$R$8, L230&lt;= ($R$7+$R$8)), (PPMT($N$8/12, (L230-$R$8), $R$7, $N$7)), 0)</f>
        <v>0</v>
      </c>
      <c r="P230" s="5">
        <f>IF(CreditAmort1WORST[[#This Row],[Month]]=R$8,N$7,0)</f>
        <v>0</v>
      </c>
      <c r="Q230" s="13">
        <f>IF(AND(L230&gt;='Amort. Sched.-WORST'!$R$8, L230&lt;= ($R$7+$R$8)), Q229+O230, 0)</f>
        <v>0</v>
      </c>
      <c r="R230" s="6" t="str">
        <f>IF(AND(L230&gt;='Amort. Sched.-WORST'!$R$8, L230&lt;= ($R$7+$R$8)), N230/M230, " ")</f>
        <v xml:space="preserve"> </v>
      </c>
      <c r="S230" s="21" t="str">
        <f>IF(AND(L230&gt;='Amort. Sched.-WORST'!$R$8, L230&lt;= ($R$7+$R$8)), O230/M230, " ")</f>
        <v xml:space="preserve"> </v>
      </c>
      <c r="U230" s="22">
        <f t="shared" si="53"/>
        <v>219</v>
      </c>
      <c r="V230" s="23">
        <f>IF(AND(U230&gt;='Amort. Sched.-WORST'!$AA$8, U230&lt;= ($AA$7+$AA$8)), PMT('Amort. Sched.-WORST'!$W$8/12, 'Amort. Sched.-WORST'!$AA$7, 'Amort. Sched.-WORST'!$W$7), 0)</f>
        <v>0</v>
      </c>
      <c r="W230" s="5">
        <f>IF(AND(U230&gt;='Amort. Sched.-WORST'!$AA$8, U230&lt;= ($AA$7+$AA$8)), (IPMT($W$8/12, (U230-$AA$8), $AA$7, $W$7)), 0)</f>
        <v>0</v>
      </c>
      <c r="X230" s="23">
        <f>IF(AND(U230&gt;='Amort. Sched.-WORST'!$AA$8, U230&lt;= ($AA$7+$AA$8)), (PPMT($W$8/12, (U230-$AA$8), $AA$7, $W$7)), 0)</f>
        <v>0</v>
      </c>
      <c r="Y230" s="5">
        <f>IF(CreditAmort2WORST[[#This Row],[Month]]=AA$8,W$7,0)</f>
        <v>0</v>
      </c>
      <c r="Z230" s="13">
        <f>IF(AND(U230&gt;='Amort. Sched.-WORST'!$AA$8, U230&lt;= ($AA$7+$AA$8)), Z229+X230, 0)</f>
        <v>0</v>
      </c>
      <c r="AA230" s="24" t="str">
        <f>IF(AND(U230&gt;='Amort. Sched.-WORST'!$AA$8, U230&lt;= ($AA$7+$AA$8)), W230/V230, " ")</f>
        <v xml:space="preserve"> </v>
      </c>
      <c r="AB230" s="25" t="str">
        <f>IF(AND(U230&gt;='Amort. Sched.-WORST'!$AA$8, U230&lt;= ($AA$7+$AA$8)), X230/V230, " ")</f>
        <v xml:space="preserve"> </v>
      </c>
      <c r="AD230" s="20">
        <f t="shared" si="54"/>
        <v>219</v>
      </c>
      <c r="AE230" s="5">
        <f t="shared" si="55"/>
        <v>0</v>
      </c>
      <c r="AF230" s="5">
        <f t="shared" si="56"/>
        <v>0</v>
      </c>
      <c r="AG230" s="5">
        <f t="shared" si="57"/>
        <v>0</v>
      </c>
      <c r="AH230" s="5">
        <f>IF(CreditAmort3WORST[[#This Row],[Month]]=AJ$8,AF$7,0)</f>
        <v>0</v>
      </c>
      <c r="AI230" s="13">
        <f t="shared" si="58"/>
        <v>0</v>
      </c>
      <c r="AJ230" s="6" t="str">
        <f t="shared" si="59"/>
        <v xml:space="preserve"> </v>
      </c>
      <c r="AK230" s="21" t="str">
        <f t="shared" si="60"/>
        <v xml:space="preserve"> </v>
      </c>
      <c r="AM230" s="20">
        <f t="shared" si="61"/>
        <v>219</v>
      </c>
      <c r="AN230" s="5">
        <f t="shared" si="62"/>
        <v>0</v>
      </c>
      <c r="AO230" s="5">
        <f t="shared" si="63"/>
        <v>0</v>
      </c>
      <c r="AP230" s="5">
        <f t="shared" si="64"/>
        <v>0</v>
      </c>
      <c r="AQ230" s="5">
        <f>IF(CreditAmort4WORST[[#This Row],[Month]]=AS$8,AO$7,0)</f>
        <v>0</v>
      </c>
      <c r="AR230" s="13">
        <f t="shared" si="65"/>
        <v>0</v>
      </c>
      <c r="AS230" s="6" t="str">
        <f t="shared" si="66"/>
        <v xml:space="preserve"> </v>
      </c>
      <c r="AT230" s="21" t="str">
        <f t="shared" si="67"/>
        <v xml:space="preserve"> </v>
      </c>
    </row>
    <row r="231" spans="3:46">
      <c r="C231" s="22">
        <f t="shared" si="52"/>
        <v>220</v>
      </c>
      <c r="D231" s="23">
        <f>IF(AND(C231&gt;='Amort. Sched.-WORST'!$I$8, C231&lt;= ($I$7+$I$8)), PMT('Amort. Sched.-WORST'!$E$8/12, 'Amort. Sched.-WORST'!$I$7, 'Amort. Sched.-WORST'!$E$7), 0)</f>
        <v>-2026.0175758541329</v>
      </c>
      <c r="E231" s="5">
        <f>IF(AND(C231&gt;='Amort. Sched.-WORST'!$I$8, C231&lt;= ($I$7+$I$8)), (IPMT($E$8/12, (C231-$I$8), $I$7, $E$7)), 0)</f>
        <v>-843.24169085330232</v>
      </c>
      <c r="F231" s="23">
        <f>IF(AND(C231&gt;='Amort. Sched.-WORST'!$I$8, C231&lt;= ($I$7+$I$8)), (PPMT($E$8/12, (C231-$I$8), $I$7, $E$7)), 0)</f>
        <v>-1182.7758850008306</v>
      </c>
      <c r="G231" s="5">
        <f>IF(MortgageAmortWORST[[#This Row],[Month]]=I$8,E$7,0)</f>
        <v>0</v>
      </c>
      <c r="H231" s="13">
        <f>IF(AND(C231&gt;='Amort. Sched.-WORST'!$I$8, C231&lt;= ($I$7+$I$8)), H230+F231, 0)</f>
        <v>125303.47774299458</v>
      </c>
      <c r="I231" s="24">
        <f>IF(AND(C231&gt;='Amort. Sched.-WORST'!$I$8, C231&lt;= ($I$7+$I$8)), E231/D231, " ")</f>
        <v>0.41620650329146658</v>
      </c>
      <c r="J231" s="25">
        <f>IF(AND(C231&gt;='Amort. Sched.-WORST'!$I$8, C231&lt;= ($I$7+$I$8)), F231/D231, " ")</f>
        <v>0.58379349670853342</v>
      </c>
      <c r="L231" s="20">
        <f t="shared" si="51"/>
        <v>220</v>
      </c>
      <c r="M231" s="5">
        <f>IF(AND(L231&gt;='Amort. Sched.-WORST'!$R$8, L231&lt;= ($R$7+$R$8)), PMT('Amort. Sched.-WORST'!$N$8/12, 'Amort. Sched.-WORST'!$R$7, 'Amort. Sched.-WORST'!$N$7), 0)</f>
        <v>0</v>
      </c>
      <c r="N231" s="5">
        <f>IF(AND(L231&gt;='Amort. Sched.-WORST'!$R$8, L231&lt;= ($R$7+$R$8)), (IPMT($N$8/12, (L231-$R$8), $R$7, $N$7)), 0)</f>
        <v>0</v>
      </c>
      <c r="O231" s="5">
        <f>IF(AND(L231&gt;='Amort. Sched.-WORST'!$R$8, L231&lt;= ($R$7+$R$8)), (PPMT($N$8/12, (L231-$R$8), $R$7, $N$7)), 0)</f>
        <v>0</v>
      </c>
      <c r="P231" s="5">
        <f>IF(CreditAmort1WORST[[#This Row],[Month]]=R$8,N$7,0)</f>
        <v>0</v>
      </c>
      <c r="Q231" s="13">
        <f>IF(AND(L231&gt;='Amort. Sched.-WORST'!$R$8, L231&lt;= ($R$7+$R$8)), Q230+O231, 0)</f>
        <v>0</v>
      </c>
      <c r="R231" s="6" t="str">
        <f>IF(AND(L231&gt;='Amort. Sched.-WORST'!$R$8, L231&lt;= ($R$7+$R$8)), N231/M231, " ")</f>
        <v xml:space="preserve"> </v>
      </c>
      <c r="S231" s="21" t="str">
        <f>IF(AND(L231&gt;='Amort. Sched.-WORST'!$R$8, L231&lt;= ($R$7+$R$8)), O231/M231, " ")</f>
        <v xml:space="preserve"> </v>
      </c>
      <c r="U231" s="22">
        <f t="shared" si="53"/>
        <v>220</v>
      </c>
      <c r="V231" s="23">
        <f>IF(AND(U231&gt;='Amort. Sched.-WORST'!$AA$8, U231&lt;= ($AA$7+$AA$8)), PMT('Amort. Sched.-WORST'!$W$8/12, 'Amort. Sched.-WORST'!$AA$7, 'Amort. Sched.-WORST'!$W$7), 0)</f>
        <v>0</v>
      </c>
      <c r="W231" s="5">
        <f>IF(AND(U231&gt;='Amort. Sched.-WORST'!$AA$8, U231&lt;= ($AA$7+$AA$8)), (IPMT($W$8/12, (U231-$AA$8), $AA$7, $W$7)), 0)</f>
        <v>0</v>
      </c>
      <c r="X231" s="23">
        <f>IF(AND(U231&gt;='Amort. Sched.-WORST'!$AA$8, U231&lt;= ($AA$7+$AA$8)), (PPMT($W$8/12, (U231-$AA$8), $AA$7, $W$7)), 0)</f>
        <v>0</v>
      </c>
      <c r="Y231" s="5">
        <f>IF(CreditAmort2WORST[[#This Row],[Month]]=AA$8,W$7,0)</f>
        <v>0</v>
      </c>
      <c r="Z231" s="13">
        <f>IF(AND(U231&gt;='Amort. Sched.-WORST'!$AA$8, U231&lt;= ($AA$7+$AA$8)), Z230+X231, 0)</f>
        <v>0</v>
      </c>
      <c r="AA231" s="24" t="str">
        <f>IF(AND(U231&gt;='Amort. Sched.-WORST'!$AA$8, U231&lt;= ($AA$7+$AA$8)), W231/V231, " ")</f>
        <v xml:space="preserve"> </v>
      </c>
      <c r="AB231" s="25" t="str">
        <f>IF(AND(U231&gt;='Amort. Sched.-WORST'!$AA$8, U231&lt;= ($AA$7+$AA$8)), X231/V231, " ")</f>
        <v xml:space="preserve"> </v>
      </c>
      <c r="AD231" s="20">
        <f t="shared" si="54"/>
        <v>220</v>
      </c>
      <c r="AE231" s="5">
        <f t="shared" si="55"/>
        <v>0</v>
      </c>
      <c r="AF231" s="5">
        <f t="shared" si="56"/>
        <v>0</v>
      </c>
      <c r="AG231" s="5">
        <f t="shared" si="57"/>
        <v>0</v>
      </c>
      <c r="AH231" s="5">
        <f>IF(CreditAmort3WORST[[#This Row],[Month]]=AJ$8,AF$7,0)</f>
        <v>0</v>
      </c>
      <c r="AI231" s="13">
        <f t="shared" si="58"/>
        <v>0</v>
      </c>
      <c r="AJ231" s="6" t="str">
        <f t="shared" si="59"/>
        <v xml:space="preserve"> </v>
      </c>
      <c r="AK231" s="21" t="str">
        <f t="shared" si="60"/>
        <v xml:space="preserve"> </v>
      </c>
      <c r="AM231" s="20">
        <f t="shared" si="61"/>
        <v>220</v>
      </c>
      <c r="AN231" s="5">
        <f t="shared" si="62"/>
        <v>0</v>
      </c>
      <c r="AO231" s="5">
        <f t="shared" si="63"/>
        <v>0</v>
      </c>
      <c r="AP231" s="5">
        <f t="shared" si="64"/>
        <v>0</v>
      </c>
      <c r="AQ231" s="5">
        <f>IF(CreditAmort4WORST[[#This Row],[Month]]=AS$8,AO$7,0)</f>
        <v>0</v>
      </c>
      <c r="AR231" s="13">
        <f t="shared" si="65"/>
        <v>0</v>
      </c>
      <c r="AS231" s="6" t="str">
        <f t="shared" si="66"/>
        <v xml:space="preserve"> </v>
      </c>
      <c r="AT231" s="21" t="str">
        <f t="shared" si="67"/>
        <v xml:space="preserve"> </v>
      </c>
    </row>
    <row r="232" spans="3:46">
      <c r="C232" s="22">
        <f t="shared" si="52"/>
        <v>221</v>
      </c>
      <c r="D232" s="23">
        <f>IF(AND(C232&gt;='Amort. Sched.-WORST'!$I$8, C232&lt;= ($I$7+$I$8)), PMT('Amort. Sched.-WORST'!$E$8/12, 'Amort. Sched.-WORST'!$I$7, 'Amort. Sched.-WORST'!$E$7), 0)</f>
        <v>-2026.0175758541329</v>
      </c>
      <c r="E232" s="5">
        <f>IF(AND(C232&gt;='Amort. Sched.-WORST'!$I$8, C232&lt;= ($I$7+$I$8)), (IPMT($E$8/12, (C232-$I$8), $I$7, $E$7)), 0)</f>
        <v>-835.35651828663003</v>
      </c>
      <c r="F232" s="23">
        <f>IF(AND(C232&gt;='Amort. Sched.-WORST'!$I$8, C232&lt;= ($I$7+$I$8)), (PPMT($E$8/12, (C232-$I$8), $I$7, $E$7)), 0)</f>
        <v>-1190.6610575675029</v>
      </c>
      <c r="G232" s="5">
        <f>IF(MortgageAmortWORST[[#This Row],[Month]]=I$8,E$7,0)</f>
        <v>0</v>
      </c>
      <c r="H232" s="13">
        <f>IF(AND(C232&gt;='Amort. Sched.-WORST'!$I$8, C232&lt;= ($I$7+$I$8)), H231+F232, 0)</f>
        <v>124112.81668542708</v>
      </c>
      <c r="I232" s="24">
        <f>IF(AND(C232&gt;='Amort. Sched.-WORST'!$I$8, C232&lt;= ($I$7+$I$8)), E232/D232, " ")</f>
        <v>0.412314546646743</v>
      </c>
      <c r="J232" s="25">
        <f>IF(AND(C232&gt;='Amort. Sched.-WORST'!$I$8, C232&lt;= ($I$7+$I$8)), F232/D232, " ")</f>
        <v>0.58768545335325706</v>
      </c>
      <c r="L232" s="20">
        <f t="shared" si="51"/>
        <v>221</v>
      </c>
      <c r="M232" s="5">
        <f>IF(AND(L232&gt;='Amort. Sched.-WORST'!$R$8, L232&lt;= ($R$7+$R$8)), PMT('Amort. Sched.-WORST'!$N$8/12, 'Amort. Sched.-WORST'!$R$7, 'Amort. Sched.-WORST'!$N$7), 0)</f>
        <v>0</v>
      </c>
      <c r="N232" s="5">
        <f>IF(AND(L232&gt;='Amort. Sched.-WORST'!$R$8, L232&lt;= ($R$7+$R$8)), (IPMT($N$8/12, (L232-$R$8), $R$7, $N$7)), 0)</f>
        <v>0</v>
      </c>
      <c r="O232" s="5">
        <f>IF(AND(L232&gt;='Amort. Sched.-WORST'!$R$8, L232&lt;= ($R$7+$R$8)), (PPMT($N$8/12, (L232-$R$8), $R$7, $N$7)), 0)</f>
        <v>0</v>
      </c>
      <c r="P232" s="5">
        <f>IF(CreditAmort1WORST[[#This Row],[Month]]=R$8,N$7,0)</f>
        <v>0</v>
      </c>
      <c r="Q232" s="13">
        <f>IF(AND(L232&gt;='Amort. Sched.-WORST'!$R$8, L232&lt;= ($R$7+$R$8)), Q231+O232, 0)</f>
        <v>0</v>
      </c>
      <c r="R232" s="6" t="str">
        <f>IF(AND(L232&gt;='Amort. Sched.-WORST'!$R$8, L232&lt;= ($R$7+$R$8)), N232/M232, " ")</f>
        <v xml:space="preserve"> </v>
      </c>
      <c r="S232" s="21" t="str">
        <f>IF(AND(L232&gt;='Amort. Sched.-WORST'!$R$8, L232&lt;= ($R$7+$R$8)), O232/M232, " ")</f>
        <v xml:space="preserve"> </v>
      </c>
      <c r="U232" s="22">
        <f t="shared" si="53"/>
        <v>221</v>
      </c>
      <c r="V232" s="23">
        <f>IF(AND(U232&gt;='Amort. Sched.-WORST'!$AA$8, U232&lt;= ($AA$7+$AA$8)), PMT('Amort. Sched.-WORST'!$W$8/12, 'Amort. Sched.-WORST'!$AA$7, 'Amort. Sched.-WORST'!$W$7), 0)</f>
        <v>0</v>
      </c>
      <c r="W232" s="5">
        <f>IF(AND(U232&gt;='Amort. Sched.-WORST'!$AA$8, U232&lt;= ($AA$7+$AA$8)), (IPMT($W$8/12, (U232-$AA$8), $AA$7, $W$7)), 0)</f>
        <v>0</v>
      </c>
      <c r="X232" s="23">
        <f>IF(AND(U232&gt;='Amort. Sched.-WORST'!$AA$8, U232&lt;= ($AA$7+$AA$8)), (PPMT($W$8/12, (U232-$AA$8), $AA$7, $W$7)), 0)</f>
        <v>0</v>
      </c>
      <c r="Y232" s="5">
        <f>IF(CreditAmort2WORST[[#This Row],[Month]]=AA$8,W$7,0)</f>
        <v>0</v>
      </c>
      <c r="Z232" s="13">
        <f>IF(AND(U232&gt;='Amort. Sched.-WORST'!$AA$8, U232&lt;= ($AA$7+$AA$8)), Z231+X232, 0)</f>
        <v>0</v>
      </c>
      <c r="AA232" s="24" t="str">
        <f>IF(AND(U232&gt;='Amort. Sched.-WORST'!$AA$8, U232&lt;= ($AA$7+$AA$8)), W232/V232, " ")</f>
        <v xml:space="preserve"> </v>
      </c>
      <c r="AB232" s="25" t="str">
        <f>IF(AND(U232&gt;='Amort. Sched.-WORST'!$AA$8, U232&lt;= ($AA$7+$AA$8)), X232/V232, " ")</f>
        <v xml:space="preserve"> </v>
      </c>
      <c r="AD232" s="20">
        <f t="shared" si="54"/>
        <v>221</v>
      </c>
      <c r="AE232" s="5">
        <f t="shared" si="55"/>
        <v>0</v>
      </c>
      <c r="AF232" s="5">
        <f t="shared" si="56"/>
        <v>0</v>
      </c>
      <c r="AG232" s="5">
        <f t="shared" si="57"/>
        <v>0</v>
      </c>
      <c r="AH232" s="5">
        <f>IF(CreditAmort3WORST[[#This Row],[Month]]=AJ$8,AF$7,0)</f>
        <v>0</v>
      </c>
      <c r="AI232" s="13">
        <f t="shared" si="58"/>
        <v>0</v>
      </c>
      <c r="AJ232" s="6" t="str">
        <f t="shared" si="59"/>
        <v xml:space="preserve"> </v>
      </c>
      <c r="AK232" s="21" t="str">
        <f t="shared" si="60"/>
        <v xml:space="preserve"> </v>
      </c>
      <c r="AM232" s="20">
        <f t="shared" si="61"/>
        <v>221</v>
      </c>
      <c r="AN232" s="5">
        <f t="shared" si="62"/>
        <v>0</v>
      </c>
      <c r="AO232" s="5">
        <f t="shared" si="63"/>
        <v>0</v>
      </c>
      <c r="AP232" s="5">
        <f t="shared" si="64"/>
        <v>0</v>
      </c>
      <c r="AQ232" s="5">
        <f>IF(CreditAmort4WORST[[#This Row],[Month]]=AS$8,AO$7,0)</f>
        <v>0</v>
      </c>
      <c r="AR232" s="13">
        <f t="shared" si="65"/>
        <v>0</v>
      </c>
      <c r="AS232" s="6" t="str">
        <f t="shared" si="66"/>
        <v xml:space="preserve"> </v>
      </c>
      <c r="AT232" s="21" t="str">
        <f t="shared" si="67"/>
        <v xml:space="preserve"> </v>
      </c>
    </row>
    <row r="233" spans="3:46">
      <c r="C233" s="22">
        <f t="shared" si="52"/>
        <v>222</v>
      </c>
      <c r="D233" s="23">
        <f>IF(AND(C233&gt;='Amort. Sched.-WORST'!$I$8, C233&lt;= ($I$7+$I$8)), PMT('Amort. Sched.-WORST'!$E$8/12, 'Amort. Sched.-WORST'!$I$7, 'Amort. Sched.-WORST'!$E$7), 0)</f>
        <v>-2026.0175758541329</v>
      </c>
      <c r="E233" s="5">
        <f>IF(AND(C233&gt;='Amort. Sched.-WORST'!$I$8, C233&lt;= ($I$7+$I$8)), (IPMT($E$8/12, (C233-$I$8), $I$7, $E$7)), 0)</f>
        <v>-827.41877790284673</v>
      </c>
      <c r="F233" s="23">
        <f>IF(AND(C233&gt;='Amort. Sched.-WORST'!$I$8, C233&lt;= ($I$7+$I$8)), (PPMT($E$8/12, (C233-$I$8), $I$7, $E$7)), 0)</f>
        <v>-1198.5987979512863</v>
      </c>
      <c r="G233" s="5">
        <f>IF(MortgageAmortWORST[[#This Row],[Month]]=I$8,E$7,0)</f>
        <v>0</v>
      </c>
      <c r="H233" s="13">
        <f>IF(AND(C233&gt;='Amort. Sched.-WORST'!$I$8, C233&lt;= ($I$7+$I$8)), H232+F233, 0)</f>
        <v>122914.2178874758</v>
      </c>
      <c r="I233" s="24">
        <f>IF(AND(C233&gt;='Amort. Sched.-WORST'!$I$8, C233&lt;= ($I$7+$I$8)), E233/D233, " ")</f>
        <v>0.40839664362438793</v>
      </c>
      <c r="J233" s="25">
        <f>IF(AND(C233&gt;='Amort. Sched.-WORST'!$I$8, C233&lt;= ($I$7+$I$8)), F233/D233, " ")</f>
        <v>0.59160335637561212</v>
      </c>
      <c r="L233" s="20">
        <f t="shared" si="51"/>
        <v>222</v>
      </c>
      <c r="M233" s="5">
        <f>IF(AND(L233&gt;='Amort. Sched.-WORST'!$R$8, L233&lt;= ($R$7+$R$8)), PMT('Amort. Sched.-WORST'!$N$8/12, 'Amort. Sched.-WORST'!$R$7, 'Amort. Sched.-WORST'!$N$7), 0)</f>
        <v>0</v>
      </c>
      <c r="N233" s="5">
        <f>IF(AND(L233&gt;='Amort. Sched.-WORST'!$R$8, L233&lt;= ($R$7+$R$8)), (IPMT($N$8/12, (L233-$R$8), $R$7, $N$7)), 0)</f>
        <v>0</v>
      </c>
      <c r="O233" s="5">
        <f>IF(AND(L233&gt;='Amort. Sched.-WORST'!$R$8, L233&lt;= ($R$7+$R$8)), (PPMT($N$8/12, (L233-$R$8), $R$7, $N$7)), 0)</f>
        <v>0</v>
      </c>
      <c r="P233" s="5">
        <f>IF(CreditAmort1WORST[[#This Row],[Month]]=R$8,N$7,0)</f>
        <v>0</v>
      </c>
      <c r="Q233" s="13">
        <f>IF(AND(L233&gt;='Amort. Sched.-WORST'!$R$8, L233&lt;= ($R$7+$R$8)), Q232+O233, 0)</f>
        <v>0</v>
      </c>
      <c r="R233" s="6" t="str">
        <f>IF(AND(L233&gt;='Amort. Sched.-WORST'!$R$8, L233&lt;= ($R$7+$R$8)), N233/M233, " ")</f>
        <v xml:space="preserve"> </v>
      </c>
      <c r="S233" s="21" t="str">
        <f>IF(AND(L233&gt;='Amort. Sched.-WORST'!$R$8, L233&lt;= ($R$7+$R$8)), O233/M233, " ")</f>
        <v xml:space="preserve"> </v>
      </c>
      <c r="U233" s="22">
        <f t="shared" si="53"/>
        <v>222</v>
      </c>
      <c r="V233" s="23">
        <f>IF(AND(U233&gt;='Amort. Sched.-WORST'!$AA$8, U233&lt;= ($AA$7+$AA$8)), PMT('Amort. Sched.-WORST'!$W$8/12, 'Amort. Sched.-WORST'!$AA$7, 'Amort. Sched.-WORST'!$W$7), 0)</f>
        <v>0</v>
      </c>
      <c r="W233" s="5">
        <f>IF(AND(U233&gt;='Amort. Sched.-WORST'!$AA$8, U233&lt;= ($AA$7+$AA$8)), (IPMT($W$8/12, (U233-$AA$8), $AA$7, $W$7)), 0)</f>
        <v>0</v>
      </c>
      <c r="X233" s="23">
        <f>IF(AND(U233&gt;='Amort. Sched.-WORST'!$AA$8, U233&lt;= ($AA$7+$AA$8)), (PPMT($W$8/12, (U233-$AA$8), $AA$7, $W$7)), 0)</f>
        <v>0</v>
      </c>
      <c r="Y233" s="5">
        <f>IF(CreditAmort2WORST[[#This Row],[Month]]=AA$8,W$7,0)</f>
        <v>0</v>
      </c>
      <c r="Z233" s="13">
        <f>IF(AND(U233&gt;='Amort. Sched.-WORST'!$AA$8, U233&lt;= ($AA$7+$AA$8)), Z232+X233, 0)</f>
        <v>0</v>
      </c>
      <c r="AA233" s="24" t="str">
        <f>IF(AND(U233&gt;='Amort. Sched.-WORST'!$AA$8, U233&lt;= ($AA$7+$AA$8)), W233/V233, " ")</f>
        <v xml:space="preserve"> </v>
      </c>
      <c r="AB233" s="25" t="str">
        <f>IF(AND(U233&gt;='Amort. Sched.-WORST'!$AA$8, U233&lt;= ($AA$7+$AA$8)), X233/V233, " ")</f>
        <v xml:space="preserve"> </v>
      </c>
      <c r="AD233" s="20">
        <f t="shared" si="54"/>
        <v>222</v>
      </c>
      <c r="AE233" s="5">
        <f t="shared" si="55"/>
        <v>0</v>
      </c>
      <c r="AF233" s="5">
        <f t="shared" si="56"/>
        <v>0</v>
      </c>
      <c r="AG233" s="5">
        <f t="shared" si="57"/>
        <v>0</v>
      </c>
      <c r="AH233" s="5">
        <f>IF(CreditAmort3WORST[[#This Row],[Month]]=AJ$8,AF$7,0)</f>
        <v>0</v>
      </c>
      <c r="AI233" s="13">
        <f t="shared" si="58"/>
        <v>0</v>
      </c>
      <c r="AJ233" s="6" t="str">
        <f t="shared" si="59"/>
        <v xml:space="preserve"> </v>
      </c>
      <c r="AK233" s="21" t="str">
        <f t="shared" si="60"/>
        <v xml:space="preserve"> </v>
      </c>
      <c r="AM233" s="20">
        <f t="shared" si="61"/>
        <v>222</v>
      </c>
      <c r="AN233" s="5">
        <f t="shared" si="62"/>
        <v>0</v>
      </c>
      <c r="AO233" s="5">
        <f t="shared" si="63"/>
        <v>0</v>
      </c>
      <c r="AP233" s="5">
        <f t="shared" si="64"/>
        <v>0</v>
      </c>
      <c r="AQ233" s="5">
        <f>IF(CreditAmort4WORST[[#This Row],[Month]]=AS$8,AO$7,0)</f>
        <v>0</v>
      </c>
      <c r="AR233" s="13">
        <f t="shared" si="65"/>
        <v>0</v>
      </c>
      <c r="AS233" s="6" t="str">
        <f t="shared" si="66"/>
        <v xml:space="preserve"> </v>
      </c>
      <c r="AT233" s="21" t="str">
        <f t="shared" si="67"/>
        <v xml:space="preserve"> </v>
      </c>
    </row>
    <row r="234" spans="3:46">
      <c r="C234" s="22">
        <f t="shared" si="52"/>
        <v>223</v>
      </c>
      <c r="D234" s="23">
        <f>IF(AND(C234&gt;='Amort. Sched.-WORST'!$I$8, C234&lt;= ($I$7+$I$8)), PMT('Amort. Sched.-WORST'!$E$8/12, 'Amort. Sched.-WORST'!$I$7, 'Amort. Sched.-WORST'!$E$7), 0)</f>
        <v>-2026.0175758541329</v>
      </c>
      <c r="E234" s="5">
        <f>IF(AND(C234&gt;='Amort. Sched.-WORST'!$I$8, C234&lt;= ($I$7+$I$8)), (IPMT($E$8/12, (C234-$I$8), $I$7, $E$7)), 0)</f>
        <v>-819.42811924983812</v>
      </c>
      <c r="F234" s="23">
        <f>IF(AND(C234&gt;='Amort. Sched.-WORST'!$I$8, C234&lt;= ($I$7+$I$8)), (PPMT($E$8/12, (C234-$I$8), $I$7, $E$7)), 0)</f>
        <v>-1206.5894566042948</v>
      </c>
      <c r="G234" s="5">
        <f>IF(MortgageAmortWORST[[#This Row],[Month]]=I$8,E$7,0)</f>
        <v>0</v>
      </c>
      <c r="H234" s="13">
        <f>IF(AND(C234&gt;='Amort. Sched.-WORST'!$I$8, C234&lt;= ($I$7+$I$8)), H233+F234, 0)</f>
        <v>121707.6284308715</v>
      </c>
      <c r="I234" s="24">
        <f>IF(AND(C234&gt;='Amort. Sched.-WORST'!$I$8, C234&lt;= ($I$7+$I$8)), E234/D234, " ")</f>
        <v>0.40445262124855053</v>
      </c>
      <c r="J234" s="25">
        <f>IF(AND(C234&gt;='Amort. Sched.-WORST'!$I$8, C234&lt;= ($I$7+$I$8)), F234/D234, " ")</f>
        <v>0.59554737875144947</v>
      </c>
      <c r="L234" s="20">
        <f t="shared" si="51"/>
        <v>223</v>
      </c>
      <c r="M234" s="5">
        <f>IF(AND(L234&gt;='Amort. Sched.-WORST'!$R$8, L234&lt;= ($R$7+$R$8)), PMT('Amort. Sched.-WORST'!$N$8/12, 'Amort. Sched.-WORST'!$R$7, 'Amort. Sched.-WORST'!$N$7), 0)</f>
        <v>0</v>
      </c>
      <c r="N234" s="5">
        <f>IF(AND(L234&gt;='Amort. Sched.-WORST'!$R$8, L234&lt;= ($R$7+$R$8)), (IPMT($N$8/12, (L234-$R$8), $R$7, $N$7)), 0)</f>
        <v>0</v>
      </c>
      <c r="O234" s="5">
        <f>IF(AND(L234&gt;='Amort. Sched.-WORST'!$R$8, L234&lt;= ($R$7+$R$8)), (PPMT($N$8/12, (L234-$R$8), $R$7, $N$7)), 0)</f>
        <v>0</v>
      </c>
      <c r="P234" s="5">
        <f>IF(CreditAmort1WORST[[#This Row],[Month]]=R$8,N$7,0)</f>
        <v>0</v>
      </c>
      <c r="Q234" s="13">
        <f>IF(AND(L234&gt;='Amort. Sched.-WORST'!$R$8, L234&lt;= ($R$7+$R$8)), Q233+O234, 0)</f>
        <v>0</v>
      </c>
      <c r="R234" s="6" t="str">
        <f>IF(AND(L234&gt;='Amort. Sched.-WORST'!$R$8, L234&lt;= ($R$7+$R$8)), N234/M234, " ")</f>
        <v xml:space="preserve"> </v>
      </c>
      <c r="S234" s="21" t="str">
        <f>IF(AND(L234&gt;='Amort. Sched.-WORST'!$R$8, L234&lt;= ($R$7+$R$8)), O234/M234, " ")</f>
        <v xml:space="preserve"> </v>
      </c>
      <c r="U234" s="22">
        <f t="shared" si="53"/>
        <v>223</v>
      </c>
      <c r="V234" s="23">
        <f>IF(AND(U234&gt;='Amort. Sched.-WORST'!$AA$8, U234&lt;= ($AA$7+$AA$8)), PMT('Amort. Sched.-WORST'!$W$8/12, 'Amort. Sched.-WORST'!$AA$7, 'Amort. Sched.-WORST'!$W$7), 0)</f>
        <v>0</v>
      </c>
      <c r="W234" s="5">
        <f>IF(AND(U234&gt;='Amort. Sched.-WORST'!$AA$8, U234&lt;= ($AA$7+$AA$8)), (IPMT($W$8/12, (U234-$AA$8), $AA$7, $W$7)), 0)</f>
        <v>0</v>
      </c>
      <c r="X234" s="23">
        <f>IF(AND(U234&gt;='Amort. Sched.-WORST'!$AA$8, U234&lt;= ($AA$7+$AA$8)), (PPMT($W$8/12, (U234-$AA$8), $AA$7, $W$7)), 0)</f>
        <v>0</v>
      </c>
      <c r="Y234" s="5">
        <f>IF(CreditAmort2WORST[[#This Row],[Month]]=AA$8,W$7,0)</f>
        <v>0</v>
      </c>
      <c r="Z234" s="13">
        <f>IF(AND(U234&gt;='Amort. Sched.-WORST'!$AA$8, U234&lt;= ($AA$7+$AA$8)), Z233+X234, 0)</f>
        <v>0</v>
      </c>
      <c r="AA234" s="24" t="str">
        <f>IF(AND(U234&gt;='Amort. Sched.-WORST'!$AA$8, U234&lt;= ($AA$7+$AA$8)), W234/V234, " ")</f>
        <v xml:space="preserve"> </v>
      </c>
      <c r="AB234" s="25" t="str">
        <f>IF(AND(U234&gt;='Amort. Sched.-WORST'!$AA$8, U234&lt;= ($AA$7+$AA$8)), X234/V234, " ")</f>
        <v xml:space="preserve"> </v>
      </c>
      <c r="AD234" s="20">
        <f t="shared" si="54"/>
        <v>223</v>
      </c>
      <c r="AE234" s="5">
        <f t="shared" si="55"/>
        <v>0</v>
      </c>
      <c r="AF234" s="5">
        <f t="shared" si="56"/>
        <v>0</v>
      </c>
      <c r="AG234" s="5">
        <f t="shared" si="57"/>
        <v>0</v>
      </c>
      <c r="AH234" s="5">
        <f>IF(CreditAmort3WORST[[#This Row],[Month]]=AJ$8,AF$7,0)</f>
        <v>0</v>
      </c>
      <c r="AI234" s="13">
        <f t="shared" si="58"/>
        <v>0</v>
      </c>
      <c r="AJ234" s="6" t="str">
        <f t="shared" si="59"/>
        <v xml:space="preserve"> </v>
      </c>
      <c r="AK234" s="21" t="str">
        <f t="shared" si="60"/>
        <v xml:space="preserve"> </v>
      </c>
      <c r="AM234" s="20">
        <f t="shared" si="61"/>
        <v>223</v>
      </c>
      <c r="AN234" s="5">
        <f t="shared" si="62"/>
        <v>0</v>
      </c>
      <c r="AO234" s="5">
        <f t="shared" si="63"/>
        <v>0</v>
      </c>
      <c r="AP234" s="5">
        <f t="shared" si="64"/>
        <v>0</v>
      </c>
      <c r="AQ234" s="5">
        <f>IF(CreditAmort4WORST[[#This Row],[Month]]=AS$8,AO$7,0)</f>
        <v>0</v>
      </c>
      <c r="AR234" s="13">
        <f t="shared" si="65"/>
        <v>0</v>
      </c>
      <c r="AS234" s="6" t="str">
        <f t="shared" si="66"/>
        <v xml:space="preserve"> </v>
      </c>
      <c r="AT234" s="21" t="str">
        <f t="shared" si="67"/>
        <v xml:space="preserve"> </v>
      </c>
    </row>
    <row r="235" spans="3:46">
      <c r="C235" s="22">
        <f t="shared" si="52"/>
        <v>224</v>
      </c>
      <c r="D235" s="23">
        <f>IF(AND(C235&gt;='Amort. Sched.-WORST'!$I$8, C235&lt;= ($I$7+$I$8)), PMT('Amort. Sched.-WORST'!$E$8/12, 'Amort. Sched.-WORST'!$I$7, 'Amort. Sched.-WORST'!$E$7), 0)</f>
        <v>-2026.0175758541329</v>
      </c>
      <c r="E235" s="5">
        <f>IF(AND(C235&gt;='Amort. Sched.-WORST'!$I$8, C235&lt;= ($I$7+$I$8)), (IPMT($E$8/12, (C235-$I$8), $I$7, $E$7)), 0)</f>
        <v>-811.38418953914299</v>
      </c>
      <c r="F235" s="23">
        <f>IF(AND(C235&gt;='Amort. Sched.-WORST'!$I$8, C235&lt;= ($I$7+$I$8)), (PPMT($E$8/12, (C235-$I$8), $I$7, $E$7)), 0)</f>
        <v>-1214.63338631499</v>
      </c>
      <c r="G235" s="5">
        <f>IF(MortgageAmortWORST[[#This Row],[Month]]=I$8,E$7,0)</f>
        <v>0</v>
      </c>
      <c r="H235" s="13">
        <f>IF(AND(C235&gt;='Amort. Sched.-WORST'!$I$8, C235&lt;= ($I$7+$I$8)), H234+F235, 0)</f>
        <v>120492.9950445565</v>
      </c>
      <c r="I235" s="24">
        <f>IF(AND(C235&gt;='Amort. Sched.-WORST'!$I$8, C235&lt;= ($I$7+$I$8)), E235/D235, " ")</f>
        <v>0.40048230539020763</v>
      </c>
      <c r="J235" s="25">
        <f>IF(AND(C235&gt;='Amort. Sched.-WORST'!$I$8, C235&lt;= ($I$7+$I$8)), F235/D235, " ")</f>
        <v>0.59951769460979243</v>
      </c>
      <c r="L235" s="20">
        <f t="shared" si="51"/>
        <v>224</v>
      </c>
      <c r="M235" s="5">
        <f>IF(AND(L235&gt;='Amort. Sched.-WORST'!$R$8, L235&lt;= ($R$7+$R$8)), PMT('Amort. Sched.-WORST'!$N$8/12, 'Amort. Sched.-WORST'!$R$7, 'Amort. Sched.-WORST'!$N$7), 0)</f>
        <v>0</v>
      </c>
      <c r="N235" s="5">
        <f>IF(AND(L235&gt;='Amort. Sched.-WORST'!$R$8, L235&lt;= ($R$7+$R$8)), (IPMT($N$8/12, (L235-$R$8), $R$7, $N$7)), 0)</f>
        <v>0</v>
      </c>
      <c r="O235" s="5">
        <f>IF(AND(L235&gt;='Amort. Sched.-WORST'!$R$8, L235&lt;= ($R$7+$R$8)), (PPMT($N$8/12, (L235-$R$8), $R$7, $N$7)), 0)</f>
        <v>0</v>
      </c>
      <c r="P235" s="5">
        <f>IF(CreditAmort1WORST[[#This Row],[Month]]=R$8,N$7,0)</f>
        <v>0</v>
      </c>
      <c r="Q235" s="13">
        <f>IF(AND(L235&gt;='Amort. Sched.-WORST'!$R$8, L235&lt;= ($R$7+$R$8)), Q234+O235, 0)</f>
        <v>0</v>
      </c>
      <c r="R235" s="6" t="str">
        <f>IF(AND(L235&gt;='Amort. Sched.-WORST'!$R$8, L235&lt;= ($R$7+$R$8)), N235/M235, " ")</f>
        <v xml:space="preserve"> </v>
      </c>
      <c r="S235" s="21" t="str">
        <f>IF(AND(L235&gt;='Amort. Sched.-WORST'!$R$8, L235&lt;= ($R$7+$R$8)), O235/M235, " ")</f>
        <v xml:space="preserve"> </v>
      </c>
      <c r="U235" s="22">
        <f t="shared" si="53"/>
        <v>224</v>
      </c>
      <c r="V235" s="23">
        <f>IF(AND(U235&gt;='Amort. Sched.-WORST'!$AA$8, U235&lt;= ($AA$7+$AA$8)), PMT('Amort. Sched.-WORST'!$W$8/12, 'Amort. Sched.-WORST'!$AA$7, 'Amort. Sched.-WORST'!$W$7), 0)</f>
        <v>0</v>
      </c>
      <c r="W235" s="5">
        <f>IF(AND(U235&gt;='Amort. Sched.-WORST'!$AA$8, U235&lt;= ($AA$7+$AA$8)), (IPMT($W$8/12, (U235-$AA$8), $AA$7, $W$7)), 0)</f>
        <v>0</v>
      </c>
      <c r="X235" s="23">
        <f>IF(AND(U235&gt;='Amort. Sched.-WORST'!$AA$8, U235&lt;= ($AA$7+$AA$8)), (PPMT($W$8/12, (U235-$AA$8), $AA$7, $W$7)), 0)</f>
        <v>0</v>
      </c>
      <c r="Y235" s="5">
        <f>IF(CreditAmort2WORST[[#This Row],[Month]]=AA$8,W$7,0)</f>
        <v>0</v>
      </c>
      <c r="Z235" s="13">
        <f>IF(AND(U235&gt;='Amort. Sched.-WORST'!$AA$8, U235&lt;= ($AA$7+$AA$8)), Z234+X235, 0)</f>
        <v>0</v>
      </c>
      <c r="AA235" s="24" t="str">
        <f>IF(AND(U235&gt;='Amort. Sched.-WORST'!$AA$8, U235&lt;= ($AA$7+$AA$8)), W235/V235, " ")</f>
        <v xml:space="preserve"> </v>
      </c>
      <c r="AB235" s="25" t="str">
        <f>IF(AND(U235&gt;='Amort. Sched.-WORST'!$AA$8, U235&lt;= ($AA$7+$AA$8)), X235/V235, " ")</f>
        <v xml:space="preserve"> </v>
      </c>
      <c r="AD235" s="20">
        <f t="shared" si="54"/>
        <v>224</v>
      </c>
      <c r="AE235" s="5">
        <f t="shared" si="55"/>
        <v>0</v>
      </c>
      <c r="AF235" s="5">
        <f t="shared" si="56"/>
        <v>0</v>
      </c>
      <c r="AG235" s="5">
        <f t="shared" si="57"/>
        <v>0</v>
      </c>
      <c r="AH235" s="5">
        <f>IF(CreditAmort3WORST[[#This Row],[Month]]=AJ$8,AF$7,0)</f>
        <v>0</v>
      </c>
      <c r="AI235" s="13">
        <f t="shared" si="58"/>
        <v>0</v>
      </c>
      <c r="AJ235" s="6" t="str">
        <f t="shared" si="59"/>
        <v xml:space="preserve"> </v>
      </c>
      <c r="AK235" s="21" t="str">
        <f t="shared" si="60"/>
        <v xml:space="preserve"> </v>
      </c>
      <c r="AM235" s="20">
        <f t="shared" si="61"/>
        <v>224</v>
      </c>
      <c r="AN235" s="5">
        <f t="shared" si="62"/>
        <v>0</v>
      </c>
      <c r="AO235" s="5">
        <f t="shared" si="63"/>
        <v>0</v>
      </c>
      <c r="AP235" s="5">
        <f t="shared" si="64"/>
        <v>0</v>
      </c>
      <c r="AQ235" s="5">
        <f>IF(CreditAmort4WORST[[#This Row],[Month]]=AS$8,AO$7,0)</f>
        <v>0</v>
      </c>
      <c r="AR235" s="13">
        <f t="shared" si="65"/>
        <v>0</v>
      </c>
      <c r="AS235" s="6" t="str">
        <f t="shared" si="66"/>
        <v xml:space="preserve"> </v>
      </c>
      <c r="AT235" s="21" t="str">
        <f t="shared" si="67"/>
        <v xml:space="preserve"> </v>
      </c>
    </row>
    <row r="236" spans="3:46">
      <c r="C236" s="22">
        <f t="shared" si="52"/>
        <v>225</v>
      </c>
      <c r="D236" s="23">
        <f>IF(AND(C236&gt;='Amort. Sched.-WORST'!$I$8, C236&lt;= ($I$7+$I$8)), PMT('Amort. Sched.-WORST'!$E$8/12, 'Amort. Sched.-WORST'!$I$7, 'Amort. Sched.-WORST'!$E$7), 0)</f>
        <v>-2026.0175758541329</v>
      </c>
      <c r="E236" s="5">
        <f>IF(AND(C236&gt;='Amort. Sched.-WORST'!$I$8, C236&lt;= ($I$7+$I$8)), (IPMT($E$8/12, (C236-$I$8), $I$7, $E$7)), 0)</f>
        <v>-803.2866336303764</v>
      </c>
      <c r="F236" s="23">
        <f>IF(AND(C236&gt;='Amort. Sched.-WORST'!$I$8, C236&lt;= ($I$7+$I$8)), (PPMT($E$8/12, (C236-$I$8), $I$7, $E$7)), 0)</f>
        <v>-1222.7309422237568</v>
      </c>
      <c r="G236" s="5">
        <f>IF(MortgageAmortWORST[[#This Row],[Month]]=I$8,E$7,0)</f>
        <v>0</v>
      </c>
      <c r="H236" s="13">
        <f>IF(AND(C236&gt;='Amort. Sched.-WORST'!$I$8, C236&lt;= ($I$7+$I$8)), H235+F236, 0)</f>
        <v>119270.26410233275</v>
      </c>
      <c r="I236" s="24">
        <f>IF(AND(C236&gt;='Amort. Sched.-WORST'!$I$8, C236&lt;= ($I$7+$I$8)), E236/D236, " ")</f>
        <v>0.39648552075947568</v>
      </c>
      <c r="J236" s="25">
        <f>IF(AND(C236&gt;='Amort. Sched.-WORST'!$I$8, C236&lt;= ($I$7+$I$8)), F236/D236, " ")</f>
        <v>0.60351447924052448</v>
      </c>
      <c r="L236" s="20">
        <f t="shared" si="51"/>
        <v>225</v>
      </c>
      <c r="M236" s="5">
        <f>IF(AND(L236&gt;='Amort. Sched.-WORST'!$R$8, L236&lt;= ($R$7+$R$8)), PMT('Amort. Sched.-WORST'!$N$8/12, 'Amort. Sched.-WORST'!$R$7, 'Amort. Sched.-WORST'!$N$7), 0)</f>
        <v>0</v>
      </c>
      <c r="N236" s="5">
        <f>IF(AND(L236&gt;='Amort. Sched.-WORST'!$R$8, L236&lt;= ($R$7+$R$8)), (IPMT($N$8/12, (L236-$R$8), $R$7, $N$7)), 0)</f>
        <v>0</v>
      </c>
      <c r="O236" s="5">
        <f>IF(AND(L236&gt;='Amort. Sched.-WORST'!$R$8, L236&lt;= ($R$7+$R$8)), (PPMT($N$8/12, (L236-$R$8), $R$7, $N$7)), 0)</f>
        <v>0</v>
      </c>
      <c r="P236" s="5">
        <f>IF(CreditAmort1WORST[[#This Row],[Month]]=R$8,N$7,0)</f>
        <v>0</v>
      </c>
      <c r="Q236" s="13">
        <f>IF(AND(L236&gt;='Amort. Sched.-WORST'!$R$8, L236&lt;= ($R$7+$R$8)), Q235+O236, 0)</f>
        <v>0</v>
      </c>
      <c r="R236" s="6" t="str">
        <f>IF(AND(L236&gt;='Amort. Sched.-WORST'!$R$8, L236&lt;= ($R$7+$R$8)), N236/M236, " ")</f>
        <v xml:space="preserve"> </v>
      </c>
      <c r="S236" s="21" t="str">
        <f>IF(AND(L236&gt;='Amort. Sched.-WORST'!$R$8, L236&lt;= ($R$7+$R$8)), O236/M236, " ")</f>
        <v xml:space="preserve"> </v>
      </c>
      <c r="U236" s="22">
        <f t="shared" si="53"/>
        <v>225</v>
      </c>
      <c r="V236" s="23">
        <f>IF(AND(U236&gt;='Amort. Sched.-WORST'!$AA$8, U236&lt;= ($AA$7+$AA$8)), PMT('Amort. Sched.-WORST'!$W$8/12, 'Amort. Sched.-WORST'!$AA$7, 'Amort. Sched.-WORST'!$W$7), 0)</f>
        <v>0</v>
      </c>
      <c r="W236" s="5">
        <f>IF(AND(U236&gt;='Amort. Sched.-WORST'!$AA$8, U236&lt;= ($AA$7+$AA$8)), (IPMT($W$8/12, (U236-$AA$8), $AA$7, $W$7)), 0)</f>
        <v>0</v>
      </c>
      <c r="X236" s="23">
        <f>IF(AND(U236&gt;='Amort. Sched.-WORST'!$AA$8, U236&lt;= ($AA$7+$AA$8)), (PPMT($W$8/12, (U236-$AA$8), $AA$7, $W$7)), 0)</f>
        <v>0</v>
      </c>
      <c r="Y236" s="5">
        <f>IF(CreditAmort2WORST[[#This Row],[Month]]=AA$8,W$7,0)</f>
        <v>0</v>
      </c>
      <c r="Z236" s="13">
        <f>IF(AND(U236&gt;='Amort. Sched.-WORST'!$AA$8, U236&lt;= ($AA$7+$AA$8)), Z235+X236, 0)</f>
        <v>0</v>
      </c>
      <c r="AA236" s="24" t="str">
        <f>IF(AND(U236&gt;='Amort. Sched.-WORST'!$AA$8, U236&lt;= ($AA$7+$AA$8)), W236/V236, " ")</f>
        <v xml:space="preserve"> </v>
      </c>
      <c r="AB236" s="25" t="str">
        <f>IF(AND(U236&gt;='Amort. Sched.-WORST'!$AA$8, U236&lt;= ($AA$7+$AA$8)), X236/V236, " ")</f>
        <v xml:space="preserve"> </v>
      </c>
      <c r="AD236" s="20">
        <f t="shared" si="54"/>
        <v>225</v>
      </c>
      <c r="AE236" s="5">
        <f t="shared" si="55"/>
        <v>0</v>
      </c>
      <c r="AF236" s="5">
        <f t="shared" si="56"/>
        <v>0</v>
      </c>
      <c r="AG236" s="5">
        <f t="shared" si="57"/>
        <v>0</v>
      </c>
      <c r="AH236" s="5">
        <f>IF(CreditAmort3WORST[[#This Row],[Month]]=AJ$8,AF$7,0)</f>
        <v>0</v>
      </c>
      <c r="AI236" s="13">
        <f t="shared" si="58"/>
        <v>0</v>
      </c>
      <c r="AJ236" s="6" t="str">
        <f t="shared" si="59"/>
        <v xml:space="preserve"> </v>
      </c>
      <c r="AK236" s="21" t="str">
        <f t="shared" si="60"/>
        <v xml:space="preserve"> </v>
      </c>
      <c r="AM236" s="20">
        <f t="shared" si="61"/>
        <v>225</v>
      </c>
      <c r="AN236" s="5">
        <f t="shared" si="62"/>
        <v>0</v>
      </c>
      <c r="AO236" s="5">
        <f t="shared" si="63"/>
        <v>0</v>
      </c>
      <c r="AP236" s="5">
        <f t="shared" si="64"/>
        <v>0</v>
      </c>
      <c r="AQ236" s="5">
        <f>IF(CreditAmort4WORST[[#This Row],[Month]]=AS$8,AO$7,0)</f>
        <v>0</v>
      </c>
      <c r="AR236" s="13">
        <f t="shared" si="65"/>
        <v>0</v>
      </c>
      <c r="AS236" s="6" t="str">
        <f t="shared" si="66"/>
        <v xml:space="preserve"> </v>
      </c>
      <c r="AT236" s="21" t="str">
        <f t="shared" si="67"/>
        <v xml:space="preserve"> </v>
      </c>
    </row>
    <row r="237" spans="3:46">
      <c r="C237" s="22">
        <f t="shared" si="52"/>
        <v>226</v>
      </c>
      <c r="D237" s="23">
        <f>IF(AND(C237&gt;='Amort. Sched.-WORST'!$I$8, C237&lt;= ($I$7+$I$8)), PMT('Amort. Sched.-WORST'!$E$8/12, 'Amort. Sched.-WORST'!$I$7, 'Amort. Sched.-WORST'!$E$7), 0)</f>
        <v>-2026.0175758541329</v>
      </c>
      <c r="E237" s="5">
        <f>IF(AND(C237&gt;='Amort. Sched.-WORST'!$I$8, C237&lt;= ($I$7+$I$8)), (IPMT($E$8/12, (C237-$I$8), $I$7, $E$7)), 0)</f>
        <v>-795.1350940155512</v>
      </c>
      <c r="F237" s="23">
        <f>IF(AND(C237&gt;='Amort. Sched.-WORST'!$I$8, C237&lt;= ($I$7+$I$8)), (PPMT($E$8/12, (C237-$I$8), $I$7, $E$7)), 0)</f>
        <v>-1230.8824818385817</v>
      </c>
      <c r="G237" s="5">
        <f>IF(MortgageAmortWORST[[#This Row],[Month]]=I$8,E$7,0)</f>
        <v>0</v>
      </c>
      <c r="H237" s="13">
        <f>IF(AND(C237&gt;='Amort. Sched.-WORST'!$I$8, C237&lt;= ($I$7+$I$8)), H236+F237, 0)</f>
        <v>118039.38162049417</v>
      </c>
      <c r="I237" s="24">
        <f>IF(AND(C237&gt;='Amort. Sched.-WORST'!$I$8, C237&lt;= ($I$7+$I$8)), E237/D237, " ")</f>
        <v>0.3924620908978721</v>
      </c>
      <c r="J237" s="25">
        <f>IF(AND(C237&gt;='Amort. Sched.-WORST'!$I$8, C237&lt;= ($I$7+$I$8)), F237/D237, " ")</f>
        <v>0.6075379091021279</v>
      </c>
      <c r="L237" s="20">
        <f t="shared" si="51"/>
        <v>226</v>
      </c>
      <c r="M237" s="5">
        <f>IF(AND(L237&gt;='Amort. Sched.-WORST'!$R$8, L237&lt;= ($R$7+$R$8)), PMT('Amort. Sched.-WORST'!$N$8/12, 'Amort. Sched.-WORST'!$R$7, 'Amort. Sched.-WORST'!$N$7), 0)</f>
        <v>0</v>
      </c>
      <c r="N237" s="5">
        <f>IF(AND(L237&gt;='Amort. Sched.-WORST'!$R$8, L237&lt;= ($R$7+$R$8)), (IPMT($N$8/12, (L237-$R$8), $R$7, $N$7)), 0)</f>
        <v>0</v>
      </c>
      <c r="O237" s="5">
        <f>IF(AND(L237&gt;='Amort. Sched.-WORST'!$R$8, L237&lt;= ($R$7+$R$8)), (PPMT($N$8/12, (L237-$R$8), $R$7, $N$7)), 0)</f>
        <v>0</v>
      </c>
      <c r="P237" s="5">
        <f>IF(CreditAmort1WORST[[#This Row],[Month]]=R$8,N$7,0)</f>
        <v>0</v>
      </c>
      <c r="Q237" s="13">
        <f>IF(AND(L237&gt;='Amort. Sched.-WORST'!$R$8, L237&lt;= ($R$7+$R$8)), Q236+O237, 0)</f>
        <v>0</v>
      </c>
      <c r="R237" s="6" t="str">
        <f>IF(AND(L237&gt;='Amort. Sched.-WORST'!$R$8, L237&lt;= ($R$7+$R$8)), N237/M237, " ")</f>
        <v xml:space="preserve"> </v>
      </c>
      <c r="S237" s="21" t="str">
        <f>IF(AND(L237&gt;='Amort. Sched.-WORST'!$R$8, L237&lt;= ($R$7+$R$8)), O237/M237, " ")</f>
        <v xml:space="preserve"> </v>
      </c>
      <c r="U237" s="22">
        <f t="shared" si="53"/>
        <v>226</v>
      </c>
      <c r="V237" s="23">
        <f>IF(AND(U237&gt;='Amort. Sched.-WORST'!$AA$8, U237&lt;= ($AA$7+$AA$8)), PMT('Amort. Sched.-WORST'!$W$8/12, 'Amort. Sched.-WORST'!$AA$7, 'Amort. Sched.-WORST'!$W$7), 0)</f>
        <v>0</v>
      </c>
      <c r="W237" s="5">
        <f>IF(AND(U237&gt;='Amort. Sched.-WORST'!$AA$8, U237&lt;= ($AA$7+$AA$8)), (IPMT($W$8/12, (U237-$AA$8), $AA$7, $W$7)), 0)</f>
        <v>0</v>
      </c>
      <c r="X237" s="23">
        <f>IF(AND(U237&gt;='Amort. Sched.-WORST'!$AA$8, U237&lt;= ($AA$7+$AA$8)), (PPMT($W$8/12, (U237-$AA$8), $AA$7, $W$7)), 0)</f>
        <v>0</v>
      </c>
      <c r="Y237" s="5">
        <f>IF(CreditAmort2WORST[[#This Row],[Month]]=AA$8,W$7,0)</f>
        <v>0</v>
      </c>
      <c r="Z237" s="13">
        <f>IF(AND(U237&gt;='Amort. Sched.-WORST'!$AA$8, U237&lt;= ($AA$7+$AA$8)), Z236+X237, 0)</f>
        <v>0</v>
      </c>
      <c r="AA237" s="24" t="str">
        <f>IF(AND(U237&gt;='Amort. Sched.-WORST'!$AA$8, U237&lt;= ($AA$7+$AA$8)), W237/V237, " ")</f>
        <v xml:space="preserve"> </v>
      </c>
      <c r="AB237" s="25" t="str">
        <f>IF(AND(U237&gt;='Amort. Sched.-WORST'!$AA$8, U237&lt;= ($AA$7+$AA$8)), X237/V237, " ")</f>
        <v xml:space="preserve"> </v>
      </c>
      <c r="AD237" s="20">
        <f t="shared" si="54"/>
        <v>226</v>
      </c>
      <c r="AE237" s="5">
        <f t="shared" si="55"/>
        <v>0</v>
      </c>
      <c r="AF237" s="5">
        <f t="shared" si="56"/>
        <v>0</v>
      </c>
      <c r="AG237" s="5">
        <f t="shared" si="57"/>
        <v>0</v>
      </c>
      <c r="AH237" s="5">
        <f>IF(CreditAmort3WORST[[#This Row],[Month]]=AJ$8,AF$7,0)</f>
        <v>0</v>
      </c>
      <c r="AI237" s="13">
        <f t="shared" si="58"/>
        <v>0</v>
      </c>
      <c r="AJ237" s="6" t="str">
        <f t="shared" si="59"/>
        <v xml:space="preserve"> </v>
      </c>
      <c r="AK237" s="21" t="str">
        <f t="shared" si="60"/>
        <v xml:space="preserve"> </v>
      </c>
      <c r="AM237" s="20">
        <f t="shared" si="61"/>
        <v>226</v>
      </c>
      <c r="AN237" s="5">
        <f t="shared" si="62"/>
        <v>0</v>
      </c>
      <c r="AO237" s="5">
        <f t="shared" si="63"/>
        <v>0</v>
      </c>
      <c r="AP237" s="5">
        <f t="shared" si="64"/>
        <v>0</v>
      </c>
      <c r="AQ237" s="5">
        <f>IF(CreditAmort4WORST[[#This Row],[Month]]=AS$8,AO$7,0)</f>
        <v>0</v>
      </c>
      <c r="AR237" s="13">
        <f t="shared" si="65"/>
        <v>0</v>
      </c>
      <c r="AS237" s="6" t="str">
        <f t="shared" si="66"/>
        <v xml:space="preserve"> </v>
      </c>
      <c r="AT237" s="21" t="str">
        <f t="shared" si="67"/>
        <v xml:space="preserve"> </v>
      </c>
    </row>
    <row r="238" spans="3:46">
      <c r="C238" s="22">
        <f t="shared" si="52"/>
        <v>227</v>
      </c>
      <c r="D238" s="23">
        <f>IF(AND(C238&gt;='Amort. Sched.-WORST'!$I$8, C238&lt;= ($I$7+$I$8)), PMT('Amort. Sched.-WORST'!$E$8/12, 'Amort. Sched.-WORST'!$I$7, 'Amort. Sched.-WORST'!$E$7), 0)</f>
        <v>-2026.0175758541329</v>
      </c>
      <c r="E238" s="5">
        <f>IF(AND(C238&gt;='Amort. Sched.-WORST'!$I$8, C238&lt;= ($I$7+$I$8)), (IPMT($E$8/12, (C238-$I$8), $I$7, $E$7)), 0)</f>
        <v>-786.92921080329393</v>
      </c>
      <c r="F238" s="23">
        <f>IF(AND(C238&gt;='Amort. Sched.-WORST'!$I$8, C238&lt;= ($I$7+$I$8)), (PPMT($E$8/12, (C238-$I$8), $I$7, $E$7)), 0)</f>
        <v>-1239.088365050839</v>
      </c>
      <c r="G238" s="5">
        <f>IF(MortgageAmortWORST[[#This Row],[Month]]=I$8,E$7,0)</f>
        <v>0</v>
      </c>
      <c r="H238" s="13">
        <f>IF(AND(C238&gt;='Amort. Sched.-WORST'!$I$8, C238&lt;= ($I$7+$I$8)), H237+F238, 0)</f>
        <v>116800.29325544334</v>
      </c>
      <c r="I238" s="24">
        <f>IF(AND(C238&gt;='Amort. Sched.-WORST'!$I$8, C238&lt;= ($I$7+$I$8)), E238/D238, " ")</f>
        <v>0.38841183817052455</v>
      </c>
      <c r="J238" s="25">
        <f>IF(AND(C238&gt;='Amort. Sched.-WORST'!$I$8, C238&lt;= ($I$7+$I$8)), F238/D238, " ")</f>
        <v>0.6115881618294754</v>
      </c>
      <c r="L238" s="20">
        <f t="shared" si="51"/>
        <v>227</v>
      </c>
      <c r="M238" s="5">
        <f>IF(AND(L238&gt;='Amort. Sched.-WORST'!$R$8, L238&lt;= ($R$7+$R$8)), PMT('Amort. Sched.-WORST'!$N$8/12, 'Amort. Sched.-WORST'!$R$7, 'Amort. Sched.-WORST'!$N$7), 0)</f>
        <v>0</v>
      </c>
      <c r="N238" s="5">
        <f>IF(AND(L238&gt;='Amort. Sched.-WORST'!$R$8, L238&lt;= ($R$7+$R$8)), (IPMT($N$8/12, (L238-$R$8), $R$7, $N$7)), 0)</f>
        <v>0</v>
      </c>
      <c r="O238" s="5">
        <f>IF(AND(L238&gt;='Amort. Sched.-WORST'!$R$8, L238&lt;= ($R$7+$R$8)), (PPMT($N$8/12, (L238-$R$8), $R$7, $N$7)), 0)</f>
        <v>0</v>
      </c>
      <c r="P238" s="5">
        <f>IF(CreditAmort1WORST[[#This Row],[Month]]=R$8,N$7,0)</f>
        <v>0</v>
      </c>
      <c r="Q238" s="13">
        <f>IF(AND(L238&gt;='Amort. Sched.-WORST'!$R$8, L238&lt;= ($R$7+$R$8)), Q237+O238, 0)</f>
        <v>0</v>
      </c>
      <c r="R238" s="6" t="str">
        <f>IF(AND(L238&gt;='Amort. Sched.-WORST'!$R$8, L238&lt;= ($R$7+$R$8)), N238/M238, " ")</f>
        <v xml:space="preserve"> </v>
      </c>
      <c r="S238" s="21" t="str">
        <f>IF(AND(L238&gt;='Amort. Sched.-WORST'!$R$8, L238&lt;= ($R$7+$R$8)), O238/M238, " ")</f>
        <v xml:space="preserve"> </v>
      </c>
      <c r="U238" s="22">
        <f t="shared" si="53"/>
        <v>227</v>
      </c>
      <c r="V238" s="23">
        <f>IF(AND(U238&gt;='Amort. Sched.-WORST'!$AA$8, U238&lt;= ($AA$7+$AA$8)), PMT('Amort. Sched.-WORST'!$W$8/12, 'Amort. Sched.-WORST'!$AA$7, 'Amort. Sched.-WORST'!$W$7), 0)</f>
        <v>0</v>
      </c>
      <c r="W238" s="5">
        <f>IF(AND(U238&gt;='Amort. Sched.-WORST'!$AA$8, U238&lt;= ($AA$7+$AA$8)), (IPMT($W$8/12, (U238-$AA$8), $AA$7, $W$7)), 0)</f>
        <v>0</v>
      </c>
      <c r="X238" s="23">
        <f>IF(AND(U238&gt;='Amort. Sched.-WORST'!$AA$8, U238&lt;= ($AA$7+$AA$8)), (PPMT($W$8/12, (U238-$AA$8), $AA$7, $W$7)), 0)</f>
        <v>0</v>
      </c>
      <c r="Y238" s="5">
        <f>IF(CreditAmort2WORST[[#This Row],[Month]]=AA$8,W$7,0)</f>
        <v>0</v>
      </c>
      <c r="Z238" s="13">
        <f>IF(AND(U238&gt;='Amort. Sched.-WORST'!$AA$8, U238&lt;= ($AA$7+$AA$8)), Z237+X238, 0)</f>
        <v>0</v>
      </c>
      <c r="AA238" s="24" t="str">
        <f>IF(AND(U238&gt;='Amort. Sched.-WORST'!$AA$8, U238&lt;= ($AA$7+$AA$8)), W238/V238, " ")</f>
        <v xml:space="preserve"> </v>
      </c>
      <c r="AB238" s="25" t="str">
        <f>IF(AND(U238&gt;='Amort. Sched.-WORST'!$AA$8, U238&lt;= ($AA$7+$AA$8)), X238/V238, " ")</f>
        <v xml:space="preserve"> </v>
      </c>
      <c r="AD238" s="20">
        <f t="shared" si="54"/>
        <v>227</v>
      </c>
      <c r="AE238" s="5">
        <f t="shared" si="55"/>
        <v>0</v>
      </c>
      <c r="AF238" s="5">
        <f t="shared" si="56"/>
        <v>0</v>
      </c>
      <c r="AG238" s="5">
        <f t="shared" si="57"/>
        <v>0</v>
      </c>
      <c r="AH238" s="5">
        <f>IF(CreditAmort3WORST[[#This Row],[Month]]=AJ$8,AF$7,0)</f>
        <v>0</v>
      </c>
      <c r="AI238" s="13">
        <f t="shared" si="58"/>
        <v>0</v>
      </c>
      <c r="AJ238" s="6" t="str">
        <f t="shared" si="59"/>
        <v xml:space="preserve"> </v>
      </c>
      <c r="AK238" s="21" t="str">
        <f t="shared" si="60"/>
        <v xml:space="preserve"> </v>
      </c>
      <c r="AM238" s="20">
        <f t="shared" si="61"/>
        <v>227</v>
      </c>
      <c r="AN238" s="5">
        <f t="shared" si="62"/>
        <v>0</v>
      </c>
      <c r="AO238" s="5">
        <f t="shared" si="63"/>
        <v>0</v>
      </c>
      <c r="AP238" s="5">
        <f t="shared" si="64"/>
        <v>0</v>
      </c>
      <c r="AQ238" s="5">
        <f>IF(CreditAmort4WORST[[#This Row],[Month]]=AS$8,AO$7,0)</f>
        <v>0</v>
      </c>
      <c r="AR238" s="13">
        <f t="shared" si="65"/>
        <v>0</v>
      </c>
      <c r="AS238" s="6" t="str">
        <f t="shared" si="66"/>
        <v xml:space="preserve"> </v>
      </c>
      <c r="AT238" s="21" t="str">
        <f t="shared" si="67"/>
        <v xml:space="preserve"> </v>
      </c>
    </row>
    <row r="239" spans="3:46">
      <c r="C239" s="22">
        <f t="shared" si="52"/>
        <v>228</v>
      </c>
      <c r="D239" s="23">
        <f>IF(AND(C239&gt;='Amort. Sched.-WORST'!$I$8, C239&lt;= ($I$7+$I$8)), PMT('Amort. Sched.-WORST'!$E$8/12, 'Amort. Sched.-WORST'!$I$7, 'Amort. Sched.-WORST'!$E$7), 0)</f>
        <v>-2026.0175758541329</v>
      </c>
      <c r="E239" s="5">
        <f>IF(AND(C239&gt;='Amort. Sched.-WORST'!$I$8, C239&lt;= ($I$7+$I$8)), (IPMT($E$8/12, (C239-$I$8), $I$7, $E$7)), 0)</f>
        <v>-778.66862170295519</v>
      </c>
      <c r="F239" s="23">
        <f>IF(AND(C239&gt;='Amort. Sched.-WORST'!$I$8, C239&lt;= ($I$7+$I$8)), (PPMT($E$8/12, (C239-$I$8), $I$7, $E$7)), 0)</f>
        <v>-1247.3489541511781</v>
      </c>
      <c r="G239" s="5">
        <f>IF(MortgageAmortWORST[[#This Row],[Month]]=I$8,E$7,0)</f>
        <v>0</v>
      </c>
      <c r="H239" s="13">
        <f>IF(AND(C239&gt;='Amort. Sched.-WORST'!$I$8, C239&lt;= ($I$7+$I$8)), H238+F239, 0)</f>
        <v>115552.94430129215</v>
      </c>
      <c r="I239" s="24">
        <f>IF(AND(C239&gt;='Amort. Sched.-WORST'!$I$8, C239&lt;= ($I$7+$I$8)), E239/D239, " ")</f>
        <v>0.38433458375832813</v>
      </c>
      <c r="J239" s="25">
        <f>IF(AND(C239&gt;='Amort. Sched.-WORST'!$I$8, C239&lt;= ($I$7+$I$8)), F239/D239, " ")</f>
        <v>0.61566541624167204</v>
      </c>
      <c r="L239" s="20">
        <f t="shared" si="51"/>
        <v>228</v>
      </c>
      <c r="M239" s="5">
        <f>IF(AND(L239&gt;='Amort. Sched.-WORST'!$R$8, L239&lt;= ($R$7+$R$8)), PMT('Amort. Sched.-WORST'!$N$8/12, 'Amort. Sched.-WORST'!$R$7, 'Amort. Sched.-WORST'!$N$7), 0)</f>
        <v>0</v>
      </c>
      <c r="N239" s="5">
        <f>IF(AND(L239&gt;='Amort. Sched.-WORST'!$R$8, L239&lt;= ($R$7+$R$8)), (IPMT($N$8/12, (L239-$R$8), $R$7, $N$7)), 0)</f>
        <v>0</v>
      </c>
      <c r="O239" s="5">
        <f>IF(AND(L239&gt;='Amort. Sched.-WORST'!$R$8, L239&lt;= ($R$7+$R$8)), (PPMT($N$8/12, (L239-$R$8), $R$7, $N$7)), 0)</f>
        <v>0</v>
      </c>
      <c r="P239" s="5">
        <f>IF(CreditAmort1WORST[[#This Row],[Month]]=R$8,N$7,0)</f>
        <v>0</v>
      </c>
      <c r="Q239" s="13">
        <f>IF(AND(L239&gt;='Amort. Sched.-WORST'!$R$8, L239&lt;= ($R$7+$R$8)), Q238+O239, 0)</f>
        <v>0</v>
      </c>
      <c r="R239" s="6" t="str">
        <f>IF(AND(L239&gt;='Amort. Sched.-WORST'!$R$8, L239&lt;= ($R$7+$R$8)), N239/M239, " ")</f>
        <v xml:space="preserve"> </v>
      </c>
      <c r="S239" s="21" t="str">
        <f>IF(AND(L239&gt;='Amort. Sched.-WORST'!$R$8, L239&lt;= ($R$7+$R$8)), O239/M239, " ")</f>
        <v xml:space="preserve"> </v>
      </c>
      <c r="U239" s="22">
        <f t="shared" si="53"/>
        <v>228</v>
      </c>
      <c r="V239" s="23">
        <f>IF(AND(U239&gt;='Amort. Sched.-WORST'!$AA$8, U239&lt;= ($AA$7+$AA$8)), PMT('Amort. Sched.-WORST'!$W$8/12, 'Amort. Sched.-WORST'!$AA$7, 'Amort. Sched.-WORST'!$W$7), 0)</f>
        <v>0</v>
      </c>
      <c r="W239" s="5">
        <f>IF(AND(U239&gt;='Amort. Sched.-WORST'!$AA$8, U239&lt;= ($AA$7+$AA$8)), (IPMT($W$8/12, (U239-$AA$8), $AA$7, $W$7)), 0)</f>
        <v>0</v>
      </c>
      <c r="X239" s="23">
        <f>IF(AND(U239&gt;='Amort. Sched.-WORST'!$AA$8, U239&lt;= ($AA$7+$AA$8)), (PPMT($W$8/12, (U239-$AA$8), $AA$7, $W$7)), 0)</f>
        <v>0</v>
      </c>
      <c r="Y239" s="5">
        <f>IF(CreditAmort2WORST[[#This Row],[Month]]=AA$8,W$7,0)</f>
        <v>0</v>
      </c>
      <c r="Z239" s="13">
        <f>IF(AND(U239&gt;='Amort. Sched.-WORST'!$AA$8, U239&lt;= ($AA$7+$AA$8)), Z238+X239, 0)</f>
        <v>0</v>
      </c>
      <c r="AA239" s="24" t="str">
        <f>IF(AND(U239&gt;='Amort. Sched.-WORST'!$AA$8, U239&lt;= ($AA$7+$AA$8)), W239/V239, " ")</f>
        <v xml:space="preserve"> </v>
      </c>
      <c r="AB239" s="25" t="str">
        <f>IF(AND(U239&gt;='Amort. Sched.-WORST'!$AA$8, U239&lt;= ($AA$7+$AA$8)), X239/V239, " ")</f>
        <v xml:space="preserve"> </v>
      </c>
      <c r="AD239" s="20">
        <f t="shared" si="54"/>
        <v>228</v>
      </c>
      <c r="AE239" s="5">
        <f t="shared" si="55"/>
        <v>0</v>
      </c>
      <c r="AF239" s="5">
        <f t="shared" si="56"/>
        <v>0</v>
      </c>
      <c r="AG239" s="5">
        <f t="shared" si="57"/>
        <v>0</v>
      </c>
      <c r="AH239" s="5">
        <f>IF(CreditAmort3WORST[[#This Row],[Month]]=AJ$8,AF$7,0)</f>
        <v>0</v>
      </c>
      <c r="AI239" s="13">
        <f t="shared" si="58"/>
        <v>0</v>
      </c>
      <c r="AJ239" s="6" t="str">
        <f t="shared" si="59"/>
        <v xml:space="preserve"> </v>
      </c>
      <c r="AK239" s="21" t="str">
        <f t="shared" si="60"/>
        <v xml:space="preserve"> </v>
      </c>
      <c r="AM239" s="20">
        <f t="shared" si="61"/>
        <v>228</v>
      </c>
      <c r="AN239" s="5">
        <f t="shared" si="62"/>
        <v>0</v>
      </c>
      <c r="AO239" s="5">
        <f t="shared" si="63"/>
        <v>0</v>
      </c>
      <c r="AP239" s="5">
        <f t="shared" si="64"/>
        <v>0</v>
      </c>
      <c r="AQ239" s="5">
        <f>IF(CreditAmort4WORST[[#This Row],[Month]]=AS$8,AO$7,0)</f>
        <v>0</v>
      </c>
      <c r="AR239" s="13">
        <f t="shared" si="65"/>
        <v>0</v>
      </c>
      <c r="AS239" s="6" t="str">
        <f t="shared" si="66"/>
        <v xml:space="preserve"> </v>
      </c>
      <c r="AT239" s="21" t="str">
        <f t="shared" si="67"/>
        <v xml:space="preserve"> </v>
      </c>
    </row>
    <row r="240" spans="3:46">
      <c r="C240" s="22">
        <f t="shared" si="52"/>
        <v>229</v>
      </c>
      <c r="D240" s="23">
        <f>IF(AND(C240&gt;='Amort. Sched.-WORST'!$I$8, C240&lt;= ($I$7+$I$8)), PMT('Amort. Sched.-WORST'!$E$8/12, 'Amort. Sched.-WORST'!$I$7, 'Amort. Sched.-WORST'!$E$7), 0)</f>
        <v>-2026.0175758541329</v>
      </c>
      <c r="E240" s="5">
        <f>IF(AND(C240&gt;='Amort. Sched.-WORST'!$I$8, C240&lt;= ($I$7+$I$8)), (IPMT($E$8/12, (C240-$I$8), $I$7, $E$7)), 0)</f>
        <v>-770.35296200861399</v>
      </c>
      <c r="F240" s="23">
        <f>IF(AND(C240&gt;='Amort. Sched.-WORST'!$I$8, C240&lt;= ($I$7+$I$8)), (PPMT($E$8/12, (C240-$I$8), $I$7, $E$7)), 0)</f>
        <v>-1255.6646138455192</v>
      </c>
      <c r="G240" s="5">
        <f>IF(MortgageAmortWORST[[#This Row],[Month]]=I$8,E$7,0)</f>
        <v>0</v>
      </c>
      <c r="H240" s="13">
        <f>IF(AND(C240&gt;='Amort. Sched.-WORST'!$I$8, C240&lt;= ($I$7+$I$8)), H239+F240, 0)</f>
        <v>114297.27968744663</v>
      </c>
      <c r="I240" s="24">
        <f>IF(AND(C240&gt;='Amort. Sched.-WORST'!$I$8, C240&lt;= ($I$7+$I$8)), E240/D240, " ")</f>
        <v>0.38023014765005031</v>
      </c>
      <c r="J240" s="25">
        <f>IF(AND(C240&gt;='Amort. Sched.-WORST'!$I$8, C240&lt;= ($I$7+$I$8)), F240/D240, " ")</f>
        <v>0.61976985234994975</v>
      </c>
      <c r="L240" s="20">
        <f t="shared" si="51"/>
        <v>229</v>
      </c>
      <c r="M240" s="5">
        <f>IF(AND(L240&gt;='Amort. Sched.-WORST'!$R$8, L240&lt;= ($R$7+$R$8)), PMT('Amort. Sched.-WORST'!$N$8/12, 'Amort. Sched.-WORST'!$R$7, 'Amort. Sched.-WORST'!$N$7), 0)</f>
        <v>0</v>
      </c>
      <c r="N240" s="5">
        <f>IF(AND(L240&gt;='Amort. Sched.-WORST'!$R$8, L240&lt;= ($R$7+$R$8)), (IPMT($N$8/12, (L240-$R$8), $R$7, $N$7)), 0)</f>
        <v>0</v>
      </c>
      <c r="O240" s="5">
        <f>IF(AND(L240&gt;='Amort. Sched.-WORST'!$R$8, L240&lt;= ($R$7+$R$8)), (PPMT($N$8/12, (L240-$R$8), $R$7, $N$7)), 0)</f>
        <v>0</v>
      </c>
      <c r="P240" s="5">
        <f>IF(CreditAmort1WORST[[#This Row],[Month]]=R$8,N$7,0)</f>
        <v>0</v>
      </c>
      <c r="Q240" s="13">
        <f>IF(AND(L240&gt;='Amort. Sched.-WORST'!$R$8, L240&lt;= ($R$7+$R$8)), Q239+O240, 0)</f>
        <v>0</v>
      </c>
      <c r="R240" s="6" t="str">
        <f>IF(AND(L240&gt;='Amort. Sched.-WORST'!$R$8, L240&lt;= ($R$7+$R$8)), N240/M240, " ")</f>
        <v xml:space="preserve"> </v>
      </c>
      <c r="S240" s="21" t="str">
        <f>IF(AND(L240&gt;='Amort. Sched.-WORST'!$R$8, L240&lt;= ($R$7+$R$8)), O240/M240, " ")</f>
        <v xml:space="preserve"> </v>
      </c>
      <c r="U240" s="22">
        <f t="shared" si="53"/>
        <v>229</v>
      </c>
      <c r="V240" s="23">
        <f>IF(AND(U240&gt;='Amort. Sched.-WORST'!$AA$8, U240&lt;= ($AA$7+$AA$8)), PMT('Amort. Sched.-WORST'!$W$8/12, 'Amort. Sched.-WORST'!$AA$7, 'Amort. Sched.-WORST'!$W$7), 0)</f>
        <v>0</v>
      </c>
      <c r="W240" s="5">
        <f>IF(AND(U240&gt;='Amort. Sched.-WORST'!$AA$8, U240&lt;= ($AA$7+$AA$8)), (IPMT($W$8/12, (U240-$AA$8), $AA$7, $W$7)), 0)</f>
        <v>0</v>
      </c>
      <c r="X240" s="23">
        <f>IF(AND(U240&gt;='Amort. Sched.-WORST'!$AA$8, U240&lt;= ($AA$7+$AA$8)), (PPMT($W$8/12, (U240-$AA$8), $AA$7, $W$7)), 0)</f>
        <v>0</v>
      </c>
      <c r="Y240" s="5">
        <f>IF(CreditAmort2WORST[[#This Row],[Month]]=AA$8,W$7,0)</f>
        <v>0</v>
      </c>
      <c r="Z240" s="13">
        <f>IF(AND(U240&gt;='Amort. Sched.-WORST'!$AA$8, U240&lt;= ($AA$7+$AA$8)), Z239+X240, 0)</f>
        <v>0</v>
      </c>
      <c r="AA240" s="24" t="str">
        <f>IF(AND(U240&gt;='Amort. Sched.-WORST'!$AA$8, U240&lt;= ($AA$7+$AA$8)), W240/V240, " ")</f>
        <v xml:space="preserve"> </v>
      </c>
      <c r="AB240" s="25" t="str">
        <f>IF(AND(U240&gt;='Amort. Sched.-WORST'!$AA$8, U240&lt;= ($AA$7+$AA$8)), X240/V240, " ")</f>
        <v xml:space="preserve"> </v>
      </c>
      <c r="AD240" s="20">
        <f t="shared" si="54"/>
        <v>229</v>
      </c>
      <c r="AE240" s="5">
        <f t="shared" si="55"/>
        <v>0</v>
      </c>
      <c r="AF240" s="5">
        <f t="shared" si="56"/>
        <v>0</v>
      </c>
      <c r="AG240" s="5">
        <f t="shared" si="57"/>
        <v>0</v>
      </c>
      <c r="AH240" s="5">
        <f>IF(CreditAmort3WORST[[#This Row],[Month]]=AJ$8,AF$7,0)</f>
        <v>0</v>
      </c>
      <c r="AI240" s="13">
        <f t="shared" si="58"/>
        <v>0</v>
      </c>
      <c r="AJ240" s="6" t="str">
        <f t="shared" si="59"/>
        <v xml:space="preserve"> </v>
      </c>
      <c r="AK240" s="21" t="str">
        <f t="shared" si="60"/>
        <v xml:space="preserve"> </v>
      </c>
      <c r="AM240" s="20">
        <f t="shared" si="61"/>
        <v>229</v>
      </c>
      <c r="AN240" s="5">
        <f t="shared" si="62"/>
        <v>0</v>
      </c>
      <c r="AO240" s="5">
        <f t="shared" si="63"/>
        <v>0</v>
      </c>
      <c r="AP240" s="5">
        <f t="shared" si="64"/>
        <v>0</v>
      </c>
      <c r="AQ240" s="5">
        <f>IF(CreditAmort4WORST[[#This Row],[Month]]=AS$8,AO$7,0)</f>
        <v>0</v>
      </c>
      <c r="AR240" s="13">
        <f t="shared" si="65"/>
        <v>0</v>
      </c>
      <c r="AS240" s="6" t="str">
        <f t="shared" si="66"/>
        <v xml:space="preserve"> </v>
      </c>
      <c r="AT240" s="21" t="str">
        <f t="shared" si="67"/>
        <v xml:space="preserve"> </v>
      </c>
    </row>
    <row r="241" spans="3:46">
      <c r="C241" s="22">
        <f t="shared" si="52"/>
        <v>230</v>
      </c>
      <c r="D241" s="23">
        <f>IF(AND(C241&gt;='Amort. Sched.-WORST'!$I$8, C241&lt;= ($I$7+$I$8)), PMT('Amort. Sched.-WORST'!$E$8/12, 'Amort. Sched.-WORST'!$I$7, 'Amort. Sched.-WORST'!$E$7), 0)</f>
        <v>-2026.0175758541329</v>
      </c>
      <c r="E241" s="5">
        <f>IF(AND(C241&gt;='Amort. Sched.-WORST'!$I$8, C241&lt;= ($I$7+$I$8)), (IPMT($E$8/12, (C241-$I$8), $I$7, $E$7)), 0)</f>
        <v>-761.9818645829771</v>
      </c>
      <c r="F241" s="23">
        <f>IF(AND(C241&gt;='Amort. Sched.-WORST'!$I$8, C241&lt;= ($I$7+$I$8)), (PPMT($E$8/12, (C241-$I$8), $I$7, $E$7)), 0)</f>
        <v>-1264.0357112711558</v>
      </c>
      <c r="G241" s="5">
        <f>IF(MortgageAmortWORST[[#This Row],[Month]]=I$8,E$7,0)</f>
        <v>0</v>
      </c>
      <c r="H241" s="13">
        <f>IF(AND(C241&gt;='Amort. Sched.-WORST'!$I$8, C241&lt;= ($I$7+$I$8)), H240+F241, 0)</f>
        <v>113033.24397617548</v>
      </c>
      <c r="I241" s="24">
        <f>IF(AND(C241&gt;='Amort. Sched.-WORST'!$I$8, C241&lt;= ($I$7+$I$8)), E241/D241, " ")</f>
        <v>0.37609834863438396</v>
      </c>
      <c r="J241" s="25">
        <f>IF(AND(C241&gt;='Amort. Sched.-WORST'!$I$8, C241&lt;= ($I$7+$I$8)), F241/D241, " ")</f>
        <v>0.62390165136561604</v>
      </c>
      <c r="L241" s="20">
        <f t="shared" si="51"/>
        <v>230</v>
      </c>
      <c r="M241" s="5">
        <f>IF(AND(L241&gt;='Amort. Sched.-WORST'!$R$8, L241&lt;= ($R$7+$R$8)), PMT('Amort. Sched.-WORST'!$N$8/12, 'Amort. Sched.-WORST'!$R$7, 'Amort. Sched.-WORST'!$N$7), 0)</f>
        <v>0</v>
      </c>
      <c r="N241" s="5">
        <f>IF(AND(L241&gt;='Amort. Sched.-WORST'!$R$8, L241&lt;= ($R$7+$R$8)), (IPMT($N$8/12, (L241-$R$8), $R$7, $N$7)), 0)</f>
        <v>0</v>
      </c>
      <c r="O241" s="5">
        <f>IF(AND(L241&gt;='Amort. Sched.-WORST'!$R$8, L241&lt;= ($R$7+$R$8)), (PPMT($N$8/12, (L241-$R$8), $R$7, $N$7)), 0)</f>
        <v>0</v>
      </c>
      <c r="P241" s="5">
        <f>IF(CreditAmort1WORST[[#This Row],[Month]]=R$8,N$7,0)</f>
        <v>0</v>
      </c>
      <c r="Q241" s="13">
        <f>IF(AND(L241&gt;='Amort. Sched.-WORST'!$R$8, L241&lt;= ($R$7+$R$8)), Q240+O241, 0)</f>
        <v>0</v>
      </c>
      <c r="R241" s="6" t="str">
        <f>IF(AND(L241&gt;='Amort. Sched.-WORST'!$R$8, L241&lt;= ($R$7+$R$8)), N241/M241, " ")</f>
        <v xml:space="preserve"> </v>
      </c>
      <c r="S241" s="21" t="str">
        <f>IF(AND(L241&gt;='Amort. Sched.-WORST'!$R$8, L241&lt;= ($R$7+$R$8)), O241/M241, " ")</f>
        <v xml:space="preserve"> </v>
      </c>
      <c r="U241" s="22">
        <f t="shared" si="53"/>
        <v>230</v>
      </c>
      <c r="V241" s="23">
        <f>IF(AND(U241&gt;='Amort. Sched.-WORST'!$AA$8, U241&lt;= ($AA$7+$AA$8)), PMT('Amort. Sched.-WORST'!$W$8/12, 'Amort. Sched.-WORST'!$AA$7, 'Amort. Sched.-WORST'!$W$7), 0)</f>
        <v>0</v>
      </c>
      <c r="W241" s="5">
        <f>IF(AND(U241&gt;='Amort. Sched.-WORST'!$AA$8, U241&lt;= ($AA$7+$AA$8)), (IPMT($W$8/12, (U241-$AA$8), $AA$7, $W$7)), 0)</f>
        <v>0</v>
      </c>
      <c r="X241" s="23">
        <f>IF(AND(U241&gt;='Amort. Sched.-WORST'!$AA$8, U241&lt;= ($AA$7+$AA$8)), (PPMT($W$8/12, (U241-$AA$8), $AA$7, $W$7)), 0)</f>
        <v>0</v>
      </c>
      <c r="Y241" s="5">
        <f>IF(CreditAmort2WORST[[#This Row],[Month]]=AA$8,W$7,0)</f>
        <v>0</v>
      </c>
      <c r="Z241" s="13">
        <f>IF(AND(U241&gt;='Amort. Sched.-WORST'!$AA$8, U241&lt;= ($AA$7+$AA$8)), Z240+X241, 0)</f>
        <v>0</v>
      </c>
      <c r="AA241" s="24" t="str">
        <f>IF(AND(U241&gt;='Amort. Sched.-WORST'!$AA$8, U241&lt;= ($AA$7+$AA$8)), W241/V241, " ")</f>
        <v xml:space="preserve"> </v>
      </c>
      <c r="AB241" s="25" t="str">
        <f>IF(AND(U241&gt;='Amort. Sched.-WORST'!$AA$8, U241&lt;= ($AA$7+$AA$8)), X241/V241, " ")</f>
        <v xml:space="preserve"> </v>
      </c>
      <c r="AD241" s="20">
        <f t="shared" si="54"/>
        <v>230</v>
      </c>
      <c r="AE241" s="5">
        <f t="shared" si="55"/>
        <v>0</v>
      </c>
      <c r="AF241" s="5">
        <f t="shared" si="56"/>
        <v>0</v>
      </c>
      <c r="AG241" s="5">
        <f t="shared" si="57"/>
        <v>0</v>
      </c>
      <c r="AH241" s="5">
        <f>IF(CreditAmort3WORST[[#This Row],[Month]]=AJ$8,AF$7,0)</f>
        <v>0</v>
      </c>
      <c r="AI241" s="13">
        <f t="shared" si="58"/>
        <v>0</v>
      </c>
      <c r="AJ241" s="6" t="str">
        <f t="shared" si="59"/>
        <v xml:space="preserve"> </v>
      </c>
      <c r="AK241" s="21" t="str">
        <f t="shared" si="60"/>
        <v xml:space="preserve"> </v>
      </c>
      <c r="AM241" s="20">
        <f t="shared" si="61"/>
        <v>230</v>
      </c>
      <c r="AN241" s="5">
        <f t="shared" si="62"/>
        <v>0</v>
      </c>
      <c r="AO241" s="5">
        <f t="shared" si="63"/>
        <v>0</v>
      </c>
      <c r="AP241" s="5">
        <f t="shared" si="64"/>
        <v>0</v>
      </c>
      <c r="AQ241" s="5">
        <f>IF(CreditAmort4WORST[[#This Row],[Month]]=AS$8,AO$7,0)</f>
        <v>0</v>
      </c>
      <c r="AR241" s="13">
        <f t="shared" si="65"/>
        <v>0</v>
      </c>
      <c r="AS241" s="6" t="str">
        <f t="shared" si="66"/>
        <v xml:space="preserve"> </v>
      </c>
      <c r="AT241" s="21" t="str">
        <f t="shared" si="67"/>
        <v xml:space="preserve"> </v>
      </c>
    </row>
    <row r="242" spans="3:46">
      <c r="C242" s="22">
        <f t="shared" si="52"/>
        <v>231</v>
      </c>
      <c r="D242" s="23">
        <f>IF(AND(C242&gt;='Amort. Sched.-WORST'!$I$8, C242&lt;= ($I$7+$I$8)), PMT('Amort. Sched.-WORST'!$E$8/12, 'Amort. Sched.-WORST'!$I$7, 'Amort. Sched.-WORST'!$E$7), 0)</f>
        <v>-2026.0175758541329</v>
      </c>
      <c r="E242" s="5">
        <f>IF(AND(C242&gt;='Amort. Sched.-WORST'!$I$8, C242&lt;= ($I$7+$I$8)), (IPMT($E$8/12, (C242-$I$8), $I$7, $E$7)), 0)</f>
        <v>-753.55495984116953</v>
      </c>
      <c r="F242" s="23">
        <f>IF(AND(C242&gt;='Amort. Sched.-WORST'!$I$8, C242&lt;= ($I$7+$I$8)), (PPMT($E$8/12, (C242-$I$8), $I$7, $E$7)), 0)</f>
        <v>-1272.4626160129635</v>
      </c>
      <c r="G242" s="5">
        <f>IF(MortgageAmortWORST[[#This Row],[Month]]=I$8,E$7,0)</f>
        <v>0</v>
      </c>
      <c r="H242" s="13">
        <f>IF(AND(C242&gt;='Amort. Sched.-WORST'!$I$8, C242&lt;= ($I$7+$I$8)), H241+F242, 0)</f>
        <v>111760.78136016251</v>
      </c>
      <c r="I242" s="24">
        <f>IF(AND(C242&gt;='Amort. Sched.-WORST'!$I$8, C242&lt;= ($I$7+$I$8)), E242/D242, " ")</f>
        <v>0.3719390042919466</v>
      </c>
      <c r="J242" s="25">
        <f>IF(AND(C242&gt;='Amort. Sched.-WORST'!$I$8, C242&lt;= ($I$7+$I$8)), F242/D242, " ")</f>
        <v>0.62806099570805352</v>
      </c>
      <c r="L242" s="20">
        <f t="shared" si="51"/>
        <v>231</v>
      </c>
      <c r="M242" s="5">
        <f>IF(AND(L242&gt;='Amort. Sched.-WORST'!$R$8, L242&lt;= ($R$7+$R$8)), PMT('Amort. Sched.-WORST'!$N$8/12, 'Amort. Sched.-WORST'!$R$7, 'Amort. Sched.-WORST'!$N$7), 0)</f>
        <v>0</v>
      </c>
      <c r="N242" s="5">
        <f>IF(AND(L242&gt;='Amort. Sched.-WORST'!$R$8, L242&lt;= ($R$7+$R$8)), (IPMT($N$8/12, (L242-$R$8), $R$7, $N$7)), 0)</f>
        <v>0</v>
      </c>
      <c r="O242" s="5">
        <f>IF(AND(L242&gt;='Amort. Sched.-WORST'!$R$8, L242&lt;= ($R$7+$R$8)), (PPMT($N$8/12, (L242-$R$8), $R$7, $N$7)), 0)</f>
        <v>0</v>
      </c>
      <c r="P242" s="5">
        <f>IF(CreditAmort1WORST[[#This Row],[Month]]=R$8,N$7,0)</f>
        <v>0</v>
      </c>
      <c r="Q242" s="13">
        <f>IF(AND(L242&gt;='Amort. Sched.-WORST'!$R$8, L242&lt;= ($R$7+$R$8)), Q241+O242, 0)</f>
        <v>0</v>
      </c>
      <c r="R242" s="6" t="str">
        <f>IF(AND(L242&gt;='Amort. Sched.-WORST'!$R$8, L242&lt;= ($R$7+$R$8)), N242/M242, " ")</f>
        <v xml:space="preserve"> </v>
      </c>
      <c r="S242" s="21" t="str">
        <f>IF(AND(L242&gt;='Amort. Sched.-WORST'!$R$8, L242&lt;= ($R$7+$R$8)), O242/M242, " ")</f>
        <v xml:space="preserve"> </v>
      </c>
      <c r="U242" s="22">
        <f t="shared" si="53"/>
        <v>231</v>
      </c>
      <c r="V242" s="23">
        <f>IF(AND(U242&gt;='Amort. Sched.-WORST'!$AA$8, U242&lt;= ($AA$7+$AA$8)), PMT('Amort. Sched.-WORST'!$W$8/12, 'Amort. Sched.-WORST'!$AA$7, 'Amort. Sched.-WORST'!$W$7), 0)</f>
        <v>0</v>
      </c>
      <c r="W242" s="5">
        <f>IF(AND(U242&gt;='Amort. Sched.-WORST'!$AA$8, U242&lt;= ($AA$7+$AA$8)), (IPMT($W$8/12, (U242-$AA$8), $AA$7, $W$7)), 0)</f>
        <v>0</v>
      </c>
      <c r="X242" s="23">
        <f>IF(AND(U242&gt;='Amort. Sched.-WORST'!$AA$8, U242&lt;= ($AA$7+$AA$8)), (PPMT($W$8/12, (U242-$AA$8), $AA$7, $W$7)), 0)</f>
        <v>0</v>
      </c>
      <c r="Y242" s="5">
        <f>IF(CreditAmort2WORST[[#This Row],[Month]]=AA$8,W$7,0)</f>
        <v>0</v>
      </c>
      <c r="Z242" s="13">
        <f>IF(AND(U242&gt;='Amort. Sched.-WORST'!$AA$8, U242&lt;= ($AA$7+$AA$8)), Z241+X242, 0)</f>
        <v>0</v>
      </c>
      <c r="AA242" s="24" t="str">
        <f>IF(AND(U242&gt;='Amort. Sched.-WORST'!$AA$8, U242&lt;= ($AA$7+$AA$8)), W242/V242, " ")</f>
        <v xml:space="preserve"> </v>
      </c>
      <c r="AB242" s="25" t="str">
        <f>IF(AND(U242&gt;='Amort. Sched.-WORST'!$AA$8, U242&lt;= ($AA$7+$AA$8)), X242/V242, " ")</f>
        <v xml:space="preserve"> </v>
      </c>
      <c r="AD242" s="20">
        <f t="shared" si="54"/>
        <v>231</v>
      </c>
      <c r="AE242" s="5">
        <f t="shared" si="55"/>
        <v>0</v>
      </c>
      <c r="AF242" s="5">
        <f t="shared" si="56"/>
        <v>0</v>
      </c>
      <c r="AG242" s="5">
        <f t="shared" si="57"/>
        <v>0</v>
      </c>
      <c r="AH242" s="5">
        <f>IF(CreditAmort3WORST[[#This Row],[Month]]=AJ$8,AF$7,0)</f>
        <v>0</v>
      </c>
      <c r="AI242" s="13">
        <f t="shared" si="58"/>
        <v>0</v>
      </c>
      <c r="AJ242" s="6" t="str">
        <f t="shared" si="59"/>
        <v xml:space="preserve"> </v>
      </c>
      <c r="AK242" s="21" t="str">
        <f t="shared" si="60"/>
        <v xml:space="preserve"> </v>
      </c>
      <c r="AM242" s="20">
        <f t="shared" si="61"/>
        <v>231</v>
      </c>
      <c r="AN242" s="5">
        <f t="shared" si="62"/>
        <v>0</v>
      </c>
      <c r="AO242" s="5">
        <f t="shared" si="63"/>
        <v>0</v>
      </c>
      <c r="AP242" s="5">
        <f t="shared" si="64"/>
        <v>0</v>
      </c>
      <c r="AQ242" s="5">
        <f>IF(CreditAmort4WORST[[#This Row],[Month]]=AS$8,AO$7,0)</f>
        <v>0</v>
      </c>
      <c r="AR242" s="13">
        <f t="shared" si="65"/>
        <v>0</v>
      </c>
      <c r="AS242" s="6" t="str">
        <f t="shared" si="66"/>
        <v xml:space="preserve"> </v>
      </c>
      <c r="AT242" s="21" t="str">
        <f t="shared" si="67"/>
        <v xml:space="preserve"> </v>
      </c>
    </row>
    <row r="243" spans="3:46">
      <c r="C243" s="22">
        <f t="shared" si="52"/>
        <v>232</v>
      </c>
      <c r="D243" s="23">
        <f>IF(AND(C243&gt;='Amort. Sched.-WORST'!$I$8, C243&lt;= ($I$7+$I$8)), PMT('Amort. Sched.-WORST'!$E$8/12, 'Amort. Sched.-WORST'!$I$7, 'Amort. Sched.-WORST'!$E$7), 0)</f>
        <v>-2026.0175758541329</v>
      </c>
      <c r="E243" s="5">
        <f>IF(AND(C243&gt;='Amort. Sched.-WORST'!$I$8, C243&lt;= ($I$7+$I$8)), (IPMT($E$8/12, (C243-$I$8), $I$7, $E$7)), 0)</f>
        <v>-745.07187573441627</v>
      </c>
      <c r="F243" s="23">
        <f>IF(AND(C243&gt;='Amort. Sched.-WORST'!$I$8, C243&lt;= ($I$7+$I$8)), (PPMT($E$8/12, (C243-$I$8), $I$7, $E$7)), 0)</f>
        <v>-1280.9457001197165</v>
      </c>
      <c r="G243" s="5">
        <f>IF(MortgageAmortWORST[[#This Row],[Month]]=I$8,E$7,0)</f>
        <v>0</v>
      </c>
      <c r="H243" s="13">
        <f>IF(AND(C243&gt;='Amort. Sched.-WORST'!$I$8, C243&lt;= ($I$7+$I$8)), H242+F243, 0)</f>
        <v>110479.83566004279</v>
      </c>
      <c r="I243" s="24">
        <f>IF(AND(C243&gt;='Amort. Sched.-WORST'!$I$8, C243&lt;= ($I$7+$I$8)), E243/D243, " ")</f>
        <v>0.36775193098722614</v>
      </c>
      <c r="J243" s="25">
        <f>IF(AND(C243&gt;='Amort. Sched.-WORST'!$I$8, C243&lt;= ($I$7+$I$8)), F243/D243, " ")</f>
        <v>0.63224806901277386</v>
      </c>
      <c r="L243" s="20">
        <f t="shared" si="51"/>
        <v>232</v>
      </c>
      <c r="M243" s="5">
        <f>IF(AND(L243&gt;='Amort. Sched.-WORST'!$R$8, L243&lt;= ($R$7+$R$8)), PMT('Amort. Sched.-WORST'!$N$8/12, 'Amort. Sched.-WORST'!$R$7, 'Amort. Sched.-WORST'!$N$7), 0)</f>
        <v>0</v>
      </c>
      <c r="N243" s="5">
        <f>IF(AND(L243&gt;='Amort. Sched.-WORST'!$R$8, L243&lt;= ($R$7+$R$8)), (IPMT($N$8/12, (L243-$R$8), $R$7, $N$7)), 0)</f>
        <v>0</v>
      </c>
      <c r="O243" s="5">
        <f>IF(AND(L243&gt;='Amort. Sched.-WORST'!$R$8, L243&lt;= ($R$7+$R$8)), (PPMT($N$8/12, (L243-$R$8), $R$7, $N$7)), 0)</f>
        <v>0</v>
      </c>
      <c r="P243" s="5">
        <f>IF(CreditAmort1WORST[[#This Row],[Month]]=R$8,N$7,0)</f>
        <v>0</v>
      </c>
      <c r="Q243" s="13">
        <f>IF(AND(L243&gt;='Amort. Sched.-WORST'!$R$8, L243&lt;= ($R$7+$R$8)), Q242+O243, 0)</f>
        <v>0</v>
      </c>
      <c r="R243" s="6" t="str">
        <f>IF(AND(L243&gt;='Amort. Sched.-WORST'!$R$8, L243&lt;= ($R$7+$R$8)), N243/M243, " ")</f>
        <v xml:space="preserve"> </v>
      </c>
      <c r="S243" s="21" t="str">
        <f>IF(AND(L243&gt;='Amort. Sched.-WORST'!$R$8, L243&lt;= ($R$7+$R$8)), O243/M243, " ")</f>
        <v xml:space="preserve"> </v>
      </c>
      <c r="U243" s="22">
        <f t="shared" si="53"/>
        <v>232</v>
      </c>
      <c r="V243" s="23">
        <f>IF(AND(U243&gt;='Amort. Sched.-WORST'!$AA$8, U243&lt;= ($AA$7+$AA$8)), PMT('Amort. Sched.-WORST'!$W$8/12, 'Amort. Sched.-WORST'!$AA$7, 'Amort. Sched.-WORST'!$W$7), 0)</f>
        <v>0</v>
      </c>
      <c r="W243" s="5">
        <f>IF(AND(U243&gt;='Amort. Sched.-WORST'!$AA$8, U243&lt;= ($AA$7+$AA$8)), (IPMT($W$8/12, (U243-$AA$8), $AA$7, $W$7)), 0)</f>
        <v>0</v>
      </c>
      <c r="X243" s="23">
        <f>IF(AND(U243&gt;='Amort. Sched.-WORST'!$AA$8, U243&lt;= ($AA$7+$AA$8)), (PPMT($W$8/12, (U243-$AA$8), $AA$7, $W$7)), 0)</f>
        <v>0</v>
      </c>
      <c r="Y243" s="5">
        <f>IF(CreditAmort2WORST[[#This Row],[Month]]=AA$8,W$7,0)</f>
        <v>0</v>
      </c>
      <c r="Z243" s="13">
        <f>IF(AND(U243&gt;='Amort. Sched.-WORST'!$AA$8, U243&lt;= ($AA$7+$AA$8)), Z242+X243, 0)</f>
        <v>0</v>
      </c>
      <c r="AA243" s="24" t="str">
        <f>IF(AND(U243&gt;='Amort. Sched.-WORST'!$AA$8, U243&lt;= ($AA$7+$AA$8)), W243/V243, " ")</f>
        <v xml:space="preserve"> </v>
      </c>
      <c r="AB243" s="25" t="str">
        <f>IF(AND(U243&gt;='Amort. Sched.-WORST'!$AA$8, U243&lt;= ($AA$7+$AA$8)), X243/V243, " ")</f>
        <v xml:space="preserve"> </v>
      </c>
      <c r="AD243" s="20">
        <f t="shared" si="54"/>
        <v>232</v>
      </c>
      <c r="AE243" s="5">
        <f t="shared" si="55"/>
        <v>0</v>
      </c>
      <c r="AF243" s="5">
        <f t="shared" si="56"/>
        <v>0</v>
      </c>
      <c r="AG243" s="5">
        <f t="shared" si="57"/>
        <v>0</v>
      </c>
      <c r="AH243" s="5">
        <f>IF(CreditAmort3WORST[[#This Row],[Month]]=AJ$8,AF$7,0)</f>
        <v>0</v>
      </c>
      <c r="AI243" s="13">
        <f t="shared" si="58"/>
        <v>0</v>
      </c>
      <c r="AJ243" s="6" t="str">
        <f t="shared" si="59"/>
        <v xml:space="preserve"> </v>
      </c>
      <c r="AK243" s="21" t="str">
        <f t="shared" si="60"/>
        <v xml:space="preserve"> </v>
      </c>
      <c r="AM243" s="20">
        <f t="shared" si="61"/>
        <v>232</v>
      </c>
      <c r="AN243" s="5">
        <f t="shared" si="62"/>
        <v>0</v>
      </c>
      <c r="AO243" s="5">
        <f t="shared" si="63"/>
        <v>0</v>
      </c>
      <c r="AP243" s="5">
        <f t="shared" si="64"/>
        <v>0</v>
      </c>
      <c r="AQ243" s="5">
        <f>IF(CreditAmort4WORST[[#This Row],[Month]]=AS$8,AO$7,0)</f>
        <v>0</v>
      </c>
      <c r="AR243" s="13">
        <f t="shared" si="65"/>
        <v>0</v>
      </c>
      <c r="AS243" s="6" t="str">
        <f t="shared" si="66"/>
        <v xml:space="preserve"> </v>
      </c>
      <c r="AT243" s="21" t="str">
        <f t="shared" si="67"/>
        <v xml:space="preserve"> </v>
      </c>
    </row>
    <row r="244" spans="3:46">
      <c r="C244" s="22">
        <f t="shared" si="52"/>
        <v>233</v>
      </c>
      <c r="D244" s="23">
        <f>IF(AND(C244&gt;='Amort. Sched.-WORST'!$I$8, C244&lt;= ($I$7+$I$8)), PMT('Amort. Sched.-WORST'!$E$8/12, 'Amort. Sched.-WORST'!$I$7, 'Amort. Sched.-WORST'!$E$7), 0)</f>
        <v>-2026.0175758541329</v>
      </c>
      <c r="E244" s="5">
        <f>IF(AND(C244&gt;='Amort. Sched.-WORST'!$I$8, C244&lt;= ($I$7+$I$8)), (IPMT($E$8/12, (C244-$I$8), $I$7, $E$7)), 0)</f>
        <v>-736.53223773361822</v>
      </c>
      <c r="F244" s="23">
        <f>IF(AND(C244&gt;='Amort. Sched.-WORST'!$I$8, C244&lt;= ($I$7+$I$8)), (PPMT($E$8/12, (C244-$I$8), $I$7, $E$7)), 0)</f>
        <v>-1289.4853381205148</v>
      </c>
      <c r="G244" s="5">
        <f>IF(MortgageAmortWORST[[#This Row],[Month]]=I$8,E$7,0)</f>
        <v>0</v>
      </c>
      <c r="H244" s="13">
        <f>IF(AND(C244&gt;='Amort. Sched.-WORST'!$I$8, C244&lt;= ($I$7+$I$8)), H243+F244, 0)</f>
        <v>109190.35032192228</v>
      </c>
      <c r="I244" s="24">
        <f>IF(AND(C244&gt;='Amort. Sched.-WORST'!$I$8, C244&lt;= ($I$7+$I$8)), E244/D244, " ")</f>
        <v>0.3635369438604743</v>
      </c>
      <c r="J244" s="25">
        <f>IF(AND(C244&gt;='Amort. Sched.-WORST'!$I$8, C244&lt;= ($I$7+$I$8)), F244/D244, " ")</f>
        <v>0.6364630561395257</v>
      </c>
      <c r="L244" s="20">
        <f t="shared" si="51"/>
        <v>233</v>
      </c>
      <c r="M244" s="5">
        <f>IF(AND(L244&gt;='Amort. Sched.-WORST'!$R$8, L244&lt;= ($R$7+$R$8)), PMT('Amort. Sched.-WORST'!$N$8/12, 'Amort. Sched.-WORST'!$R$7, 'Amort. Sched.-WORST'!$N$7), 0)</f>
        <v>0</v>
      </c>
      <c r="N244" s="5">
        <f>IF(AND(L244&gt;='Amort. Sched.-WORST'!$R$8, L244&lt;= ($R$7+$R$8)), (IPMT($N$8/12, (L244-$R$8), $R$7, $N$7)), 0)</f>
        <v>0</v>
      </c>
      <c r="O244" s="5">
        <f>IF(AND(L244&gt;='Amort. Sched.-WORST'!$R$8, L244&lt;= ($R$7+$R$8)), (PPMT($N$8/12, (L244-$R$8), $R$7, $N$7)), 0)</f>
        <v>0</v>
      </c>
      <c r="P244" s="5">
        <f>IF(CreditAmort1WORST[[#This Row],[Month]]=R$8,N$7,0)</f>
        <v>0</v>
      </c>
      <c r="Q244" s="13">
        <f>IF(AND(L244&gt;='Amort. Sched.-WORST'!$R$8, L244&lt;= ($R$7+$R$8)), Q243+O244, 0)</f>
        <v>0</v>
      </c>
      <c r="R244" s="6" t="str">
        <f>IF(AND(L244&gt;='Amort. Sched.-WORST'!$R$8, L244&lt;= ($R$7+$R$8)), N244/M244, " ")</f>
        <v xml:space="preserve"> </v>
      </c>
      <c r="S244" s="21" t="str">
        <f>IF(AND(L244&gt;='Amort. Sched.-WORST'!$R$8, L244&lt;= ($R$7+$R$8)), O244/M244, " ")</f>
        <v xml:space="preserve"> </v>
      </c>
      <c r="U244" s="22">
        <f t="shared" si="53"/>
        <v>233</v>
      </c>
      <c r="V244" s="23">
        <f>IF(AND(U244&gt;='Amort. Sched.-WORST'!$AA$8, U244&lt;= ($AA$7+$AA$8)), PMT('Amort. Sched.-WORST'!$W$8/12, 'Amort. Sched.-WORST'!$AA$7, 'Amort. Sched.-WORST'!$W$7), 0)</f>
        <v>0</v>
      </c>
      <c r="W244" s="5">
        <f>IF(AND(U244&gt;='Amort. Sched.-WORST'!$AA$8, U244&lt;= ($AA$7+$AA$8)), (IPMT($W$8/12, (U244-$AA$8), $AA$7, $W$7)), 0)</f>
        <v>0</v>
      </c>
      <c r="X244" s="23">
        <f>IF(AND(U244&gt;='Amort. Sched.-WORST'!$AA$8, U244&lt;= ($AA$7+$AA$8)), (PPMT($W$8/12, (U244-$AA$8), $AA$7, $W$7)), 0)</f>
        <v>0</v>
      </c>
      <c r="Y244" s="5">
        <f>IF(CreditAmort2WORST[[#This Row],[Month]]=AA$8,W$7,0)</f>
        <v>0</v>
      </c>
      <c r="Z244" s="13">
        <f>IF(AND(U244&gt;='Amort. Sched.-WORST'!$AA$8, U244&lt;= ($AA$7+$AA$8)), Z243+X244, 0)</f>
        <v>0</v>
      </c>
      <c r="AA244" s="24" t="str">
        <f>IF(AND(U244&gt;='Amort. Sched.-WORST'!$AA$8, U244&lt;= ($AA$7+$AA$8)), W244/V244, " ")</f>
        <v xml:space="preserve"> </v>
      </c>
      <c r="AB244" s="25" t="str">
        <f>IF(AND(U244&gt;='Amort. Sched.-WORST'!$AA$8, U244&lt;= ($AA$7+$AA$8)), X244/V244, " ")</f>
        <v xml:space="preserve"> </v>
      </c>
      <c r="AD244" s="20">
        <f t="shared" si="54"/>
        <v>233</v>
      </c>
      <c r="AE244" s="5">
        <f t="shared" si="55"/>
        <v>0</v>
      </c>
      <c r="AF244" s="5">
        <f t="shared" si="56"/>
        <v>0</v>
      </c>
      <c r="AG244" s="5">
        <f t="shared" si="57"/>
        <v>0</v>
      </c>
      <c r="AH244" s="5">
        <f>IF(CreditAmort3WORST[[#This Row],[Month]]=AJ$8,AF$7,0)</f>
        <v>0</v>
      </c>
      <c r="AI244" s="13">
        <f t="shared" si="58"/>
        <v>0</v>
      </c>
      <c r="AJ244" s="6" t="str">
        <f t="shared" si="59"/>
        <v xml:space="preserve"> </v>
      </c>
      <c r="AK244" s="21" t="str">
        <f t="shared" si="60"/>
        <v xml:space="preserve"> </v>
      </c>
      <c r="AM244" s="20">
        <f t="shared" si="61"/>
        <v>233</v>
      </c>
      <c r="AN244" s="5">
        <f t="shared" si="62"/>
        <v>0</v>
      </c>
      <c r="AO244" s="5">
        <f t="shared" si="63"/>
        <v>0</v>
      </c>
      <c r="AP244" s="5">
        <f t="shared" si="64"/>
        <v>0</v>
      </c>
      <c r="AQ244" s="5">
        <f>IF(CreditAmort4WORST[[#This Row],[Month]]=AS$8,AO$7,0)</f>
        <v>0</v>
      </c>
      <c r="AR244" s="13">
        <f t="shared" si="65"/>
        <v>0</v>
      </c>
      <c r="AS244" s="6" t="str">
        <f t="shared" si="66"/>
        <v xml:space="preserve"> </v>
      </c>
      <c r="AT244" s="21" t="str">
        <f t="shared" si="67"/>
        <v xml:space="preserve"> </v>
      </c>
    </row>
    <row r="245" spans="3:46">
      <c r="C245" s="22">
        <f t="shared" si="52"/>
        <v>234</v>
      </c>
      <c r="D245" s="23">
        <f>IF(AND(C245&gt;='Amort. Sched.-WORST'!$I$8, C245&lt;= ($I$7+$I$8)), PMT('Amort. Sched.-WORST'!$E$8/12, 'Amort. Sched.-WORST'!$I$7, 'Amort. Sched.-WORST'!$E$7), 0)</f>
        <v>-2026.0175758541329</v>
      </c>
      <c r="E245" s="5">
        <f>IF(AND(C245&gt;='Amort. Sched.-WORST'!$I$8, C245&lt;= ($I$7+$I$8)), (IPMT($E$8/12, (C245-$I$8), $I$7, $E$7)), 0)</f>
        <v>-727.9356688128147</v>
      </c>
      <c r="F245" s="23">
        <f>IF(AND(C245&gt;='Amort. Sched.-WORST'!$I$8, C245&lt;= ($I$7+$I$8)), (PPMT($E$8/12, (C245-$I$8), $I$7, $E$7)), 0)</f>
        <v>-1298.0819070413181</v>
      </c>
      <c r="G245" s="5">
        <f>IF(MortgageAmortWORST[[#This Row],[Month]]=I$8,E$7,0)</f>
        <v>0</v>
      </c>
      <c r="H245" s="13">
        <f>IF(AND(C245&gt;='Amort. Sched.-WORST'!$I$8, C245&lt;= ($I$7+$I$8)), H244+F245, 0)</f>
        <v>107892.26841488096</v>
      </c>
      <c r="I245" s="24">
        <f>IF(AND(C245&gt;='Amort. Sched.-WORST'!$I$8, C245&lt;= ($I$7+$I$8)), E245/D245, " ")</f>
        <v>0.35929385681954412</v>
      </c>
      <c r="J245" s="25">
        <f>IF(AND(C245&gt;='Amort. Sched.-WORST'!$I$8, C245&lt;= ($I$7+$I$8)), F245/D245, " ")</f>
        <v>0.64070614318045582</v>
      </c>
      <c r="L245" s="20">
        <f t="shared" si="51"/>
        <v>234</v>
      </c>
      <c r="M245" s="5">
        <f>IF(AND(L245&gt;='Amort. Sched.-WORST'!$R$8, L245&lt;= ($R$7+$R$8)), PMT('Amort. Sched.-WORST'!$N$8/12, 'Amort. Sched.-WORST'!$R$7, 'Amort. Sched.-WORST'!$N$7), 0)</f>
        <v>0</v>
      </c>
      <c r="N245" s="5">
        <f>IF(AND(L245&gt;='Amort. Sched.-WORST'!$R$8, L245&lt;= ($R$7+$R$8)), (IPMT($N$8/12, (L245-$R$8), $R$7, $N$7)), 0)</f>
        <v>0</v>
      </c>
      <c r="O245" s="5">
        <f>IF(AND(L245&gt;='Amort. Sched.-WORST'!$R$8, L245&lt;= ($R$7+$R$8)), (PPMT($N$8/12, (L245-$R$8), $R$7, $N$7)), 0)</f>
        <v>0</v>
      </c>
      <c r="P245" s="5">
        <f>IF(CreditAmort1WORST[[#This Row],[Month]]=R$8,N$7,0)</f>
        <v>0</v>
      </c>
      <c r="Q245" s="13">
        <f>IF(AND(L245&gt;='Amort. Sched.-WORST'!$R$8, L245&lt;= ($R$7+$R$8)), Q244+O245, 0)</f>
        <v>0</v>
      </c>
      <c r="R245" s="6" t="str">
        <f>IF(AND(L245&gt;='Amort. Sched.-WORST'!$R$8, L245&lt;= ($R$7+$R$8)), N245/M245, " ")</f>
        <v xml:space="preserve"> </v>
      </c>
      <c r="S245" s="21" t="str">
        <f>IF(AND(L245&gt;='Amort. Sched.-WORST'!$R$8, L245&lt;= ($R$7+$R$8)), O245/M245, " ")</f>
        <v xml:space="preserve"> </v>
      </c>
      <c r="U245" s="22">
        <f t="shared" si="53"/>
        <v>234</v>
      </c>
      <c r="V245" s="23">
        <f>IF(AND(U245&gt;='Amort. Sched.-WORST'!$AA$8, U245&lt;= ($AA$7+$AA$8)), PMT('Amort. Sched.-WORST'!$W$8/12, 'Amort. Sched.-WORST'!$AA$7, 'Amort. Sched.-WORST'!$W$7), 0)</f>
        <v>0</v>
      </c>
      <c r="W245" s="5">
        <f>IF(AND(U245&gt;='Amort. Sched.-WORST'!$AA$8, U245&lt;= ($AA$7+$AA$8)), (IPMT($W$8/12, (U245-$AA$8), $AA$7, $W$7)), 0)</f>
        <v>0</v>
      </c>
      <c r="X245" s="23">
        <f>IF(AND(U245&gt;='Amort. Sched.-WORST'!$AA$8, U245&lt;= ($AA$7+$AA$8)), (PPMT($W$8/12, (U245-$AA$8), $AA$7, $W$7)), 0)</f>
        <v>0</v>
      </c>
      <c r="Y245" s="5">
        <f>IF(CreditAmort2WORST[[#This Row],[Month]]=AA$8,W$7,0)</f>
        <v>0</v>
      </c>
      <c r="Z245" s="13">
        <f>IF(AND(U245&gt;='Amort. Sched.-WORST'!$AA$8, U245&lt;= ($AA$7+$AA$8)), Z244+X245, 0)</f>
        <v>0</v>
      </c>
      <c r="AA245" s="24" t="str">
        <f>IF(AND(U245&gt;='Amort. Sched.-WORST'!$AA$8, U245&lt;= ($AA$7+$AA$8)), W245/V245, " ")</f>
        <v xml:space="preserve"> </v>
      </c>
      <c r="AB245" s="25" t="str">
        <f>IF(AND(U245&gt;='Amort. Sched.-WORST'!$AA$8, U245&lt;= ($AA$7+$AA$8)), X245/V245, " ")</f>
        <v xml:space="preserve"> </v>
      </c>
      <c r="AD245" s="20">
        <f t="shared" si="54"/>
        <v>234</v>
      </c>
      <c r="AE245" s="5">
        <f t="shared" si="55"/>
        <v>0</v>
      </c>
      <c r="AF245" s="5">
        <f t="shared" si="56"/>
        <v>0</v>
      </c>
      <c r="AG245" s="5">
        <f t="shared" si="57"/>
        <v>0</v>
      </c>
      <c r="AH245" s="5">
        <f>IF(CreditAmort3WORST[[#This Row],[Month]]=AJ$8,AF$7,0)</f>
        <v>0</v>
      </c>
      <c r="AI245" s="13">
        <f t="shared" si="58"/>
        <v>0</v>
      </c>
      <c r="AJ245" s="6" t="str">
        <f t="shared" si="59"/>
        <v xml:space="preserve"> </v>
      </c>
      <c r="AK245" s="21" t="str">
        <f t="shared" si="60"/>
        <v xml:space="preserve"> </v>
      </c>
      <c r="AM245" s="20">
        <f t="shared" si="61"/>
        <v>234</v>
      </c>
      <c r="AN245" s="5">
        <f t="shared" si="62"/>
        <v>0</v>
      </c>
      <c r="AO245" s="5">
        <f t="shared" si="63"/>
        <v>0</v>
      </c>
      <c r="AP245" s="5">
        <f t="shared" si="64"/>
        <v>0</v>
      </c>
      <c r="AQ245" s="5">
        <f>IF(CreditAmort4WORST[[#This Row],[Month]]=AS$8,AO$7,0)</f>
        <v>0</v>
      </c>
      <c r="AR245" s="13">
        <f t="shared" si="65"/>
        <v>0</v>
      </c>
      <c r="AS245" s="6" t="str">
        <f t="shared" si="66"/>
        <v xml:space="preserve"> </v>
      </c>
      <c r="AT245" s="21" t="str">
        <f t="shared" si="67"/>
        <v xml:space="preserve"> </v>
      </c>
    </row>
    <row r="246" spans="3:46">
      <c r="C246" s="22">
        <f t="shared" si="52"/>
        <v>235</v>
      </c>
      <c r="D246" s="23">
        <f>IF(AND(C246&gt;='Amort. Sched.-WORST'!$I$8, C246&lt;= ($I$7+$I$8)), PMT('Amort. Sched.-WORST'!$E$8/12, 'Amort. Sched.-WORST'!$I$7, 'Amort. Sched.-WORST'!$E$7), 0)</f>
        <v>-2026.0175758541329</v>
      </c>
      <c r="E246" s="5">
        <f>IF(AND(C246&gt;='Amort. Sched.-WORST'!$I$8, C246&lt;= ($I$7+$I$8)), (IPMT($E$8/12, (C246-$I$8), $I$7, $E$7)), 0)</f>
        <v>-719.28178943253931</v>
      </c>
      <c r="F246" s="23">
        <f>IF(AND(C246&gt;='Amort. Sched.-WORST'!$I$8, C246&lt;= ($I$7+$I$8)), (PPMT($E$8/12, (C246-$I$8), $I$7, $E$7)), 0)</f>
        <v>-1306.7357864215935</v>
      </c>
      <c r="G246" s="5">
        <f>IF(MortgageAmortWORST[[#This Row],[Month]]=I$8,E$7,0)</f>
        <v>0</v>
      </c>
      <c r="H246" s="13">
        <f>IF(AND(C246&gt;='Amort. Sched.-WORST'!$I$8, C246&lt;= ($I$7+$I$8)), H245+F246, 0)</f>
        <v>106585.53262845938</v>
      </c>
      <c r="I246" s="24">
        <f>IF(AND(C246&gt;='Amort. Sched.-WORST'!$I$8, C246&lt;= ($I$7+$I$8)), E246/D246, " ")</f>
        <v>0.35502248253167445</v>
      </c>
      <c r="J246" s="25">
        <f>IF(AND(C246&gt;='Amort. Sched.-WORST'!$I$8, C246&lt;= ($I$7+$I$8)), F246/D246, " ")</f>
        <v>0.64497751746832555</v>
      </c>
      <c r="L246" s="20">
        <f t="shared" si="51"/>
        <v>235</v>
      </c>
      <c r="M246" s="5">
        <f>IF(AND(L246&gt;='Amort. Sched.-WORST'!$R$8, L246&lt;= ($R$7+$R$8)), PMT('Amort. Sched.-WORST'!$N$8/12, 'Amort. Sched.-WORST'!$R$7, 'Amort. Sched.-WORST'!$N$7), 0)</f>
        <v>0</v>
      </c>
      <c r="N246" s="5">
        <f>IF(AND(L246&gt;='Amort. Sched.-WORST'!$R$8, L246&lt;= ($R$7+$R$8)), (IPMT($N$8/12, (L246-$R$8), $R$7, $N$7)), 0)</f>
        <v>0</v>
      </c>
      <c r="O246" s="5">
        <f>IF(AND(L246&gt;='Amort. Sched.-WORST'!$R$8, L246&lt;= ($R$7+$R$8)), (PPMT($N$8/12, (L246-$R$8), $R$7, $N$7)), 0)</f>
        <v>0</v>
      </c>
      <c r="P246" s="5">
        <f>IF(CreditAmort1WORST[[#This Row],[Month]]=R$8,N$7,0)</f>
        <v>0</v>
      </c>
      <c r="Q246" s="13">
        <f>IF(AND(L246&gt;='Amort. Sched.-WORST'!$R$8, L246&lt;= ($R$7+$R$8)), Q245+O246, 0)</f>
        <v>0</v>
      </c>
      <c r="R246" s="6" t="str">
        <f>IF(AND(L246&gt;='Amort. Sched.-WORST'!$R$8, L246&lt;= ($R$7+$R$8)), N246/M246, " ")</f>
        <v xml:space="preserve"> </v>
      </c>
      <c r="S246" s="21" t="str">
        <f>IF(AND(L246&gt;='Amort. Sched.-WORST'!$R$8, L246&lt;= ($R$7+$R$8)), O246/M246, " ")</f>
        <v xml:space="preserve"> </v>
      </c>
      <c r="U246" s="22">
        <f t="shared" si="53"/>
        <v>235</v>
      </c>
      <c r="V246" s="23">
        <f>IF(AND(U246&gt;='Amort. Sched.-WORST'!$AA$8, U246&lt;= ($AA$7+$AA$8)), PMT('Amort. Sched.-WORST'!$W$8/12, 'Amort. Sched.-WORST'!$AA$7, 'Amort. Sched.-WORST'!$W$7), 0)</f>
        <v>0</v>
      </c>
      <c r="W246" s="5">
        <f>IF(AND(U246&gt;='Amort. Sched.-WORST'!$AA$8, U246&lt;= ($AA$7+$AA$8)), (IPMT($W$8/12, (U246-$AA$8), $AA$7, $W$7)), 0)</f>
        <v>0</v>
      </c>
      <c r="X246" s="23">
        <f>IF(AND(U246&gt;='Amort. Sched.-WORST'!$AA$8, U246&lt;= ($AA$7+$AA$8)), (PPMT($W$8/12, (U246-$AA$8), $AA$7, $W$7)), 0)</f>
        <v>0</v>
      </c>
      <c r="Y246" s="5">
        <f>IF(CreditAmort2WORST[[#This Row],[Month]]=AA$8,W$7,0)</f>
        <v>0</v>
      </c>
      <c r="Z246" s="13">
        <f>IF(AND(U246&gt;='Amort. Sched.-WORST'!$AA$8, U246&lt;= ($AA$7+$AA$8)), Z245+X246, 0)</f>
        <v>0</v>
      </c>
      <c r="AA246" s="24" t="str">
        <f>IF(AND(U246&gt;='Amort. Sched.-WORST'!$AA$8, U246&lt;= ($AA$7+$AA$8)), W246/V246, " ")</f>
        <v xml:space="preserve"> </v>
      </c>
      <c r="AB246" s="25" t="str">
        <f>IF(AND(U246&gt;='Amort. Sched.-WORST'!$AA$8, U246&lt;= ($AA$7+$AA$8)), X246/V246, " ")</f>
        <v xml:space="preserve"> </v>
      </c>
      <c r="AD246" s="20">
        <f t="shared" si="54"/>
        <v>235</v>
      </c>
      <c r="AE246" s="5">
        <f t="shared" si="55"/>
        <v>0</v>
      </c>
      <c r="AF246" s="5">
        <f t="shared" si="56"/>
        <v>0</v>
      </c>
      <c r="AG246" s="5">
        <f t="shared" si="57"/>
        <v>0</v>
      </c>
      <c r="AH246" s="5">
        <f>IF(CreditAmort3WORST[[#This Row],[Month]]=AJ$8,AF$7,0)</f>
        <v>0</v>
      </c>
      <c r="AI246" s="13">
        <f t="shared" si="58"/>
        <v>0</v>
      </c>
      <c r="AJ246" s="6" t="str">
        <f t="shared" si="59"/>
        <v xml:space="preserve"> </v>
      </c>
      <c r="AK246" s="21" t="str">
        <f t="shared" si="60"/>
        <v xml:space="preserve"> </v>
      </c>
      <c r="AM246" s="20">
        <f t="shared" si="61"/>
        <v>235</v>
      </c>
      <c r="AN246" s="5">
        <f t="shared" si="62"/>
        <v>0</v>
      </c>
      <c r="AO246" s="5">
        <f t="shared" si="63"/>
        <v>0</v>
      </c>
      <c r="AP246" s="5">
        <f t="shared" si="64"/>
        <v>0</v>
      </c>
      <c r="AQ246" s="5">
        <f>IF(CreditAmort4WORST[[#This Row],[Month]]=AS$8,AO$7,0)</f>
        <v>0</v>
      </c>
      <c r="AR246" s="13">
        <f t="shared" si="65"/>
        <v>0</v>
      </c>
      <c r="AS246" s="6" t="str">
        <f t="shared" si="66"/>
        <v xml:space="preserve"> </v>
      </c>
      <c r="AT246" s="21" t="str">
        <f t="shared" si="67"/>
        <v xml:space="preserve"> </v>
      </c>
    </row>
    <row r="247" spans="3:46">
      <c r="C247" s="22">
        <f t="shared" si="52"/>
        <v>236</v>
      </c>
      <c r="D247" s="23">
        <f>IF(AND(C247&gt;='Amort. Sched.-WORST'!$I$8, C247&lt;= ($I$7+$I$8)), PMT('Amort. Sched.-WORST'!$E$8/12, 'Amort. Sched.-WORST'!$I$7, 'Amort. Sched.-WORST'!$E$7), 0)</f>
        <v>-2026.0175758541329</v>
      </c>
      <c r="E247" s="5">
        <f>IF(AND(C247&gt;='Amort. Sched.-WORST'!$I$8, C247&lt;= ($I$7+$I$8)), (IPMT($E$8/12, (C247-$I$8), $I$7, $E$7)), 0)</f>
        <v>-710.57021752306207</v>
      </c>
      <c r="F247" s="23">
        <f>IF(AND(C247&gt;='Amort. Sched.-WORST'!$I$8, C247&lt;= ($I$7+$I$8)), (PPMT($E$8/12, (C247-$I$8), $I$7, $E$7)), 0)</f>
        <v>-1315.447358331071</v>
      </c>
      <c r="G247" s="5">
        <f>IF(MortgageAmortWORST[[#This Row],[Month]]=I$8,E$7,0)</f>
        <v>0</v>
      </c>
      <c r="H247" s="13">
        <f>IF(AND(C247&gt;='Amort. Sched.-WORST'!$I$8, C247&lt;= ($I$7+$I$8)), H246+F247, 0)</f>
        <v>105270.0852701283</v>
      </c>
      <c r="I247" s="24">
        <f>IF(AND(C247&gt;='Amort. Sched.-WORST'!$I$8, C247&lt;= ($I$7+$I$8)), E247/D247, " ")</f>
        <v>0.35072263241521895</v>
      </c>
      <c r="J247" s="25">
        <f>IF(AND(C247&gt;='Amort. Sched.-WORST'!$I$8, C247&lt;= ($I$7+$I$8)), F247/D247, " ")</f>
        <v>0.64927736758478105</v>
      </c>
      <c r="L247" s="20">
        <f t="shared" si="51"/>
        <v>236</v>
      </c>
      <c r="M247" s="5">
        <f>IF(AND(L247&gt;='Amort. Sched.-WORST'!$R$8, L247&lt;= ($R$7+$R$8)), PMT('Amort. Sched.-WORST'!$N$8/12, 'Amort. Sched.-WORST'!$R$7, 'Amort. Sched.-WORST'!$N$7), 0)</f>
        <v>0</v>
      </c>
      <c r="N247" s="5">
        <f>IF(AND(L247&gt;='Amort. Sched.-WORST'!$R$8, L247&lt;= ($R$7+$R$8)), (IPMT($N$8/12, (L247-$R$8), $R$7, $N$7)), 0)</f>
        <v>0</v>
      </c>
      <c r="O247" s="5">
        <f>IF(AND(L247&gt;='Amort. Sched.-WORST'!$R$8, L247&lt;= ($R$7+$R$8)), (PPMT($N$8/12, (L247-$R$8), $R$7, $N$7)), 0)</f>
        <v>0</v>
      </c>
      <c r="P247" s="5">
        <f>IF(CreditAmort1WORST[[#This Row],[Month]]=R$8,N$7,0)</f>
        <v>0</v>
      </c>
      <c r="Q247" s="13">
        <f>IF(AND(L247&gt;='Amort. Sched.-WORST'!$R$8, L247&lt;= ($R$7+$R$8)), Q246+O247, 0)</f>
        <v>0</v>
      </c>
      <c r="R247" s="6" t="str">
        <f>IF(AND(L247&gt;='Amort. Sched.-WORST'!$R$8, L247&lt;= ($R$7+$R$8)), N247/M247, " ")</f>
        <v xml:space="preserve"> </v>
      </c>
      <c r="S247" s="21" t="str">
        <f>IF(AND(L247&gt;='Amort. Sched.-WORST'!$R$8, L247&lt;= ($R$7+$R$8)), O247/M247, " ")</f>
        <v xml:space="preserve"> </v>
      </c>
      <c r="U247" s="22">
        <f t="shared" si="53"/>
        <v>236</v>
      </c>
      <c r="V247" s="23">
        <f>IF(AND(U247&gt;='Amort. Sched.-WORST'!$AA$8, U247&lt;= ($AA$7+$AA$8)), PMT('Amort. Sched.-WORST'!$W$8/12, 'Amort. Sched.-WORST'!$AA$7, 'Amort. Sched.-WORST'!$W$7), 0)</f>
        <v>0</v>
      </c>
      <c r="W247" s="5">
        <f>IF(AND(U247&gt;='Amort. Sched.-WORST'!$AA$8, U247&lt;= ($AA$7+$AA$8)), (IPMT($W$8/12, (U247-$AA$8), $AA$7, $W$7)), 0)</f>
        <v>0</v>
      </c>
      <c r="X247" s="23">
        <f>IF(AND(U247&gt;='Amort. Sched.-WORST'!$AA$8, U247&lt;= ($AA$7+$AA$8)), (PPMT($W$8/12, (U247-$AA$8), $AA$7, $W$7)), 0)</f>
        <v>0</v>
      </c>
      <c r="Y247" s="5">
        <f>IF(CreditAmort2WORST[[#This Row],[Month]]=AA$8,W$7,0)</f>
        <v>0</v>
      </c>
      <c r="Z247" s="13">
        <f>IF(AND(U247&gt;='Amort. Sched.-WORST'!$AA$8, U247&lt;= ($AA$7+$AA$8)), Z246+X247, 0)</f>
        <v>0</v>
      </c>
      <c r="AA247" s="24" t="str">
        <f>IF(AND(U247&gt;='Amort. Sched.-WORST'!$AA$8, U247&lt;= ($AA$7+$AA$8)), W247/V247, " ")</f>
        <v xml:space="preserve"> </v>
      </c>
      <c r="AB247" s="25" t="str">
        <f>IF(AND(U247&gt;='Amort. Sched.-WORST'!$AA$8, U247&lt;= ($AA$7+$AA$8)), X247/V247, " ")</f>
        <v xml:space="preserve"> </v>
      </c>
      <c r="AD247" s="20">
        <f t="shared" si="54"/>
        <v>236</v>
      </c>
      <c r="AE247" s="5">
        <f t="shared" si="55"/>
        <v>0</v>
      </c>
      <c r="AF247" s="5">
        <f t="shared" si="56"/>
        <v>0</v>
      </c>
      <c r="AG247" s="5">
        <f t="shared" si="57"/>
        <v>0</v>
      </c>
      <c r="AH247" s="5">
        <f>IF(CreditAmort3WORST[[#This Row],[Month]]=AJ$8,AF$7,0)</f>
        <v>0</v>
      </c>
      <c r="AI247" s="13">
        <f t="shared" si="58"/>
        <v>0</v>
      </c>
      <c r="AJ247" s="6" t="str">
        <f t="shared" si="59"/>
        <v xml:space="preserve"> </v>
      </c>
      <c r="AK247" s="21" t="str">
        <f t="shared" si="60"/>
        <v xml:space="preserve"> </v>
      </c>
      <c r="AM247" s="20">
        <f t="shared" si="61"/>
        <v>236</v>
      </c>
      <c r="AN247" s="5">
        <f t="shared" si="62"/>
        <v>0</v>
      </c>
      <c r="AO247" s="5">
        <f t="shared" si="63"/>
        <v>0</v>
      </c>
      <c r="AP247" s="5">
        <f t="shared" si="64"/>
        <v>0</v>
      </c>
      <c r="AQ247" s="5">
        <f>IF(CreditAmort4WORST[[#This Row],[Month]]=AS$8,AO$7,0)</f>
        <v>0</v>
      </c>
      <c r="AR247" s="13">
        <f t="shared" si="65"/>
        <v>0</v>
      </c>
      <c r="AS247" s="6" t="str">
        <f t="shared" si="66"/>
        <v xml:space="preserve"> </v>
      </c>
      <c r="AT247" s="21" t="str">
        <f t="shared" si="67"/>
        <v xml:space="preserve"> </v>
      </c>
    </row>
    <row r="248" spans="3:46">
      <c r="C248" s="22">
        <f t="shared" si="52"/>
        <v>237</v>
      </c>
      <c r="D248" s="23">
        <f>IF(AND(C248&gt;='Amort. Sched.-WORST'!$I$8, C248&lt;= ($I$7+$I$8)), PMT('Amort. Sched.-WORST'!$E$8/12, 'Amort. Sched.-WORST'!$I$7, 'Amort. Sched.-WORST'!$E$7), 0)</f>
        <v>-2026.0175758541329</v>
      </c>
      <c r="E248" s="5">
        <f>IF(AND(C248&gt;='Amort. Sched.-WORST'!$I$8, C248&lt;= ($I$7+$I$8)), (IPMT($E$8/12, (C248-$I$8), $I$7, $E$7)), 0)</f>
        <v>-701.80056846752154</v>
      </c>
      <c r="F248" s="23">
        <f>IF(AND(C248&gt;='Amort. Sched.-WORST'!$I$8, C248&lt;= ($I$7+$I$8)), (PPMT($E$8/12, (C248-$I$8), $I$7, $E$7)), 0)</f>
        <v>-1324.2170073866116</v>
      </c>
      <c r="G248" s="5">
        <f>IF(MortgageAmortWORST[[#This Row],[Month]]=I$8,E$7,0)</f>
        <v>0</v>
      </c>
      <c r="H248" s="13">
        <f>IF(AND(C248&gt;='Amort. Sched.-WORST'!$I$8, C248&lt;= ($I$7+$I$8)), H247+F248, 0)</f>
        <v>103945.86826274169</v>
      </c>
      <c r="I248" s="24">
        <f>IF(AND(C248&gt;='Amort. Sched.-WORST'!$I$8, C248&lt;= ($I$7+$I$8)), E248/D248, " ")</f>
        <v>0.34639411663132041</v>
      </c>
      <c r="J248" s="25">
        <f>IF(AND(C248&gt;='Amort. Sched.-WORST'!$I$8, C248&lt;= ($I$7+$I$8)), F248/D248, " ")</f>
        <v>0.65360588336867975</v>
      </c>
      <c r="L248" s="20">
        <f t="shared" si="51"/>
        <v>237</v>
      </c>
      <c r="M248" s="5">
        <f>IF(AND(L248&gt;='Amort. Sched.-WORST'!$R$8, L248&lt;= ($R$7+$R$8)), PMT('Amort. Sched.-WORST'!$N$8/12, 'Amort. Sched.-WORST'!$R$7, 'Amort. Sched.-WORST'!$N$7), 0)</f>
        <v>0</v>
      </c>
      <c r="N248" s="5">
        <f>IF(AND(L248&gt;='Amort. Sched.-WORST'!$R$8, L248&lt;= ($R$7+$R$8)), (IPMT($N$8/12, (L248-$R$8), $R$7, $N$7)), 0)</f>
        <v>0</v>
      </c>
      <c r="O248" s="5">
        <f>IF(AND(L248&gt;='Amort. Sched.-WORST'!$R$8, L248&lt;= ($R$7+$R$8)), (PPMT($N$8/12, (L248-$R$8), $R$7, $N$7)), 0)</f>
        <v>0</v>
      </c>
      <c r="P248" s="5">
        <f>IF(CreditAmort1WORST[[#This Row],[Month]]=R$8,N$7,0)</f>
        <v>0</v>
      </c>
      <c r="Q248" s="13">
        <f>IF(AND(L248&gt;='Amort. Sched.-WORST'!$R$8, L248&lt;= ($R$7+$R$8)), Q247+O248, 0)</f>
        <v>0</v>
      </c>
      <c r="R248" s="6" t="str">
        <f>IF(AND(L248&gt;='Amort. Sched.-WORST'!$R$8, L248&lt;= ($R$7+$R$8)), N248/M248, " ")</f>
        <v xml:space="preserve"> </v>
      </c>
      <c r="S248" s="21" t="str">
        <f>IF(AND(L248&gt;='Amort. Sched.-WORST'!$R$8, L248&lt;= ($R$7+$R$8)), O248/M248, " ")</f>
        <v xml:space="preserve"> </v>
      </c>
      <c r="U248" s="22">
        <f t="shared" si="53"/>
        <v>237</v>
      </c>
      <c r="V248" s="23">
        <f>IF(AND(U248&gt;='Amort. Sched.-WORST'!$AA$8, U248&lt;= ($AA$7+$AA$8)), PMT('Amort. Sched.-WORST'!$W$8/12, 'Amort. Sched.-WORST'!$AA$7, 'Amort. Sched.-WORST'!$W$7), 0)</f>
        <v>0</v>
      </c>
      <c r="W248" s="5">
        <f>IF(AND(U248&gt;='Amort. Sched.-WORST'!$AA$8, U248&lt;= ($AA$7+$AA$8)), (IPMT($W$8/12, (U248-$AA$8), $AA$7, $W$7)), 0)</f>
        <v>0</v>
      </c>
      <c r="X248" s="23">
        <f>IF(AND(U248&gt;='Amort. Sched.-WORST'!$AA$8, U248&lt;= ($AA$7+$AA$8)), (PPMT($W$8/12, (U248-$AA$8), $AA$7, $W$7)), 0)</f>
        <v>0</v>
      </c>
      <c r="Y248" s="5">
        <f>IF(CreditAmort2WORST[[#This Row],[Month]]=AA$8,W$7,0)</f>
        <v>0</v>
      </c>
      <c r="Z248" s="13">
        <f>IF(AND(U248&gt;='Amort. Sched.-WORST'!$AA$8, U248&lt;= ($AA$7+$AA$8)), Z247+X248, 0)</f>
        <v>0</v>
      </c>
      <c r="AA248" s="24" t="str">
        <f>IF(AND(U248&gt;='Amort. Sched.-WORST'!$AA$8, U248&lt;= ($AA$7+$AA$8)), W248/V248, " ")</f>
        <v xml:space="preserve"> </v>
      </c>
      <c r="AB248" s="25" t="str">
        <f>IF(AND(U248&gt;='Amort. Sched.-WORST'!$AA$8, U248&lt;= ($AA$7+$AA$8)), X248/V248, " ")</f>
        <v xml:space="preserve"> </v>
      </c>
      <c r="AD248" s="20">
        <f t="shared" si="54"/>
        <v>237</v>
      </c>
      <c r="AE248" s="5">
        <f t="shared" si="55"/>
        <v>0</v>
      </c>
      <c r="AF248" s="5">
        <f t="shared" si="56"/>
        <v>0</v>
      </c>
      <c r="AG248" s="5">
        <f t="shared" si="57"/>
        <v>0</v>
      </c>
      <c r="AH248" s="5">
        <f>IF(CreditAmort3WORST[[#This Row],[Month]]=AJ$8,AF$7,0)</f>
        <v>0</v>
      </c>
      <c r="AI248" s="13">
        <f t="shared" si="58"/>
        <v>0</v>
      </c>
      <c r="AJ248" s="6" t="str">
        <f t="shared" si="59"/>
        <v xml:space="preserve"> </v>
      </c>
      <c r="AK248" s="21" t="str">
        <f t="shared" si="60"/>
        <v xml:space="preserve"> </v>
      </c>
      <c r="AM248" s="20">
        <f t="shared" si="61"/>
        <v>237</v>
      </c>
      <c r="AN248" s="5">
        <f t="shared" si="62"/>
        <v>0</v>
      </c>
      <c r="AO248" s="5">
        <f t="shared" si="63"/>
        <v>0</v>
      </c>
      <c r="AP248" s="5">
        <f t="shared" si="64"/>
        <v>0</v>
      </c>
      <c r="AQ248" s="5">
        <f>IF(CreditAmort4WORST[[#This Row],[Month]]=AS$8,AO$7,0)</f>
        <v>0</v>
      </c>
      <c r="AR248" s="13">
        <f t="shared" si="65"/>
        <v>0</v>
      </c>
      <c r="AS248" s="6" t="str">
        <f t="shared" si="66"/>
        <v xml:space="preserve"> </v>
      </c>
      <c r="AT248" s="21" t="str">
        <f t="shared" si="67"/>
        <v xml:space="preserve"> </v>
      </c>
    </row>
    <row r="249" spans="3:46">
      <c r="C249" s="22">
        <f t="shared" si="52"/>
        <v>238</v>
      </c>
      <c r="D249" s="23">
        <f>IF(AND(C249&gt;='Amort. Sched.-WORST'!$I$8, C249&lt;= ($I$7+$I$8)), PMT('Amort. Sched.-WORST'!$E$8/12, 'Amort. Sched.-WORST'!$I$7, 'Amort. Sched.-WORST'!$E$7), 0)</f>
        <v>-2026.0175758541329</v>
      </c>
      <c r="E249" s="5">
        <f>IF(AND(C249&gt;='Amort. Sched.-WORST'!$I$8, C249&lt;= ($I$7+$I$8)), (IPMT($E$8/12, (C249-$I$8), $I$7, $E$7)), 0)</f>
        <v>-692.97245508494416</v>
      </c>
      <c r="F249" s="23">
        <f>IF(AND(C249&gt;='Amort. Sched.-WORST'!$I$8, C249&lt;= ($I$7+$I$8)), (PPMT($E$8/12, (C249-$I$8), $I$7, $E$7)), 0)</f>
        <v>-1333.0451207691888</v>
      </c>
      <c r="G249" s="5">
        <f>IF(MortgageAmortWORST[[#This Row],[Month]]=I$8,E$7,0)</f>
        <v>0</v>
      </c>
      <c r="H249" s="13">
        <f>IF(AND(C249&gt;='Amort. Sched.-WORST'!$I$8, C249&lt;= ($I$7+$I$8)), H248+F249, 0)</f>
        <v>102612.82314197249</v>
      </c>
      <c r="I249" s="24">
        <f>IF(AND(C249&gt;='Amort. Sched.-WORST'!$I$8, C249&lt;= ($I$7+$I$8)), E249/D249, " ")</f>
        <v>0.3420367440755292</v>
      </c>
      <c r="J249" s="25">
        <f>IF(AND(C249&gt;='Amort. Sched.-WORST'!$I$8, C249&lt;= ($I$7+$I$8)), F249/D249, " ")</f>
        <v>0.6579632559244708</v>
      </c>
      <c r="L249" s="20">
        <f t="shared" si="51"/>
        <v>238</v>
      </c>
      <c r="M249" s="5">
        <f>IF(AND(L249&gt;='Amort. Sched.-WORST'!$R$8, L249&lt;= ($R$7+$R$8)), PMT('Amort. Sched.-WORST'!$N$8/12, 'Amort. Sched.-WORST'!$R$7, 'Amort. Sched.-WORST'!$N$7), 0)</f>
        <v>0</v>
      </c>
      <c r="N249" s="5">
        <f>IF(AND(L249&gt;='Amort. Sched.-WORST'!$R$8, L249&lt;= ($R$7+$R$8)), (IPMT($N$8/12, (L249-$R$8), $R$7, $N$7)), 0)</f>
        <v>0</v>
      </c>
      <c r="O249" s="5">
        <f>IF(AND(L249&gt;='Amort. Sched.-WORST'!$R$8, L249&lt;= ($R$7+$R$8)), (PPMT($N$8/12, (L249-$R$8), $R$7, $N$7)), 0)</f>
        <v>0</v>
      </c>
      <c r="P249" s="5">
        <f>IF(CreditAmort1WORST[[#This Row],[Month]]=R$8,N$7,0)</f>
        <v>0</v>
      </c>
      <c r="Q249" s="13">
        <f>IF(AND(L249&gt;='Amort. Sched.-WORST'!$R$8, L249&lt;= ($R$7+$R$8)), Q248+O249, 0)</f>
        <v>0</v>
      </c>
      <c r="R249" s="6" t="str">
        <f>IF(AND(L249&gt;='Amort. Sched.-WORST'!$R$8, L249&lt;= ($R$7+$R$8)), N249/M249, " ")</f>
        <v xml:space="preserve"> </v>
      </c>
      <c r="S249" s="21" t="str">
        <f>IF(AND(L249&gt;='Amort. Sched.-WORST'!$R$8, L249&lt;= ($R$7+$R$8)), O249/M249, " ")</f>
        <v xml:space="preserve"> </v>
      </c>
      <c r="U249" s="22">
        <f t="shared" si="53"/>
        <v>238</v>
      </c>
      <c r="V249" s="23">
        <f>IF(AND(U249&gt;='Amort. Sched.-WORST'!$AA$8, U249&lt;= ($AA$7+$AA$8)), PMT('Amort. Sched.-WORST'!$W$8/12, 'Amort. Sched.-WORST'!$AA$7, 'Amort. Sched.-WORST'!$W$7), 0)</f>
        <v>0</v>
      </c>
      <c r="W249" s="5">
        <f>IF(AND(U249&gt;='Amort. Sched.-WORST'!$AA$8, U249&lt;= ($AA$7+$AA$8)), (IPMT($W$8/12, (U249-$AA$8), $AA$7, $W$7)), 0)</f>
        <v>0</v>
      </c>
      <c r="X249" s="23">
        <f>IF(AND(U249&gt;='Amort. Sched.-WORST'!$AA$8, U249&lt;= ($AA$7+$AA$8)), (PPMT($W$8/12, (U249-$AA$8), $AA$7, $W$7)), 0)</f>
        <v>0</v>
      </c>
      <c r="Y249" s="5">
        <f>IF(CreditAmort2WORST[[#This Row],[Month]]=AA$8,W$7,0)</f>
        <v>0</v>
      </c>
      <c r="Z249" s="13">
        <f>IF(AND(U249&gt;='Amort. Sched.-WORST'!$AA$8, U249&lt;= ($AA$7+$AA$8)), Z248+X249, 0)</f>
        <v>0</v>
      </c>
      <c r="AA249" s="24" t="str">
        <f>IF(AND(U249&gt;='Amort. Sched.-WORST'!$AA$8, U249&lt;= ($AA$7+$AA$8)), W249/V249, " ")</f>
        <v xml:space="preserve"> </v>
      </c>
      <c r="AB249" s="25" t="str">
        <f>IF(AND(U249&gt;='Amort. Sched.-WORST'!$AA$8, U249&lt;= ($AA$7+$AA$8)), X249/V249, " ")</f>
        <v xml:space="preserve"> </v>
      </c>
      <c r="AD249" s="20">
        <f t="shared" si="54"/>
        <v>238</v>
      </c>
      <c r="AE249" s="5">
        <f t="shared" si="55"/>
        <v>0</v>
      </c>
      <c r="AF249" s="5">
        <f t="shared" si="56"/>
        <v>0</v>
      </c>
      <c r="AG249" s="5">
        <f t="shared" si="57"/>
        <v>0</v>
      </c>
      <c r="AH249" s="5">
        <f>IF(CreditAmort3WORST[[#This Row],[Month]]=AJ$8,AF$7,0)</f>
        <v>0</v>
      </c>
      <c r="AI249" s="13">
        <f t="shared" si="58"/>
        <v>0</v>
      </c>
      <c r="AJ249" s="6" t="str">
        <f t="shared" si="59"/>
        <v xml:space="preserve"> </v>
      </c>
      <c r="AK249" s="21" t="str">
        <f t="shared" si="60"/>
        <v xml:space="preserve"> </v>
      </c>
      <c r="AM249" s="20">
        <f t="shared" si="61"/>
        <v>238</v>
      </c>
      <c r="AN249" s="5">
        <f t="shared" si="62"/>
        <v>0</v>
      </c>
      <c r="AO249" s="5">
        <f t="shared" si="63"/>
        <v>0</v>
      </c>
      <c r="AP249" s="5">
        <f t="shared" si="64"/>
        <v>0</v>
      </c>
      <c r="AQ249" s="5">
        <f>IF(CreditAmort4WORST[[#This Row],[Month]]=AS$8,AO$7,0)</f>
        <v>0</v>
      </c>
      <c r="AR249" s="13">
        <f t="shared" si="65"/>
        <v>0</v>
      </c>
      <c r="AS249" s="6" t="str">
        <f t="shared" si="66"/>
        <v xml:space="preserve"> </v>
      </c>
      <c r="AT249" s="21" t="str">
        <f t="shared" si="67"/>
        <v xml:space="preserve"> </v>
      </c>
    </row>
    <row r="250" spans="3:46">
      <c r="C250" s="22">
        <f t="shared" si="52"/>
        <v>239</v>
      </c>
      <c r="D250" s="23">
        <f>IF(AND(C250&gt;='Amort. Sched.-WORST'!$I$8, C250&lt;= ($I$7+$I$8)), PMT('Amort. Sched.-WORST'!$E$8/12, 'Amort. Sched.-WORST'!$I$7, 'Amort. Sched.-WORST'!$E$7), 0)</f>
        <v>-2026.0175758541329</v>
      </c>
      <c r="E250" s="5">
        <f>IF(AND(C250&gt;='Amort. Sched.-WORST'!$I$8, C250&lt;= ($I$7+$I$8)), (IPMT($E$8/12, (C250-$I$8), $I$7, $E$7)), 0)</f>
        <v>-684.08548761314955</v>
      </c>
      <c r="F250" s="23">
        <f>IF(AND(C250&gt;='Amort. Sched.-WORST'!$I$8, C250&lt;= ($I$7+$I$8)), (PPMT($E$8/12, (C250-$I$8), $I$7, $E$7)), 0)</f>
        <v>-1341.9320882409834</v>
      </c>
      <c r="G250" s="5">
        <f>IF(MortgageAmortWORST[[#This Row],[Month]]=I$8,E$7,0)</f>
        <v>0</v>
      </c>
      <c r="H250" s="13">
        <f>IF(AND(C250&gt;='Amort. Sched.-WORST'!$I$8, C250&lt;= ($I$7+$I$8)), H249+F250, 0)</f>
        <v>101270.89105373151</v>
      </c>
      <c r="I250" s="24">
        <f>IF(AND(C250&gt;='Amort. Sched.-WORST'!$I$8, C250&lt;= ($I$7+$I$8)), E250/D250, " ")</f>
        <v>0.33765032236936604</v>
      </c>
      <c r="J250" s="25">
        <f>IF(AND(C250&gt;='Amort. Sched.-WORST'!$I$8, C250&lt;= ($I$7+$I$8)), F250/D250, " ")</f>
        <v>0.6623496776306339</v>
      </c>
      <c r="L250" s="20">
        <f t="shared" si="51"/>
        <v>239</v>
      </c>
      <c r="M250" s="5">
        <f>IF(AND(L250&gt;='Amort. Sched.-WORST'!$R$8, L250&lt;= ($R$7+$R$8)), PMT('Amort. Sched.-WORST'!$N$8/12, 'Amort. Sched.-WORST'!$R$7, 'Amort. Sched.-WORST'!$N$7), 0)</f>
        <v>0</v>
      </c>
      <c r="N250" s="5">
        <f>IF(AND(L250&gt;='Amort. Sched.-WORST'!$R$8, L250&lt;= ($R$7+$R$8)), (IPMT($N$8/12, (L250-$R$8), $R$7, $N$7)), 0)</f>
        <v>0</v>
      </c>
      <c r="O250" s="5">
        <f>IF(AND(L250&gt;='Amort. Sched.-WORST'!$R$8, L250&lt;= ($R$7+$R$8)), (PPMT($N$8/12, (L250-$R$8), $R$7, $N$7)), 0)</f>
        <v>0</v>
      </c>
      <c r="P250" s="5">
        <f>IF(CreditAmort1WORST[[#This Row],[Month]]=R$8,N$7,0)</f>
        <v>0</v>
      </c>
      <c r="Q250" s="13">
        <f>IF(AND(L250&gt;='Amort. Sched.-WORST'!$R$8, L250&lt;= ($R$7+$R$8)), Q249+O250, 0)</f>
        <v>0</v>
      </c>
      <c r="R250" s="6" t="str">
        <f>IF(AND(L250&gt;='Amort. Sched.-WORST'!$R$8, L250&lt;= ($R$7+$R$8)), N250/M250, " ")</f>
        <v xml:space="preserve"> </v>
      </c>
      <c r="S250" s="21" t="str">
        <f>IF(AND(L250&gt;='Amort. Sched.-WORST'!$R$8, L250&lt;= ($R$7+$R$8)), O250/M250, " ")</f>
        <v xml:space="preserve"> </v>
      </c>
      <c r="U250" s="22">
        <f t="shared" si="53"/>
        <v>239</v>
      </c>
      <c r="V250" s="23">
        <f>IF(AND(U250&gt;='Amort. Sched.-WORST'!$AA$8, U250&lt;= ($AA$7+$AA$8)), PMT('Amort. Sched.-WORST'!$W$8/12, 'Amort. Sched.-WORST'!$AA$7, 'Amort. Sched.-WORST'!$W$7), 0)</f>
        <v>0</v>
      </c>
      <c r="W250" s="5">
        <f>IF(AND(U250&gt;='Amort. Sched.-WORST'!$AA$8, U250&lt;= ($AA$7+$AA$8)), (IPMT($W$8/12, (U250-$AA$8), $AA$7, $W$7)), 0)</f>
        <v>0</v>
      </c>
      <c r="X250" s="23">
        <f>IF(AND(U250&gt;='Amort. Sched.-WORST'!$AA$8, U250&lt;= ($AA$7+$AA$8)), (PPMT($W$8/12, (U250-$AA$8), $AA$7, $W$7)), 0)</f>
        <v>0</v>
      </c>
      <c r="Y250" s="5">
        <f>IF(CreditAmort2WORST[[#This Row],[Month]]=AA$8,W$7,0)</f>
        <v>0</v>
      </c>
      <c r="Z250" s="13">
        <f>IF(AND(U250&gt;='Amort. Sched.-WORST'!$AA$8, U250&lt;= ($AA$7+$AA$8)), Z249+X250, 0)</f>
        <v>0</v>
      </c>
      <c r="AA250" s="24" t="str">
        <f>IF(AND(U250&gt;='Amort. Sched.-WORST'!$AA$8, U250&lt;= ($AA$7+$AA$8)), W250/V250, " ")</f>
        <v xml:space="preserve"> </v>
      </c>
      <c r="AB250" s="25" t="str">
        <f>IF(AND(U250&gt;='Amort. Sched.-WORST'!$AA$8, U250&lt;= ($AA$7+$AA$8)), X250/V250, " ")</f>
        <v xml:space="preserve"> </v>
      </c>
      <c r="AD250" s="20">
        <f t="shared" si="54"/>
        <v>239</v>
      </c>
      <c r="AE250" s="5">
        <f t="shared" si="55"/>
        <v>0</v>
      </c>
      <c r="AF250" s="5">
        <f t="shared" si="56"/>
        <v>0</v>
      </c>
      <c r="AG250" s="5">
        <f t="shared" si="57"/>
        <v>0</v>
      </c>
      <c r="AH250" s="5">
        <f>IF(CreditAmort3WORST[[#This Row],[Month]]=AJ$8,AF$7,0)</f>
        <v>0</v>
      </c>
      <c r="AI250" s="13">
        <f t="shared" si="58"/>
        <v>0</v>
      </c>
      <c r="AJ250" s="6" t="str">
        <f t="shared" si="59"/>
        <v xml:space="preserve"> </v>
      </c>
      <c r="AK250" s="21" t="str">
        <f t="shared" si="60"/>
        <v xml:space="preserve"> </v>
      </c>
      <c r="AM250" s="20">
        <f t="shared" si="61"/>
        <v>239</v>
      </c>
      <c r="AN250" s="5">
        <f t="shared" si="62"/>
        <v>0</v>
      </c>
      <c r="AO250" s="5">
        <f t="shared" si="63"/>
        <v>0</v>
      </c>
      <c r="AP250" s="5">
        <f t="shared" si="64"/>
        <v>0</v>
      </c>
      <c r="AQ250" s="5">
        <f>IF(CreditAmort4WORST[[#This Row],[Month]]=AS$8,AO$7,0)</f>
        <v>0</v>
      </c>
      <c r="AR250" s="13">
        <f t="shared" si="65"/>
        <v>0</v>
      </c>
      <c r="AS250" s="6" t="str">
        <f t="shared" si="66"/>
        <v xml:space="preserve"> </v>
      </c>
      <c r="AT250" s="21" t="str">
        <f t="shared" si="67"/>
        <v xml:space="preserve"> </v>
      </c>
    </row>
    <row r="251" spans="3:46">
      <c r="C251" s="22">
        <f t="shared" si="52"/>
        <v>240</v>
      </c>
      <c r="D251" s="23">
        <f>IF(AND(C251&gt;='Amort. Sched.-WORST'!$I$8, C251&lt;= ($I$7+$I$8)), PMT('Amort. Sched.-WORST'!$E$8/12, 'Amort. Sched.-WORST'!$I$7, 'Amort. Sched.-WORST'!$E$7), 0)</f>
        <v>-2026.0175758541329</v>
      </c>
      <c r="E251" s="5">
        <f>IF(AND(C251&gt;='Amort. Sched.-WORST'!$I$8, C251&lt;= ($I$7+$I$8)), (IPMT($E$8/12, (C251-$I$8), $I$7, $E$7)), 0)</f>
        <v>-675.13927369154305</v>
      </c>
      <c r="F251" s="23">
        <f>IF(AND(C251&gt;='Amort. Sched.-WORST'!$I$8, C251&lt;= ($I$7+$I$8)), (PPMT($E$8/12, (C251-$I$8), $I$7, $E$7)), 0)</f>
        <v>-1350.87830216259</v>
      </c>
      <c r="G251" s="5">
        <f>IF(MortgageAmortWORST[[#This Row],[Month]]=I$8,E$7,0)</f>
        <v>0</v>
      </c>
      <c r="H251" s="13">
        <f>IF(AND(C251&gt;='Amort. Sched.-WORST'!$I$8, C251&lt;= ($I$7+$I$8)), H250+F251, 0)</f>
        <v>99920.012751568924</v>
      </c>
      <c r="I251" s="24">
        <f>IF(AND(C251&gt;='Amort. Sched.-WORST'!$I$8, C251&lt;= ($I$7+$I$8)), E251/D251, " ")</f>
        <v>0.33323465785182854</v>
      </c>
      <c r="J251" s="25">
        <f>IF(AND(C251&gt;='Amort. Sched.-WORST'!$I$8, C251&lt;= ($I$7+$I$8)), F251/D251, " ")</f>
        <v>0.66676534214817151</v>
      </c>
      <c r="L251" s="20">
        <f t="shared" si="51"/>
        <v>240</v>
      </c>
      <c r="M251" s="5">
        <f>IF(AND(L251&gt;='Amort. Sched.-WORST'!$R$8, L251&lt;= ($R$7+$R$8)), PMT('Amort. Sched.-WORST'!$N$8/12, 'Amort. Sched.-WORST'!$R$7, 'Amort. Sched.-WORST'!$N$7), 0)</f>
        <v>0</v>
      </c>
      <c r="N251" s="5">
        <f>IF(AND(L251&gt;='Amort. Sched.-WORST'!$R$8, L251&lt;= ($R$7+$R$8)), (IPMT($N$8/12, (L251-$R$8), $R$7, $N$7)), 0)</f>
        <v>0</v>
      </c>
      <c r="O251" s="5">
        <f>IF(AND(L251&gt;='Amort. Sched.-WORST'!$R$8, L251&lt;= ($R$7+$R$8)), (PPMT($N$8/12, (L251-$R$8), $R$7, $N$7)), 0)</f>
        <v>0</v>
      </c>
      <c r="P251" s="5">
        <f>IF(CreditAmort1WORST[[#This Row],[Month]]=R$8,N$7,0)</f>
        <v>0</v>
      </c>
      <c r="Q251" s="13">
        <f>IF(AND(L251&gt;='Amort. Sched.-WORST'!$R$8, L251&lt;= ($R$7+$R$8)), Q250+O251, 0)</f>
        <v>0</v>
      </c>
      <c r="R251" s="6" t="str">
        <f>IF(AND(L251&gt;='Amort. Sched.-WORST'!$R$8, L251&lt;= ($R$7+$R$8)), N251/M251, " ")</f>
        <v xml:space="preserve"> </v>
      </c>
      <c r="S251" s="21" t="str">
        <f>IF(AND(L251&gt;='Amort. Sched.-WORST'!$R$8, L251&lt;= ($R$7+$R$8)), O251/M251, " ")</f>
        <v xml:space="preserve"> </v>
      </c>
      <c r="U251" s="22">
        <f t="shared" si="53"/>
        <v>240</v>
      </c>
      <c r="V251" s="23">
        <f>IF(AND(U251&gt;='Amort. Sched.-WORST'!$AA$8, U251&lt;= ($AA$7+$AA$8)), PMT('Amort. Sched.-WORST'!$W$8/12, 'Amort. Sched.-WORST'!$AA$7, 'Amort. Sched.-WORST'!$W$7), 0)</f>
        <v>0</v>
      </c>
      <c r="W251" s="5">
        <f>IF(AND(U251&gt;='Amort. Sched.-WORST'!$AA$8, U251&lt;= ($AA$7+$AA$8)), (IPMT($W$8/12, (U251-$AA$8), $AA$7, $W$7)), 0)</f>
        <v>0</v>
      </c>
      <c r="X251" s="23">
        <f>IF(AND(U251&gt;='Amort. Sched.-WORST'!$AA$8, U251&lt;= ($AA$7+$AA$8)), (PPMT($W$8/12, (U251-$AA$8), $AA$7, $W$7)), 0)</f>
        <v>0</v>
      </c>
      <c r="Y251" s="5">
        <f>IF(CreditAmort2WORST[[#This Row],[Month]]=AA$8,W$7,0)</f>
        <v>0</v>
      </c>
      <c r="Z251" s="13">
        <f>IF(AND(U251&gt;='Amort. Sched.-WORST'!$AA$8, U251&lt;= ($AA$7+$AA$8)), Z250+X251, 0)</f>
        <v>0</v>
      </c>
      <c r="AA251" s="24" t="str">
        <f>IF(AND(U251&gt;='Amort. Sched.-WORST'!$AA$8, U251&lt;= ($AA$7+$AA$8)), W251/V251, " ")</f>
        <v xml:space="preserve"> </v>
      </c>
      <c r="AB251" s="25" t="str">
        <f>IF(AND(U251&gt;='Amort. Sched.-WORST'!$AA$8, U251&lt;= ($AA$7+$AA$8)), X251/V251, " ")</f>
        <v xml:space="preserve"> </v>
      </c>
      <c r="AD251" s="20">
        <f t="shared" si="54"/>
        <v>240</v>
      </c>
      <c r="AE251" s="5">
        <f t="shared" si="55"/>
        <v>0</v>
      </c>
      <c r="AF251" s="5">
        <f t="shared" si="56"/>
        <v>0</v>
      </c>
      <c r="AG251" s="5">
        <f t="shared" si="57"/>
        <v>0</v>
      </c>
      <c r="AH251" s="5">
        <f>IF(CreditAmort3WORST[[#This Row],[Month]]=AJ$8,AF$7,0)</f>
        <v>0</v>
      </c>
      <c r="AI251" s="13">
        <f t="shared" si="58"/>
        <v>0</v>
      </c>
      <c r="AJ251" s="6" t="str">
        <f t="shared" si="59"/>
        <v xml:space="preserve"> </v>
      </c>
      <c r="AK251" s="21" t="str">
        <f t="shared" si="60"/>
        <v xml:space="preserve"> </v>
      </c>
      <c r="AM251" s="20">
        <f t="shared" si="61"/>
        <v>240</v>
      </c>
      <c r="AN251" s="5">
        <f t="shared" si="62"/>
        <v>0</v>
      </c>
      <c r="AO251" s="5">
        <f t="shared" si="63"/>
        <v>0</v>
      </c>
      <c r="AP251" s="5">
        <f t="shared" si="64"/>
        <v>0</v>
      </c>
      <c r="AQ251" s="5">
        <f>IF(CreditAmort4WORST[[#This Row],[Month]]=AS$8,AO$7,0)</f>
        <v>0</v>
      </c>
      <c r="AR251" s="13">
        <f t="shared" si="65"/>
        <v>0</v>
      </c>
      <c r="AS251" s="6" t="str">
        <f t="shared" si="66"/>
        <v xml:space="preserve"> </v>
      </c>
      <c r="AT251" s="21" t="str">
        <f t="shared" si="67"/>
        <v xml:space="preserve"> </v>
      </c>
    </row>
    <row r="252" spans="3:46">
      <c r="C252" s="22">
        <f t="shared" si="52"/>
        <v>241</v>
      </c>
      <c r="D252" s="23">
        <f>IF(AND(C252&gt;='Amort. Sched.-WORST'!$I$8, C252&lt;= ($I$7+$I$8)), PMT('Amort. Sched.-WORST'!$E$8/12, 'Amort. Sched.-WORST'!$I$7, 'Amort. Sched.-WORST'!$E$7), 0)</f>
        <v>-2026.0175758541329</v>
      </c>
      <c r="E252" s="5">
        <f>IF(AND(C252&gt;='Amort. Sched.-WORST'!$I$8, C252&lt;= ($I$7+$I$8)), (IPMT($E$8/12, (C252-$I$8), $I$7, $E$7)), 0)</f>
        <v>-666.13341834379253</v>
      </c>
      <c r="F252" s="23">
        <f>IF(AND(C252&gt;='Amort. Sched.-WORST'!$I$8, C252&lt;= ($I$7+$I$8)), (PPMT($E$8/12, (C252-$I$8), $I$7, $E$7)), 0)</f>
        <v>-1359.8841575103406</v>
      </c>
      <c r="G252" s="5">
        <f>IF(MortgageAmortWORST[[#This Row],[Month]]=I$8,E$7,0)</f>
        <v>0</v>
      </c>
      <c r="H252" s="13">
        <f>IF(AND(C252&gt;='Amort. Sched.-WORST'!$I$8, C252&lt;= ($I$7+$I$8)), H251+F252, 0)</f>
        <v>98560.12859405858</v>
      </c>
      <c r="I252" s="24">
        <f>IF(AND(C252&gt;='Amort. Sched.-WORST'!$I$8, C252&lt;= ($I$7+$I$8)), E252/D252, " ")</f>
        <v>0.32878955557084077</v>
      </c>
      <c r="J252" s="25">
        <f>IF(AND(C252&gt;='Amort. Sched.-WORST'!$I$8, C252&lt;= ($I$7+$I$8)), F252/D252, " ")</f>
        <v>0.67121044442915934</v>
      </c>
      <c r="L252" s="20">
        <f t="shared" si="51"/>
        <v>241</v>
      </c>
      <c r="M252" s="5">
        <f>IF(AND(L252&gt;='Amort. Sched.-WORST'!$R$8, L252&lt;= ($R$7+$R$8)), PMT('Amort. Sched.-WORST'!$N$8/12, 'Amort. Sched.-WORST'!$R$7, 'Amort. Sched.-WORST'!$N$7), 0)</f>
        <v>0</v>
      </c>
      <c r="N252" s="5">
        <f>IF(AND(L252&gt;='Amort. Sched.-WORST'!$R$8, L252&lt;= ($R$7+$R$8)), (IPMT($N$8/12, (L252-$R$8), $R$7, $N$7)), 0)</f>
        <v>0</v>
      </c>
      <c r="O252" s="5">
        <f>IF(AND(L252&gt;='Amort. Sched.-WORST'!$R$8, L252&lt;= ($R$7+$R$8)), (PPMT($N$8/12, (L252-$R$8), $R$7, $N$7)), 0)</f>
        <v>0</v>
      </c>
      <c r="P252" s="5">
        <f>IF(CreditAmort1WORST[[#This Row],[Month]]=R$8,N$7,0)</f>
        <v>0</v>
      </c>
      <c r="Q252" s="13">
        <f>IF(AND(L252&gt;='Amort. Sched.-WORST'!$R$8, L252&lt;= ($R$7+$R$8)), Q251+O252, 0)</f>
        <v>0</v>
      </c>
      <c r="R252" s="6" t="str">
        <f>IF(AND(L252&gt;='Amort. Sched.-WORST'!$R$8, L252&lt;= ($R$7+$R$8)), N252/M252, " ")</f>
        <v xml:space="preserve"> </v>
      </c>
      <c r="S252" s="21" t="str">
        <f>IF(AND(L252&gt;='Amort. Sched.-WORST'!$R$8, L252&lt;= ($R$7+$R$8)), O252/M252, " ")</f>
        <v xml:space="preserve"> </v>
      </c>
      <c r="U252" s="22">
        <f t="shared" si="53"/>
        <v>241</v>
      </c>
      <c r="V252" s="23">
        <f>IF(AND(U252&gt;='Amort. Sched.-WORST'!$AA$8, U252&lt;= ($AA$7+$AA$8)), PMT('Amort. Sched.-WORST'!$W$8/12, 'Amort. Sched.-WORST'!$AA$7, 'Amort. Sched.-WORST'!$W$7), 0)</f>
        <v>0</v>
      </c>
      <c r="W252" s="5">
        <f>IF(AND(U252&gt;='Amort. Sched.-WORST'!$AA$8, U252&lt;= ($AA$7+$AA$8)), (IPMT($W$8/12, (U252-$AA$8), $AA$7, $W$7)), 0)</f>
        <v>0</v>
      </c>
      <c r="X252" s="23">
        <f>IF(AND(U252&gt;='Amort. Sched.-WORST'!$AA$8, U252&lt;= ($AA$7+$AA$8)), (PPMT($W$8/12, (U252-$AA$8), $AA$7, $W$7)), 0)</f>
        <v>0</v>
      </c>
      <c r="Y252" s="5">
        <f>IF(CreditAmort2WORST[[#This Row],[Month]]=AA$8,W$7,0)</f>
        <v>0</v>
      </c>
      <c r="Z252" s="13">
        <f>IF(AND(U252&gt;='Amort. Sched.-WORST'!$AA$8, U252&lt;= ($AA$7+$AA$8)), Z251+X252, 0)</f>
        <v>0</v>
      </c>
      <c r="AA252" s="24" t="str">
        <f>IF(AND(U252&gt;='Amort. Sched.-WORST'!$AA$8, U252&lt;= ($AA$7+$AA$8)), W252/V252, " ")</f>
        <v xml:space="preserve"> </v>
      </c>
      <c r="AB252" s="25" t="str">
        <f>IF(AND(U252&gt;='Amort. Sched.-WORST'!$AA$8, U252&lt;= ($AA$7+$AA$8)), X252/V252, " ")</f>
        <v xml:space="preserve"> </v>
      </c>
      <c r="AD252" s="20">
        <f t="shared" si="54"/>
        <v>241</v>
      </c>
      <c r="AE252" s="5">
        <f t="shared" si="55"/>
        <v>0</v>
      </c>
      <c r="AF252" s="5">
        <f t="shared" si="56"/>
        <v>0</v>
      </c>
      <c r="AG252" s="5">
        <f t="shared" si="57"/>
        <v>0</v>
      </c>
      <c r="AH252" s="5">
        <f>IF(CreditAmort3WORST[[#This Row],[Month]]=AJ$8,AF$7,0)</f>
        <v>0</v>
      </c>
      <c r="AI252" s="13">
        <f t="shared" si="58"/>
        <v>0</v>
      </c>
      <c r="AJ252" s="6" t="str">
        <f t="shared" si="59"/>
        <v xml:space="preserve"> </v>
      </c>
      <c r="AK252" s="21" t="str">
        <f t="shared" si="60"/>
        <v xml:space="preserve"> </v>
      </c>
      <c r="AM252" s="20">
        <f t="shared" si="61"/>
        <v>241</v>
      </c>
      <c r="AN252" s="5">
        <f t="shared" si="62"/>
        <v>0</v>
      </c>
      <c r="AO252" s="5">
        <f t="shared" si="63"/>
        <v>0</v>
      </c>
      <c r="AP252" s="5">
        <f t="shared" si="64"/>
        <v>0</v>
      </c>
      <c r="AQ252" s="5">
        <f>IF(CreditAmort4WORST[[#This Row],[Month]]=AS$8,AO$7,0)</f>
        <v>0</v>
      </c>
      <c r="AR252" s="13">
        <f t="shared" si="65"/>
        <v>0</v>
      </c>
      <c r="AS252" s="6" t="str">
        <f t="shared" si="66"/>
        <v xml:space="preserve"> </v>
      </c>
      <c r="AT252" s="21" t="str">
        <f t="shared" si="67"/>
        <v xml:space="preserve"> </v>
      </c>
    </row>
    <row r="253" spans="3:46">
      <c r="C253" s="22">
        <f t="shared" si="52"/>
        <v>242</v>
      </c>
      <c r="D253" s="23">
        <f>IF(AND(C253&gt;='Amort. Sched.-WORST'!$I$8, C253&lt;= ($I$7+$I$8)), PMT('Amort. Sched.-WORST'!$E$8/12, 'Amort. Sched.-WORST'!$I$7, 'Amort. Sched.-WORST'!$E$7), 0)</f>
        <v>-2026.0175758541329</v>
      </c>
      <c r="E253" s="5">
        <f>IF(AND(C253&gt;='Amort. Sched.-WORST'!$I$8, C253&lt;= ($I$7+$I$8)), (IPMT($E$8/12, (C253-$I$8), $I$7, $E$7)), 0)</f>
        <v>-657.06752396039008</v>
      </c>
      <c r="F253" s="23">
        <f>IF(AND(C253&gt;='Amort. Sched.-WORST'!$I$8, C253&lt;= ($I$7+$I$8)), (PPMT($E$8/12, (C253-$I$8), $I$7, $E$7)), 0)</f>
        <v>-1368.9500518937427</v>
      </c>
      <c r="G253" s="5">
        <f>IF(MortgageAmortWORST[[#This Row],[Month]]=I$8,E$7,0)</f>
        <v>0</v>
      </c>
      <c r="H253" s="13">
        <f>IF(AND(C253&gt;='Amort. Sched.-WORST'!$I$8, C253&lt;= ($I$7+$I$8)), H252+F253, 0)</f>
        <v>97191.178542164838</v>
      </c>
      <c r="I253" s="24">
        <f>IF(AND(C253&gt;='Amort. Sched.-WORST'!$I$8, C253&lt;= ($I$7+$I$8)), E253/D253, " ")</f>
        <v>0.32431481927464628</v>
      </c>
      <c r="J253" s="25">
        <f>IF(AND(C253&gt;='Amort. Sched.-WORST'!$I$8, C253&lt;= ($I$7+$I$8)), F253/D253, " ")</f>
        <v>0.67568518072535366</v>
      </c>
      <c r="L253" s="20">
        <f t="shared" si="51"/>
        <v>242</v>
      </c>
      <c r="M253" s="5">
        <f>IF(AND(L253&gt;='Amort. Sched.-WORST'!$R$8, L253&lt;= ($R$7+$R$8)), PMT('Amort. Sched.-WORST'!$N$8/12, 'Amort. Sched.-WORST'!$R$7, 'Amort. Sched.-WORST'!$N$7), 0)</f>
        <v>0</v>
      </c>
      <c r="N253" s="5">
        <f>IF(AND(L253&gt;='Amort. Sched.-WORST'!$R$8, L253&lt;= ($R$7+$R$8)), (IPMT($N$8/12, (L253-$R$8), $R$7, $N$7)), 0)</f>
        <v>0</v>
      </c>
      <c r="O253" s="5">
        <f>IF(AND(L253&gt;='Amort. Sched.-WORST'!$R$8, L253&lt;= ($R$7+$R$8)), (PPMT($N$8/12, (L253-$R$8), $R$7, $N$7)), 0)</f>
        <v>0</v>
      </c>
      <c r="P253" s="5">
        <f>IF(CreditAmort1WORST[[#This Row],[Month]]=R$8,N$7,0)</f>
        <v>0</v>
      </c>
      <c r="Q253" s="13">
        <f>IF(AND(L253&gt;='Amort. Sched.-WORST'!$R$8, L253&lt;= ($R$7+$R$8)), Q252+O253, 0)</f>
        <v>0</v>
      </c>
      <c r="R253" s="6" t="str">
        <f>IF(AND(L253&gt;='Amort. Sched.-WORST'!$R$8, L253&lt;= ($R$7+$R$8)), N253/M253, " ")</f>
        <v xml:space="preserve"> </v>
      </c>
      <c r="S253" s="21" t="str">
        <f>IF(AND(L253&gt;='Amort. Sched.-WORST'!$R$8, L253&lt;= ($R$7+$R$8)), O253/M253, " ")</f>
        <v xml:space="preserve"> </v>
      </c>
      <c r="U253" s="22">
        <f t="shared" si="53"/>
        <v>242</v>
      </c>
      <c r="V253" s="23">
        <f>IF(AND(U253&gt;='Amort. Sched.-WORST'!$AA$8, U253&lt;= ($AA$7+$AA$8)), PMT('Amort. Sched.-WORST'!$W$8/12, 'Amort. Sched.-WORST'!$AA$7, 'Amort. Sched.-WORST'!$W$7), 0)</f>
        <v>0</v>
      </c>
      <c r="W253" s="5">
        <f>IF(AND(U253&gt;='Amort. Sched.-WORST'!$AA$8, U253&lt;= ($AA$7+$AA$8)), (IPMT($W$8/12, (U253-$AA$8), $AA$7, $W$7)), 0)</f>
        <v>0</v>
      </c>
      <c r="X253" s="23">
        <f>IF(AND(U253&gt;='Amort. Sched.-WORST'!$AA$8, U253&lt;= ($AA$7+$AA$8)), (PPMT($W$8/12, (U253-$AA$8), $AA$7, $W$7)), 0)</f>
        <v>0</v>
      </c>
      <c r="Y253" s="5">
        <f>IF(CreditAmort2WORST[[#This Row],[Month]]=AA$8,W$7,0)</f>
        <v>0</v>
      </c>
      <c r="Z253" s="13">
        <f>IF(AND(U253&gt;='Amort. Sched.-WORST'!$AA$8, U253&lt;= ($AA$7+$AA$8)), Z252+X253, 0)</f>
        <v>0</v>
      </c>
      <c r="AA253" s="24" t="str">
        <f>IF(AND(U253&gt;='Amort. Sched.-WORST'!$AA$8, U253&lt;= ($AA$7+$AA$8)), W253/V253, " ")</f>
        <v xml:space="preserve"> </v>
      </c>
      <c r="AB253" s="25" t="str">
        <f>IF(AND(U253&gt;='Amort. Sched.-WORST'!$AA$8, U253&lt;= ($AA$7+$AA$8)), X253/V253, " ")</f>
        <v xml:space="preserve"> </v>
      </c>
      <c r="AD253" s="20">
        <f t="shared" si="54"/>
        <v>242</v>
      </c>
      <c r="AE253" s="5">
        <f t="shared" si="55"/>
        <v>0</v>
      </c>
      <c r="AF253" s="5">
        <f t="shared" si="56"/>
        <v>0</v>
      </c>
      <c r="AG253" s="5">
        <f t="shared" si="57"/>
        <v>0</v>
      </c>
      <c r="AH253" s="5">
        <f>IF(CreditAmort3WORST[[#This Row],[Month]]=AJ$8,AF$7,0)</f>
        <v>0</v>
      </c>
      <c r="AI253" s="13">
        <f t="shared" si="58"/>
        <v>0</v>
      </c>
      <c r="AJ253" s="6" t="str">
        <f t="shared" si="59"/>
        <v xml:space="preserve"> </v>
      </c>
      <c r="AK253" s="21" t="str">
        <f t="shared" si="60"/>
        <v xml:space="preserve"> </v>
      </c>
      <c r="AM253" s="20">
        <f t="shared" si="61"/>
        <v>242</v>
      </c>
      <c r="AN253" s="5">
        <f t="shared" si="62"/>
        <v>0</v>
      </c>
      <c r="AO253" s="5">
        <f t="shared" si="63"/>
        <v>0</v>
      </c>
      <c r="AP253" s="5">
        <f t="shared" si="64"/>
        <v>0</v>
      </c>
      <c r="AQ253" s="5">
        <f>IF(CreditAmort4WORST[[#This Row],[Month]]=AS$8,AO$7,0)</f>
        <v>0</v>
      </c>
      <c r="AR253" s="13">
        <f t="shared" si="65"/>
        <v>0</v>
      </c>
      <c r="AS253" s="6" t="str">
        <f t="shared" si="66"/>
        <v xml:space="preserve"> </v>
      </c>
      <c r="AT253" s="21" t="str">
        <f t="shared" si="67"/>
        <v xml:space="preserve"> </v>
      </c>
    </row>
    <row r="254" spans="3:46">
      <c r="C254" s="22">
        <f t="shared" si="52"/>
        <v>243</v>
      </c>
      <c r="D254" s="23">
        <f>IF(AND(C254&gt;='Amort. Sched.-WORST'!$I$8, C254&lt;= ($I$7+$I$8)), PMT('Amort. Sched.-WORST'!$E$8/12, 'Amort. Sched.-WORST'!$I$7, 'Amort. Sched.-WORST'!$E$7), 0)</f>
        <v>-2026.0175758541329</v>
      </c>
      <c r="E254" s="5">
        <f>IF(AND(C254&gt;='Amort. Sched.-WORST'!$I$8, C254&lt;= ($I$7+$I$8)), (IPMT($E$8/12, (C254-$I$8), $I$7, $E$7)), 0)</f>
        <v>-647.94119028109856</v>
      </c>
      <c r="F254" s="23">
        <f>IF(AND(C254&gt;='Amort. Sched.-WORST'!$I$8, C254&lt;= ($I$7+$I$8)), (PPMT($E$8/12, (C254-$I$8), $I$7, $E$7)), 0)</f>
        <v>-1378.0763855730345</v>
      </c>
      <c r="G254" s="5">
        <f>IF(MortgageAmortWORST[[#This Row],[Month]]=I$8,E$7,0)</f>
        <v>0</v>
      </c>
      <c r="H254" s="13">
        <f>IF(AND(C254&gt;='Amort. Sched.-WORST'!$I$8, C254&lt;= ($I$7+$I$8)), H253+F254, 0)</f>
        <v>95813.102156591805</v>
      </c>
      <c r="I254" s="24">
        <f>IF(AND(C254&gt;='Amort. Sched.-WORST'!$I$8, C254&lt;= ($I$7+$I$8)), E254/D254, " ")</f>
        <v>0.31981025140314395</v>
      </c>
      <c r="J254" s="25">
        <f>IF(AND(C254&gt;='Amort. Sched.-WORST'!$I$8, C254&lt;= ($I$7+$I$8)), F254/D254, " ")</f>
        <v>0.6801897485968561</v>
      </c>
      <c r="L254" s="20">
        <f t="shared" si="51"/>
        <v>243</v>
      </c>
      <c r="M254" s="5">
        <f>IF(AND(L254&gt;='Amort. Sched.-WORST'!$R$8, L254&lt;= ($R$7+$R$8)), PMT('Amort. Sched.-WORST'!$N$8/12, 'Amort. Sched.-WORST'!$R$7, 'Amort. Sched.-WORST'!$N$7), 0)</f>
        <v>0</v>
      </c>
      <c r="N254" s="5">
        <f>IF(AND(L254&gt;='Amort. Sched.-WORST'!$R$8, L254&lt;= ($R$7+$R$8)), (IPMT($N$8/12, (L254-$R$8), $R$7, $N$7)), 0)</f>
        <v>0</v>
      </c>
      <c r="O254" s="5">
        <f>IF(AND(L254&gt;='Amort. Sched.-WORST'!$R$8, L254&lt;= ($R$7+$R$8)), (PPMT($N$8/12, (L254-$R$8), $R$7, $N$7)), 0)</f>
        <v>0</v>
      </c>
      <c r="P254" s="5">
        <f>IF(CreditAmort1WORST[[#This Row],[Month]]=R$8,N$7,0)</f>
        <v>0</v>
      </c>
      <c r="Q254" s="13">
        <f>IF(AND(L254&gt;='Amort. Sched.-WORST'!$R$8, L254&lt;= ($R$7+$R$8)), Q253+O254, 0)</f>
        <v>0</v>
      </c>
      <c r="R254" s="6" t="str">
        <f>IF(AND(L254&gt;='Amort. Sched.-WORST'!$R$8, L254&lt;= ($R$7+$R$8)), N254/M254, " ")</f>
        <v xml:space="preserve"> </v>
      </c>
      <c r="S254" s="21" t="str">
        <f>IF(AND(L254&gt;='Amort. Sched.-WORST'!$R$8, L254&lt;= ($R$7+$R$8)), O254/M254, " ")</f>
        <v xml:space="preserve"> </v>
      </c>
      <c r="U254" s="22">
        <f t="shared" si="53"/>
        <v>243</v>
      </c>
      <c r="V254" s="23">
        <f>IF(AND(U254&gt;='Amort. Sched.-WORST'!$AA$8, U254&lt;= ($AA$7+$AA$8)), PMT('Amort. Sched.-WORST'!$W$8/12, 'Amort. Sched.-WORST'!$AA$7, 'Amort. Sched.-WORST'!$W$7), 0)</f>
        <v>0</v>
      </c>
      <c r="W254" s="5">
        <f>IF(AND(U254&gt;='Amort. Sched.-WORST'!$AA$8, U254&lt;= ($AA$7+$AA$8)), (IPMT($W$8/12, (U254-$AA$8), $AA$7, $W$7)), 0)</f>
        <v>0</v>
      </c>
      <c r="X254" s="23">
        <f>IF(AND(U254&gt;='Amort. Sched.-WORST'!$AA$8, U254&lt;= ($AA$7+$AA$8)), (PPMT($W$8/12, (U254-$AA$8), $AA$7, $W$7)), 0)</f>
        <v>0</v>
      </c>
      <c r="Y254" s="5">
        <f>IF(CreditAmort2WORST[[#This Row],[Month]]=AA$8,W$7,0)</f>
        <v>0</v>
      </c>
      <c r="Z254" s="13">
        <f>IF(AND(U254&gt;='Amort. Sched.-WORST'!$AA$8, U254&lt;= ($AA$7+$AA$8)), Z253+X254, 0)</f>
        <v>0</v>
      </c>
      <c r="AA254" s="24" t="str">
        <f>IF(AND(U254&gt;='Amort. Sched.-WORST'!$AA$8, U254&lt;= ($AA$7+$AA$8)), W254/V254, " ")</f>
        <v xml:space="preserve"> </v>
      </c>
      <c r="AB254" s="25" t="str">
        <f>IF(AND(U254&gt;='Amort. Sched.-WORST'!$AA$8, U254&lt;= ($AA$7+$AA$8)), X254/V254, " ")</f>
        <v xml:space="preserve"> </v>
      </c>
      <c r="AD254" s="20">
        <f t="shared" si="54"/>
        <v>243</v>
      </c>
      <c r="AE254" s="5">
        <f t="shared" si="55"/>
        <v>0</v>
      </c>
      <c r="AF254" s="5">
        <f t="shared" si="56"/>
        <v>0</v>
      </c>
      <c r="AG254" s="5">
        <f t="shared" si="57"/>
        <v>0</v>
      </c>
      <c r="AH254" s="5">
        <f>IF(CreditAmort3WORST[[#This Row],[Month]]=AJ$8,AF$7,0)</f>
        <v>0</v>
      </c>
      <c r="AI254" s="13">
        <f t="shared" si="58"/>
        <v>0</v>
      </c>
      <c r="AJ254" s="6" t="str">
        <f t="shared" si="59"/>
        <v xml:space="preserve"> </v>
      </c>
      <c r="AK254" s="21" t="str">
        <f t="shared" si="60"/>
        <v xml:space="preserve"> </v>
      </c>
      <c r="AM254" s="20">
        <f t="shared" si="61"/>
        <v>243</v>
      </c>
      <c r="AN254" s="5">
        <f t="shared" si="62"/>
        <v>0</v>
      </c>
      <c r="AO254" s="5">
        <f t="shared" si="63"/>
        <v>0</v>
      </c>
      <c r="AP254" s="5">
        <f t="shared" si="64"/>
        <v>0</v>
      </c>
      <c r="AQ254" s="5">
        <f>IF(CreditAmort4WORST[[#This Row],[Month]]=AS$8,AO$7,0)</f>
        <v>0</v>
      </c>
      <c r="AR254" s="13">
        <f t="shared" si="65"/>
        <v>0</v>
      </c>
      <c r="AS254" s="6" t="str">
        <f t="shared" si="66"/>
        <v xml:space="preserve"> </v>
      </c>
      <c r="AT254" s="21" t="str">
        <f t="shared" si="67"/>
        <v xml:space="preserve"> </v>
      </c>
    </row>
    <row r="255" spans="3:46">
      <c r="C255" s="22">
        <f t="shared" si="52"/>
        <v>244</v>
      </c>
      <c r="D255" s="23">
        <f>IF(AND(C255&gt;='Amort. Sched.-WORST'!$I$8, C255&lt;= ($I$7+$I$8)), PMT('Amort. Sched.-WORST'!$E$8/12, 'Amort. Sched.-WORST'!$I$7, 'Amort. Sched.-WORST'!$E$7), 0)</f>
        <v>-2026.0175758541329</v>
      </c>
      <c r="E255" s="5">
        <f>IF(AND(C255&gt;='Amort. Sched.-WORST'!$I$8, C255&lt;= ($I$7+$I$8)), (IPMT($E$8/12, (C255-$I$8), $I$7, $E$7)), 0)</f>
        <v>-638.75401437727828</v>
      </c>
      <c r="F255" s="23">
        <f>IF(AND(C255&gt;='Amort. Sched.-WORST'!$I$8, C255&lt;= ($I$7+$I$8)), (PPMT($E$8/12, (C255-$I$8), $I$7, $E$7)), 0)</f>
        <v>-1387.2635614768546</v>
      </c>
      <c r="G255" s="5">
        <f>IF(MortgageAmortWORST[[#This Row],[Month]]=I$8,E$7,0)</f>
        <v>0</v>
      </c>
      <c r="H255" s="13">
        <f>IF(AND(C255&gt;='Amort. Sched.-WORST'!$I$8, C255&lt;= ($I$7+$I$8)), H254+F255, 0)</f>
        <v>94425.838595114954</v>
      </c>
      <c r="I255" s="24">
        <f>IF(AND(C255&gt;='Amort. Sched.-WORST'!$I$8, C255&lt;= ($I$7+$I$8)), E255/D255, " ")</f>
        <v>0.31527565307916489</v>
      </c>
      <c r="J255" s="25">
        <f>IF(AND(C255&gt;='Amort. Sched.-WORST'!$I$8, C255&lt;= ($I$7+$I$8)), F255/D255, " ")</f>
        <v>0.68472434692083506</v>
      </c>
      <c r="L255" s="20">
        <f t="shared" si="51"/>
        <v>244</v>
      </c>
      <c r="M255" s="5">
        <f>IF(AND(L255&gt;='Amort. Sched.-WORST'!$R$8, L255&lt;= ($R$7+$R$8)), PMT('Amort. Sched.-WORST'!$N$8/12, 'Amort. Sched.-WORST'!$R$7, 'Amort. Sched.-WORST'!$N$7), 0)</f>
        <v>0</v>
      </c>
      <c r="N255" s="5">
        <f>IF(AND(L255&gt;='Amort. Sched.-WORST'!$R$8, L255&lt;= ($R$7+$R$8)), (IPMT($N$8/12, (L255-$R$8), $R$7, $N$7)), 0)</f>
        <v>0</v>
      </c>
      <c r="O255" s="5">
        <f>IF(AND(L255&gt;='Amort. Sched.-WORST'!$R$8, L255&lt;= ($R$7+$R$8)), (PPMT($N$8/12, (L255-$R$8), $R$7, $N$7)), 0)</f>
        <v>0</v>
      </c>
      <c r="P255" s="5">
        <f>IF(CreditAmort1WORST[[#This Row],[Month]]=R$8,N$7,0)</f>
        <v>0</v>
      </c>
      <c r="Q255" s="13">
        <f>IF(AND(L255&gt;='Amort. Sched.-WORST'!$R$8, L255&lt;= ($R$7+$R$8)), Q254+O255, 0)</f>
        <v>0</v>
      </c>
      <c r="R255" s="6" t="str">
        <f>IF(AND(L255&gt;='Amort. Sched.-WORST'!$R$8, L255&lt;= ($R$7+$R$8)), N255/M255, " ")</f>
        <v xml:space="preserve"> </v>
      </c>
      <c r="S255" s="21" t="str">
        <f>IF(AND(L255&gt;='Amort. Sched.-WORST'!$R$8, L255&lt;= ($R$7+$R$8)), O255/M255, " ")</f>
        <v xml:space="preserve"> </v>
      </c>
      <c r="U255" s="22">
        <f t="shared" si="53"/>
        <v>244</v>
      </c>
      <c r="V255" s="23">
        <f>IF(AND(U255&gt;='Amort. Sched.-WORST'!$AA$8, U255&lt;= ($AA$7+$AA$8)), PMT('Amort. Sched.-WORST'!$W$8/12, 'Amort. Sched.-WORST'!$AA$7, 'Amort. Sched.-WORST'!$W$7), 0)</f>
        <v>0</v>
      </c>
      <c r="W255" s="5">
        <f>IF(AND(U255&gt;='Amort. Sched.-WORST'!$AA$8, U255&lt;= ($AA$7+$AA$8)), (IPMT($W$8/12, (U255-$AA$8), $AA$7, $W$7)), 0)</f>
        <v>0</v>
      </c>
      <c r="X255" s="23">
        <f>IF(AND(U255&gt;='Amort. Sched.-WORST'!$AA$8, U255&lt;= ($AA$7+$AA$8)), (PPMT($W$8/12, (U255-$AA$8), $AA$7, $W$7)), 0)</f>
        <v>0</v>
      </c>
      <c r="Y255" s="5">
        <f>IF(CreditAmort2WORST[[#This Row],[Month]]=AA$8,W$7,0)</f>
        <v>0</v>
      </c>
      <c r="Z255" s="13">
        <f>IF(AND(U255&gt;='Amort. Sched.-WORST'!$AA$8, U255&lt;= ($AA$7+$AA$8)), Z254+X255, 0)</f>
        <v>0</v>
      </c>
      <c r="AA255" s="24" t="str">
        <f>IF(AND(U255&gt;='Amort. Sched.-WORST'!$AA$8, U255&lt;= ($AA$7+$AA$8)), W255/V255, " ")</f>
        <v xml:space="preserve"> </v>
      </c>
      <c r="AB255" s="25" t="str">
        <f>IF(AND(U255&gt;='Amort. Sched.-WORST'!$AA$8, U255&lt;= ($AA$7+$AA$8)), X255/V255, " ")</f>
        <v xml:space="preserve"> </v>
      </c>
      <c r="AD255" s="20">
        <f t="shared" si="54"/>
        <v>244</v>
      </c>
      <c r="AE255" s="5">
        <f t="shared" si="55"/>
        <v>0</v>
      </c>
      <c r="AF255" s="5">
        <f t="shared" si="56"/>
        <v>0</v>
      </c>
      <c r="AG255" s="5">
        <f t="shared" si="57"/>
        <v>0</v>
      </c>
      <c r="AH255" s="5">
        <f>IF(CreditAmort3WORST[[#This Row],[Month]]=AJ$8,AF$7,0)</f>
        <v>0</v>
      </c>
      <c r="AI255" s="13">
        <f t="shared" si="58"/>
        <v>0</v>
      </c>
      <c r="AJ255" s="6" t="str">
        <f t="shared" si="59"/>
        <v xml:space="preserve"> </v>
      </c>
      <c r="AK255" s="21" t="str">
        <f t="shared" si="60"/>
        <v xml:space="preserve"> </v>
      </c>
      <c r="AM255" s="20">
        <f t="shared" si="61"/>
        <v>244</v>
      </c>
      <c r="AN255" s="5">
        <f t="shared" si="62"/>
        <v>0</v>
      </c>
      <c r="AO255" s="5">
        <f t="shared" si="63"/>
        <v>0</v>
      </c>
      <c r="AP255" s="5">
        <f t="shared" si="64"/>
        <v>0</v>
      </c>
      <c r="AQ255" s="5">
        <f>IF(CreditAmort4WORST[[#This Row],[Month]]=AS$8,AO$7,0)</f>
        <v>0</v>
      </c>
      <c r="AR255" s="13">
        <f t="shared" si="65"/>
        <v>0</v>
      </c>
      <c r="AS255" s="6" t="str">
        <f t="shared" si="66"/>
        <v xml:space="preserve"> </v>
      </c>
      <c r="AT255" s="21" t="str">
        <f t="shared" si="67"/>
        <v xml:space="preserve"> </v>
      </c>
    </row>
    <row r="256" spans="3:46">
      <c r="C256" s="22">
        <f t="shared" si="52"/>
        <v>245</v>
      </c>
      <c r="D256" s="23">
        <f>IF(AND(C256&gt;='Amort. Sched.-WORST'!$I$8, C256&lt;= ($I$7+$I$8)), PMT('Amort. Sched.-WORST'!$E$8/12, 'Amort. Sched.-WORST'!$I$7, 'Amort. Sched.-WORST'!$E$7), 0)</f>
        <v>-2026.0175758541329</v>
      </c>
      <c r="E256" s="5">
        <f>IF(AND(C256&gt;='Amort. Sched.-WORST'!$I$8, C256&lt;= ($I$7+$I$8)), (IPMT($E$8/12, (C256-$I$8), $I$7, $E$7)), 0)</f>
        <v>-629.50559063409924</v>
      </c>
      <c r="F256" s="23">
        <f>IF(AND(C256&gt;='Amort. Sched.-WORST'!$I$8, C256&lt;= ($I$7+$I$8)), (PPMT($E$8/12, (C256-$I$8), $I$7, $E$7)), 0)</f>
        <v>-1396.5119852200337</v>
      </c>
      <c r="G256" s="5">
        <f>IF(MortgageAmortWORST[[#This Row],[Month]]=I$8,E$7,0)</f>
        <v>0</v>
      </c>
      <c r="H256" s="13">
        <f>IF(AND(C256&gt;='Amort. Sched.-WORST'!$I$8, C256&lt;= ($I$7+$I$8)), H255+F256, 0)</f>
        <v>93029.326609894924</v>
      </c>
      <c r="I256" s="24">
        <f>IF(AND(C256&gt;='Amort. Sched.-WORST'!$I$8, C256&lt;= ($I$7+$I$8)), E256/D256, " ")</f>
        <v>0.31071082409969264</v>
      </c>
      <c r="J256" s="25">
        <f>IF(AND(C256&gt;='Amort. Sched.-WORST'!$I$8, C256&lt;= ($I$7+$I$8)), F256/D256, " ")</f>
        <v>0.68928917590030736</v>
      </c>
      <c r="L256" s="20">
        <f t="shared" si="51"/>
        <v>245</v>
      </c>
      <c r="M256" s="5">
        <f>IF(AND(L256&gt;='Amort. Sched.-WORST'!$R$8, L256&lt;= ($R$7+$R$8)), PMT('Amort. Sched.-WORST'!$N$8/12, 'Amort. Sched.-WORST'!$R$7, 'Amort. Sched.-WORST'!$N$7), 0)</f>
        <v>0</v>
      </c>
      <c r="N256" s="5">
        <f>IF(AND(L256&gt;='Amort. Sched.-WORST'!$R$8, L256&lt;= ($R$7+$R$8)), (IPMT($N$8/12, (L256-$R$8), $R$7, $N$7)), 0)</f>
        <v>0</v>
      </c>
      <c r="O256" s="5">
        <f>IF(AND(L256&gt;='Amort. Sched.-WORST'!$R$8, L256&lt;= ($R$7+$R$8)), (PPMT($N$8/12, (L256-$R$8), $R$7, $N$7)), 0)</f>
        <v>0</v>
      </c>
      <c r="P256" s="5">
        <f>IF(CreditAmort1WORST[[#This Row],[Month]]=R$8,N$7,0)</f>
        <v>0</v>
      </c>
      <c r="Q256" s="13">
        <f>IF(AND(L256&gt;='Amort. Sched.-WORST'!$R$8, L256&lt;= ($R$7+$R$8)), Q255+O256, 0)</f>
        <v>0</v>
      </c>
      <c r="R256" s="6" t="str">
        <f>IF(AND(L256&gt;='Amort. Sched.-WORST'!$R$8, L256&lt;= ($R$7+$R$8)), N256/M256, " ")</f>
        <v xml:space="preserve"> </v>
      </c>
      <c r="S256" s="21" t="str">
        <f>IF(AND(L256&gt;='Amort. Sched.-WORST'!$R$8, L256&lt;= ($R$7+$R$8)), O256/M256, " ")</f>
        <v xml:space="preserve"> </v>
      </c>
      <c r="U256" s="22">
        <f t="shared" si="53"/>
        <v>245</v>
      </c>
      <c r="V256" s="23">
        <f>IF(AND(U256&gt;='Amort. Sched.-WORST'!$AA$8, U256&lt;= ($AA$7+$AA$8)), PMT('Amort. Sched.-WORST'!$W$8/12, 'Amort. Sched.-WORST'!$AA$7, 'Amort. Sched.-WORST'!$W$7), 0)</f>
        <v>0</v>
      </c>
      <c r="W256" s="5">
        <f>IF(AND(U256&gt;='Amort. Sched.-WORST'!$AA$8, U256&lt;= ($AA$7+$AA$8)), (IPMT($W$8/12, (U256-$AA$8), $AA$7, $W$7)), 0)</f>
        <v>0</v>
      </c>
      <c r="X256" s="23">
        <f>IF(AND(U256&gt;='Amort. Sched.-WORST'!$AA$8, U256&lt;= ($AA$7+$AA$8)), (PPMT($W$8/12, (U256-$AA$8), $AA$7, $W$7)), 0)</f>
        <v>0</v>
      </c>
      <c r="Y256" s="5">
        <f>IF(CreditAmort2WORST[[#This Row],[Month]]=AA$8,W$7,0)</f>
        <v>0</v>
      </c>
      <c r="Z256" s="13">
        <f>IF(AND(U256&gt;='Amort. Sched.-WORST'!$AA$8, U256&lt;= ($AA$7+$AA$8)), Z255+X256, 0)</f>
        <v>0</v>
      </c>
      <c r="AA256" s="24" t="str">
        <f>IF(AND(U256&gt;='Amort. Sched.-WORST'!$AA$8, U256&lt;= ($AA$7+$AA$8)), W256/V256, " ")</f>
        <v xml:space="preserve"> </v>
      </c>
      <c r="AB256" s="25" t="str">
        <f>IF(AND(U256&gt;='Amort. Sched.-WORST'!$AA$8, U256&lt;= ($AA$7+$AA$8)), X256/V256, " ")</f>
        <v xml:space="preserve"> </v>
      </c>
      <c r="AD256" s="20">
        <f t="shared" si="54"/>
        <v>245</v>
      </c>
      <c r="AE256" s="5">
        <f t="shared" si="55"/>
        <v>0</v>
      </c>
      <c r="AF256" s="5">
        <f t="shared" si="56"/>
        <v>0</v>
      </c>
      <c r="AG256" s="5">
        <f t="shared" si="57"/>
        <v>0</v>
      </c>
      <c r="AH256" s="5">
        <f>IF(CreditAmort3WORST[[#This Row],[Month]]=AJ$8,AF$7,0)</f>
        <v>0</v>
      </c>
      <c r="AI256" s="13">
        <f t="shared" si="58"/>
        <v>0</v>
      </c>
      <c r="AJ256" s="6" t="str">
        <f t="shared" si="59"/>
        <v xml:space="preserve"> </v>
      </c>
      <c r="AK256" s="21" t="str">
        <f t="shared" si="60"/>
        <v xml:space="preserve"> </v>
      </c>
      <c r="AM256" s="20">
        <f t="shared" si="61"/>
        <v>245</v>
      </c>
      <c r="AN256" s="5">
        <f t="shared" si="62"/>
        <v>0</v>
      </c>
      <c r="AO256" s="5">
        <f t="shared" si="63"/>
        <v>0</v>
      </c>
      <c r="AP256" s="5">
        <f t="shared" si="64"/>
        <v>0</v>
      </c>
      <c r="AQ256" s="5">
        <f>IF(CreditAmort4WORST[[#This Row],[Month]]=AS$8,AO$7,0)</f>
        <v>0</v>
      </c>
      <c r="AR256" s="13">
        <f t="shared" si="65"/>
        <v>0</v>
      </c>
      <c r="AS256" s="6" t="str">
        <f t="shared" si="66"/>
        <v xml:space="preserve"> </v>
      </c>
      <c r="AT256" s="21" t="str">
        <f t="shared" si="67"/>
        <v xml:space="preserve"> </v>
      </c>
    </row>
    <row r="257" spans="3:46">
      <c r="C257" s="22">
        <f t="shared" si="52"/>
        <v>246</v>
      </c>
      <c r="D257" s="23">
        <f>IF(AND(C257&gt;='Amort. Sched.-WORST'!$I$8, C257&lt;= ($I$7+$I$8)), PMT('Amort. Sched.-WORST'!$E$8/12, 'Amort. Sched.-WORST'!$I$7, 'Amort. Sched.-WORST'!$E$7), 0)</f>
        <v>-2026.0175758541329</v>
      </c>
      <c r="E257" s="5">
        <f>IF(AND(C257&gt;='Amort. Sched.-WORST'!$I$8, C257&lt;= ($I$7+$I$8)), (IPMT($E$8/12, (C257-$I$8), $I$7, $E$7)), 0)</f>
        <v>-620.19551073263233</v>
      </c>
      <c r="F257" s="23">
        <f>IF(AND(C257&gt;='Amort. Sched.-WORST'!$I$8, C257&lt;= ($I$7+$I$8)), (PPMT($E$8/12, (C257-$I$8), $I$7, $E$7)), 0)</f>
        <v>-1405.8220651215008</v>
      </c>
      <c r="G257" s="5">
        <f>IF(MortgageAmortWORST[[#This Row],[Month]]=I$8,E$7,0)</f>
        <v>0</v>
      </c>
      <c r="H257" s="13">
        <f>IF(AND(C257&gt;='Amort. Sched.-WORST'!$I$8, C257&lt;= ($I$7+$I$8)), H256+F257, 0)</f>
        <v>91623.50454477343</v>
      </c>
      <c r="I257" s="24">
        <f>IF(AND(C257&gt;='Amort. Sched.-WORST'!$I$8, C257&lt;= ($I$7+$I$8)), E257/D257, " ")</f>
        <v>0.30611556292702397</v>
      </c>
      <c r="J257" s="25">
        <f>IF(AND(C257&gt;='Amort. Sched.-WORST'!$I$8, C257&lt;= ($I$7+$I$8)), F257/D257, " ")</f>
        <v>0.6938844370729762</v>
      </c>
      <c r="L257" s="20">
        <f t="shared" si="51"/>
        <v>246</v>
      </c>
      <c r="M257" s="5">
        <f>IF(AND(L257&gt;='Amort. Sched.-WORST'!$R$8, L257&lt;= ($R$7+$R$8)), PMT('Amort. Sched.-WORST'!$N$8/12, 'Amort. Sched.-WORST'!$R$7, 'Amort. Sched.-WORST'!$N$7), 0)</f>
        <v>0</v>
      </c>
      <c r="N257" s="5">
        <f>IF(AND(L257&gt;='Amort. Sched.-WORST'!$R$8, L257&lt;= ($R$7+$R$8)), (IPMT($N$8/12, (L257-$R$8), $R$7, $N$7)), 0)</f>
        <v>0</v>
      </c>
      <c r="O257" s="5">
        <f>IF(AND(L257&gt;='Amort. Sched.-WORST'!$R$8, L257&lt;= ($R$7+$R$8)), (PPMT($N$8/12, (L257-$R$8), $R$7, $N$7)), 0)</f>
        <v>0</v>
      </c>
      <c r="P257" s="5">
        <f>IF(CreditAmort1WORST[[#This Row],[Month]]=R$8,N$7,0)</f>
        <v>0</v>
      </c>
      <c r="Q257" s="13">
        <f>IF(AND(L257&gt;='Amort. Sched.-WORST'!$R$8, L257&lt;= ($R$7+$R$8)), Q256+O257, 0)</f>
        <v>0</v>
      </c>
      <c r="R257" s="6" t="str">
        <f>IF(AND(L257&gt;='Amort. Sched.-WORST'!$R$8, L257&lt;= ($R$7+$R$8)), N257/M257, " ")</f>
        <v xml:space="preserve"> </v>
      </c>
      <c r="S257" s="21" t="str">
        <f>IF(AND(L257&gt;='Amort. Sched.-WORST'!$R$8, L257&lt;= ($R$7+$R$8)), O257/M257, " ")</f>
        <v xml:space="preserve"> </v>
      </c>
      <c r="U257" s="22">
        <f t="shared" si="53"/>
        <v>246</v>
      </c>
      <c r="V257" s="23">
        <f>IF(AND(U257&gt;='Amort. Sched.-WORST'!$AA$8, U257&lt;= ($AA$7+$AA$8)), PMT('Amort. Sched.-WORST'!$W$8/12, 'Amort. Sched.-WORST'!$AA$7, 'Amort. Sched.-WORST'!$W$7), 0)</f>
        <v>0</v>
      </c>
      <c r="W257" s="5">
        <f>IF(AND(U257&gt;='Amort. Sched.-WORST'!$AA$8, U257&lt;= ($AA$7+$AA$8)), (IPMT($W$8/12, (U257-$AA$8), $AA$7, $W$7)), 0)</f>
        <v>0</v>
      </c>
      <c r="X257" s="23">
        <f>IF(AND(U257&gt;='Amort. Sched.-WORST'!$AA$8, U257&lt;= ($AA$7+$AA$8)), (PPMT($W$8/12, (U257-$AA$8), $AA$7, $W$7)), 0)</f>
        <v>0</v>
      </c>
      <c r="Y257" s="5">
        <f>IF(CreditAmort2WORST[[#This Row],[Month]]=AA$8,W$7,0)</f>
        <v>0</v>
      </c>
      <c r="Z257" s="13">
        <f>IF(AND(U257&gt;='Amort. Sched.-WORST'!$AA$8, U257&lt;= ($AA$7+$AA$8)), Z256+X257, 0)</f>
        <v>0</v>
      </c>
      <c r="AA257" s="24" t="str">
        <f>IF(AND(U257&gt;='Amort. Sched.-WORST'!$AA$8, U257&lt;= ($AA$7+$AA$8)), W257/V257, " ")</f>
        <v xml:space="preserve"> </v>
      </c>
      <c r="AB257" s="25" t="str">
        <f>IF(AND(U257&gt;='Amort. Sched.-WORST'!$AA$8, U257&lt;= ($AA$7+$AA$8)), X257/V257, " ")</f>
        <v xml:space="preserve"> </v>
      </c>
      <c r="AD257" s="20">
        <f t="shared" si="54"/>
        <v>246</v>
      </c>
      <c r="AE257" s="5">
        <f t="shared" si="55"/>
        <v>0</v>
      </c>
      <c r="AF257" s="5">
        <f t="shared" si="56"/>
        <v>0</v>
      </c>
      <c r="AG257" s="5">
        <f t="shared" si="57"/>
        <v>0</v>
      </c>
      <c r="AH257" s="5">
        <f>IF(CreditAmort3WORST[[#This Row],[Month]]=AJ$8,AF$7,0)</f>
        <v>0</v>
      </c>
      <c r="AI257" s="13">
        <f t="shared" si="58"/>
        <v>0</v>
      </c>
      <c r="AJ257" s="6" t="str">
        <f t="shared" si="59"/>
        <v xml:space="preserve"> </v>
      </c>
      <c r="AK257" s="21" t="str">
        <f t="shared" si="60"/>
        <v xml:space="preserve"> </v>
      </c>
      <c r="AM257" s="20">
        <f t="shared" si="61"/>
        <v>246</v>
      </c>
      <c r="AN257" s="5">
        <f t="shared" si="62"/>
        <v>0</v>
      </c>
      <c r="AO257" s="5">
        <f t="shared" si="63"/>
        <v>0</v>
      </c>
      <c r="AP257" s="5">
        <f t="shared" si="64"/>
        <v>0</v>
      </c>
      <c r="AQ257" s="5">
        <f>IF(CreditAmort4WORST[[#This Row],[Month]]=AS$8,AO$7,0)</f>
        <v>0</v>
      </c>
      <c r="AR257" s="13">
        <f t="shared" si="65"/>
        <v>0</v>
      </c>
      <c r="AS257" s="6" t="str">
        <f t="shared" si="66"/>
        <v xml:space="preserve"> </v>
      </c>
      <c r="AT257" s="21" t="str">
        <f t="shared" si="67"/>
        <v xml:space="preserve"> </v>
      </c>
    </row>
    <row r="258" spans="3:46">
      <c r="C258" s="22">
        <f t="shared" si="52"/>
        <v>247</v>
      </c>
      <c r="D258" s="23">
        <f>IF(AND(C258&gt;='Amort. Sched.-WORST'!$I$8, C258&lt;= ($I$7+$I$8)), PMT('Amort. Sched.-WORST'!$E$8/12, 'Amort. Sched.-WORST'!$I$7, 'Amort. Sched.-WORST'!$E$7), 0)</f>
        <v>-2026.0175758541329</v>
      </c>
      <c r="E258" s="5">
        <f>IF(AND(C258&gt;='Amort. Sched.-WORST'!$I$8, C258&lt;= ($I$7+$I$8)), (IPMT($E$8/12, (C258-$I$8), $I$7, $E$7)), 0)</f>
        <v>-610.8233636318223</v>
      </c>
      <c r="F258" s="23">
        <f>IF(AND(C258&gt;='Amort. Sched.-WORST'!$I$8, C258&lt;= ($I$7+$I$8)), (PPMT($E$8/12, (C258-$I$8), $I$7, $E$7)), 0)</f>
        <v>-1415.1942122223106</v>
      </c>
      <c r="G258" s="5">
        <f>IF(MortgageAmortWORST[[#This Row],[Month]]=I$8,E$7,0)</f>
        <v>0</v>
      </c>
      <c r="H258" s="13">
        <f>IF(AND(C258&gt;='Amort. Sched.-WORST'!$I$8, C258&lt;= ($I$7+$I$8)), H257+F258, 0)</f>
        <v>90208.310332551118</v>
      </c>
      <c r="I258" s="24">
        <f>IF(AND(C258&gt;='Amort. Sched.-WORST'!$I$8, C258&lt;= ($I$7+$I$8)), E258/D258, " ")</f>
        <v>0.30148966667987076</v>
      </c>
      <c r="J258" s="25">
        <f>IF(AND(C258&gt;='Amort. Sched.-WORST'!$I$8, C258&lt;= ($I$7+$I$8)), F258/D258, " ")</f>
        <v>0.69851033332012924</v>
      </c>
      <c r="L258" s="20">
        <f t="shared" si="51"/>
        <v>247</v>
      </c>
      <c r="M258" s="5">
        <f>IF(AND(L258&gt;='Amort. Sched.-WORST'!$R$8, L258&lt;= ($R$7+$R$8)), PMT('Amort. Sched.-WORST'!$N$8/12, 'Amort. Sched.-WORST'!$R$7, 'Amort. Sched.-WORST'!$N$7), 0)</f>
        <v>0</v>
      </c>
      <c r="N258" s="5">
        <f>IF(AND(L258&gt;='Amort. Sched.-WORST'!$R$8, L258&lt;= ($R$7+$R$8)), (IPMT($N$8/12, (L258-$R$8), $R$7, $N$7)), 0)</f>
        <v>0</v>
      </c>
      <c r="O258" s="5">
        <f>IF(AND(L258&gt;='Amort. Sched.-WORST'!$R$8, L258&lt;= ($R$7+$R$8)), (PPMT($N$8/12, (L258-$R$8), $R$7, $N$7)), 0)</f>
        <v>0</v>
      </c>
      <c r="P258" s="5">
        <f>IF(CreditAmort1WORST[[#This Row],[Month]]=R$8,N$7,0)</f>
        <v>0</v>
      </c>
      <c r="Q258" s="13">
        <f>IF(AND(L258&gt;='Amort. Sched.-WORST'!$R$8, L258&lt;= ($R$7+$R$8)), Q257+O258, 0)</f>
        <v>0</v>
      </c>
      <c r="R258" s="6" t="str">
        <f>IF(AND(L258&gt;='Amort. Sched.-WORST'!$R$8, L258&lt;= ($R$7+$R$8)), N258/M258, " ")</f>
        <v xml:space="preserve"> </v>
      </c>
      <c r="S258" s="21" t="str">
        <f>IF(AND(L258&gt;='Amort. Sched.-WORST'!$R$8, L258&lt;= ($R$7+$R$8)), O258/M258, " ")</f>
        <v xml:space="preserve"> </v>
      </c>
      <c r="U258" s="22">
        <f t="shared" si="53"/>
        <v>247</v>
      </c>
      <c r="V258" s="23">
        <f>IF(AND(U258&gt;='Amort. Sched.-WORST'!$AA$8, U258&lt;= ($AA$7+$AA$8)), PMT('Amort. Sched.-WORST'!$W$8/12, 'Amort. Sched.-WORST'!$AA$7, 'Amort. Sched.-WORST'!$W$7), 0)</f>
        <v>0</v>
      </c>
      <c r="W258" s="5">
        <f>IF(AND(U258&gt;='Amort. Sched.-WORST'!$AA$8, U258&lt;= ($AA$7+$AA$8)), (IPMT($W$8/12, (U258-$AA$8), $AA$7, $W$7)), 0)</f>
        <v>0</v>
      </c>
      <c r="X258" s="23">
        <f>IF(AND(U258&gt;='Amort. Sched.-WORST'!$AA$8, U258&lt;= ($AA$7+$AA$8)), (PPMT($W$8/12, (U258-$AA$8), $AA$7, $W$7)), 0)</f>
        <v>0</v>
      </c>
      <c r="Y258" s="5">
        <f>IF(CreditAmort2WORST[[#This Row],[Month]]=AA$8,W$7,0)</f>
        <v>0</v>
      </c>
      <c r="Z258" s="13">
        <f>IF(AND(U258&gt;='Amort. Sched.-WORST'!$AA$8, U258&lt;= ($AA$7+$AA$8)), Z257+X258, 0)</f>
        <v>0</v>
      </c>
      <c r="AA258" s="24" t="str">
        <f>IF(AND(U258&gt;='Amort. Sched.-WORST'!$AA$8, U258&lt;= ($AA$7+$AA$8)), W258/V258, " ")</f>
        <v xml:space="preserve"> </v>
      </c>
      <c r="AB258" s="25" t="str">
        <f>IF(AND(U258&gt;='Amort. Sched.-WORST'!$AA$8, U258&lt;= ($AA$7+$AA$8)), X258/V258, " ")</f>
        <v xml:space="preserve"> </v>
      </c>
      <c r="AD258" s="20">
        <f t="shared" si="54"/>
        <v>247</v>
      </c>
      <c r="AE258" s="5">
        <f t="shared" si="55"/>
        <v>0</v>
      </c>
      <c r="AF258" s="5">
        <f t="shared" si="56"/>
        <v>0</v>
      </c>
      <c r="AG258" s="5">
        <f t="shared" si="57"/>
        <v>0</v>
      </c>
      <c r="AH258" s="5">
        <f>IF(CreditAmort3WORST[[#This Row],[Month]]=AJ$8,AF$7,0)</f>
        <v>0</v>
      </c>
      <c r="AI258" s="13">
        <f t="shared" si="58"/>
        <v>0</v>
      </c>
      <c r="AJ258" s="6" t="str">
        <f t="shared" si="59"/>
        <v xml:space="preserve"> </v>
      </c>
      <c r="AK258" s="21" t="str">
        <f t="shared" si="60"/>
        <v xml:space="preserve"> </v>
      </c>
      <c r="AM258" s="20">
        <f t="shared" si="61"/>
        <v>247</v>
      </c>
      <c r="AN258" s="5">
        <f t="shared" si="62"/>
        <v>0</v>
      </c>
      <c r="AO258" s="5">
        <f t="shared" si="63"/>
        <v>0</v>
      </c>
      <c r="AP258" s="5">
        <f t="shared" si="64"/>
        <v>0</v>
      </c>
      <c r="AQ258" s="5">
        <f>IF(CreditAmort4WORST[[#This Row],[Month]]=AS$8,AO$7,0)</f>
        <v>0</v>
      </c>
      <c r="AR258" s="13">
        <f t="shared" si="65"/>
        <v>0</v>
      </c>
      <c r="AS258" s="6" t="str">
        <f t="shared" si="66"/>
        <v xml:space="preserve"> </v>
      </c>
      <c r="AT258" s="21" t="str">
        <f t="shared" si="67"/>
        <v xml:space="preserve"> </v>
      </c>
    </row>
    <row r="259" spans="3:46">
      <c r="C259" s="22">
        <f t="shared" si="52"/>
        <v>248</v>
      </c>
      <c r="D259" s="23">
        <f>IF(AND(C259&gt;='Amort. Sched.-WORST'!$I$8, C259&lt;= ($I$7+$I$8)), PMT('Amort. Sched.-WORST'!$E$8/12, 'Amort. Sched.-WORST'!$I$7, 'Amort. Sched.-WORST'!$E$7), 0)</f>
        <v>-2026.0175758541329</v>
      </c>
      <c r="E259" s="5">
        <f>IF(AND(C259&gt;='Amort. Sched.-WORST'!$I$8, C259&lt;= ($I$7+$I$8)), (IPMT($E$8/12, (C259-$I$8), $I$7, $E$7)), 0)</f>
        <v>-601.38873555034024</v>
      </c>
      <c r="F259" s="23">
        <f>IF(AND(C259&gt;='Amort. Sched.-WORST'!$I$8, C259&lt;= ($I$7+$I$8)), (PPMT($E$8/12, (C259-$I$8), $I$7, $E$7)), 0)</f>
        <v>-1424.6288403037927</v>
      </c>
      <c r="G259" s="5">
        <f>IF(MortgageAmortWORST[[#This Row],[Month]]=I$8,E$7,0)</f>
        <v>0</v>
      </c>
      <c r="H259" s="13">
        <f>IF(AND(C259&gt;='Amort. Sched.-WORST'!$I$8, C259&lt;= ($I$7+$I$8)), H258+F259, 0)</f>
        <v>88783.681492247328</v>
      </c>
      <c r="I259" s="24">
        <f>IF(AND(C259&gt;='Amort. Sched.-WORST'!$I$8, C259&lt;= ($I$7+$I$8)), E259/D259, " ")</f>
        <v>0.29683293112440323</v>
      </c>
      <c r="J259" s="25">
        <f>IF(AND(C259&gt;='Amort. Sched.-WORST'!$I$8, C259&lt;= ($I$7+$I$8)), F259/D259, " ")</f>
        <v>0.70316706887559677</v>
      </c>
      <c r="L259" s="20">
        <f t="shared" si="51"/>
        <v>248</v>
      </c>
      <c r="M259" s="5">
        <f>IF(AND(L259&gt;='Amort. Sched.-WORST'!$R$8, L259&lt;= ($R$7+$R$8)), PMT('Amort. Sched.-WORST'!$N$8/12, 'Amort. Sched.-WORST'!$R$7, 'Amort. Sched.-WORST'!$N$7), 0)</f>
        <v>0</v>
      </c>
      <c r="N259" s="5">
        <f>IF(AND(L259&gt;='Amort. Sched.-WORST'!$R$8, L259&lt;= ($R$7+$R$8)), (IPMT($N$8/12, (L259-$R$8), $R$7, $N$7)), 0)</f>
        <v>0</v>
      </c>
      <c r="O259" s="5">
        <f>IF(AND(L259&gt;='Amort. Sched.-WORST'!$R$8, L259&lt;= ($R$7+$R$8)), (PPMT($N$8/12, (L259-$R$8), $R$7, $N$7)), 0)</f>
        <v>0</v>
      </c>
      <c r="P259" s="5">
        <f>IF(CreditAmort1WORST[[#This Row],[Month]]=R$8,N$7,0)</f>
        <v>0</v>
      </c>
      <c r="Q259" s="13">
        <f>IF(AND(L259&gt;='Amort. Sched.-WORST'!$R$8, L259&lt;= ($R$7+$R$8)), Q258+O259, 0)</f>
        <v>0</v>
      </c>
      <c r="R259" s="6" t="str">
        <f>IF(AND(L259&gt;='Amort. Sched.-WORST'!$R$8, L259&lt;= ($R$7+$R$8)), N259/M259, " ")</f>
        <v xml:space="preserve"> </v>
      </c>
      <c r="S259" s="21" t="str">
        <f>IF(AND(L259&gt;='Amort. Sched.-WORST'!$R$8, L259&lt;= ($R$7+$R$8)), O259/M259, " ")</f>
        <v xml:space="preserve"> </v>
      </c>
      <c r="U259" s="22">
        <f t="shared" si="53"/>
        <v>248</v>
      </c>
      <c r="V259" s="23">
        <f>IF(AND(U259&gt;='Amort. Sched.-WORST'!$AA$8, U259&lt;= ($AA$7+$AA$8)), PMT('Amort. Sched.-WORST'!$W$8/12, 'Amort. Sched.-WORST'!$AA$7, 'Amort. Sched.-WORST'!$W$7), 0)</f>
        <v>0</v>
      </c>
      <c r="W259" s="5">
        <f>IF(AND(U259&gt;='Amort. Sched.-WORST'!$AA$8, U259&lt;= ($AA$7+$AA$8)), (IPMT($W$8/12, (U259-$AA$8), $AA$7, $W$7)), 0)</f>
        <v>0</v>
      </c>
      <c r="X259" s="23">
        <f>IF(AND(U259&gt;='Amort. Sched.-WORST'!$AA$8, U259&lt;= ($AA$7+$AA$8)), (PPMT($W$8/12, (U259-$AA$8), $AA$7, $W$7)), 0)</f>
        <v>0</v>
      </c>
      <c r="Y259" s="5">
        <f>IF(CreditAmort2WORST[[#This Row],[Month]]=AA$8,W$7,0)</f>
        <v>0</v>
      </c>
      <c r="Z259" s="13">
        <f>IF(AND(U259&gt;='Amort. Sched.-WORST'!$AA$8, U259&lt;= ($AA$7+$AA$8)), Z258+X259, 0)</f>
        <v>0</v>
      </c>
      <c r="AA259" s="24" t="str">
        <f>IF(AND(U259&gt;='Amort. Sched.-WORST'!$AA$8, U259&lt;= ($AA$7+$AA$8)), W259/V259, " ")</f>
        <v xml:space="preserve"> </v>
      </c>
      <c r="AB259" s="25" t="str">
        <f>IF(AND(U259&gt;='Amort. Sched.-WORST'!$AA$8, U259&lt;= ($AA$7+$AA$8)), X259/V259, " ")</f>
        <v xml:space="preserve"> </v>
      </c>
      <c r="AD259" s="20">
        <f t="shared" si="54"/>
        <v>248</v>
      </c>
      <c r="AE259" s="5">
        <f t="shared" si="55"/>
        <v>0</v>
      </c>
      <c r="AF259" s="5">
        <f t="shared" si="56"/>
        <v>0</v>
      </c>
      <c r="AG259" s="5">
        <f t="shared" si="57"/>
        <v>0</v>
      </c>
      <c r="AH259" s="5">
        <f>IF(CreditAmort3WORST[[#This Row],[Month]]=AJ$8,AF$7,0)</f>
        <v>0</v>
      </c>
      <c r="AI259" s="13">
        <f t="shared" si="58"/>
        <v>0</v>
      </c>
      <c r="AJ259" s="6" t="str">
        <f t="shared" si="59"/>
        <v xml:space="preserve"> </v>
      </c>
      <c r="AK259" s="21" t="str">
        <f t="shared" si="60"/>
        <v xml:space="preserve"> </v>
      </c>
      <c r="AM259" s="20">
        <f t="shared" si="61"/>
        <v>248</v>
      </c>
      <c r="AN259" s="5">
        <f t="shared" si="62"/>
        <v>0</v>
      </c>
      <c r="AO259" s="5">
        <f t="shared" si="63"/>
        <v>0</v>
      </c>
      <c r="AP259" s="5">
        <f t="shared" si="64"/>
        <v>0</v>
      </c>
      <c r="AQ259" s="5">
        <f>IF(CreditAmort4WORST[[#This Row],[Month]]=AS$8,AO$7,0)</f>
        <v>0</v>
      </c>
      <c r="AR259" s="13">
        <f t="shared" si="65"/>
        <v>0</v>
      </c>
      <c r="AS259" s="6" t="str">
        <f t="shared" si="66"/>
        <v xml:space="preserve"> </v>
      </c>
      <c r="AT259" s="21" t="str">
        <f t="shared" si="67"/>
        <v xml:space="preserve"> </v>
      </c>
    </row>
    <row r="260" spans="3:46">
      <c r="C260" s="22">
        <f t="shared" si="52"/>
        <v>249</v>
      </c>
      <c r="D260" s="23">
        <f>IF(AND(C260&gt;='Amort. Sched.-WORST'!$I$8, C260&lt;= ($I$7+$I$8)), PMT('Amort. Sched.-WORST'!$E$8/12, 'Amort. Sched.-WORST'!$I$7, 'Amort. Sched.-WORST'!$E$7), 0)</f>
        <v>-2026.0175758541329</v>
      </c>
      <c r="E260" s="5">
        <f>IF(AND(C260&gt;='Amort. Sched.-WORST'!$I$8, C260&lt;= ($I$7+$I$8)), (IPMT($E$8/12, (C260-$I$8), $I$7, $E$7)), 0)</f>
        <v>-591.89120994831489</v>
      </c>
      <c r="F260" s="23">
        <f>IF(AND(C260&gt;='Amort. Sched.-WORST'!$I$8, C260&lt;= ($I$7+$I$8)), (PPMT($E$8/12, (C260-$I$8), $I$7, $E$7)), 0)</f>
        <v>-1434.1263659058181</v>
      </c>
      <c r="G260" s="5">
        <f>IF(MortgageAmortWORST[[#This Row],[Month]]=I$8,E$7,0)</f>
        <v>0</v>
      </c>
      <c r="H260" s="13">
        <f>IF(AND(C260&gt;='Amort. Sched.-WORST'!$I$8, C260&lt;= ($I$7+$I$8)), H259+F260, 0)</f>
        <v>87349.555126341511</v>
      </c>
      <c r="I260" s="24">
        <f>IF(AND(C260&gt;='Amort. Sched.-WORST'!$I$8, C260&lt;= ($I$7+$I$8)), E260/D260, " ")</f>
        <v>0.29214515066523256</v>
      </c>
      <c r="J260" s="25">
        <f>IF(AND(C260&gt;='Amort. Sched.-WORST'!$I$8, C260&lt;= ($I$7+$I$8)), F260/D260, " ")</f>
        <v>0.7078548493347675</v>
      </c>
      <c r="L260" s="20">
        <f t="shared" si="51"/>
        <v>249</v>
      </c>
      <c r="M260" s="5">
        <f>IF(AND(L260&gt;='Amort. Sched.-WORST'!$R$8, L260&lt;= ($R$7+$R$8)), PMT('Amort. Sched.-WORST'!$N$8/12, 'Amort. Sched.-WORST'!$R$7, 'Amort. Sched.-WORST'!$N$7), 0)</f>
        <v>0</v>
      </c>
      <c r="N260" s="5">
        <f>IF(AND(L260&gt;='Amort. Sched.-WORST'!$R$8, L260&lt;= ($R$7+$R$8)), (IPMT($N$8/12, (L260-$R$8), $R$7, $N$7)), 0)</f>
        <v>0</v>
      </c>
      <c r="O260" s="5">
        <f>IF(AND(L260&gt;='Amort. Sched.-WORST'!$R$8, L260&lt;= ($R$7+$R$8)), (PPMT($N$8/12, (L260-$R$8), $R$7, $N$7)), 0)</f>
        <v>0</v>
      </c>
      <c r="P260" s="5">
        <f>IF(CreditAmort1WORST[[#This Row],[Month]]=R$8,N$7,0)</f>
        <v>0</v>
      </c>
      <c r="Q260" s="13">
        <f>IF(AND(L260&gt;='Amort. Sched.-WORST'!$R$8, L260&lt;= ($R$7+$R$8)), Q259+O260, 0)</f>
        <v>0</v>
      </c>
      <c r="R260" s="6" t="str">
        <f>IF(AND(L260&gt;='Amort. Sched.-WORST'!$R$8, L260&lt;= ($R$7+$R$8)), N260/M260, " ")</f>
        <v xml:space="preserve"> </v>
      </c>
      <c r="S260" s="21" t="str">
        <f>IF(AND(L260&gt;='Amort. Sched.-WORST'!$R$8, L260&lt;= ($R$7+$R$8)), O260/M260, " ")</f>
        <v xml:space="preserve"> </v>
      </c>
      <c r="U260" s="22">
        <f t="shared" si="53"/>
        <v>249</v>
      </c>
      <c r="V260" s="23">
        <f>IF(AND(U260&gt;='Amort. Sched.-WORST'!$AA$8, U260&lt;= ($AA$7+$AA$8)), PMT('Amort. Sched.-WORST'!$W$8/12, 'Amort. Sched.-WORST'!$AA$7, 'Amort. Sched.-WORST'!$W$7), 0)</f>
        <v>0</v>
      </c>
      <c r="W260" s="5">
        <f>IF(AND(U260&gt;='Amort. Sched.-WORST'!$AA$8, U260&lt;= ($AA$7+$AA$8)), (IPMT($W$8/12, (U260-$AA$8), $AA$7, $W$7)), 0)</f>
        <v>0</v>
      </c>
      <c r="X260" s="23">
        <f>IF(AND(U260&gt;='Amort. Sched.-WORST'!$AA$8, U260&lt;= ($AA$7+$AA$8)), (PPMT($W$8/12, (U260-$AA$8), $AA$7, $W$7)), 0)</f>
        <v>0</v>
      </c>
      <c r="Y260" s="5">
        <f>IF(CreditAmort2WORST[[#This Row],[Month]]=AA$8,W$7,0)</f>
        <v>0</v>
      </c>
      <c r="Z260" s="13">
        <f>IF(AND(U260&gt;='Amort. Sched.-WORST'!$AA$8, U260&lt;= ($AA$7+$AA$8)), Z259+X260, 0)</f>
        <v>0</v>
      </c>
      <c r="AA260" s="24" t="str">
        <f>IF(AND(U260&gt;='Amort. Sched.-WORST'!$AA$8, U260&lt;= ($AA$7+$AA$8)), W260/V260, " ")</f>
        <v xml:space="preserve"> </v>
      </c>
      <c r="AB260" s="25" t="str">
        <f>IF(AND(U260&gt;='Amort. Sched.-WORST'!$AA$8, U260&lt;= ($AA$7+$AA$8)), X260/V260, " ")</f>
        <v xml:space="preserve"> </v>
      </c>
      <c r="AD260" s="20">
        <f t="shared" si="54"/>
        <v>249</v>
      </c>
      <c r="AE260" s="5">
        <f t="shared" si="55"/>
        <v>0</v>
      </c>
      <c r="AF260" s="5">
        <f t="shared" si="56"/>
        <v>0</v>
      </c>
      <c r="AG260" s="5">
        <f t="shared" si="57"/>
        <v>0</v>
      </c>
      <c r="AH260" s="5">
        <f>IF(CreditAmort3WORST[[#This Row],[Month]]=AJ$8,AF$7,0)</f>
        <v>0</v>
      </c>
      <c r="AI260" s="13">
        <f t="shared" si="58"/>
        <v>0</v>
      </c>
      <c r="AJ260" s="6" t="str">
        <f t="shared" si="59"/>
        <v xml:space="preserve"> </v>
      </c>
      <c r="AK260" s="21" t="str">
        <f t="shared" si="60"/>
        <v xml:space="preserve"> </v>
      </c>
      <c r="AM260" s="20">
        <f t="shared" si="61"/>
        <v>249</v>
      </c>
      <c r="AN260" s="5">
        <f t="shared" si="62"/>
        <v>0</v>
      </c>
      <c r="AO260" s="5">
        <f t="shared" si="63"/>
        <v>0</v>
      </c>
      <c r="AP260" s="5">
        <f t="shared" si="64"/>
        <v>0</v>
      </c>
      <c r="AQ260" s="5">
        <f>IF(CreditAmort4WORST[[#This Row],[Month]]=AS$8,AO$7,0)</f>
        <v>0</v>
      </c>
      <c r="AR260" s="13">
        <f t="shared" si="65"/>
        <v>0</v>
      </c>
      <c r="AS260" s="6" t="str">
        <f t="shared" si="66"/>
        <v xml:space="preserve"> </v>
      </c>
      <c r="AT260" s="21" t="str">
        <f t="shared" si="67"/>
        <v xml:space="preserve"> </v>
      </c>
    </row>
    <row r="261" spans="3:46">
      <c r="C261" s="22">
        <f t="shared" si="52"/>
        <v>250</v>
      </c>
      <c r="D261" s="23">
        <f>IF(AND(C261&gt;='Amort. Sched.-WORST'!$I$8, C261&lt;= ($I$7+$I$8)), PMT('Amort. Sched.-WORST'!$E$8/12, 'Amort. Sched.-WORST'!$I$7, 'Amort. Sched.-WORST'!$E$7), 0)</f>
        <v>-2026.0175758541329</v>
      </c>
      <c r="E261" s="5">
        <f>IF(AND(C261&gt;='Amort. Sched.-WORST'!$I$8, C261&lt;= ($I$7+$I$8)), (IPMT($E$8/12, (C261-$I$8), $I$7, $E$7)), 0)</f>
        <v>-582.33036750894291</v>
      </c>
      <c r="F261" s="23">
        <f>IF(AND(C261&gt;='Amort. Sched.-WORST'!$I$8, C261&lt;= ($I$7+$I$8)), (PPMT($E$8/12, (C261-$I$8), $I$7, $E$7)), 0)</f>
        <v>-1443.6872083451904</v>
      </c>
      <c r="G261" s="5">
        <f>IF(MortgageAmortWORST[[#This Row],[Month]]=I$8,E$7,0)</f>
        <v>0</v>
      </c>
      <c r="H261" s="13">
        <f>IF(AND(C261&gt;='Amort. Sched.-WORST'!$I$8, C261&lt;= ($I$7+$I$8)), H260+F261, 0)</f>
        <v>85905.867917996322</v>
      </c>
      <c r="I261" s="24">
        <f>IF(AND(C261&gt;='Amort. Sched.-WORST'!$I$8, C261&lt;= ($I$7+$I$8)), E261/D261, " ")</f>
        <v>0.28742611833633419</v>
      </c>
      <c r="J261" s="25">
        <f>IF(AND(C261&gt;='Amort. Sched.-WORST'!$I$8, C261&lt;= ($I$7+$I$8)), F261/D261, " ")</f>
        <v>0.71257388166366598</v>
      </c>
      <c r="L261" s="20">
        <f t="shared" si="51"/>
        <v>250</v>
      </c>
      <c r="M261" s="5">
        <f>IF(AND(L261&gt;='Amort. Sched.-WORST'!$R$8, L261&lt;= ($R$7+$R$8)), PMT('Amort. Sched.-WORST'!$N$8/12, 'Amort. Sched.-WORST'!$R$7, 'Amort. Sched.-WORST'!$N$7), 0)</f>
        <v>0</v>
      </c>
      <c r="N261" s="5">
        <f>IF(AND(L261&gt;='Amort. Sched.-WORST'!$R$8, L261&lt;= ($R$7+$R$8)), (IPMT($N$8/12, (L261-$R$8), $R$7, $N$7)), 0)</f>
        <v>0</v>
      </c>
      <c r="O261" s="5">
        <f>IF(AND(L261&gt;='Amort. Sched.-WORST'!$R$8, L261&lt;= ($R$7+$R$8)), (PPMT($N$8/12, (L261-$R$8), $R$7, $N$7)), 0)</f>
        <v>0</v>
      </c>
      <c r="P261" s="5">
        <f>IF(CreditAmort1WORST[[#This Row],[Month]]=R$8,N$7,0)</f>
        <v>0</v>
      </c>
      <c r="Q261" s="13">
        <f>IF(AND(L261&gt;='Amort. Sched.-WORST'!$R$8, L261&lt;= ($R$7+$R$8)), Q260+O261, 0)</f>
        <v>0</v>
      </c>
      <c r="R261" s="6" t="str">
        <f>IF(AND(L261&gt;='Amort. Sched.-WORST'!$R$8, L261&lt;= ($R$7+$R$8)), N261/M261, " ")</f>
        <v xml:space="preserve"> </v>
      </c>
      <c r="S261" s="21" t="str">
        <f>IF(AND(L261&gt;='Amort. Sched.-WORST'!$R$8, L261&lt;= ($R$7+$R$8)), O261/M261, " ")</f>
        <v xml:space="preserve"> </v>
      </c>
      <c r="U261" s="22">
        <f t="shared" si="53"/>
        <v>250</v>
      </c>
      <c r="V261" s="23">
        <f>IF(AND(U261&gt;='Amort. Sched.-WORST'!$AA$8, U261&lt;= ($AA$7+$AA$8)), PMT('Amort. Sched.-WORST'!$W$8/12, 'Amort. Sched.-WORST'!$AA$7, 'Amort. Sched.-WORST'!$W$7), 0)</f>
        <v>0</v>
      </c>
      <c r="W261" s="5">
        <f>IF(AND(U261&gt;='Amort. Sched.-WORST'!$AA$8, U261&lt;= ($AA$7+$AA$8)), (IPMT($W$8/12, (U261-$AA$8), $AA$7, $W$7)), 0)</f>
        <v>0</v>
      </c>
      <c r="X261" s="23">
        <f>IF(AND(U261&gt;='Amort. Sched.-WORST'!$AA$8, U261&lt;= ($AA$7+$AA$8)), (PPMT($W$8/12, (U261-$AA$8), $AA$7, $W$7)), 0)</f>
        <v>0</v>
      </c>
      <c r="Y261" s="5">
        <f>IF(CreditAmort2WORST[[#This Row],[Month]]=AA$8,W$7,0)</f>
        <v>0</v>
      </c>
      <c r="Z261" s="13">
        <f>IF(AND(U261&gt;='Amort. Sched.-WORST'!$AA$8, U261&lt;= ($AA$7+$AA$8)), Z260+X261, 0)</f>
        <v>0</v>
      </c>
      <c r="AA261" s="24" t="str">
        <f>IF(AND(U261&gt;='Amort. Sched.-WORST'!$AA$8, U261&lt;= ($AA$7+$AA$8)), W261/V261, " ")</f>
        <v xml:space="preserve"> </v>
      </c>
      <c r="AB261" s="25" t="str">
        <f>IF(AND(U261&gt;='Amort. Sched.-WORST'!$AA$8, U261&lt;= ($AA$7+$AA$8)), X261/V261, " ")</f>
        <v xml:space="preserve"> </v>
      </c>
      <c r="AD261" s="20">
        <f t="shared" si="54"/>
        <v>250</v>
      </c>
      <c r="AE261" s="5">
        <f t="shared" si="55"/>
        <v>0</v>
      </c>
      <c r="AF261" s="5">
        <f t="shared" si="56"/>
        <v>0</v>
      </c>
      <c r="AG261" s="5">
        <f t="shared" si="57"/>
        <v>0</v>
      </c>
      <c r="AH261" s="5">
        <f>IF(CreditAmort3WORST[[#This Row],[Month]]=AJ$8,AF$7,0)</f>
        <v>0</v>
      </c>
      <c r="AI261" s="13">
        <f t="shared" si="58"/>
        <v>0</v>
      </c>
      <c r="AJ261" s="6" t="str">
        <f t="shared" si="59"/>
        <v xml:space="preserve"> </v>
      </c>
      <c r="AK261" s="21" t="str">
        <f t="shared" si="60"/>
        <v xml:space="preserve"> </v>
      </c>
      <c r="AM261" s="20">
        <f t="shared" si="61"/>
        <v>250</v>
      </c>
      <c r="AN261" s="5">
        <f t="shared" si="62"/>
        <v>0</v>
      </c>
      <c r="AO261" s="5">
        <f t="shared" si="63"/>
        <v>0</v>
      </c>
      <c r="AP261" s="5">
        <f t="shared" si="64"/>
        <v>0</v>
      </c>
      <c r="AQ261" s="5">
        <f>IF(CreditAmort4WORST[[#This Row],[Month]]=AS$8,AO$7,0)</f>
        <v>0</v>
      </c>
      <c r="AR261" s="13">
        <f t="shared" si="65"/>
        <v>0</v>
      </c>
      <c r="AS261" s="6" t="str">
        <f t="shared" si="66"/>
        <v xml:space="preserve"> </v>
      </c>
      <c r="AT261" s="21" t="str">
        <f t="shared" si="67"/>
        <v xml:space="preserve"> </v>
      </c>
    </row>
    <row r="262" spans="3:46">
      <c r="C262" s="22">
        <f t="shared" si="52"/>
        <v>251</v>
      </c>
      <c r="D262" s="23">
        <f>IF(AND(C262&gt;='Amort. Sched.-WORST'!$I$8, C262&lt;= ($I$7+$I$8)), PMT('Amort. Sched.-WORST'!$E$8/12, 'Amort. Sched.-WORST'!$I$7, 'Amort. Sched.-WORST'!$E$7), 0)</f>
        <v>-2026.0175758541329</v>
      </c>
      <c r="E262" s="5">
        <f>IF(AND(C262&gt;='Amort. Sched.-WORST'!$I$8, C262&lt;= ($I$7+$I$8)), (IPMT($E$8/12, (C262-$I$8), $I$7, $E$7)), 0)</f>
        <v>-572.70578611997496</v>
      </c>
      <c r="F262" s="23">
        <f>IF(AND(C262&gt;='Amort. Sched.-WORST'!$I$8, C262&lt;= ($I$7+$I$8)), (PPMT($E$8/12, (C262-$I$8), $I$7, $E$7)), 0)</f>
        <v>-1453.3117897341581</v>
      </c>
      <c r="G262" s="5">
        <f>IF(MortgageAmortWORST[[#This Row],[Month]]=I$8,E$7,0)</f>
        <v>0</v>
      </c>
      <c r="H262" s="13">
        <f>IF(AND(C262&gt;='Amort. Sched.-WORST'!$I$8, C262&lt;= ($I$7+$I$8)), H261+F262, 0)</f>
        <v>84452.556128262164</v>
      </c>
      <c r="I262" s="24">
        <f>IF(AND(C262&gt;='Amort. Sched.-WORST'!$I$8, C262&lt;= ($I$7+$I$8)), E262/D262, " ")</f>
        <v>0.28267562579190975</v>
      </c>
      <c r="J262" s="25">
        <f>IF(AND(C262&gt;='Amort. Sched.-WORST'!$I$8, C262&lt;= ($I$7+$I$8)), F262/D262, " ")</f>
        <v>0.71732437420809037</v>
      </c>
      <c r="L262" s="20">
        <f t="shared" si="51"/>
        <v>251</v>
      </c>
      <c r="M262" s="5">
        <f>IF(AND(L262&gt;='Amort. Sched.-WORST'!$R$8, L262&lt;= ($R$7+$R$8)), PMT('Amort. Sched.-WORST'!$N$8/12, 'Amort. Sched.-WORST'!$R$7, 'Amort. Sched.-WORST'!$N$7), 0)</f>
        <v>0</v>
      </c>
      <c r="N262" s="5">
        <f>IF(AND(L262&gt;='Amort. Sched.-WORST'!$R$8, L262&lt;= ($R$7+$R$8)), (IPMT($N$8/12, (L262-$R$8), $R$7, $N$7)), 0)</f>
        <v>0</v>
      </c>
      <c r="O262" s="5">
        <f>IF(AND(L262&gt;='Amort. Sched.-WORST'!$R$8, L262&lt;= ($R$7+$R$8)), (PPMT($N$8/12, (L262-$R$8), $R$7, $N$7)), 0)</f>
        <v>0</v>
      </c>
      <c r="P262" s="5">
        <f>IF(CreditAmort1WORST[[#This Row],[Month]]=R$8,N$7,0)</f>
        <v>0</v>
      </c>
      <c r="Q262" s="13">
        <f>IF(AND(L262&gt;='Amort. Sched.-WORST'!$R$8, L262&lt;= ($R$7+$R$8)), Q261+O262, 0)</f>
        <v>0</v>
      </c>
      <c r="R262" s="6" t="str">
        <f>IF(AND(L262&gt;='Amort. Sched.-WORST'!$R$8, L262&lt;= ($R$7+$R$8)), N262/M262, " ")</f>
        <v xml:space="preserve"> </v>
      </c>
      <c r="S262" s="21" t="str">
        <f>IF(AND(L262&gt;='Amort. Sched.-WORST'!$R$8, L262&lt;= ($R$7+$R$8)), O262/M262, " ")</f>
        <v xml:space="preserve"> </v>
      </c>
      <c r="U262" s="22">
        <f t="shared" si="53"/>
        <v>251</v>
      </c>
      <c r="V262" s="23">
        <f>IF(AND(U262&gt;='Amort. Sched.-WORST'!$AA$8, U262&lt;= ($AA$7+$AA$8)), PMT('Amort. Sched.-WORST'!$W$8/12, 'Amort. Sched.-WORST'!$AA$7, 'Amort. Sched.-WORST'!$W$7), 0)</f>
        <v>0</v>
      </c>
      <c r="W262" s="5">
        <f>IF(AND(U262&gt;='Amort. Sched.-WORST'!$AA$8, U262&lt;= ($AA$7+$AA$8)), (IPMT($W$8/12, (U262-$AA$8), $AA$7, $W$7)), 0)</f>
        <v>0</v>
      </c>
      <c r="X262" s="23">
        <f>IF(AND(U262&gt;='Amort. Sched.-WORST'!$AA$8, U262&lt;= ($AA$7+$AA$8)), (PPMT($W$8/12, (U262-$AA$8), $AA$7, $W$7)), 0)</f>
        <v>0</v>
      </c>
      <c r="Y262" s="5">
        <f>IF(CreditAmort2WORST[[#This Row],[Month]]=AA$8,W$7,0)</f>
        <v>0</v>
      </c>
      <c r="Z262" s="13">
        <f>IF(AND(U262&gt;='Amort. Sched.-WORST'!$AA$8, U262&lt;= ($AA$7+$AA$8)), Z261+X262, 0)</f>
        <v>0</v>
      </c>
      <c r="AA262" s="24" t="str">
        <f>IF(AND(U262&gt;='Amort. Sched.-WORST'!$AA$8, U262&lt;= ($AA$7+$AA$8)), W262/V262, " ")</f>
        <v xml:space="preserve"> </v>
      </c>
      <c r="AB262" s="25" t="str">
        <f>IF(AND(U262&gt;='Amort. Sched.-WORST'!$AA$8, U262&lt;= ($AA$7+$AA$8)), X262/V262, " ")</f>
        <v xml:space="preserve"> </v>
      </c>
      <c r="AD262" s="20">
        <f t="shared" si="54"/>
        <v>251</v>
      </c>
      <c r="AE262" s="5">
        <f t="shared" si="55"/>
        <v>0</v>
      </c>
      <c r="AF262" s="5">
        <f t="shared" si="56"/>
        <v>0</v>
      </c>
      <c r="AG262" s="5">
        <f t="shared" si="57"/>
        <v>0</v>
      </c>
      <c r="AH262" s="5">
        <f>IF(CreditAmort3WORST[[#This Row],[Month]]=AJ$8,AF$7,0)</f>
        <v>0</v>
      </c>
      <c r="AI262" s="13">
        <f t="shared" si="58"/>
        <v>0</v>
      </c>
      <c r="AJ262" s="6" t="str">
        <f t="shared" si="59"/>
        <v xml:space="preserve"> </v>
      </c>
      <c r="AK262" s="21" t="str">
        <f t="shared" si="60"/>
        <v xml:space="preserve"> </v>
      </c>
      <c r="AM262" s="20">
        <f t="shared" si="61"/>
        <v>251</v>
      </c>
      <c r="AN262" s="5">
        <f t="shared" si="62"/>
        <v>0</v>
      </c>
      <c r="AO262" s="5">
        <f t="shared" si="63"/>
        <v>0</v>
      </c>
      <c r="AP262" s="5">
        <f t="shared" si="64"/>
        <v>0</v>
      </c>
      <c r="AQ262" s="5">
        <f>IF(CreditAmort4WORST[[#This Row],[Month]]=AS$8,AO$7,0)</f>
        <v>0</v>
      </c>
      <c r="AR262" s="13">
        <f t="shared" si="65"/>
        <v>0</v>
      </c>
      <c r="AS262" s="6" t="str">
        <f t="shared" si="66"/>
        <v xml:space="preserve"> </v>
      </c>
      <c r="AT262" s="21" t="str">
        <f t="shared" si="67"/>
        <v xml:space="preserve"> </v>
      </c>
    </row>
    <row r="263" spans="3:46">
      <c r="C263" s="22">
        <f t="shared" si="52"/>
        <v>252</v>
      </c>
      <c r="D263" s="23">
        <f>IF(AND(C263&gt;='Amort. Sched.-WORST'!$I$8, C263&lt;= ($I$7+$I$8)), PMT('Amort. Sched.-WORST'!$E$8/12, 'Amort. Sched.-WORST'!$I$7, 'Amort. Sched.-WORST'!$E$7), 0)</f>
        <v>-2026.0175758541329</v>
      </c>
      <c r="E263" s="5">
        <f>IF(AND(C263&gt;='Amort. Sched.-WORST'!$I$8, C263&lt;= ($I$7+$I$8)), (IPMT($E$8/12, (C263-$I$8), $I$7, $E$7)), 0)</f>
        <v>-563.0170408550805</v>
      </c>
      <c r="F263" s="23">
        <f>IF(AND(C263&gt;='Amort. Sched.-WORST'!$I$8, C263&lt;= ($I$7+$I$8)), (PPMT($E$8/12, (C263-$I$8), $I$7, $E$7)), 0)</f>
        <v>-1463.0005349990524</v>
      </c>
      <c r="G263" s="5">
        <f>IF(MortgageAmortWORST[[#This Row],[Month]]=I$8,E$7,0)</f>
        <v>0</v>
      </c>
      <c r="H263" s="13">
        <f>IF(AND(C263&gt;='Amort. Sched.-WORST'!$I$8, C263&lt;= ($I$7+$I$8)), H262+F263, 0)</f>
        <v>82989.55559326311</v>
      </c>
      <c r="I263" s="24">
        <f>IF(AND(C263&gt;='Amort. Sched.-WORST'!$I$8, C263&lt;= ($I$7+$I$8)), E263/D263, " ")</f>
        <v>0.27789346329718911</v>
      </c>
      <c r="J263" s="25">
        <f>IF(AND(C263&gt;='Amort. Sched.-WORST'!$I$8, C263&lt;= ($I$7+$I$8)), F263/D263, " ")</f>
        <v>0.72210653670281089</v>
      </c>
      <c r="L263" s="20">
        <f t="shared" si="51"/>
        <v>252</v>
      </c>
      <c r="M263" s="5">
        <f>IF(AND(L263&gt;='Amort. Sched.-WORST'!$R$8, L263&lt;= ($R$7+$R$8)), PMT('Amort. Sched.-WORST'!$N$8/12, 'Amort. Sched.-WORST'!$R$7, 'Amort. Sched.-WORST'!$N$7), 0)</f>
        <v>0</v>
      </c>
      <c r="N263" s="5">
        <f>IF(AND(L263&gt;='Amort. Sched.-WORST'!$R$8, L263&lt;= ($R$7+$R$8)), (IPMT($N$8/12, (L263-$R$8), $R$7, $N$7)), 0)</f>
        <v>0</v>
      </c>
      <c r="O263" s="5">
        <f>IF(AND(L263&gt;='Amort. Sched.-WORST'!$R$8, L263&lt;= ($R$7+$R$8)), (PPMT($N$8/12, (L263-$R$8), $R$7, $N$7)), 0)</f>
        <v>0</v>
      </c>
      <c r="P263" s="5">
        <f>IF(CreditAmort1WORST[[#This Row],[Month]]=R$8,N$7,0)</f>
        <v>0</v>
      </c>
      <c r="Q263" s="13">
        <f>IF(AND(L263&gt;='Amort. Sched.-WORST'!$R$8, L263&lt;= ($R$7+$R$8)), Q262+O263, 0)</f>
        <v>0</v>
      </c>
      <c r="R263" s="6" t="str">
        <f>IF(AND(L263&gt;='Amort. Sched.-WORST'!$R$8, L263&lt;= ($R$7+$R$8)), N263/M263, " ")</f>
        <v xml:space="preserve"> </v>
      </c>
      <c r="S263" s="21" t="str">
        <f>IF(AND(L263&gt;='Amort. Sched.-WORST'!$R$8, L263&lt;= ($R$7+$R$8)), O263/M263, " ")</f>
        <v xml:space="preserve"> </v>
      </c>
      <c r="U263" s="22">
        <f t="shared" si="53"/>
        <v>252</v>
      </c>
      <c r="V263" s="23">
        <f>IF(AND(U263&gt;='Amort. Sched.-WORST'!$AA$8, U263&lt;= ($AA$7+$AA$8)), PMT('Amort. Sched.-WORST'!$W$8/12, 'Amort. Sched.-WORST'!$AA$7, 'Amort. Sched.-WORST'!$W$7), 0)</f>
        <v>0</v>
      </c>
      <c r="W263" s="5">
        <f>IF(AND(U263&gt;='Amort. Sched.-WORST'!$AA$8, U263&lt;= ($AA$7+$AA$8)), (IPMT($W$8/12, (U263-$AA$8), $AA$7, $W$7)), 0)</f>
        <v>0</v>
      </c>
      <c r="X263" s="23">
        <f>IF(AND(U263&gt;='Amort. Sched.-WORST'!$AA$8, U263&lt;= ($AA$7+$AA$8)), (PPMT($W$8/12, (U263-$AA$8), $AA$7, $W$7)), 0)</f>
        <v>0</v>
      </c>
      <c r="Y263" s="5">
        <f>IF(CreditAmort2WORST[[#This Row],[Month]]=AA$8,W$7,0)</f>
        <v>0</v>
      </c>
      <c r="Z263" s="13">
        <f>IF(AND(U263&gt;='Amort. Sched.-WORST'!$AA$8, U263&lt;= ($AA$7+$AA$8)), Z262+X263, 0)</f>
        <v>0</v>
      </c>
      <c r="AA263" s="24" t="str">
        <f>IF(AND(U263&gt;='Amort. Sched.-WORST'!$AA$8, U263&lt;= ($AA$7+$AA$8)), W263/V263, " ")</f>
        <v xml:space="preserve"> </v>
      </c>
      <c r="AB263" s="25" t="str">
        <f>IF(AND(U263&gt;='Amort. Sched.-WORST'!$AA$8, U263&lt;= ($AA$7+$AA$8)), X263/V263, " ")</f>
        <v xml:space="preserve"> </v>
      </c>
      <c r="AD263" s="20">
        <f t="shared" si="54"/>
        <v>252</v>
      </c>
      <c r="AE263" s="5">
        <f t="shared" si="55"/>
        <v>0</v>
      </c>
      <c r="AF263" s="5">
        <f t="shared" si="56"/>
        <v>0</v>
      </c>
      <c r="AG263" s="5">
        <f t="shared" si="57"/>
        <v>0</v>
      </c>
      <c r="AH263" s="5">
        <f>IF(CreditAmort3WORST[[#This Row],[Month]]=AJ$8,AF$7,0)</f>
        <v>0</v>
      </c>
      <c r="AI263" s="13">
        <f t="shared" si="58"/>
        <v>0</v>
      </c>
      <c r="AJ263" s="6" t="str">
        <f t="shared" si="59"/>
        <v xml:space="preserve"> </v>
      </c>
      <c r="AK263" s="21" t="str">
        <f t="shared" si="60"/>
        <v xml:space="preserve"> </v>
      </c>
      <c r="AM263" s="20">
        <f t="shared" si="61"/>
        <v>252</v>
      </c>
      <c r="AN263" s="5">
        <f t="shared" si="62"/>
        <v>0</v>
      </c>
      <c r="AO263" s="5">
        <f t="shared" si="63"/>
        <v>0</v>
      </c>
      <c r="AP263" s="5">
        <f t="shared" si="64"/>
        <v>0</v>
      </c>
      <c r="AQ263" s="5">
        <f>IF(CreditAmort4WORST[[#This Row],[Month]]=AS$8,AO$7,0)</f>
        <v>0</v>
      </c>
      <c r="AR263" s="13">
        <f t="shared" si="65"/>
        <v>0</v>
      </c>
      <c r="AS263" s="6" t="str">
        <f t="shared" si="66"/>
        <v xml:space="preserve"> </v>
      </c>
      <c r="AT263" s="21" t="str">
        <f t="shared" si="67"/>
        <v xml:space="preserve"> </v>
      </c>
    </row>
    <row r="264" spans="3:46">
      <c r="C264" s="22">
        <f t="shared" si="52"/>
        <v>253</v>
      </c>
      <c r="D264" s="23">
        <f>IF(AND(C264&gt;='Amort. Sched.-WORST'!$I$8, C264&lt;= ($I$7+$I$8)), PMT('Amort. Sched.-WORST'!$E$8/12, 'Amort. Sched.-WORST'!$I$7, 'Amort. Sched.-WORST'!$E$7), 0)</f>
        <v>-2026.0175758541329</v>
      </c>
      <c r="E264" s="5">
        <f>IF(AND(C264&gt;='Amort. Sched.-WORST'!$I$8, C264&lt;= ($I$7+$I$8)), (IPMT($E$8/12, (C264-$I$8), $I$7, $E$7)), 0)</f>
        <v>-553.26370395508673</v>
      </c>
      <c r="F264" s="23">
        <f>IF(AND(C264&gt;='Amort. Sched.-WORST'!$I$8, C264&lt;= ($I$7+$I$8)), (PPMT($E$8/12, (C264-$I$8), $I$7, $E$7)), 0)</f>
        <v>-1472.7538718990461</v>
      </c>
      <c r="G264" s="5">
        <f>IF(MortgageAmortWORST[[#This Row],[Month]]=I$8,E$7,0)</f>
        <v>0</v>
      </c>
      <c r="H264" s="13">
        <f>IF(AND(C264&gt;='Amort. Sched.-WORST'!$I$8, C264&lt;= ($I$7+$I$8)), H263+F264, 0)</f>
        <v>81516.801721364071</v>
      </c>
      <c r="I264" s="24">
        <f>IF(AND(C264&gt;='Amort. Sched.-WORST'!$I$8, C264&lt;= ($I$7+$I$8)), E264/D264, " ")</f>
        <v>0.27307941971917032</v>
      </c>
      <c r="J264" s="25">
        <f>IF(AND(C264&gt;='Amort. Sched.-WORST'!$I$8, C264&lt;= ($I$7+$I$8)), F264/D264, " ")</f>
        <v>0.72692058028082962</v>
      </c>
      <c r="L264" s="20">
        <f t="shared" si="51"/>
        <v>253</v>
      </c>
      <c r="M264" s="5">
        <f>IF(AND(L264&gt;='Amort. Sched.-WORST'!$R$8, L264&lt;= ($R$7+$R$8)), PMT('Amort. Sched.-WORST'!$N$8/12, 'Amort. Sched.-WORST'!$R$7, 'Amort. Sched.-WORST'!$N$7), 0)</f>
        <v>0</v>
      </c>
      <c r="N264" s="5">
        <f>IF(AND(L264&gt;='Amort. Sched.-WORST'!$R$8, L264&lt;= ($R$7+$R$8)), (IPMT($N$8/12, (L264-$R$8), $R$7, $N$7)), 0)</f>
        <v>0</v>
      </c>
      <c r="O264" s="5">
        <f>IF(AND(L264&gt;='Amort. Sched.-WORST'!$R$8, L264&lt;= ($R$7+$R$8)), (PPMT($N$8/12, (L264-$R$8), $R$7, $N$7)), 0)</f>
        <v>0</v>
      </c>
      <c r="P264" s="5">
        <f>IF(CreditAmort1WORST[[#This Row],[Month]]=R$8,N$7,0)</f>
        <v>0</v>
      </c>
      <c r="Q264" s="13">
        <f>IF(AND(L264&gt;='Amort. Sched.-WORST'!$R$8, L264&lt;= ($R$7+$R$8)), Q263+O264, 0)</f>
        <v>0</v>
      </c>
      <c r="R264" s="6" t="str">
        <f>IF(AND(L264&gt;='Amort. Sched.-WORST'!$R$8, L264&lt;= ($R$7+$R$8)), N264/M264, " ")</f>
        <v xml:space="preserve"> </v>
      </c>
      <c r="S264" s="21" t="str">
        <f>IF(AND(L264&gt;='Amort. Sched.-WORST'!$R$8, L264&lt;= ($R$7+$R$8)), O264/M264, " ")</f>
        <v xml:space="preserve"> </v>
      </c>
      <c r="U264" s="22">
        <f t="shared" si="53"/>
        <v>253</v>
      </c>
      <c r="V264" s="23">
        <f>IF(AND(U264&gt;='Amort. Sched.-WORST'!$AA$8, U264&lt;= ($AA$7+$AA$8)), PMT('Amort. Sched.-WORST'!$W$8/12, 'Amort. Sched.-WORST'!$AA$7, 'Amort. Sched.-WORST'!$W$7), 0)</f>
        <v>0</v>
      </c>
      <c r="W264" s="5">
        <f>IF(AND(U264&gt;='Amort. Sched.-WORST'!$AA$8, U264&lt;= ($AA$7+$AA$8)), (IPMT($W$8/12, (U264-$AA$8), $AA$7, $W$7)), 0)</f>
        <v>0</v>
      </c>
      <c r="X264" s="23">
        <f>IF(AND(U264&gt;='Amort. Sched.-WORST'!$AA$8, U264&lt;= ($AA$7+$AA$8)), (PPMT($W$8/12, (U264-$AA$8), $AA$7, $W$7)), 0)</f>
        <v>0</v>
      </c>
      <c r="Y264" s="5">
        <f>IF(CreditAmort2WORST[[#This Row],[Month]]=AA$8,W$7,0)</f>
        <v>0</v>
      </c>
      <c r="Z264" s="13">
        <f>IF(AND(U264&gt;='Amort. Sched.-WORST'!$AA$8, U264&lt;= ($AA$7+$AA$8)), Z263+X264, 0)</f>
        <v>0</v>
      </c>
      <c r="AA264" s="24" t="str">
        <f>IF(AND(U264&gt;='Amort. Sched.-WORST'!$AA$8, U264&lt;= ($AA$7+$AA$8)), W264/V264, " ")</f>
        <v xml:space="preserve"> </v>
      </c>
      <c r="AB264" s="25" t="str">
        <f>IF(AND(U264&gt;='Amort. Sched.-WORST'!$AA$8, U264&lt;= ($AA$7+$AA$8)), X264/V264, " ")</f>
        <v xml:space="preserve"> </v>
      </c>
      <c r="AD264" s="20">
        <f t="shared" si="54"/>
        <v>253</v>
      </c>
      <c r="AE264" s="5">
        <f t="shared" si="55"/>
        <v>0</v>
      </c>
      <c r="AF264" s="5">
        <f t="shared" si="56"/>
        <v>0</v>
      </c>
      <c r="AG264" s="5">
        <f t="shared" si="57"/>
        <v>0</v>
      </c>
      <c r="AH264" s="5">
        <f>IF(CreditAmort3WORST[[#This Row],[Month]]=AJ$8,AF$7,0)</f>
        <v>0</v>
      </c>
      <c r="AI264" s="13">
        <f t="shared" si="58"/>
        <v>0</v>
      </c>
      <c r="AJ264" s="6" t="str">
        <f t="shared" si="59"/>
        <v xml:space="preserve"> </v>
      </c>
      <c r="AK264" s="21" t="str">
        <f t="shared" si="60"/>
        <v xml:space="preserve"> </v>
      </c>
      <c r="AM264" s="20">
        <f t="shared" si="61"/>
        <v>253</v>
      </c>
      <c r="AN264" s="5">
        <f t="shared" si="62"/>
        <v>0</v>
      </c>
      <c r="AO264" s="5">
        <f t="shared" si="63"/>
        <v>0</v>
      </c>
      <c r="AP264" s="5">
        <f t="shared" si="64"/>
        <v>0</v>
      </c>
      <c r="AQ264" s="5">
        <f>IF(CreditAmort4WORST[[#This Row],[Month]]=AS$8,AO$7,0)</f>
        <v>0</v>
      </c>
      <c r="AR264" s="13">
        <f t="shared" si="65"/>
        <v>0</v>
      </c>
      <c r="AS264" s="6" t="str">
        <f t="shared" si="66"/>
        <v xml:space="preserve"> </v>
      </c>
      <c r="AT264" s="21" t="str">
        <f t="shared" si="67"/>
        <v xml:space="preserve"> </v>
      </c>
    </row>
    <row r="265" spans="3:46">
      <c r="C265" s="22">
        <f t="shared" si="52"/>
        <v>254</v>
      </c>
      <c r="D265" s="23">
        <f>IF(AND(C265&gt;='Amort. Sched.-WORST'!$I$8, C265&lt;= ($I$7+$I$8)), PMT('Amort. Sched.-WORST'!$E$8/12, 'Amort. Sched.-WORST'!$I$7, 'Amort. Sched.-WORST'!$E$7), 0)</f>
        <v>-2026.0175758541329</v>
      </c>
      <c r="E265" s="5">
        <f>IF(AND(C265&gt;='Amort. Sched.-WORST'!$I$8, C265&lt;= ($I$7+$I$8)), (IPMT($E$8/12, (C265-$I$8), $I$7, $E$7)), 0)</f>
        <v>-543.44534480909329</v>
      </c>
      <c r="F265" s="23">
        <f>IF(AND(C265&gt;='Amort. Sched.-WORST'!$I$8, C265&lt;= ($I$7+$I$8)), (PPMT($E$8/12, (C265-$I$8), $I$7, $E$7)), 0)</f>
        <v>-1482.5722310450399</v>
      </c>
      <c r="G265" s="5">
        <f>IF(MortgageAmortWORST[[#This Row],[Month]]=I$8,E$7,0)</f>
        <v>0</v>
      </c>
      <c r="H265" s="13">
        <f>IF(AND(C265&gt;='Amort. Sched.-WORST'!$I$8, C265&lt;= ($I$7+$I$8)), H264+F265, 0)</f>
        <v>80034.229490319034</v>
      </c>
      <c r="I265" s="24">
        <f>IF(AND(C265&gt;='Amort. Sched.-WORST'!$I$8, C265&lt;= ($I$7+$I$8)), E265/D265, " ")</f>
        <v>0.26823328251729822</v>
      </c>
      <c r="J265" s="25">
        <f>IF(AND(C265&gt;='Amort. Sched.-WORST'!$I$8, C265&lt;= ($I$7+$I$8)), F265/D265, " ")</f>
        <v>0.73176671748270194</v>
      </c>
      <c r="L265" s="20">
        <f t="shared" si="51"/>
        <v>254</v>
      </c>
      <c r="M265" s="5">
        <f>IF(AND(L265&gt;='Amort. Sched.-WORST'!$R$8, L265&lt;= ($R$7+$R$8)), PMT('Amort. Sched.-WORST'!$N$8/12, 'Amort. Sched.-WORST'!$R$7, 'Amort. Sched.-WORST'!$N$7), 0)</f>
        <v>0</v>
      </c>
      <c r="N265" s="5">
        <f>IF(AND(L265&gt;='Amort. Sched.-WORST'!$R$8, L265&lt;= ($R$7+$R$8)), (IPMT($N$8/12, (L265-$R$8), $R$7, $N$7)), 0)</f>
        <v>0</v>
      </c>
      <c r="O265" s="5">
        <f>IF(AND(L265&gt;='Amort. Sched.-WORST'!$R$8, L265&lt;= ($R$7+$R$8)), (PPMT($N$8/12, (L265-$R$8), $R$7, $N$7)), 0)</f>
        <v>0</v>
      </c>
      <c r="P265" s="5">
        <f>IF(CreditAmort1WORST[[#This Row],[Month]]=R$8,N$7,0)</f>
        <v>0</v>
      </c>
      <c r="Q265" s="13">
        <f>IF(AND(L265&gt;='Amort. Sched.-WORST'!$R$8, L265&lt;= ($R$7+$R$8)), Q264+O265, 0)</f>
        <v>0</v>
      </c>
      <c r="R265" s="6" t="str">
        <f>IF(AND(L265&gt;='Amort. Sched.-WORST'!$R$8, L265&lt;= ($R$7+$R$8)), N265/M265, " ")</f>
        <v xml:space="preserve"> </v>
      </c>
      <c r="S265" s="21" t="str">
        <f>IF(AND(L265&gt;='Amort. Sched.-WORST'!$R$8, L265&lt;= ($R$7+$R$8)), O265/M265, " ")</f>
        <v xml:space="preserve"> </v>
      </c>
      <c r="U265" s="22">
        <f t="shared" si="53"/>
        <v>254</v>
      </c>
      <c r="V265" s="23">
        <f>IF(AND(U265&gt;='Amort. Sched.-WORST'!$AA$8, U265&lt;= ($AA$7+$AA$8)), PMT('Amort. Sched.-WORST'!$W$8/12, 'Amort. Sched.-WORST'!$AA$7, 'Amort. Sched.-WORST'!$W$7), 0)</f>
        <v>0</v>
      </c>
      <c r="W265" s="5">
        <f>IF(AND(U265&gt;='Amort. Sched.-WORST'!$AA$8, U265&lt;= ($AA$7+$AA$8)), (IPMT($W$8/12, (U265-$AA$8), $AA$7, $W$7)), 0)</f>
        <v>0</v>
      </c>
      <c r="X265" s="23">
        <f>IF(AND(U265&gt;='Amort. Sched.-WORST'!$AA$8, U265&lt;= ($AA$7+$AA$8)), (PPMT($W$8/12, (U265-$AA$8), $AA$7, $W$7)), 0)</f>
        <v>0</v>
      </c>
      <c r="Y265" s="5">
        <f>IF(CreditAmort2WORST[[#This Row],[Month]]=AA$8,W$7,0)</f>
        <v>0</v>
      </c>
      <c r="Z265" s="13">
        <f>IF(AND(U265&gt;='Amort. Sched.-WORST'!$AA$8, U265&lt;= ($AA$7+$AA$8)), Z264+X265, 0)</f>
        <v>0</v>
      </c>
      <c r="AA265" s="24" t="str">
        <f>IF(AND(U265&gt;='Amort. Sched.-WORST'!$AA$8, U265&lt;= ($AA$7+$AA$8)), W265/V265, " ")</f>
        <v xml:space="preserve"> </v>
      </c>
      <c r="AB265" s="25" t="str">
        <f>IF(AND(U265&gt;='Amort. Sched.-WORST'!$AA$8, U265&lt;= ($AA$7+$AA$8)), X265/V265, " ")</f>
        <v xml:space="preserve"> </v>
      </c>
      <c r="AD265" s="20">
        <f t="shared" si="54"/>
        <v>254</v>
      </c>
      <c r="AE265" s="5">
        <f t="shared" si="55"/>
        <v>0</v>
      </c>
      <c r="AF265" s="5">
        <f t="shared" si="56"/>
        <v>0</v>
      </c>
      <c r="AG265" s="5">
        <f t="shared" si="57"/>
        <v>0</v>
      </c>
      <c r="AH265" s="5">
        <f>IF(CreditAmort3WORST[[#This Row],[Month]]=AJ$8,AF$7,0)</f>
        <v>0</v>
      </c>
      <c r="AI265" s="13">
        <f t="shared" si="58"/>
        <v>0</v>
      </c>
      <c r="AJ265" s="6" t="str">
        <f t="shared" si="59"/>
        <v xml:space="preserve"> </v>
      </c>
      <c r="AK265" s="21" t="str">
        <f t="shared" si="60"/>
        <v xml:space="preserve"> </v>
      </c>
      <c r="AM265" s="20">
        <f t="shared" si="61"/>
        <v>254</v>
      </c>
      <c r="AN265" s="5">
        <f t="shared" si="62"/>
        <v>0</v>
      </c>
      <c r="AO265" s="5">
        <f t="shared" si="63"/>
        <v>0</v>
      </c>
      <c r="AP265" s="5">
        <f t="shared" si="64"/>
        <v>0</v>
      </c>
      <c r="AQ265" s="5">
        <f>IF(CreditAmort4WORST[[#This Row],[Month]]=AS$8,AO$7,0)</f>
        <v>0</v>
      </c>
      <c r="AR265" s="13">
        <f t="shared" si="65"/>
        <v>0</v>
      </c>
      <c r="AS265" s="6" t="str">
        <f t="shared" si="66"/>
        <v xml:space="preserve"> </v>
      </c>
      <c r="AT265" s="21" t="str">
        <f t="shared" si="67"/>
        <v xml:space="preserve"> </v>
      </c>
    </row>
    <row r="266" spans="3:46">
      <c r="C266" s="22">
        <f t="shared" si="52"/>
        <v>255</v>
      </c>
      <c r="D266" s="23">
        <f>IF(AND(C266&gt;='Amort. Sched.-WORST'!$I$8, C266&lt;= ($I$7+$I$8)), PMT('Amort. Sched.-WORST'!$E$8/12, 'Amort. Sched.-WORST'!$I$7, 'Amort. Sched.-WORST'!$E$7), 0)</f>
        <v>-2026.0175758541329</v>
      </c>
      <c r="E266" s="5">
        <f>IF(AND(C266&gt;='Amort. Sched.-WORST'!$I$8, C266&lt;= ($I$7+$I$8)), (IPMT($E$8/12, (C266-$I$8), $I$7, $E$7)), 0)</f>
        <v>-533.5615299354597</v>
      </c>
      <c r="F266" s="23">
        <f>IF(AND(C266&gt;='Amort. Sched.-WORST'!$I$8, C266&lt;= ($I$7+$I$8)), (PPMT($E$8/12, (C266-$I$8), $I$7, $E$7)), 0)</f>
        <v>-1492.4560459186732</v>
      </c>
      <c r="G266" s="5">
        <f>IF(MortgageAmortWORST[[#This Row],[Month]]=I$8,E$7,0)</f>
        <v>0</v>
      </c>
      <c r="H266" s="13">
        <f>IF(AND(C266&gt;='Amort. Sched.-WORST'!$I$8, C266&lt;= ($I$7+$I$8)), H265+F266, 0)</f>
        <v>78541.773444400358</v>
      </c>
      <c r="I266" s="24">
        <f>IF(AND(C266&gt;='Amort. Sched.-WORST'!$I$8, C266&lt;= ($I$7+$I$8)), E266/D266, " ")</f>
        <v>0.26335483773408019</v>
      </c>
      <c r="J266" s="25">
        <f>IF(AND(C266&gt;='Amort. Sched.-WORST'!$I$8, C266&lt;= ($I$7+$I$8)), F266/D266, " ")</f>
        <v>0.73664516226591981</v>
      </c>
      <c r="L266" s="20">
        <f t="shared" si="51"/>
        <v>255</v>
      </c>
      <c r="M266" s="5">
        <f>IF(AND(L266&gt;='Amort. Sched.-WORST'!$R$8, L266&lt;= ($R$7+$R$8)), PMT('Amort. Sched.-WORST'!$N$8/12, 'Amort. Sched.-WORST'!$R$7, 'Amort. Sched.-WORST'!$N$7), 0)</f>
        <v>0</v>
      </c>
      <c r="N266" s="5">
        <f>IF(AND(L266&gt;='Amort. Sched.-WORST'!$R$8, L266&lt;= ($R$7+$R$8)), (IPMT($N$8/12, (L266-$R$8), $R$7, $N$7)), 0)</f>
        <v>0</v>
      </c>
      <c r="O266" s="5">
        <f>IF(AND(L266&gt;='Amort. Sched.-WORST'!$R$8, L266&lt;= ($R$7+$R$8)), (PPMT($N$8/12, (L266-$R$8), $R$7, $N$7)), 0)</f>
        <v>0</v>
      </c>
      <c r="P266" s="5">
        <f>IF(CreditAmort1WORST[[#This Row],[Month]]=R$8,N$7,0)</f>
        <v>0</v>
      </c>
      <c r="Q266" s="13">
        <f>IF(AND(L266&gt;='Amort. Sched.-WORST'!$R$8, L266&lt;= ($R$7+$R$8)), Q265+O266, 0)</f>
        <v>0</v>
      </c>
      <c r="R266" s="6" t="str">
        <f>IF(AND(L266&gt;='Amort. Sched.-WORST'!$R$8, L266&lt;= ($R$7+$R$8)), N266/M266, " ")</f>
        <v xml:space="preserve"> </v>
      </c>
      <c r="S266" s="21" t="str">
        <f>IF(AND(L266&gt;='Amort. Sched.-WORST'!$R$8, L266&lt;= ($R$7+$R$8)), O266/M266, " ")</f>
        <v xml:space="preserve"> </v>
      </c>
      <c r="U266" s="22">
        <f t="shared" si="53"/>
        <v>255</v>
      </c>
      <c r="V266" s="23">
        <f>IF(AND(U266&gt;='Amort. Sched.-WORST'!$AA$8, U266&lt;= ($AA$7+$AA$8)), PMT('Amort. Sched.-WORST'!$W$8/12, 'Amort. Sched.-WORST'!$AA$7, 'Amort. Sched.-WORST'!$W$7), 0)</f>
        <v>0</v>
      </c>
      <c r="W266" s="5">
        <f>IF(AND(U266&gt;='Amort. Sched.-WORST'!$AA$8, U266&lt;= ($AA$7+$AA$8)), (IPMT($W$8/12, (U266-$AA$8), $AA$7, $W$7)), 0)</f>
        <v>0</v>
      </c>
      <c r="X266" s="23">
        <f>IF(AND(U266&gt;='Amort. Sched.-WORST'!$AA$8, U266&lt;= ($AA$7+$AA$8)), (PPMT($W$8/12, (U266-$AA$8), $AA$7, $W$7)), 0)</f>
        <v>0</v>
      </c>
      <c r="Y266" s="5">
        <f>IF(CreditAmort2WORST[[#This Row],[Month]]=AA$8,W$7,0)</f>
        <v>0</v>
      </c>
      <c r="Z266" s="13">
        <f>IF(AND(U266&gt;='Amort. Sched.-WORST'!$AA$8, U266&lt;= ($AA$7+$AA$8)), Z265+X266, 0)</f>
        <v>0</v>
      </c>
      <c r="AA266" s="24" t="str">
        <f>IF(AND(U266&gt;='Amort. Sched.-WORST'!$AA$8, U266&lt;= ($AA$7+$AA$8)), W266/V266, " ")</f>
        <v xml:space="preserve"> </v>
      </c>
      <c r="AB266" s="25" t="str">
        <f>IF(AND(U266&gt;='Amort. Sched.-WORST'!$AA$8, U266&lt;= ($AA$7+$AA$8)), X266/V266, " ")</f>
        <v xml:space="preserve"> </v>
      </c>
      <c r="AD266" s="20">
        <f t="shared" si="54"/>
        <v>255</v>
      </c>
      <c r="AE266" s="5">
        <f t="shared" si="55"/>
        <v>0</v>
      </c>
      <c r="AF266" s="5">
        <f t="shared" si="56"/>
        <v>0</v>
      </c>
      <c r="AG266" s="5">
        <f t="shared" si="57"/>
        <v>0</v>
      </c>
      <c r="AH266" s="5">
        <f>IF(CreditAmort3WORST[[#This Row],[Month]]=AJ$8,AF$7,0)</f>
        <v>0</v>
      </c>
      <c r="AI266" s="13">
        <f t="shared" si="58"/>
        <v>0</v>
      </c>
      <c r="AJ266" s="6" t="str">
        <f t="shared" si="59"/>
        <v xml:space="preserve"> </v>
      </c>
      <c r="AK266" s="21" t="str">
        <f t="shared" si="60"/>
        <v xml:space="preserve"> </v>
      </c>
      <c r="AM266" s="20">
        <f t="shared" si="61"/>
        <v>255</v>
      </c>
      <c r="AN266" s="5">
        <f t="shared" si="62"/>
        <v>0</v>
      </c>
      <c r="AO266" s="5">
        <f t="shared" si="63"/>
        <v>0</v>
      </c>
      <c r="AP266" s="5">
        <f t="shared" si="64"/>
        <v>0</v>
      </c>
      <c r="AQ266" s="5">
        <f>IF(CreditAmort4WORST[[#This Row],[Month]]=AS$8,AO$7,0)</f>
        <v>0</v>
      </c>
      <c r="AR266" s="13">
        <f t="shared" si="65"/>
        <v>0</v>
      </c>
      <c r="AS266" s="6" t="str">
        <f t="shared" si="66"/>
        <v xml:space="preserve"> </v>
      </c>
      <c r="AT266" s="21" t="str">
        <f t="shared" si="67"/>
        <v xml:space="preserve"> </v>
      </c>
    </row>
    <row r="267" spans="3:46">
      <c r="C267" s="22">
        <f t="shared" si="52"/>
        <v>256</v>
      </c>
      <c r="D267" s="23">
        <f>IF(AND(C267&gt;='Amort. Sched.-WORST'!$I$8, C267&lt;= ($I$7+$I$8)), PMT('Amort. Sched.-WORST'!$E$8/12, 'Amort. Sched.-WORST'!$I$7, 'Amort. Sched.-WORST'!$E$7), 0)</f>
        <v>-2026.0175758541329</v>
      </c>
      <c r="E267" s="5">
        <f>IF(AND(C267&gt;='Amort. Sched.-WORST'!$I$8, C267&lt;= ($I$7+$I$8)), (IPMT($E$8/12, (C267-$I$8), $I$7, $E$7)), 0)</f>
        <v>-523.61182296266838</v>
      </c>
      <c r="F267" s="23">
        <f>IF(AND(C267&gt;='Amort. Sched.-WORST'!$I$8, C267&lt;= ($I$7+$I$8)), (PPMT($E$8/12, (C267-$I$8), $I$7, $E$7)), 0)</f>
        <v>-1502.4057528914643</v>
      </c>
      <c r="G267" s="5">
        <f>IF(MortgageAmortWORST[[#This Row],[Month]]=I$8,E$7,0)</f>
        <v>0</v>
      </c>
      <c r="H267" s="13">
        <f>IF(AND(C267&gt;='Amort. Sched.-WORST'!$I$8, C267&lt;= ($I$7+$I$8)), H266+F267, 0)</f>
        <v>77039.367691508887</v>
      </c>
      <c r="I267" s="24">
        <f>IF(AND(C267&gt;='Amort. Sched.-WORST'!$I$8, C267&lt;= ($I$7+$I$8)), E267/D267, " ")</f>
        <v>0.25844386998564067</v>
      </c>
      <c r="J267" s="25">
        <f>IF(AND(C267&gt;='Amort. Sched.-WORST'!$I$8, C267&lt;= ($I$7+$I$8)), F267/D267, " ")</f>
        <v>0.74155613001435927</v>
      </c>
      <c r="L267" s="20">
        <f t="shared" si="51"/>
        <v>256</v>
      </c>
      <c r="M267" s="5">
        <f>IF(AND(L267&gt;='Amort. Sched.-WORST'!$R$8, L267&lt;= ($R$7+$R$8)), PMT('Amort. Sched.-WORST'!$N$8/12, 'Amort. Sched.-WORST'!$R$7, 'Amort. Sched.-WORST'!$N$7), 0)</f>
        <v>0</v>
      </c>
      <c r="N267" s="5">
        <f>IF(AND(L267&gt;='Amort. Sched.-WORST'!$R$8, L267&lt;= ($R$7+$R$8)), (IPMT($N$8/12, (L267-$R$8), $R$7, $N$7)), 0)</f>
        <v>0</v>
      </c>
      <c r="O267" s="5">
        <f>IF(AND(L267&gt;='Amort. Sched.-WORST'!$R$8, L267&lt;= ($R$7+$R$8)), (PPMT($N$8/12, (L267-$R$8), $R$7, $N$7)), 0)</f>
        <v>0</v>
      </c>
      <c r="P267" s="5">
        <f>IF(CreditAmort1WORST[[#This Row],[Month]]=R$8,N$7,0)</f>
        <v>0</v>
      </c>
      <c r="Q267" s="13">
        <f>IF(AND(L267&gt;='Amort. Sched.-WORST'!$R$8, L267&lt;= ($R$7+$R$8)), Q266+O267, 0)</f>
        <v>0</v>
      </c>
      <c r="R267" s="6" t="str">
        <f>IF(AND(L267&gt;='Amort. Sched.-WORST'!$R$8, L267&lt;= ($R$7+$R$8)), N267/M267, " ")</f>
        <v xml:space="preserve"> </v>
      </c>
      <c r="S267" s="21" t="str">
        <f>IF(AND(L267&gt;='Amort. Sched.-WORST'!$R$8, L267&lt;= ($R$7+$R$8)), O267/M267, " ")</f>
        <v xml:space="preserve"> </v>
      </c>
      <c r="U267" s="22">
        <f t="shared" si="53"/>
        <v>256</v>
      </c>
      <c r="V267" s="23">
        <f>IF(AND(U267&gt;='Amort. Sched.-WORST'!$AA$8, U267&lt;= ($AA$7+$AA$8)), PMT('Amort. Sched.-WORST'!$W$8/12, 'Amort. Sched.-WORST'!$AA$7, 'Amort. Sched.-WORST'!$W$7), 0)</f>
        <v>0</v>
      </c>
      <c r="W267" s="5">
        <f>IF(AND(U267&gt;='Amort. Sched.-WORST'!$AA$8, U267&lt;= ($AA$7+$AA$8)), (IPMT($W$8/12, (U267-$AA$8), $AA$7, $W$7)), 0)</f>
        <v>0</v>
      </c>
      <c r="X267" s="23">
        <f>IF(AND(U267&gt;='Amort. Sched.-WORST'!$AA$8, U267&lt;= ($AA$7+$AA$8)), (PPMT($W$8/12, (U267-$AA$8), $AA$7, $W$7)), 0)</f>
        <v>0</v>
      </c>
      <c r="Y267" s="5">
        <f>IF(CreditAmort2WORST[[#This Row],[Month]]=AA$8,W$7,0)</f>
        <v>0</v>
      </c>
      <c r="Z267" s="13">
        <f>IF(AND(U267&gt;='Amort. Sched.-WORST'!$AA$8, U267&lt;= ($AA$7+$AA$8)), Z266+X267, 0)</f>
        <v>0</v>
      </c>
      <c r="AA267" s="24" t="str">
        <f>IF(AND(U267&gt;='Amort. Sched.-WORST'!$AA$8, U267&lt;= ($AA$7+$AA$8)), W267/V267, " ")</f>
        <v xml:space="preserve"> </v>
      </c>
      <c r="AB267" s="25" t="str">
        <f>IF(AND(U267&gt;='Amort. Sched.-WORST'!$AA$8, U267&lt;= ($AA$7+$AA$8)), X267/V267, " ")</f>
        <v xml:space="preserve"> </v>
      </c>
      <c r="AD267" s="20">
        <f t="shared" si="54"/>
        <v>256</v>
      </c>
      <c r="AE267" s="5">
        <f t="shared" si="55"/>
        <v>0</v>
      </c>
      <c r="AF267" s="5">
        <f t="shared" si="56"/>
        <v>0</v>
      </c>
      <c r="AG267" s="5">
        <f t="shared" si="57"/>
        <v>0</v>
      </c>
      <c r="AH267" s="5">
        <f>IF(CreditAmort3WORST[[#This Row],[Month]]=AJ$8,AF$7,0)</f>
        <v>0</v>
      </c>
      <c r="AI267" s="13">
        <f t="shared" si="58"/>
        <v>0</v>
      </c>
      <c r="AJ267" s="6" t="str">
        <f t="shared" si="59"/>
        <v xml:space="preserve"> </v>
      </c>
      <c r="AK267" s="21" t="str">
        <f t="shared" si="60"/>
        <v xml:space="preserve"> </v>
      </c>
      <c r="AM267" s="20">
        <f t="shared" si="61"/>
        <v>256</v>
      </c>
      <c r="AN267" s="5">
        <f t="shared" si="62"/>
        <v>0</v>
      </c>
      <c r="AO267" s="5">
        <f t="shared" si="63"/>
        <v>0</v>
      </c>
      <c r="AP267" s="5">
        <f t="shared" si="64"/>
        <v>0</v>
      </c>
      <c r="AQ267" s="5">
        <f>IF(CreditAmort4WORST[[#This Row],[Month]]=AS$8,AO$7,0)</f>
        <v>0</v>
      </c>
      <c r="AR267" s="13">
        <f t="shared" si="65"/>
        <v>0</v>
      </c>
      <c r="AS267" s="6" t="str">
        <f t="shared" si="66"/>
        <v xml:space="preserve"> </v>
      </c>
      <c r="AT267" s="21" t="str">
        <f t="shared" si="67"/>
        <v xml:space="preserve"> </v>
      </c>
    </row>
    <row r="268" spans="3:46">
      <c r="C268" s="22">
        <f t="shared" si="52"/>
        <v>257</v>
      </c>
      <c r="D268" s="23">
        <f>IF(AND(C268&gt;='Amort. Sched.-WORST'!$I$8, C268&lt;= ($I$7+$I$8)), PMT('Amort. Sched.-WORST'!$E$8/12, 'Amort. Sched.-WORST'!$I$7, 'Amort. Sched.-WORST'!$E$7), 0)</f>
        <v>-2026.0175758541329</v>
      </c>
      <c r="E268" s="5">
        <f>IF(AND(C268&gt;='Amort. Sched.-WORST'!$I$8, C268&lt;= ($I$7+$I$8)), (IPMT($E$8/12, (C268-$I$8), $I$7, $E$7)), 0)</f>
        <v>-513.59578461005867</v>
      </c>
      <c r="F268" s="23">
        <f>IF(AND(C268&gt;='Amort. Sched.-WORST'!$I$8, C268&lt;= ($I$7+$I$8)), (PPMT($E$8/12, (C268-$I$8), $I$7, $E$7)), 0)</f>
        <v>-1512.4217912440743</v>
      </c>
      <c r="G268" s="5">
        <f>IF(MortgageAmortWORST[[#This Row],[Month]]=I$8,E$7,0)</f>
        <v>0</v>
      </c>
      <c r="H268" s="13">
        <f>IF(AND(C268&gt;='Amort. Sched.-WORST'!$I$8, C268&lt;= ($I$7+$I$8)), H267+F268, 0)</f>
        <v>75526.945900264807</v>
      </c>
      <c r="I268" s="24">
        <f>IF(AND(C268&gt;='Amort. Sched.-WORST'!$I$8, C268&lt;= ($I$7+$I$8)), E268/D268, " ")</f>
        <v>0.25350016245221163</v>
      </c>
      <c r="J268" s="25">
        <f>IF(AND(C268&gt;='Amort. Sched.-WORST'!$I$8, C268&lt;= ($I$7+$I$8)), F268/D268, " ")</f>
        <v>0.74649983754778837</v>
      </c>
      <c r="L268" s="20">
        <f t="shared" ref="L268:L331" si="68">L267+1</f>
        <v>257</v>
      </c>
      <c r="M268" s="5">
        <f>IF(AND(L268&gt;='Amort. Sched.-WORST'!$R$8, L268&lt;= ($R$7+$R$8)), PMT('Amort. Sched.-WORST'!$N$8/12, 'Amort. Sched.-WORST'!$R$7, 'Amort. Sched.-WORST'!$N$7), 0)</f>
        <v>0</v>
      </c>
      <c r="N268" s="5">
        <f>IF(AND(L268&gt;='Amort. Sched.-WORST'!$R$8, L268&lt;= ($R$7+$R$8)), (IPMT($N$8/12, (L268-$R$8), $R$7, $N$7)), 0)</f>
        <v>0</v>
      </c>
      <c r="O268" s="5">
        <f>IF(AND(L268&gt;='Amort. Sched.-WORST'!$R$8, L268&lt;= ($R$7+$R$8)), (PPMT($N$8/12, (L268-$R$8), $R$7, $N$7)), 0)</f>
        <v>0</v>
      </c>
      <c r="P268" s="5">
        <f>IF(CreditAmort1WORST[[#This Row],[Month]]=R$8,N$7,0)</f>
        <v>0</v>
      </c>
      <c r="Q268" s="13">
        <f>IF(AND(L268&gt;='Amort. Sched.-WORST'!$R$8, L268&lt;= ($R$7+$R$8)), Q267+O268, 0)</f>
        <v>0</v>
      </c>
      <c r="R268" s="6" t="str">
        <f>IF(AND(L268&gt;='Amort. Sched.-WORST'!$R$8, L268&lt;= ($R$7+$R$8)), N268/M268, " ")</f>
        <v xml:space="preserve"> </v>
      </c>
      <c r="S268" s="21" t="str">
        <f>IF(AND(L268&gt;='Amort. Sched.-WORST'!$R$8, L268&lt;= ($R$7+$R$8)), O268/M268, " ")</f>
        <v xml:space="preserve"> </v>
      </c>
      <c r="U268" s="22">
        <f t="shared" si="53"/>
        <v>257</v>
      </c>
      <c r="V268" s="23">
        <f>IF(AND(U268&gt;='Amort. Sched.-WORST'!$AA$8, U268&lt;= ($AA$7+$AA$8)), PMT('Amort. Sched.-WORST'!$W$8/12, 'Amort. Sched.-WORST'!$AA$7, 'Amort. Sched.-WORST'!$W$7), 0)</f>
        <v>0</v>
      </c>
      <c r="W268" s="5">
        <f>IF(AND(U268&gt;='Amort. Sched.-WORST'!$AA$8, U268&lt;= ($AA$7+$AA$8)), (IPMT($W$8/12, (U268-$AA$8), $AA$7, $W$7)), 0)</f>
        <v>0</v>
      </c>
      <c r="X268" s="23">
        <f>IF(AND(U268&gt;='Amort. Sched.-WORST'!$AA$8, U268&lt;= ($AA$7+$AA$8)), (PPMT($W$8/12, (U268-$AA$8), $AA$7, $W$7)), 0)</f>
        <v>0</v>
      </c>
      <c r="Y268" s="5">
        <f>IF(CreditAmort2WORST[[#This Row],[Month]]=AA$8,W$7,0)</f>
        <v>0</v>
      </c>
      <c r="Z268" s="13">
        <f>IF(AND(U268&gt;='Amort. Sched.-WORST'!$AA$8, U268&lt;= ($AA$7+$AA$8)), Z267+X268, 0)</f>
        <v>0</v>
      </c>
      <c r="AA268" s="24" t="str">
        <f>IF(AND(U268&gt;='Amort. Sched.-WORST'!$AA$8, U268&lt;= ($AA$7+$AA$8)), W268/V268, " ")</f>
        <v xml:space="preserve"> </v>
      </c>
      <c r="AB268" s="25" t="str">
        <f>IF(AND(U268&gt;='Amort. Sched.-WORST'!$AA$8, U268&lt;= ($AA$7+$AA$8)), X268/V268, " ")</f>
        <v xml:space="preserve"> </v>
      </c>
      <c r="AD268" s="20">
        <f t="shared" si="54"/>
        <v>257</v>
      </c>
      <c r="AE268" s="5">
        <f t="shared" si="55"/>
        <v>0</v>
      </c>
      <c r="AF268" s="5">
        <f t="shared" si="56"/>
        <v>0</v>
      </c>
      <c r="AG268" s="5">
        <f t="shared" si="57"/>
        <v>0</v>
      </c>
      <c r="AH268" s="5">
        <f>IF(CreditAmort3WORST[[#This Row],[Month]]=AJ$8,AF$7,0)</f>
        <v>0</v>
      </c>
      <c r="AI268" s="13">
        <f t="shared" si="58"/>
        <v>0</v>
      </c>
      <c r="AJ268" s="6" t="str">
        <f t="shared" si="59"/>
        <v xml:space="preserve"> </v>
      </c>
      <c r="AK268" s="21" t="str">
        <f t="shared" si="60"/>
        <v xml:space="preserve"> </v>
      </c>
      <c r="AM268" s="20">
        <f t="shared" si="61"/>
        <v>257</v>
      </c>
      <c r="AN268" s="5">
        <f t="shared" si="62"/>
        <v>0</v>
      </c>
      <c r="AO268" s="5">
        <f t="shared" si="63"/>
        <v>0</v>
      </c>
      <c r="AP268" s="5">
        <f t="shared" si="64"/>
        <v>0</v>
      </c>
      <c r="AQ268" s="5">
        <f>IF(CreditAmort4WORST[[#This Row],[Month]]=AS$8,AO$7,0)</f>
        <v>0</v>
      </c>
      <c r="AR268" s="13">
        <f t="shared" si="65"/>
        <v>0</v>
      </c>
      <c r="AS268" s="6" t="str">
        <f t="shared" si="66"/>
        <v xml:space="preserve"> </v>
      </c>
      <c r="AT268" s="21" t="str">
        <f t="shared" si="67"/>
        <v xml:space="preserve"> </v>
      </c>
    </row>
    <row r="269" spans="3:46">
      <c r="C269" s="22">
        <f t="shared" ref="C269:C332" si="69">C268+1</f>
        <v>258</v>
      </c>
      <c r="D269" s="23">
        <f>IF(AND(C269&gt;='Amort. Sched.-WORST'!$I$8, C269&lt;= ($I$7+$I$8)), PMT('Amort. Sched.-WORST'!$E$8/12, 'Amort. Sched.-WORST'!$I$7, 'Amort. Sched.-WORST'!$E$7), 0)</f>
        <v>-2026.0175758541329</v>
      </c>
      <c r="E269" s="5">
        <f>IF(AND(C269&gt;='Amort. Sched.-WORST'!$I$8, C269&lt;= ($I$7+$I$8)), (IPMT($E$8/12, (C269-$I$8), $I$7, $E$7)), 0)</f>
        <v>-503.51297266843159</v>
      </c>
      <c r="F269" s="23">
        <f>IF(AND(C269&gt;='Amort. Sched.-WORST'!$I$8, C269&lt;= ($I$7+$I$8)), (PPMT($E$8/12, (C269-$I$8), $I$7, $E$7)), 0)</f>
        <v>-1522.5046031857016</v>
      </c>
      <c r="G269" s="5">
        <f>IF(MortgageAmortWORST[[#This Row],[Month]]=I$8,E$7,0)</f>
        <v>0</v>
      </c>
      <c r="H269" s="13">
        <f>IF(AND(C269&gt;='Amort. Sched.-WORST'!$I$8, C269&lt;= ($I$7+$I$8)), H268+F269, 0)</f>
        <v>74004.441297079102</v>
      </c>
      <c r="I269" s="24">
        <f>IF(AND(C269&gt;='Amort. Sched.-WORST'!$I$8, C269&lt;= ($I$7+$I$8)), E269/D269, " ")</f>
        <v>0.24852349686855973</v>
      </c>
      <c r="J269" s="25">
        <f>IF(AND(C269&gt;='Amort. Sched.-WORST'!$I$8, C269&lt;= ($I$7+$I$8)), F269/D269, " ")</f>
        <v>0.75147650313144043</v>
      </c>
      <c r="L269" s="20">
        <f t="shared" si="68"/>
        <v>258</v>
      </c>
      <c r="M269" s="5">
        <f>IF(AND(L269&gt;='Amort. Sched.-WORST'!$R$8, L269&lt;= ($R$7+$R$8)), PMT('Amort. Sched.-WORST'!$N$8/12, 'Amort. Sched.-WORST'!$R$7, 'Amort. Sched.-WORST'!$N$7), 0)</f>
        <v>0</v>
      </c>
      <c r="N269" s="5">
        <f>IF(AND(L269&gt;='Amort. Sched.-WORST'!$R$8, L269&lt;= ($R$7+$R$8)), (IPMT($N$8/12, (L269-$R$8), $R$7, $N$7)), 0)</f>
        <v>0</v>
      </c>
      <c r="O269" s="5">
        <f>IF(AND(L269&gt;='Amort. Sched.-WORST'!$R$8, L269&lt;= ($R$7+$R$8)), (PPMT($N$8/12, (L269-$R$8), $R$7, $N$7)), 0)</f>
        <v>0</v>
      </c>
      <c r="P269" s="5">
        <f>IF(CreditAmort1WORST[[#This Row],[Month]]=R$8,N$7,0)</f>
        <v>0</v>
      </c>
      <c r="Q269" s="13">
        <f>IF(AND(L269&gt;='Amort. Sched.-WORST'!$R$8, L269&lt;= ($R$7+$R$8)), Q268+O269, 0)</f>
        <v>0</v>
      </c>
      <c r="R269" s="6" t="str">
        <f>IF(AND(L269&gt;='Amort. Sched.-WORST'!$R$8, L269&lt;= ($R$7+$R$8)), N269/M269, " ")</f>
        <v xml:space="preserve"> </v>
      </c>
      <c r="S269" s="21" t="str">
        <f>IF(AND(L269&gt;='Amort. Sched.-WORST'!$R$8, L269&lt;= ($R$7+$R$8)), O269/M269, " ")</f>
        <v xml:space="preserve"> </v>
      </c>
      <c r="U269" s="22">
        <f t="shared" ref="U269:U332" si="70">U268+1</f>
        <v>258</v>
      </c>
      <c r="V269" s="23">
        <f>IF(AND(U269&gt;='Amort. Sched.-WORST'!$AA$8, U269&lt;= ($AA$7+$AA$8)), PMT('Amort. Sched.-WORST'!$W$8/12, 'Amort. Sched.-WORST'!$AA$7, 'Amort. Sched.-WORST'!$W$7), 0)</f>
        <v>0</v>
      </c>
      <c r="W269" s="5">
        <f>IF(AND(U269&gt;='Amort. Sched.-WORST'!$AA$8, U269&lt;= ($AA$7+$AA$8)), (IPMT($W$8/12, (U269-$AA$8), $AA$7, $W$7)), 0)</f>
        <v>0</v>
      </c>
      <c r="X269" s="23">
        <f>IF(AND(U269&gt;='Amort. Sched.-WORST'!$AA$8, U269&lt;= ($AA$7+$AA$8)), (PPMT($W$8/12, (U269-$AA$8), $AA$7, $W$7)), 0)</f>
        <v>0</v>
      </c>
      <c r="Y269" s="5">
        <f>IF(CreditAmort2WORST[[#This Row],[Month]]=AA$8,W$7,0)</f>
        <v>0</v>
      </c>
      <c r="Z269" s="13">
        <f>IF(AND(U269&gt;='Amort. Sched.-WORST'!$AA$8, U269&lt;= ($AA$7+$AA$8)), Z268+X269, 0)</f>
        <v>0</v>
      </c>
      <c r="AA269" s="24" t="str">
        <f>IF(AND(U269&gt;='Amort. Sched.-WORST'!$AA$8, U269&lt;= ($AA$7+$AA$8)), W269/V269, " ")</f>
        <v xml:space="preserve"> </v>
      </c>
      <c r="AB269" s="25" t="str">
        <f>IF(AND(U269&gt;='Amort. Sched.-WORST'!$AA$8, U269&lt;= ($AA$7+$AA$8)), X269/V269, " ")</f>
        <v xml:space="preserve"> </v>
      </c>
      <c r="AD269" s="20">
        <f t="shared" ref="AD269:AD332" si="71">AD268+1</f>
        <v>258</v>
      </c>
      <c r="AE269" s="5">
        <f t="shared" ref="AE269:AE332" si="72">IF(AND(AD269&gt;=$AJ$8, AD269&lt;= ($AJ$7+$AJ$8)), PMT($AF$8/12, $AJ$7, $AF$7), 0)</f>
        <v>0</v>
      </c>
      <c r="AF269" s="5">
        <f t="shared" ref="AF269:AF332" si="73">IF(AND(AD269&gt;=$AJ$8, AD269&lt;= ($AJ$7+$AJ$8)), (IPMT($AF$8/12, (AD269-$AJ$8), $AJ$7, $AF$7)), 0)</f>
        <v>0</v>
      </c>
      <c r="AG269" s="5">
        <f t="shared" ref="AG269:AG332" si="74">IF(AND(AD269&gt;=$AJ$8, AD269&lt;= ($AJ$7+$AJ$8)), (PPMT($AF$8/12, (AD269-$AJ$8), $AJ$7, $AF$7)), 0)</f>
        <v>0</v>
      </c>
      <c r="AH269" s="5">
        <f>IF(CreditAmort3WORST[[#This Row],[Month]]=AJ$8,AF$7,0)</f>
        <v>0</v>
      </c>
      <c r="AI269" s="13">
        <f t="shared" ref="AI269:AI332" si="75">IF(AND(AD269&gt;=$AJ$8, AD269&lt;= ($AJ$7+$AA$8)), AI268+AG269, 0)</f>
        <v>0</v>
      </c>
      <c r="AJ269" s="6" t="str">
        <f t="shared" ref="AJ269:AJ332" si="76">IF(AND(AD269&gt;=$AJ$8, AD269&lt;= ($AJ$7+$AJ$8)), AF269/AE269, " ")</f>
        <v xml:space="preserve"> </v>
      </c>
      <c r="AK269" s="21" t="str">
        <f t="shared" ref="AK269:AK332" si="77">IF(AND(AD269&gt;=$AJ$8, AD269&lt;= ($AJ$7+$AJ$8)), AG269/AE269, " ")</f>
        <v xml:space="preserve"> </v>
      </c>
      <c r="AM269" s="20">
        <f t="shared" ref="AM269:AM332" si="78">AM268+1</f>
        <v>258</v>
      </c>
      <c r="AN269" s="5">
        <f t="shared" ref="AN269:AN332" si="79">IF(AND(AM269&gt;=$AS$8, AM269&lt;= ($AS$7+$AS$8)), PMT($AO$8/12, $AS$7, $AO$7), 0)</f>
        <v>0</v>
      </c>
      <c r="AO269" s="5">
        <f t="shared" ref="AO269:AO332" si="80">IF(AND(AM269&gt;=$AS$8, AM269&lt;= ($AS$7+$AS$8)), (IPMT($AO$8/12, (AM269-$AS$8), $AS$7, $AO$7)), 0)</f>
        <v>0</v>
      </c>
      <c r="AP269" s="5">
        <f t="shared" ref="AP269:AP332" si="81">IF(AND(AM269&gt;=$AS$8, AM269&lt;= ($AS$7+$AS$8)), (PPMT($AO$8/12, (AM269-$AS$8), $AS$7, $AO$7)), 0)</f>
        <v>0</v>
      </c>
      <c r="AQ269" s="5">
        <f>IF(CreditAmort4WORST[[#This Row],[Month]]=AS$8,AO$7,0)</f>
        <v>0</v>
      </c>
      <c r="AR269" s="13">
        <f t="shared" ref="AR269:AR332" si="82">IF(AND(AM269&gt;=$AS$8, AM269&lt;= ($AS$7+$AS$8)), AR268+AP269, 0)</f>
        <v>0</v>
      </c>
      <c r="AS269" s="6" t="str">
        <f t="shared" ref="AS269:AS332" si="83">IF(AND(AM269&gt;=$AS$8, AM269&lt;= ($AS$7+$AS$8)), AO269/AN269, " ")</f>
        <v xml:space="preserve"> </v>
      </c>
      <c r="AT269" s="21" t="str">
        <f t="shared" ref="AT269:AT332" si="84">IF(AND(AM269&gt;=$AS$8, AM269&lt;= ($AS$7+$AS$8)), AP269/AN269, " ")</f>
        <v xml:space="preserve"> </v>
      </c>
    </row>
    <row r="270" spans="3:46">
      <c r="C270" s="22">
        <f t="shared" si="69"/>
        <v>259</v>
      </c>
      <c r="D270" s="23">
        <f>IF(AND(C270&gt;='Amort. Sched.-WORST'!$I$8, C270&lt;= ($I$7+$I$8)), PMT('Amort. Sched.-WORST'!$E$8/12, 'Amort. Sched.-WORST'!$I$7, 'Amort. Sched.-WORST'!$E$7), 0)</f>
        <v>-2026.0175758541329</v>
      </c>
      <c r="E270" s="5">
        <f>IF(AND(C270&gt;='Amort. Sched.-WORST'!$I$8, C270&lt;= ($I$7+$I$8)), (IPMT($E$8/12, (C270-$I$8), $I$7, $E$7)), 0)</f>
        <v>-493.3629419805269</v>
      </c>
      <c r="F270" s="23">
        <f>IF(AND(C270&gt;='Amort. Sched.-WORST'!$I$8, C270&lt;= ($I$7+$I$8)), (PPMT($E$8/12, (C270-$I$8), $I$7, $E$7)), 0)</f>
        <v>-1532.6546338736064</v>
      </c>
      <c r="G270" s="5">
        <f>IF(MortgageAmortWORST[[#This Row],[Month]]=I$8,E$7,0)</f>
        <v>0</v>
      </c>
      <c r="H270" s="13">
        <f>IF(AND(C270&gt;='Amort. Sched.-WORST'!$I$8, C270&lt;= ($I$7+$I$8)), H269+F270, 0)</f>
        <v>72471.786663205494</v>
      </c>
      <c r="I270" s="24">
        <f>IF(AND(C270&gt;='Amort. Sched.-WORST'!$I$8, C270&lt;= ($I$7+$I$8)), E270/D270, " ")</f>
        <v>0.24351365351435011</v>
      </c>
      <c r="J270" s="25">
        <f>IF(AND(C270&gt;='Amort. Sched.-WORST'!$I$8, C270&lt;= ($I$7+$I$8)), F270/D270, " ")</f>
        <v>0.75648634648565005</v>
      </c>
      <c r="L270" s="20">
        <f t="shared" si="68"/>
        <v>259</v>
      </c>
      <c r="M270" s="5">
        <f>IF(AND(L270&gt;='Amort. Sched.-WORST'!$R$8, L270&lt;= ($R$7+$R$8)), PMT('Amort. Sched.-WORST'!$N$8/12, 'Amort. Sched.-WORST'!$R$7, 'Amort. Sched.-WORST'!$N$7), 0)</f>
        <v>0</v>
      </c>
      <c r="N270" s="5">
        <f>IF(AND(L270&gt;='Amort. Sched.-WORST'!$R$8, L270&lt;= ($R$7+$R$8)), (IPMT($N$8/12, (L270-$R$8), $R$7, $N$7)), 0)</f>
        <v>0</v>
      </c>
      <c r="O270" s="5">
        <f>IF(AND(L270&gt;='Amort. Sched.-WORST'!$R$8, L270&lt;= ($R$7+$R$8)), (PPMT($N$8/12, (L270-$R$8), $R$7, $N$7)), 0)</f>
        <v>0</v>
      </c>
      <c r="P270" s="5">
        <f>IF(CreditAmort1WORST[[#This Row],[Month]]=R$8,N$7,0)</f>
        <v>0</v>
      </c>
      <c r="Q270" s="13">
        <f>IF(AND(L270&gt;='Amort. Sched.-WORST'!$R$8, L270&lt;= ($R$7+$R$8)), Q269+O270, 0)</f>
        <v>0</v>
      </c>
      <c r="R270" s="6" t="str">
        <f>IF(AND(L270&gt;='Amort. Sched.-WORST'!$R$8, L270&lt;= ($R$7+$R$8)), N270/M270, " ")</f>
        <v xml:space="preserve"> </v>
      </c>
      <c r="S270" s="21" t="str">
        <f>IF(AND(L270&gt;='Amort. Sched.-WORST'!$R$8, L270&lt;= ($R$7+$R$8)), O270/M270, " ")</f>
        <v xml:space="preserve"> </v>
      </c>
      <c r="U270" s="22">
        <f t="shared" si="70"/>
        <v>259</v>
      </c>
      <c r="V270" s="23">
        <f>IF(AND(U270&gt;='Amort. Sched.-WORST'!$AA$8, U270&lt;= ($AA$7+$AA$8)), PMT('Amort. Sched.-WORST'!$W$8/12, 'Amort. Sched.-WORST'!$AA$7, 'Amort. Sched.-WORST'!$W$7), 0)</f>
        <v>0</v>
      </c>
      <c r="W270" s="5">
        <f>IF(AND(U270&gt;='Amort. Sched.-WORST'!$AA$8, U270&lt;= ($AA$7+$AA$8)), (IPMT($W$8/12, (U270-$AA$8), $AA$7, $W$7)), 0)</f>
        <v>0</v>
      </c>
      <c r="X270" s="23">
        <f>IF(AND(U270&gt;='Amort. Sched.-WORST'!$AA$8, U270&lt;= ($AA$7+$AA$8)), (PPMT($W$8/12, (U270-$AA$8), $AA$7, $W$7)), 0)</f>
        <v>0</v>
      </c>
      <c r="Y270" s="5">
        <f>IF(CreditAmort2WORST[[#This Row],[Month]]=AA$8,W$7,0)</f>
        <v>0</v>
      </c>
      <c r="Z270" s="13">
        <f>IF(AND(U270&gt;='Amort. Sched.-WORST'!$AA$8, U270&lt;= ($AA$7+$AA$8)), Z269+X270, 0)</f>
        <v>0</v>
      </c>
      <c r="AA270" s="24" t="str">
        <f>IF(AND(U270&gt;='Amort. Sched.-WORST'!$AA$8, U270&lt;= ($AA$7+$AA$8)), W270/V270, " ")</f>
        <v xml:space="preserve"> </v>
      </c>
      <c r="AB270" s="25" t="str">
        <f>IF(AND(U270&gt;='Amort. Sched.-WORST'!$AA$8, U270&lt;= ($AA$7+$AA$8)), X270/V270, " ")</f>
        <v xml:space="preserve"> </v>
      </c>
      <c r="AD270" s="20">
        <f t="shared" si="71"/>
        <v>259</v>
      </c>
      <c r="AE270" s="5">
        <f t="shared" si="72"/>
        <v>0</v>
      </c>
      <c r="AF270" s="5">
        <f t="shared" si="73"/>
        <v>0</v>
      </c>
      <c r="AG270" s="5">
        <f t="shared" si="74"/>
        <v>0</v>
      </c>
      <c r="AH270" s="5">
        <f>IF(CreditAmort3WORST[[#This Row],[Month]]=AJ$8,AF$7,0)</f>
        <v>0</v>
      </c>
      <c r="AI270" s="13">
        <f t="shared" si="75"/>
        <v>0</v>
      </c>
      <c r="AJ270" s="6" t="str">
        <f t="shared" si="76"/>
        <v xml:space="preserve"> </v>
      </c>
      <c r="AK270" s="21" t="str">
        <f t="shared" si="77"/>
        <v xml:space="preserve"> </v>
      </c>
      <c r="AM270" s="20">
        <f t="shared" si="78"/>
        <v>259</v>
      </c>
      <c r="AN270" s="5">
        <f t="shared" si="79"/>
        <v>0</v>
      </c>
      <c r="AO270" s="5">
        <f t="shared" si="80"/>
        <v>0</v>
      </c>
      <c r="AP270" s="5">
        <f t="shared" si="81"/>
        <v>0</v>
      </c>
      <c r="AQ270" s="5">
        <f>IF(CreditAmort4WORST[[#This Row],[Month]]=AS$8,AO$7,0)</f>
        <v>0</v>
      </c>
      <c r="AR270" s="13">
        <f t="shared" si="82"/>
        <v>0</v>
      </c>
      <c r="AS270" s="6" t="str">
        <f t="shared" si="83"/>
        <v xml:space="preserve"> </v>
      </c>
      <c r="AT270" s="21" t="str">
        <f t="shared" si="84"/>
        <v xml:space="preserve"> </v>
      </c>
    </row>
    <row r="271" spans="3:46">
      <c r="C271" s="22">
        <f t="shared" si="69"/>
        <v>260</v>
      </c>
      <c r="D271" s="23">
        <f>IF(AND(C271&gt;='Amort. Sched.-WORST'!$I$8, C271&lt;= ($I$7+$I$8)), PMT('Amort. Sched.-WORST'!$E$8/12, 'Amort. Sched.-WORST'!$I$7, 'Amort. Sched.-WORST'!$E$7), 0)</f>
        <v>-2026.0175758541329</v>
      </c>
      <c r="E271" s="5">
        <f>IF(AND(C271&gt;='Amort. Sched.-WORST'!$I$8, C271&lt;= ($I$7+$I$8)), (IPMT($E$8/12, (C271-$I$8), $I$7, $E$7)), 0)</f>
        <v>-483.14524442136963</v>
      </c>
      <c r="F271" s="23">
        <f>IF(AND(C271&gt;='Amort. Sched.-WORST'!$I$8, C271&lt;= ($I$7+$I$8)), (PPMT($E$8/12, (C271-$I$8), $I$7, $E$7)), 0)</f>
        <v>-1542.8723314327635</v>
      </c>
      <c r="G271" s="5">
        <f>IF(MortgageAmortWORST[[#This Row],[Month]]=I$8,E$7,0)</f>
        <v>0</v>
      </c>
      <c r="H271" s="13">
        <f>IF(AND(C271&gt;='Amort. Sched.-WORST'!$I$8, C271&lt;= ($I$7+$I$8)), H270+F271, 0)</f>
        <v>70928.914331772728</v>
      </c>
      <c r="I271" s="24">
        <f>IF(AND(C271&gt;='Amort. Sched.-WORST'!$I$8, C271&lt;= ($I$7+$I$8)), E271/D271, " ")</f>
        <v>0.23847041120444584</v>
      </c>
      <c r="J271" s="25">
        <f>IF(AND(C271&gt;='Amort. Sched.-WORST'!$I$8, C271&lt;= ($I$7+$I$8)), F271/D271, " ")</f>
        <v>0.76152958879555432</v>
      </c>
      <c r="L271" s="20">
        <f t="shared" si="68"/>
        <v>260</v>
      </c>
      <c r="M271" s="5">
        <f>IF(AND(L271&gt;='Amort. Sched.-WORST'!$R$8, L271&lt;= ($R$7+$R$8)), PMT('Amort. Sched.-WORST'!$N$8/12, 'Amort. Sched.-WORST'!$R$7, 'Amort. Sched.-WORST'!$N$7), 0)</f>
        <v>0</v>
      </c>
      <c r="N271" s="5">
        <f>IF(AND(L271&gt;='Amort. Sched.-WORST'!$R$8, L271&lt;= ($R$7+$R$8)), (IPMT($N$8/12, (L271-$R$8), $R$7, $N$7)), 0)</f>
        <v>0</v>
      </c>
      <c r="O271" s="5">
        <f>IF(AND(L271&gt;='Amort. Sched.-WORST'!$R$8, L271&lt;= ($R$7+$R$8)), (PPMT($N$8/12, (L271-$R$8), $R$7, $N$7)), 0)</f>
        <v>0</v>
      </c>
      <c r="P271" s="5">
        <f>IF(CreditAmort1WORST[[#This Row],[Month]]=R$8,N$7,0)</f>
        <v>0</v>
      </c>
      <c r="Q271" s="13">
        <f>IF(AND(L271&gt;='Amort. Sched.-WORST'!$R$8, L271&lt;= ($R$7+$R$8)), Q270+O271, 0)</f>
        <v>0</v>
      </c>
      <c r="R271" s="6" t="str">
        <f>IF(AND(L271&gt;='Amort. Sched.-WORST'!$R$8, L271&lt;= ($R$7+$R$8)), N271/M271, " ")</f>
        <v xml:space="preserve"> </v>
      </c>
      <c r="S271" s="21" t="str">
        <f>IF(AND(L271&gt;='Amort. Sched.-WORST'!$R$8, L271&lt;= ($R$7+$R$8)), O271/M271, " ")</f>
        <v xml:space="preserve"> </v>
      </c>
      <c r="U271" s="22">
        <f t="shared" si="70"/>
        <v>260</v>
      </c>
      <c r="V271" s="23">
        <f>IF(AND(U271&gt;='Amort. Sched.-WORST'!$AA$8, U271&lt;= ($AA$7+$AA$8)), PMT('Amort. Sched.-WORST'!$W$8/12, 'Amort. Sched.-WORST'!$AA$7, 'Amort. Sched.-WORST'!$W$7), 0)</f>
        <v>0</v>
      </c>
      <c r="W271" s="5">
        <f>IF(AND(U271&gt;='Amort. Sched.-WORST'!$AA$8, U271&lt;= ($AA$7+$AA$8)), (IPMT($W$8/12, (U271-$AA$8), $AA$7, $W$7)), 0)</f>
        <v>0</v>
      </c>
      <c r="X271" s="23">
        <f>IF(AND(U271&gt;='Amort. Sched.-WORST'!$AA$8, U271&lt;= ($AA$7+$AA$8)), (PPMT($W$8/12, (U271-$AA$8), $AA$7, $W$7)), 0)</f>
        <v>0</v>
      </c>
      <c r="Y271" s="5">
        <f>IF(CreditAmort2WORST[[#This Row],[Month]]=AA$8,W$7,0)</f>
        <v>0</v>
      </c>
      <c r="Z271" s="13">
        <f>IF(AND(U271&gt;='Amort. Sched.-WORST'!$AA$8, U271&lt;= ($AA$7+$AA$8)), Z270+X271, 0)</f>
        <v>0</v>
      </c>
      <c r="AA271" s="24" t="str">
        <f>IF(AND(U271&gt;='Amort. Sched.-WORST'!$AA$8, U271&lt;= ($AA$7+$AA$8)), W271/V271, " ")</f>
        <v xml:space="preserve"> </v>
      </c>
      <c r="AB271" s="25" t="str">
        <f>IF(AND(U271&gt;='Amort. Sched.-WORST'!$AA$8, U271&lt;= ($AA$7+$AA$8)), X271/V271, " ")</f>
        <v xml:space="preserve"> </v>
      </c>
      <c r="AD271" s="20">
        <f t="shared" si="71"/>
        <v>260</v>
      </c>
      <c r="AE271" s="5">
        <f t="shared" si="72"/>
        <v>0</v>
      </c>
      <c r="AF271" s="5">
        <f t="shared" si="73"/>
        <v>0</v>
      </c>
      <c r="AG271" s="5">
        <f t="shared" si="74"/>
        <v>0</v>
      </c>
      <c r="AH271" s="5">
        <f>IF(CreditAmort3WORST[[#This Row],[Month]]=AJ$8,AF$7,0)</f>
        <v>0</v>
      </c>
      <c r="AI271" s="13">
        <f t="shared" si="75"/>
        <v>0</v>
      </c>
      <c r="AJ271" s="6" t="str">
        <f t="shared" si="76"/>
        <v xml:space="preserve"> </v>
      </c>
      <c r="AK271" s="21" t="str">
        <f t="shared" si="77"/>
        <v xml:space="preserve"> </v>
      </c>
      <c r="AM271" s="20">
        <f t="shared" si="78"/>
        <v>260</v>
      </c>
      <c r="AN271" s="5">
        <f t="shared" si="79"/>
        <v>0</v>
      </c>
      <c r="AO271" s="5">
        <f t="shared" si="80"/>
        <v>0</v>
      </c>
      <c r="AP271" s="5">
        <f t="shared" si="81"/>
        <v>0</v>
      </c>
      <c r="AQ271" s="5">
        <f>IF(CreditAmort4WORST[[#This Row],[Month]]=AS$8,AO$7,0)</f>
        <v>0</v>
      </c>
      <c r="AR271" s="13">
        <f t="shared" si="82"/>
        <v>0</v>
      </c>
      <c r="AS271" s="6" t="str">
        <f t="shared" si="83"/>
        <v xml:space="preserve"> </v>
      </c>
      <c r="AT271" s="21" t="str">
        <f t="shared" si="84"/>
        <v xml:space="preserve"> </v>
      </c>
    </row>
    <row r="272" spans="3:46">
      <c r="C272" s="22">
        <f t="shared" si="69"/>
        <v>261</v>
      </c>
      <c r="D272" s="23">
        <f>IF(AND(C272&gt;='Amort. Sched.-WORST'!$I$8, C272&lt;= ($I$7+$I$8)), PMT('Amort. Sched.-WORST'!$E$8/12, 'Amort. Sched.-WORST'!$I$7, 'Amort. Sched.-WORST'!$E$7), 0)</f>
        <v>-2026.0175758541329</v>
      </c>
      <c r="E272" s="5">
        <f>IF(AND(C272&gt;='Amort. Sched.-WORST'!$I$8, C272&lt;= ($I$7+$I$8)), (IPMT($E$8/12, (C272-$I$8), $I$7, $E$7)), 0)</f>
        <v>-472.85942887848438</v>
      </c>
      <c r="F272" s="23">
        <f>IF(AND(C272&gt;='Amort. Sched.-WORST'!$I$8, C272&lt;= ($I$7+$I$8)), (PPMT($E$8/12, (C272-$I$8), $I$7, $E$7)), 0)</f>
        <v>-1553.1581469756486</v>
      </c>
      <c r="G272" s="5">
        <f>IF(MortgageAmortWORST[[#This Row],[Month]]=I$8,E$7,0)</f>
        <v>0</v>
      </c>
      <c r="H272" s="13">
        <f>IF(AND(C272&gt;='Amort. Sched.-WORST'!$I$8, C272&lt;= ($I$7+$I$8)), H271+F272, 0)</f>
        <v>69375.756184797079</v>
      </c>
      <c r="I272" s="24">
        <f>IF(AND(C272&gt;='Amort. Sched.-WORST'!$I$8, C272&lt;= ($I$7+$I$8)), E272/D272, " ")</f>
        <v>0.23339354727914208</v>
      </c>
      <c r="J272" s="25">
        <f>IF(AND(C272&gt;='Amort. Sched.-WORST'!$I$8, C272&lt;= ($I$7+$I$8)), F272/D272, " ")</f>
        <v>0.76660645272085792</v>
      </c>
      <c r="L272" s="20">
        <f t="shared" si="68"/>
        <v>261</v>
      </c>
      <c r="M272" s="5">
        <f>IF(AND(L272&gt;='Amort. Sched.-WORST'!$R$8, L272&lt;= ($R$7+$R$8)), PMT('Amort. Sched.-WORST'!$N$8/12, 'Amort. Sched.-WORST'!$R$7, 'Amort. Sched.-WORST'!$N$7), 0)</f>
        <v>0</v>
      </c>
      <c r="N272" s="5">
        <f>IF(AND(L272&gt;='Amort. Sched.-WORST'!$R$8, L272&lt;= ($R$7+$R$8)), (IPMT($N$8/12, (L272-$R$8), $R$7, $N$7)), 0)</f>
        <v>0</v>
      </c>
      <c r="O272" s="5">
        <f>IF(AND(L272&gt;='Amort. Sched.-WORST'!$R$8, L272&lt;= ($R$7+$R$8)), (PPMT($N$8/12, (L272-$R$8), $R$7, $N$7)), 0)</f>
        <v>0</v>
      </c>
      <c r="P272" s="5">
        <f>IF(CreditAmort1WORST[[#This Row],[Month]]=R$8,N$7,0)</f>
        <v>0</v>
      </c>
      <c r="Q272" s="13">
        <f>IF(AND(L272&gt;='Amort. Sched.-WORST'!$R$8, L272&lt;= ($R$7+$R$8)), Q271+O272, 0)</f>
        <v>0</v>
      </c>
      <c r="R272" s="6" t="str">
        <f>IF(AND(L272&gt;='Amort. Sched.-WORST'!$R$8, L272&lt;= ($R$7+$R$8)), N272/M272, " ")</f>
        <v xml:space="preserve"> </v>
      </c>
      <c r="S272" s="21" t="str">
        <f>IF(AND(L272&gt;='Amort. Sched.-WORST'!$R$8, L272&lt;= ($R$7+$R$8)), O272/M272, " ")</f>
        <v xml:space="preserve"> </v>
      </c>
      <c r="U272" s="22">
        <f t="shared" si="70"/>
        <v>261</v>
      </c>
      <c r="V272" s="23">
        <f>IF(AND(U272&gt;='Amort. Sched.-WORST'!$AA$8, U272&lt;= ($AA$7+$AA$8)), PMT('Amort. Sched.-WORST'!$W$8/12, 'Amort. Sched.-WORST'!$AA$7, 'Amort. Sched.-WORST'!$W$7), 0)</f>
        <v>0</v>
      </c>
      <c r="W272" s="5">
        <f>IF(AND(U272&gt;='Amort. Sched.-WORST'!$AA$8, U272&lt;= ($AA$7+$AA$8)), (IPMT($W$8/12, (U272-$AA$8), $AA$7, $W$7)), 0)</f>
        <v>0</v>
      </c>
      <c r="X272" s="23">
        <f>IF(AND(U272&gt;='Amort. Sched.-WORST'!$AA$8, U272&lt;= ($AA$7+$AA$8)), (PPMT($W$8/12, (U272-$AA$8), $AA$7, $W$7)), 0)</f>
        <v>0</v>
      </c>
      <c r="Y272" s="5">
        <f>IF(CreditAmort2WORST[[#This Row],[Month]]=AA$8,W$7,0)</f>
        <v>0</v>
      </c>
      <c r="Z272" s="13">
        <f>IF(AND(U272&gt;='Amort. Sched.-WORST'!$AA$8, U272&lt;= ($AA$7+$AA$8)), Z271+X272, 0)</f>
        <v>0</v>
      </c>
      <c r="AA272" s="24" t="str">
        <f>IF(AND(U272&gt;='Amort. Sched.-WORST'!$AA$8, U272&lt;= ($AA$7+$AA$8)), W272/V272, " ")</f>
        <v xml:space="preserve"> </v>
      </c>
      <c r="AB272" s="25" t="str">
        <f>IF(AND(U272&gt;='Amort. Sched.-WORST'!$AA$8, U272&lt;= ($AA$7+$AA$8)), X272/V272, " ")</f>
        <v xml:space="preserve"> </v>
      </c>
      <c r="AD272" s="20">
        <f t="shared" si="71"/>
        <v>261</v>
      </c>
      <c r="AE272" s="5">
        <f t="shared" si="72"/>
        <v>0</v>
      </c>
      <c r="AF272" s="5">
        <f t="shared" si="73"/>
        <v>0</v>
      </c>
      <c r="AG272" s="5">
        <f t="shared" si="74"/>
        <v>0</v>
      </c>
      <c r="AH272" s="5">
        <f>IF(CreditAmort3WORST[[#This Row],[Month]]=AJ$8,AF$7,0)</f>
        <v>0</v>
      </c>
      <c r="AI272" s="13">
        <f t="shared" si="75"/>
        <v>0</v>
      </c>
      <c r="AJ272" s="6" t="str">
        <f t="shared" si="76"/>
        <v xml:space="preserve"> </v>
      </c>
      <c r="AK272" s="21" t="str">
        <f t="shared" si="77"/>
        <v xml:space="preserve"> </v>
      </c>
      <c r="AM272" s="20">
        <f t="shared" si="78"/>
        <v>261</v>
      </c>
      <c r="AN272" s="5">
        <f t="shared" si="79"/>
        <v>0</v>
      </c>
      <c r="AO272" s="5">
        <f t="shared" si="80"/>
        <v>0</v>
      </c>
      <c r="AP272" s="5">
        <f t="shared" si="81"/>
        <v>0</v>
      </c>
      <c r="AQ272" s="5">
        <f>IF(CreditAmort4WORST[[#This Row],[Month]]=AS$8,AO$7,0)</f>
        <v>0</v>
      </c>
      <c r="AR272" s="13">
        <f t="shared" si="82"/>
        <v>0</v>
      </c>
      <c r="AS272" s="6" t="str">
        <f t="shared" si="83"/>
        <v xml:space="preserve"> </v>
      </c>
      <c r="AT272" s="21" t="str">
        <f t="shared" si="84"/>
        <v xml:space="preserve"> </v>
      </c>
    </row>
    <row r="273" spans="3:46">
      <c r="C273" s="22">
        <f t="shared" si="69"/>
        <v>262</v>
      </c>
      <c r="D273" s="23">
        <f>IF(AND(C273&gt;='Amort. Sched.-WORST'!$I$8, C273&lt;= ($I$7+$I$8)), PMT('Amort. Sched.-WORST'!$E$8/12, 'Amort. Sched.-WORST'!$I$7, 'Amort. Sched.-WORST'!$E$7), 0)</f>
        <v>-2026.0175758541329</v>
      </c>
      <c r="E273" s="5">
        <f>IF(AND(C273&gt;='Amort. Sched.-WORST'!$I$8, C273&lt;= ($I$7+$I$8)), (IPMT($E$8/12, (C273-$I$8), $I$7, $E$7)), 0)</f>
        <v>-462.50504123197999</v>
      </c>
      <c r="F273" s="23">
        <f>IF(AND(C273&gt;='Amort. Sched.-WORST'!$I$8, C273&lt;= ($I$7+$I$8)), (PPMT($E$8/12, (C273-$I$8), $I$7, $E$7)), 0)</f>
        <v>-1563.512534622153</v>
      </c>
      <c r="G273" s="5">
        <f>IF(MortgageAmortWORST[[#This Row],[Month]]=I$8,E$7,0)</f>
        <v>0</v>
      </c>
      <c r="H273" s="13">
        <f>IF(AND(C273&gt;='Amort. Sched.-WORST'!$I$8, C273&lt;= ($I$7+$I$8)), H272+F273, 0)</f>
        <v>67812.243650174933</v>
      </c>
      <c r="I273" s="24">
        <f>IF(AND(C273&gt;='Amort. Sched.-WORST'!$I$8, C273&lt;= ($I$7+$I$8)), E273/D273, " ")</f>
        <v>0.22828283759433632</v>
      </c>
      <c r="J273" s="25">
        <f>IF(AND(C273&gt;='Amort. Sched.-WORST'!$I$8, C273&lt;= ($I$7+$I$8)), F273/D273, " ")</f>
        <v>0.77171716240566368</v>
      </c>
      <c r="L273" s="20">
        <f t="shared" si="68"/>
        <v>262</v>
      </c>
      <c r="M273" s="5">
        <f>IF(AND(L273&gt;='Amort. Sched.-WORST'!$R$8, L273&lt;= ($R$7+$R$8)), PMT('Amort. Sched.-WORST'!$N$8/12, 'Amort. Sched.-WORST'!$R$7, 'Amort. Sched.-WORST'!$N$7), 0)</f>
        <v>0</v>
      </c>
      <c r="N273" s="5">
        <f>IF(AND(L273&gt;='Amort. Sched.-WORST'!$R$8, L273&lt;= ($R$7+$R$8)), (IPMT($N$8/12, (L273-$R$8), $R$7, $N$7)), 0)</f>
        <v>0</v>
      </c>
      <c r="O273" s="5">
        <f>IF(AND(L273&gt;='Amort. Sched.-WORST'!$R$8, L273&lt;= ($R$7+$R$8)), (PPMT($N$8/12, (L273-$R$8), $R$7, $N$7)), 0)</f>
        <v>0</v>
      </c>
      <c r="P273" s="5">
        <f>IF(CreditAmort1WORST[[#This Row],[Month]]=R$8,N$7,0)</f>
        <v>0</v>
      </c>
      <c r="Q273" s="13">
        <f>IF(AND(L273&gt;='Amort. Sched.-WORST'!$R$8, L273&lt;= ($R$7+$R$8)), Q272+O273, 0)</f>
        <v>0</v>
      </c>
      <c r="R273" s="6" t="str">
        <f>IF(AND(L273&gt;='Amort. Sched.-WORST'!$R$8, L273&lt;= ($R$7+$R$8)), N273/M273, " ")</f>
        <v xml:space="preserve"> </v>
      </c>
      <c r="S273" s="21" t="str">
        <f>IF(AND(L273&gt;='Amort. Sched.-WORST'!$R$8, L273&lt;= ($R$7+$R$8)), O273/M273, " ")</f>
        <v xml:space="preserve"> </v>
      </c>
      <c r="U273" s="22">
        <f t="shared" si="70"/>
        <v>262</v>
      </c>
      <c r="V273" s="23">
        <f>IF(AND(U273&gt;='Amort. Sched.-WORST'!$AA$8, U273&lt;= ($AA$7+$AA$8)), PMT('Amort. Sched.-WORST'!$W$8/12, 'Amort. Sched.-WORST'!$AA$7, 'Amort. Sched.-WORST'!$W$7), 0)</f>
        <v>0</v>
      </c>
      <c r="W273" s="5">
        <f>IF(AND(U273&gt;='Amort. Sched.-WORST'!$AA$8, U273&lt;= ($AA$7+$AA$8)), (IPMT($W$8/12, (U273-$AA$8), $AA$7, $W$7)), 0)</f>
        <v>0</v>
      </c>
      <c r="X273" s="23">
        <f>IF(AND(U273&gt;='Amort. Sched.-WORST'!$AA$8, U273&lt;= ($AA$7+$AA$8)), (PPMT($W$8/12, (U273-$AA$8), $AA$7, $W$7)), 0)</f>
        <v>0</v>
      </c>
      <c r="Y273" s="5">
        <f>IF(CreditAmort2WORST[[#This Row],[Month]]=AA$8,W$7,0)</f>
        <v>0</v>
      </c>
      <c r="Z273" s="13">
        <f>IF(AND(U273&gt;='Amort. Sched.-WORST'!$AA$8, U273&lt;= ($AA$7+$AA$8)), Z272+X273, 0)</f>
        <v>0</v>
      </c>
      <c r="AA273" s="24" t="str">
        <f>IF(AND(U273&gt;='Amort. Sched.-WORST'!$AA$8, U273&lt;= ($AA$7+$AA$8)), W273/V273, " ")</f>
        <v xml:space="preserve"> </v>
      </c>
      <c r="AB273" s="25" t="str">
        <f>IF(AND(U273&gt;='Amort. Sched.-WORST'!$AA$8, U273&lt;= ($AA$7+$AA$8)), X273/V273, " ")</f>
        <v xml:space="preserve"> </v>
      </c>
      <c r="AD273" s="20">
        <f t="shared" si="71"/>
        <v>262</v>
      </c>
      <c r="AE273" s="5">
        <f t="shared" si="72"/>
        <v>0</v>
      </c>
      <c r="AF273" s="5">
        <f t="shared" si="73"/>
        <v>0</v>
      </c>
      <c r="AG273" s="5">
        <f t="shared" si="74"/>
        <v>0</v>
      </c>
      <c r="AH273" s="5">
        <f>IF(CreditAmort3WORST[[#This Row],[Month]]=AJ$8,AF$7,0)</f>
        <v>0</v>
      </c>
      <c r="AI273" s="13">
        <f t="shared" si="75"/>
        <v>0</v>
      </c>
      <c r="AJ273" s="6" t="str">
        <f t="shared" si="76"/>
        <v xml:space="preserve"> </v>
      </c>
      <c r="AK273" s="21" t="str">
        <f t="shared" si="77"/>
        <v xml:space="preserve"> </v>
      </c>
      <c r="AM273" s="20">
        <f t="shared" si="78"/>
        <v>262</v>
      </c>
      <c r="AN273" s="5">
        <f t="shared" si="79"/>
        <v>0</v>
      </c>
      <c r="AO273" s="5">
        <f t="shared" si="80"/>
        <v>0</v>
      </c>
      <c r="AP273" s="5">
        <f t="shared" si="81"/>
        <v>0</v>
      </c>
      <c r="AQ273" s="5">
        <f>IF(CreditAmort4WORST[[#This Row],[Month]]=AS$8,AO$7,0)</f>
        <v>0</v>
      </c>
      <c r="AR273" s="13">
        <f t="shared" si="82"/>
        <v>0</v>
      </c>
      <c r="AS273" s="6" t="str">
        <f t="shared" si="83"/>
        <v xml:space="preserve"> </v>
      </c>
      <c r="AT273" s="21" t="str">
        <f t="shared" si="84"/>
        <v xml:space="preserve"> </v>
      </c>
    </row>
    <row r="274" spans="3:46">
      <c r="C274" s="22">
        <f t="shared" si="69"/>
        <v>263</v>
      </c>
      <c r="D274" s="23">
        <f>IF(AND(C274&gt;='Amort. Sched.-WORST'!$I$8, C274&lt;= ($I$7+$I$8)), PMT('Amort. Sched.-WORST'!$E$8/12, 'Amort. Sched.-WORST'!$I$7, 'Amort. Sched.-WORST'!$E$7), 0)</f>
        <v>-2026.0175758541329</v>
      </c>
      <c r="E274" s="5">
        <f>IF(AND(C274&gt;='Amort. Sched.-WORST'!$I$8, C274&lt;= ($I$7+$I$8)), (IPMT($E$8/12, (C274-$I$8), $I$7, $E$7)), 0)</f>
        <v>-452.08162433449911</v>
      </c>
      <c r="F274" s="23">
        <f>IF(AND(C274&gt;='Amort. Sched.-WORST'!$I$8, C274&lt;= ($I$7+$I$8)), (PPMT($E$8/12, (C274-$I$8), $I$7, $E$7)), 0)</f>
        <v>-1573.935951519634</v>
      </c>
      <c r="G274" s="5">
        <f>IF(MortgageAmortWORST[[#This Row],[Month]]=I$8,E$7,0)</f>
        <v>0</v>
      </c>
      <c r="H274" s="13">
        <f>IF(AND(C274&gt;='Amort. Sched.-WORST'!$I$8, C274&lt;= ($I$7+$I$8)), H273+F274, 0)</f>
        <v>66238.307698655291</v>
      </c>
      <c r="I274" s="24">
        <f>IF(AND(C274&gt;='Amort. Sched.-WORST'!$I$8, C274&lt;= ($I$7+$I$8)), E274/D274, " ")</f>
        <v>0.22313805651163196</v>
      </c>
      <c r="J274" s="25">
        <f>IF(AND(C274&gt;='Amort. Sched.-WORST'!$I$8, C274&lt;= ($I$7+$I$8)), F274/D274, " ")</f>
        <v>0.77686194348836812</v>
      </c>
      <c r="L274" s="20">
        <f t="shared" si="68"/>
        <v>263</v>
      </c>
      <c r="M274" s="5">
        <f>IF(AND(L274&gt;='Amort. Sched.-WORST'!$R$8, L274&lt;= ($R$7+$R$8)), PMT('Amort. Sched.-WORST'!$N$8/12, 'Amort. Sched.-WORST'!$R$7, 'Amort. Sched.-WORST'!$N$7), 0)</f>
        <v>0</v>
      </c>
      <c r="N274" s="5">
        <f>IF(AND(L274&gt;='Amort. Sched.-WORST'!$R$8, L274&lt;= ($R$7+$R$8)), (IPMT($N$8/12, (L274-$R$8), $R$7, $N$7)), 0)</f>
        <v>0</v>
      </c>
      <c r="O274" s="5">
        <f>IF(AND(L274&gt;='Amort. Sched.-WORST'!$R$8, L274&lt;= ($R$7+$R$8)), (PPMT($N$8/12, (L274-$R$8), $R$7, $N$7)), 0)</f>
        <v>0</v>
      </c>
      <c r="P274" s="5">
        <f>IF(CreditAmort1WORST[[#This Row],[Month]]=R$8,N$7,0)</f>
        <v>0</v>
      </c>
      <c r="Q274" s="13">
        <f>IF(AND(L274&gt;='Amort. Sched.-WORST'!$R$8, L274&lt;= ($R$7+$R$8)), Q273+O274, 0)</f>
        <v>0</v>
      </c>
      <c r="R274" s="6" t="str">
        <f>IF(AND(L274&gt;='Amort. Sched.-WORST'!$R$8, L274&lt;= ($R$7+$R$8)), N274/M274, " ")</f>
        <v xml:space="preserve"> </v>
      </c>
      <c r="S274" s="21" t="str">
        <f>IF(AND(L274&gt;='Amort. Sched.-WORST'!$R$8, L274&lt;= ($R$7+$R$8)), O274/M274, " ")</f>
        <v xml:space="preserve"> </v>
      </c>
      <c r="U274" s="22">
        <f t="shared" si="70"/>
        <v>263</v>
      </c>
      <c r="V274" s="23">
        <f>IF(AND(U274&gt;='Amort. Sched.-WORST'!$AA$8, U274&lt;= ($AA$7+$AA$8)), PMT('Amort. Sched.-WORST'!$W$8/12, 'Amort. Sched.-WORST'!$AA$7, 'Amort. Sched.-WORST'!$W$7), 0)</f>
        <v>0</v>
      </c>
      <c r="W274" s="5">
        <f>IF(AND(U274&gt;='Amort. Sched.-WORST'!$AA$8, U274&lt;= ($AA$7+$AA$8)), (IPMT($W$8/12, (U274-$AA$8), $AA$7, $W$7)), 0)</f>
        <v>0</v>
      </c>
      <c r="X274" s="23">
        <f>IF(AND(U274&gt;='Amort. Sched.-WORST'!$AA$8, U274&lt;= ($AA$7+$AA$8)), (PPMT($W$8/12, (U274-$AA$8), $AA$7, $W$7)), 0)</f>
        <v>0</v>
      </c>
      <c r="Y274" s="5">
        <f>IF(CreditAmort2WORST[[#This Row],[Month]]=AA$8,W$7,0)</f>
        <v>0</v>
      </c>
      <c r="Z274" s="13">
        <f>IF(AND(U274&gt;='Amort. Sched.-WORST'!$AA$8, U274&lt;= ($AA$7+$AA$8)), Z273+X274, 0)</f>
        <v>0</v>
      </c>
      <c r="AA274" s="24" t="str">
        <f>IF(AND(U274&gt;='Amort. Sched.-WORST'!$AA$8, U274&lt;= ($AA$7+$AA$8)), W274/V274, " ")</f>
        <v xml:space="preserve"> </v>
      </c>
      <c r="AB274" s="25" t="str">
        <f>IF(AND(U274&gt;='Amort. Sched.-WORST'!$AA$8, U274&lt;= ($AA$7+$AA$8)), X274/V274, " ")</f>
        <v xml:space="preserve"> </v>
      </c>
      <c r="AD274" s="20">
        <f t="shared" si="71"/>
        <v>263</v>
      </c>
      <c r="AE274" s="5">
        <f t="shared" si="72"/>
        <v>0</v>
      </c>
      <c r="AF274" s="5">
        <f t="shared" si="73"/>
        <v>0</v>
      </c>
      <c r="AG274" s="5">
        <f t="shared" si="74"/>
        <v>0</v>
      </c>
      <c r="AH274" s="5">
        <f>IF(CreditAmort3WORST[[#This Row],[Month]]=AJ$8,AF$7,0)</f>
        <v>0</v>
      </c>
      <c r="AI274" s="13">
        <f t="shared" si="75"/>
        <v>0</v>
      </c>
      <c r="AJ274" s="6" t="str">
        <f t="shared" si="76"/>
        <v xml:space="preserve"> </v>
      </c>
      <c r="AK274" s="21" t="str">
        <f t="shared" si="77"/>
        <v xml:space="preserve"> </v>
      </c>
      <c r="AM274" s="20">
        <f t="shared" si="78"/>
        <v>263</v>
      </c>
      <c r="AN274" s="5">
        <f t="shared" si="79"/>
        <v>0</v>
      </c>
      <c r="AO274" s="5">
        <f t="shared" si="80"/>
        <v>0</v>
      </c>
      <c r="AP274" s="5">
        <f t="shared" si="81"/>
        <v>0</v>
      </c>
      <c r="AQ274" s="5">
        <f>IF(CreditAmort4WORST[[#This Row],[Month]]=AS$8,AO$7,0)</f>
        <v>0</v>
      </c>
      <c r="AR274" s="13">
        <f t="shared" si="82"/>
        <v>0</v>
      </c>
      <c r="AS274" s="6" t="str">
        <f t="shared" si="83"/>
        <v xml:space="preserve"> </v>
      </c>
      <c r="AT274" s="21" t="str">
        <f t="shared" si="84"/>
        <v xml:space="preserve"> </v>
      </c>
    </row>
    <row r="275" spans="3:46">
      <c r="C275" s="22">
        <f t="shared" si="69"/>
        <v>264</v>
      </c>
      <c r="D275" s="23">
        <f>IF(AND(C275&gt;='Amort. Sched.-WORST'!$I$8, C275&lt;= ($I$7+$I$8)), PMT('Amort. Sched.-WORST'!$E$8/12, 'Amort. Sched.-WORST'!$I$7, 'Amort. Sched.-WORST'!$E$7), 0)</f>
        <v>-2026.0175758541329</v>
      </c>
      <c r="E275" s="5">
        <f>IF(AND(C275&gt;='Amort. Sched.-WORST'!$I$8, C275&lt;= ($I$7+$I$8)), (IPMT($E$8/12, (C275-$I$8), $I$7, $E$7)), 0)</f>
        <v>-441.5887179910348</v>
      </c>
      <c r="F275" s="23">
        <f>IF(AND(C275&gt;='Amort. Sched.-WORST'!$I$8, C275&lt;= ($I$7+$I$8)), (PPMT($E$8/12, (C275-$I$8), $I$7, $E$7)), 0)</f>
        <v>-1584.4288578630981</v>
      </c>
      <c r="G275" s="5">
        <f>IF(MortgageAmortWORST[[#This Row],[Month]]=I$8,E$7,0)</f>
        <v>0</v>
      </c>
      <c r="H275" s="13">
        <f>IF(AND(C275&gt;='Amort. Sched.-WORST'!$I$8, C275&lt;= ($I$7+$I$8)), H274+F275, 0)</f>
        <v>64653.878840792197</v>
      </c>
      <c r="I275" s="24">
        <f>IF(AND(C275&gt;='Amort. Sched.-WORST'!$I$8, C275&lt;= ($I$7+$I$8)), E275/D275, " ")</f>
        <v>0.21795897688837612</v>
      </c>
      <c r="J275" s="25">
        <f>IF(AND(C275&gt;='Amort. Sched.-WORST'!$I$8, C275&lt;= ($I$7+$I$8)), F275/D275, " ")</f>
        <v>0.78204102311162382</v>
      </c>
      <c r="L275" s="20">
        <f t="shared" si="68"/>
        <v>264</v>
      </c>
      <c r="M275" s="5">
        <f>IF(AND(L275&gt;='Amort. Sched.-WORST'!$R$8, L275&lt;= ($R$7+$R$8)), PMT('Amort. Sched.-WORST'!$N$8/12, 'Amort. Sched.-WORST'!$R$7, 'Amort. Sched.-WORST'!$N$7), 0)</f>
        <v>0</v>
      </c>
      <c r="N275" s="5">
        <f>IF(AND(L275&gt;='Amort. Sched.-WORST'!$R$8, L275&lt;= ($R$7+$R$8)), (IPMT($N$8/12, (L275-$R$8), $R$7, $N$7)), 0)</f>
        <v>0</v>
      </c>
      <c r="O275" s="5">
        <f>IF(AND(L275&gt;='Amort. Sched.-WORST'!$R$8, L275&lt;= ($R$7+$R$8)), (PPMT($N$8/12, (L275-$R$8), $R$7, $N$7)), 0)</f>
        <v>0</v>
      </c>
      <c r="P275" s="5">
        <f>IF(CreditAmort1WORST[[#This Row],[Month]]=R$8,N$7,0)</f>
        <v>0</v>
      </c>
      <c r="Q275" s="13">
        <f>IF(AND(L275&gt;='Amort. Sched.-WORST'!$R$8, L275&lt;= ($R$7+$R$8)), Q274+O275, 0)</f>
        <v>0</v>
      </c>
      <c r="R275" s="6" t="str">
        <f>IF(AND(L275&gt;='Amort. Sched.-WORST'!$R$8, L275&lt;= ($R$7+$R$8)), N275/M275, " ")</f>
        <v xml:space="preserve"> </v>
      </c>
      <c r="S275" s="21" t="str">
        <f>IF(AND(L275&gt;='Amort. Sched.-WORST'!$R$8, L275&lt;= ($R$7+$R$8)), O275/M275, " ")</f>
        <v xml:space="preserve"> </v>
      </c>
      <c r="U275" s="22">
        <f t="shared" si="70"/>
        <v>264</v>
      </c>
      <c r="V275" s="23">
        <f>IF(AND(U275&gt;='Amort. Sched.-WORST'!$AA$8, U275&lt;= ($AA$7+$AA$8)), PMT('Amort. Sched.-WORST'!$W$8/12, 'Amort. Sched.-WORST'!$AA$7, 'Amort. Sched.-WORST'!$W$7), 0)</f>
        <v>0</v>
      </c>
      <c r="W275" s="5">
        <f>IF(AND(U275&gt;='Amort. Sched.-WORST'!$AA$8, U275&lt;= ($AA$7+$AA$8)), (IPMT($W$8/12, (U275-$AA$8), $AA$7, $W$7)), 0)</f>
        <v>0</v>
      </c>
      <c r="X275" s="23">
        <f>IF(AND(U275&gt;='Amort. Sched.-WORST'!$AA$8, U275&lt;= ($AA$7+$AA$8)), (PPMT($W$8/12, (U275-$AA$8), $AA$7, $W$7)), 0)</f>
        <v>0</v>
      </c>
      <c r="Y275" s="5">
        <f>IF(CreditAmort2WORST[[#This Row],[Month]]=AA$8,W$7,0)</f>
        <v>0</v>
      </c>
      <c r="Z275" s="13">
        <f>IF(AND(U275&gt;='Amort. Sched.-WORST'!$AA$8, U275&lt;= ($AA$7+$AA$8)), Z274+X275, 0)</f>
        <v>0</v>
      </c>
      <c r="AA275" s="24" t="str">
        <f>IF(AND(U275&gt;='Amort. Sched.-WORST'!$AA$8, U275&lt;= ($AA$7+$AA$8)), W275/V275, " ")</f>
        <v xml:space="preserve"> </v>
      </c>
      <c r="AB275" s="25" t="str">
        <f>IF(AND(U275&gt;='Amort. Sched.-WORST'!$AA$8, U275&lt;= ($AA$7+$AA$8)), X275/V275, " ")</f>
        <v xml:space="preserve"> </v>
      </c>
      <c r="AD275" s="20">
        <f t="shared" si="71"/>
        <v>264</v>
      </c>
      <c r="AE275" s="5">
        <f t="shared" si="72"/>
        <v>0</v>
      </c>
      <c r="AF275" s="5">
        <f t="shared" si="73"/>
        <v>0</v>
      </c>
      <c r="AG275" s="5">
        <f t="shared" si="74"/>
        <v>0</v>
      </c>
      <c r="AH275" s="5">
        <f>IF(CreditAmort3WORST[[#This Row],[Month]]=AJ$8,AF$7,0)</f>
        <v>0</v>
      </c>
      <c r="AI275" s="13">
        <f t="shared" si="75"/>
        <v>0</v>
      </c>
      <c r="AJ275" s="6" t="str">
        <f t="shared" si="76"/>
        <v xml:space="preserve"> </v>
      </c>
      <c r="AK275" s="21" t="str">
        <f t="shared" si="77"/>
        <v xml:space="preserve"> </v>
      </c>
      <c r="AM275" s="20">
        <f t="shared" si="78"/>
        <v>264</v>
      </c>
      <c r="AN275" s="5">
        <f t="shared" si="79"/>
        <v>0</v>
      </c>
      <c r="AO275" s="5">
        <f t="shared" si="80"/>
        <v>0</v>
      </c>
      <c r="AP275" s="5">
        <f t="shared" si="81"/>
        <v>0</v>
      </c>
      <c r="AQ275" s="5">
        <f>IF(CreditAmort4WORST[[#This Row],[Month]]=AS$8,AO$7,0)</f>
        <v>0</v>
      </c>
      <c r="AR275" s="13">
        <f t="shared" si="82"/>
        <v>0</v>
      </c>
      <c r="AS275" s="6" t="str">
        <f t="shared" si="83"/>
        <v xml:space="preserve"> </v>
      </c>
      <c r="AT275" s="21" t="str">
        <f t="shared" si="84"/>
        <v xml:space="preserve"> </v>
      </c>
    </row>
    <row r="276" spans="3:46">
      <c r="C276" s="22">
        <f t="shared" si="69"/>
        <v>265</v>
      </c>
      <c r="D276" s="23">
        <f>IF(AND(C276&gt;='Amort. Sched.-WORST'!$I$8, C276&lt;= ($I$7+$I$8)), PMT('Amort. Sched.-WORST'!$E$8/12, 'Amort. Sched.-WORST'!$I$7, 'Amort. Sched.-WORST'!$E$7), 0)</f>
        <v>-2026.0175758541329</v>
      </c>
      <c r="E276" s="5">
        <f>IF(AND(C276&gt;='Amort. Sched.-WORST'!$I$8, C276&lt;= ($I$7+$I$8)), (IPMT($E$8/12, (C276-$I$8), $I$7, $E$7)), 0)</f>
        <v>-431.02585893861414</v>
      </c>
      <c r="F276" s="23">
        <f>IF(AND(C276&gt;='Amort. Sched.-WORST'!$I$8, C276&lt;= ($I$7+$I$8)), (PPMT($E$8/12, (C276-$I$8), $I$7, $E$7)), 0)</f>
        <v>-1594.991716915519</v>
      </c>
      <c r="G276" s="5">
        <f>IF(MortgageAmortWORST[[#This Row],[Month]]=I$8,E$7,0)</f>
        <v>0</v>
      </c>
      <c r="H276" s="13">
        <f>IF(AND(C276&gt;='Amort. Sched.-WORST'!$I$8, C276&lt;= ($I$7+$I$8)), H275+F276, 0)</f>
        <v>63058.887123876681</v>
      </c>
      <c r="I276" s="24">
        <f>IF(AND(C276&gt;='Amort. Sched.-WORST'!$I$8, C276&lt;= ($I$7+$I$8)), E276/D276, " ")</f>
        <v>0.21274537006763197</v>
      </c>
      <c r="J276" s="25">
        <f>IF(AND(C276&gt;='Amort. Sched.-WORST'!$I$8, C276&lt;= ($I$7+$I$8)), F276/D276, " ")</f>
        <v>0.78725462993236817</v>
      </c>
      <c r="L276" s="20">
        <f t="shared" si="68"/>
        <v>265</v>
      </c>
      <c r="M276" s="5">
        <f>IF(AND(L276&gt;='Amort. Sched.-WORST'!$R$8, L276&lt;= ($R$7+$R$8)), PMT('Amort. Sched.-WORST'!$N$8/12, 'Amort. Sched.-WORST'!$R$7, 'Amort. Sched.-WORST'!$N$7), 0)</f>
        <v>0</v>
      </c>
      <c r="N276" s="5">
        <f>IF(AND(L276&gt;='Amort. Sched.-WORST'!$R$8, L276&lt;= ($R$7+$R$8)), (IPMT($N$8/12, (L276-$R$8), $R$7, $N$7)), 0)</f>
        <v>0</v>
      </c>
      <c r="O276" s="5">
        <f>IF(AND(L276&gt;='Amort. Sched.-WORST'!$R$8, L276&lt;= ($R$7+$R$8)), (PPMT($N$8/12, (L276-$R$8), $R$7, $N$7)), 0)</f>
        <v>0</v>
      </c>
      <c r="P276" s="5">
        <f>IF(CreditAmort1WORST[[#This Row],[Month]]=R$8,N$7,0)</f>
        <v>0</v>
      </c>
      <c r="Q276" s="13">
        <f>IF(AND(L276&gt;='Amort. Sched.-WORST'!$R$8, L276&lt;= ($R$7+$R$8)), Q275+O276, 0)</f>
        <v>0</v>
      </c>
      <c r="R276" s="6" t="str">
        <f>IF(AND(L276&gt;='Amort. Sched.-WORST'!$R$8, L276&lt;= ($R$7+$R$8)), N276/M276, " ")</f>
        <v xml:space="preserve"> </v>
      </c>
      <c r="S276" s="21" t="str">
        <f>IF(AND(L276&gt;='Amort. Sched.-WORST'!$R$8, L276&lt;= ($R$7+$R$8)), O276/M276, " ")</f>
        <v xml:space="preserve"> </v>
      </c>
      <c r="U276" s="22">
        <f t="shared" si="70"/>
        <v>265</v>
      </c>
      <c r="V276" s="23">
        <f>IF(AND(U276&gt;='Amort. Sched.-WORST'!$AA$8, U276&lt;= ($AA$7+$AA$8)), PMT('Amort. Sched.-WORST'!$W$8/12, 'Amort. Sched.-WORST'!$AA$7, 'Amort. Sched.-WORST'!$W$7), 0)</f>
        <v>0</v>
      </c>
      <c r="W276" s="5">
        <f>IF(AND(U276&gt;='Amort. Sched.-WORST'!$AA$8, U276&lt;= ($AA$7+$AA$8)), (IPMT($W$8/12, (U276-$AA$8), $AA$7, $W$7)), 0)</f>
        <v>0</v>
      </c>
      <c r="X276" s="23">
        <f>IF(AND(U276&gt;='Amort. Sched.-WORST'!$AA$8, U276&lt;= ($AA$7+$AA$8)), (PPMT($W$8/12, (U276-$AA$8), $AA$7, $W$7)), 0)</f>
        <v>0</v>
      </c>
      <c r="Y276" s="5">
        <f>IF(CreditAmort2WORST[[#This Row],[Month]]=AA$8,W$7,0)</f>
        <v>0</v>
      </c>
      <c r="Z276" s="13">
        <f>IF(AND(U276&gt;='Amort. Sched.-WORST'!$AA$8, U276&lt;= ($AA$7+$AA$8)), Z275+X276, 0)</f>
        <v>0</v>
      </c>
      <c r="AA276" s="24" t="str">
        <f>IF(AND(U276&gt;='Amort. Sched.-WORST'!$AA$8, U276&lt;= ($AA$7+$AA$8)), W276/V276, " ")</f>
        <v xml:space="preserve"> </v>
      </c>
      <c r="AB276" s="25" t="str">
        <f>IF(AND(U276&gt;='Amort. Sched.-WORST'!$AA$8, U276&lt;= ($AA$7+$AA$8)), X276/V276, " ")</f>
        <v xml:space="preserve"> </v>
      </c>
      <c r="AD276" s="20">
        <f t="shared" si="71"/>
        <v>265</v>
      </c>
      <c r="AE276" s="5">
        <f t="shared" si="72"/>
        <v>0</v>
      </c>
      <c r="AF276" s="5">
        <f t="shared" si="73"/>
        <v>0</v>
      </c>
      <c r="AG276" s="5">
        <f t="shared" si="74"/>
        <v>0</v>
      </c>
      <c r="AH276" s="5">
        <f>IF(CreditAmort3WORST[[#This Row],[Month]]=AJ$8,AF$7,0)</f>
        <v>0</v>
      </c>
      <c r="AI276" s="13">
        <f t="shared" si="75"/>
        <v>0</v>
      </c>
      <c r="AJ276" s="6" t="str">
        <f t="shared" si="76"/>
        <v xml:space="preserve"> </v>
      </c>
      <c r="AK276" s="21" t="str">
        <f t="shared" si="77"/>
        <v xml:space="preserve"> </v>
      </c>
      <c r="AM276" s="20">
        <f t="shared" si="78"/>
        <v>265</v>
      </c>
      <c r="AN276" s="5">
        <f t="shared" si="79"/>
        <v>0</v>
      </c>
      <c r="AO276" s="5">
        <f t="shared" si="80"/>
        <v>0</v>
      </c>
      <c r="AP276" s="5">
        <f t="shared" si="81"/>
        <v>0</v>
      </c>
      <c r="AQ276" s="5">
        <f>IF(CreditAmort4WORST[[#This Row],[Month]]=AS$8,AO$7,0)</f>
        <v>0</v>
      </c>
      <c r="AR276" s="13">
        <f t="shared" si="82"/>
        <v>0</v>
      </c>
      <c r="AS276" s="6" t="str">
        <f t="shared" si="83"/>
        <v xml:space="preserve"> </v>
      </c>
      <c r="AT276" s="21" t="str">
        <f t="shared" si="84"/>
        <v xml:space="preserve"> </v>
      </c>
    </row>
    <row r="277" spans="3:46">
      <c r="C277" s="22">
        <f t="shared" si="69"/>
        <v>266</v>
      </c>
      <c r="D277" s="23">
        <f>IF(AND(C277&gt;='Amort. Sched.-WORST'!$I$8, C277&lt;= ($I$7+$I$8)), PMT('Amort. Sched.-WORST'!$E$8/12, 'Amort. Sched.-WORST'!$I$7, 'Amort. Sched.-WORST'!$E$7), 0)</f>
        <v>-2026.0175758541329</v>
      </c>
      <c r="E277" s="5">
        <f>IF(AND(C277&gt;='Amort. Sched.-WORST'!$I$8, C277&lt;= ($I$7+$I$8)), (IPMT($E$8/12, (C277-$I$8), $I$7, $E$7)), 0)</f>
        <v>-420.39258082584411</v>
      </c>
      <c r="F277" s="23">
        <f>IF(AND(C277&gt;='Amort. Sched.-WORST'!$I$8, C277&lt;= ($I$7+$I$8)), (PPMT($E$8/12, (C277-$I$8), $I$7, $E$7)), 0)</f>
        <v>-1605.624995028289</v>
      </c>
      <c r="G277" s="5">
        <f>IF(MortgageAmortWORST[[#This Row],[Month]]=I$8,E$7,0)</f>
        <v>0</v>
      </c>
      <c r="H277" s="13">
        <f>IF(AND(C277&gt;='Amort. Sched.-WORST'!$I$8, C277&lt;= ($I$7+$I$8)), H276+F277, 0)</f>
        <v>61453.262128848393</v>
      </c>
      <c r="I277" s="24">
        <f>IF(AND(C277&gt;='Amort. Sched.-WORST'!$I$8, C277&lt;= ($I$7+$I$8)), E277/D277, " ")</f>
        <v>0.2074970058680829</v>
      </c>
      <c r="J277" s="25">
        <f>IF(AND(C277&gt;='Amort. Sched.-WORST'!$I$8, C277&lt;= ($I$7+$I$8)), F277/D277, " ")</f>
        <v>0.79250299413191716</v>
      </c>
      <c r="L277" s="20">
        <f t="shared" si="68"/>
        <v>266</v>
      </c>
      <c r="M277" s="5">
        <f>IF(AND(L277&gt;='Amort. Sched.-WORST'!$R$8, L277&lt;= ($R$7+$R$8)), PMT('Amort. Sched.-WORST'!$N$8/12, 'Amort. Sched.-WORST'!$R$7, 'Amort. Sched.-WORST'!$N$7), 0)</f>
        <v>0</v>
      </c>
      <c r="N277" s="5">
        <f>IF(AND(L277&gt;='Amort. Sched.-WORST'!$R$8, L277&lt;= ($R$7+$R$8)), (IPMT($N$8/12, (L277-$R$8), $R$7, $N$7)), 0)</f>
        <v>0</v>
      </c>
      <c r="O277" s="5">
        <f>IF(AND(L277&gt;='Amort. Sched.-WORST'!$R$8, L277&lt;= ($R$7+$R$8)), (PPMT($N$8/12, (L277-$R$8), $R$7, $N$7)), 0)</f>
        <v>0</v>
      </c>
      <c r="P277" s="5">
        <f>IF(CreditAmort1WORST[[#This Row],[Month]]=R$8,N$7,0)</f>
        <v>0</v>
      </c>
      <c r="Q277" s="13">
        <f>IF(AND(L277&gt;='Amort. Sched.-WORST'!$R$8, L277&lt;= ($R$7+$R$8)), Q276+O277, 0)</f>
        <v>0</v>
      </c>
      <c r="R277" s="6" t="str">
        <f>IF(AND(L277&gt;='Amort. Sched.-WORST'!$R$8, L277&lt;= ($R$7+$R$8)), N277/M277, " ")</f>
        <v xml:space="preserve"> </v>
      </c>
      <c r="S277" s="21" t="str">
        <f>IF(AND(L277&gt;='Amort. Sched.-WORST'!$R$8, L277&lt;= ($R$7+$R$8)), O277/M277, " ")</f>
        <v xml:space="preserve"> </v>
      </c>
      <c r="U277" s="22">
        <f t="shared" si="70"/>
        <v>266</v>
      </c>
      <c r="V277" s="23">
        <f>IF(AND(U277&gt;='Amort. Sched.-WORST'!$AA$8, U277&lt;= ($AA$7+$AA$8)), PMT('Amort. Sched.-WORST'!$W$8/12, 'Amort. Sched.-WORST'!$AA$7, 'Amort. Sched.-WORST'!$W$7), 0)</f>
        <v>0</v>
      </c>
      <c r="W277" s="5">
        <f>IF(AND(U277&gt;='Amort. Sched.-WORST'!$AA$8, U277&lt;= ($AA$7+$AA$8)), (IPMT($W$8/12, (U277-$AA$8), $AA$7, $W$7)), 0)</f>
        <v>0</v>
      </c>
      <c r="X277" s="23">
        <f>IF(AND(U277&gt;='Amort. Sched.-WORST'!$AA$8, U277&lt;= ($AA$7+$AA$8)), (PPMT($W$8/12, (U277-$AA$8), $AA$7, $W$7)), 0)</f>
        <v>0</v>
      </c>
      <c r="Y277" s="5">
        <f>IF(CreditAmort2WORST[[#This Row],[Month]]=AA$8,W$7,0)</f>
        <v>0</v>
      </c>
      <c r="Z277" s="13">
        <f>IF(AND(U277&gt;='Amort. Sched.-WORST'!$AA$8, U277&lt;= ($AA$7+$AA$8)), Z276+X277, 0)</f>
        <v>0</v>
      </c>
      <c r="AA277" s="24" t="str">
        <f>IF(AND(U277&gt;='Amort. Sched.-WORST'!$AA$8, U277&lt;= ($AA$7+$AA$8)), W277/V277, " ")</f>
        <v xml:space="preserve"> </v>
      </c>
      <c r="AB277" s="25" t="str">
        <f>IF(AND(U277&gt;='Amort. Sched.-WORST'!$AA$8, U277&lt;= ($AA$7+$AA$8)), X277/V277, " ")</f>
        <v xml:space="preserve"> </v>
      </c>
      <c r="AD277" s="20">
        <f t="shared" si="71"/>
        <v>266</v>
      </c>
      <c r="AE277" s="5">
        <f t="shared" si="72"/>
        <v>0</v>
      </c>
      <c r="AF277" s="5">
        <f t="shared" si="73"/>
        <v>0</v>
      </c>
      <c r="AG277" s="5">
        <f t="shared" si="74"/>
        <v>0</v>
      </c>
      <c r="AH277" s="5">
        <f>IF(CreditAmort3WORST[[#This Row],[Month]]=AJ$8,AF$7,0)</f>
        <v>0</v>
      </c>
      <c r="AI277" s="13">
        <f t="shared" si="75"/>
        <v>0</v>
      </c>
      <c r="AJ277" s="6" t="str">
        <f t="shared" si="76"/>
        <v xml:space="preserve"> </v>
      </c>
      <c r="AK277" s="21" t="str">
        <f t="shared" si="77"/>
        <v xml:space="preserve"> </v>
      </c>
      <c r="AM277" s="20">
        <f t="shared" si="78"/>
        <v>266</v>
      </c>
      <c r="AN277" s="5">
        <f t="shared" si="79"/>
        <v>0</v>
      </c>
      <c r="AO277" s="5">
        <f t="shared" si="80"/>
        <v>0</v>
      </c>
      <c r="AP277" s="5">
        <f t="shared" si="81"/>
        <v>0</v>
      </c>
      <c r="AQ277" s="5">
        <f>IF(CreditAmort4WORST[[#This Row],[Month]]=AS$8,AO$7,0)</f>
        <v>0</v>
      </c>
      <c r="AR277" s="13">
        <f t="shared" si="82"/>
        <v>0</v>
      </c>
      <c r="AS277" s="6" t="str">
        <f t="shared" si="83"/>
        <v xml:space="preserve"> </v>
      </c>
      <c r="AT277" s="21" t="str">
        <f t="shared" si="84"/>
        <v xml:space="preserve"> </v>
      </c>
    </row>
    <row r="278" spans="3:46">
      <c r="C278" s="22">
        <f t="shared" si="69"/>
        <v>267</v>
      </c>
      <c r="D278" s="23">
        <f>IF(AND(C278&gt;='Amort. Sched.-WORST'!$I$8, C278&lt;= ($I$7+$I$8)), PMT('Amort. Sched.-WORST'!$E$8/12, 'Amort. Sched.-WORST'!$I$7, 'Amort. Sched.-WORST'!$E$7), 0)</f>
        <v>-2026.0175758541329</v>
      </c>
      <c r="E278" s="5">
        <f>IF(AND(C278&gt;='Amort. Sched.-WORST'!$I$8, C278&lt;= ($I$7+$I$8)), (IPMT($E$8/12, (C278-$I$8), $I$7, $E$7)), 0)</f>
        <v>-409.68841419232206</v>
      </c>
      <c r="F278" s="23">
        <f>IF(AND(C278&gt;='Amort. Sched.-WORST'!$I$8, C278&lt;= ($I$7+$I$8)), (PPMT($E$8/12, (C278-$I$8), $I$7, $E$7)), 0)</f>
        <v>-1616.329161661811</v>
      </c>
      <c r="G278" s="5">
        <f>IF(MortgageAmortWORST[[#This Row],[Month]]=I$8,E$7,0)</f>
        <v>0</v>
      </c>
      <c r="H278" s="13">
        <f>IF(AND(C278&gt;='Amort. Sched.-WORST'!$I$8, C278&lt;= ($I$7+$I$8)), H277+F278, 0)</f>
        <v>59836.932967186585</v>
      </c>
      <c r="I278" s="24">
        <f>IF(AND(C278&gt;='Amort. Sched.-WORST'!$I$8, C278&lt;= ($I$7+$I$8)), E278/D278, " ")</f>
        <v>0.20221365257387006</v>
      </c>
      <c r="J278" s="25">
        <f>IF(AND(C278&gt;='Amort. Sched.-WORST'!$I$8, C278&lt;= ($I$7+$I$8)), F278/D278, " ")</f>
        <v>0.79778634742612997</v>
      </c>
      <c r="L278" s="20">
        <f t="shared" si="68"/>
        <v>267</v>
      </c>
      <c r="M278" s="5">
        <f>IF(AND(L278&gt;='Amort. Sched.-WORST'!$R$8, L278&lt;= ($R$7+$R$8)), PMT('Amort. Sched.-WORST'!$N$8/12, 'Amort. Sched.-WORST'!$R$7, 'Amort. Sched.-WORST'!$N$7), 0)</f>
        <v>0</v>
      </c>
      <c r="N278" s="5">
        <f>IF(AND(L278&gt;='Amort. Sched.-WORST'!$R$8, L278&lt;= ($R$7+$R$8)), (IPMT($N$8/12, (L278-$R$8), $R$7, $N$7)), 0)</f>
        <v>0</v>
      </c>
      <c r="O278" s="5">
        <f>IF(AND(L278&gt;='Amort. Sched.-WORST'!$R$8, L278&lt;= ($R$7+$R$8)), (PPMT($N$8/12, (L278-$R$8), $R$7, $N$7)), 0)</f>
        <v>0</v>
      </c>
      <c r="P278" s="5">
        <f>IF(CreditAmort1WORST[[#This Row],[Month]]=R$8,N$7,0)</f>
        <v>0</v>
      </c>
      <c r="Q278" s="13">
        <f>IF(AND(L278&gt;='Amort. Sched.-WORST'!$R$8, L278&lt;= ($R$7+$R$8)), Q277+O278, 0)</f>
        <v>0</v>
      </c>
      <c r="R278" s="6" t="str">
        <f>IF(AND(L278&gt;='Amort. Sched.-WORST'!$R$8, L278&lt;= ($R$7+$R$8)), N278/M278, " ")</f>
        <v xml:space="preserve"> </v>
      </c>
      <c r="S278" s="21" t="str">
        <f>IF(AND(L278&gt;='Amort. Sched.-WORST'!$R$8, L278&lt;= ($R$7+$R$8)), O278/M278, " ")</f>
        <v xml:space="preserve"> </v>
      </c>
      <c r="U278" s="22">
        <f t="shared" si="70"/>
        <v>267</v>
      </c>
      <c r="V278" s="23">
        <f>IF(AND(U278&gt;='Amort. Sched.-WORST'!$AA$8, U278&lt;= ($AA$7+$AA$8)), PMT('Amort. Sched.-WORST'!$W$8/12, 'Amort. Sched.-WORST'!$AA$7, 'Amort. Sched.-WORST'!$W$7), 0)</f>
        <v>0</v>
      </c>
      <c r="W278" s="5">
        <f>IF(AND(U278&gt;='Amort. Sched.-WORST'!$AA$8, U278&lt;= ($AA$7+$AA$8)), (IPMT($W$8/12, (U278-$AA$8), $AA$7, $W$7)), 0)</f>
        <v>0</v>
      </c>
      <c r="X278" s="23">
        <f>IF(AND(U278&gt;='Amort. Sched.-WORST'!$AA$8, U278&lt;= ($AA$7+$AA$8)), (PPMT($W$8/12, (U278-$AA$8), $AA$7, $W$7)), 0)</f>
        <v>0</v>
      </c>
      <c r="Y278" s="5">
        <f>IF(CreditAmort2WORST[[#This Row],[Month]]=AA$8,W$7,0)</f>
        <v>0</v>
      </c>
      <c r="Z278" s="13">
        <f>IF(AND(U278&gt;='Amort. Sched.-WORST'!$AA$8, U278&lt;= ($AA$7+$AA$8)), Z277+X278, 0)</f>
        <v>0</v>
      </c>
      <c r="AA278" s="24" t="str">
        <f>IF(AND(U278&gt;='Amort. Sched.-WORST'!$AA$8, U278&lt;= ($AA$7+$AA$8)), W278/V278, " ")</f>
        <v xml:space="preserve"> </v>
      </c>
      <c r="AB278" s="25" t="str">
        <f>IF(AND(U278&gt;='Amort. Sched.-WORST'!$AA$8, U278&lt;= ($AA$7+$AA$8)), X278/V278, " ")</f>
        <v xml:space="preserve"> </v>
      </c>
      <c r="AD278" s="20">
        <f t="shared" si="71"/>
        <v>267</v>
      </c>
      <c r="AE278" s="5">
        <f t="shared" si="72"/>
        <v>0</v>
      </c>
      <c r="AF278" s="5">
        <f t="shared" si="73"/>
        <v>0</v>
      </c>
      <c r="AG278" s="5">
        <f t="shared" si="74"/>
        <v>0</v>
      </c>
      <c r="AH278" s="5">
        <f>IF(CreditAmort3WORST[[#This Row],[Month]]=AJ$8,AF$7,0)</f>
        <v>0</v>
      </c>
      <c r="AI278" s="13">
        <f t="shared" si="75"/>
        <v>0</v>
      </c>
      <c r="AJ278" s="6" t="str">
        <f t="shared" si="76"/>
        <v xml:space="preserve"> </v>
      </c>
      <c r="AK278" s="21" t="str">
        <f t="shared" si="77"/>
        <v xml:space="preserve"> </v>
      </c>
      <c r="AM278" s="20">
        <f t="shared" si="78"/>
        <v>267</v>
      </c>
      <c r="AN278" s="5">
        <f t="shared" si="79"/>
        <v>0</v>
      </c>
      <c r="AO278" s="5">
        <f t="shared" si="80"/>
        <v>0</v>
      </c>
      <c r="AP278" s="5">
        <f t="shared" si="81"/>
        <v>0</v>
      </c>
      <c r="AQ278" s="5">
        <f>IF(CreditAmort4WORST[[#This Row],[Month]]=AS$8,AO$7,0)</f>
        <v>0</v>
      </c>
      <c r="AR278" s="13">
        <f t="shared" si="82"/>
        <v>0</v>
      </c>
      <c r="AS278" s="6" t="str">
        <f t="shared" si="83"/>
        <v xml:space="preserve"> </v>
      </c>
      <c r="AT278" s="21" t="str">
        <f t="shared" si="84"/>
        <v xml:space="preserve"> </v>
      </c>
    </row>
    <row r="279" spans="3:46">
      <c r="C279" s="22">
        <f t="shared" si="69"/>
        <v>268</v>
      </c>
      <c r="D279" s="23">
        <f>IF(AND(C279&gt;='Amort. Sched.-WORST'!$I$8, C279&lt;= ($I$7+$I$8)), PMT('Amort. Sched.-WORST'!$E$8/12, 'Amort. Sched.-WORST'!$I$7, 'Amort. Sched.-WORST'!$E$7), 0)</f>
        <v>-2026.0175758541329</v>
      </c>
      <c r="E279" s="5">
        <f>IF(AND(C279&gt;='Amort. Sched.-WORST'!$I$8, C279&lt;= ($I$7+$I$8)), (IPMT($E$8/12, (C279-$I$8), $I$7, $E$7)), 0)</f>
        <v>-398.91288644791001</v>
      </c>
      <c r="F279" s="23">
        <f>IF(AND(C279&gt;='Amort. Sched.-WORST'!$I$8, C279&lt;= ($I$7+$I$8)), (PPMT($E$8/12, (C279-$I$8), $I$7, $E$7)), 0)</f>
        <v>-1627.1046894062229</v>
      </c>
      <c r="G279" s="5">
        <f>IF(MortgageAmortWORST[[#This Row],[Month]]=I$8,E$7,0)</f>
        <v>0</v>
      </c>
      <c r="H279" s="13">
        <f>IF(AND(C279&gt;='Amort. Sched.-WORST'!$I$8, C279&lt;= ($I$7+$I$8)), H278+F279, 0)</f>
        <v>58209.828277780362</v>
      </c>
      <c r="I279" s="24">
        <f>IF(AND(C279&gt;='Amort. Sched.-WORST'!$I$8, C279&lt;= ($I$7+$I$8)), E279/D279, " ")</f>
        <v>0.19689507692436253</v>
      </c>
      <c r="J279" s="25">
        <f>IF(AND(C279&gt;='Amort. Sched.-WORST'!$I$8, C279&lt;= ($I$7+$I$8)), F279/D279, " ")</f>
        <v>0.80310492307563741</v>
      </c>
      <c r="L279" s="20">
        <f t="shared" si="68"/>
        <v>268</v>
      </c>
      <c r="M279" s="5">
        <f>IF(AND(L279&gt;='Amort. Sched.-WORST'!$R$8, L279&lt;= ($R$7+$R$8)), PMT('Amort. Sched.-WORST'!$N$8/12, 'Amort. Sched.-WORST'!$R$7, 'Amort. Sched.-WORST'!$N$7), 0)</f>
        <v>0</v>
      </c>
      <c r="N279" s="5">
        <f>IF(AND(L279&gt;='Amort. Sched.-WORST'!$R$8, L279&lt;= ($R$7+$R$8)), (IPMT($N$8/12, (L279-$R$8), $R$7, $N$7)), 0)</f>
        <v>0</v>
      </c>
      <c r="O279" s="5">
        <f>IF(AND(L279&gt;='Amort. Sched.-WORST'!$R$8, L279&lt;= ($R$7+$R$8)), (PPMT($N$8/12, (L279-$R$8), $R$7, $N$7)), 0)</f>
        <v>0</v>
      </c>
      <c r="P279" s="5">
        <f>IF(CreditAmort1WORST[[#This Row],[Month]]=R$8,N$7,0)</f>
        <v>0</v>
      </c>
      <c r="Q279" s="13">
        <f>IF(AND(L279&gt;='Amort. Sched.-WORST'!$R$8, L279&lt;= ($R$7+$R$8)), Q278+O279, 0)</f>
        <v>0</v>
      </c>
      <c r="R279" s="6" t="str">
        <f>IF(AND(L279&gt;='Amort. Sched.-WORST'!$R$8, L279&lt;= ($R$7+$R$8)), N279/M279, " ")</f>
        <v xml:space="preserve"> </v>
      </c>
      <c r="S279" s="21" t="str">
        <f>IF(AND(L279&gt;='Amort. Sched.-WORST'!$R$8, L279&lt;= ($R$7+$R$8)), O279/M279, " ")</f>
        <v xml:space="preserve"> </v>
      </c>
      <c r="U279" s="22">
        <f t="shared" si="70"/>
        <v>268</v>
      </c>
      <c r="V279" s="23">
        <f>IF(AND(U279&gt;='Amort. Sched.-WORST'!$AA$8, U279&lt;= ($AA$7+$AA$8)), PMT('Amort. Sched.-WORST'!$W$8/12, 'Amort. Sched.-WORST'!$AA$7, 'Amort. Sched.-WORST'!$W$7), 0)</f>
        <v>0</v>
      </c>
      <c r="W279" s="5">
        <f>IF(AND(U279&gt;='Amort. Sched.-WORST'!$AA$8, U279&lt;= ($AA$7+$AA$8)), (IPMT($W$8/12, (U279-$AA$8), $AA$7, $W$7)), 0)</f>
        <v>0</v>
      </c>
      <c r="X279" s="23">
        <f>IF(AND(U279&gt;='Amort. Sched.-WORST'!$AA$8, U279&lt;= ($AA$7+$AA$8)), (PPMT($W$8/12, (U279-$AA$8), $AA$7, $W$7)), 0)</f>
        <v>0</v>
      </c>
      <c r="Y279" s="5">
        <f>IF(CreditAmort2WORST[[#This Row],[Month]]=AA$8,W$7,0)</f>
        <v>0</v>
      </c>
      <c r="Z279" s="13">
        <f>IF(AND(U279&gt;='Amort. Sched.-WORST'!$AA$8, U279&lt;= ($AA$7+$AA$8)), Z278+X279, 0)</f>
        <v>0</v>
      </c>
      <c r="AA279" s="24" t="str">
        <f>IF(AND(U279&gt;='Amort. Sched.-WORST'!$AA$8, U279&lt;= ($AA$7+$AA$8)), W279/V279, " ")</f>
        <v xml:space="preserve"> </v>
      </c>
      <c r="AB279" s="25" t="str">
        <f>IF(AND(U279&gt;='Amort. Sched.-WORST'!$AA$8, U279&lt;= ($AA$7+$AA$8)), X279/V279, " ")</f>
        <v xml:space="preserve"> </v>
      </c>
      <c r="AD279" s="20">
        <f t="shared" si="71"/>
        <v>268</v>
      </c>
      <c r="AE279" s="5">
        <f t="shared" si="72"/>
        <v>0</v>
      </c>
      <c r="AF279" s="5">
        <f t="shared" si="73"/>
        <v>0</v>
      </c>
      <c r="AG279" s="5">
        <f t="shared" si="74"/>
        <v>0</v>
      </c>
      <c r="AH279" s="5">
        <f>IF(CreditAmort3WORST[[#This Row],[Month]]=AJ$8,AF$7,0)</f>
        <v>0</v>
      </c>
      <c r="AI279" s="13">
        <f t="shared" si="75"/>
        <v>0</v>
      </c>
      <c r="AJ279" s="6" t="str">
        <f t="shared" si="76"/>
        <v xml:space="preserve"> </v>
      </c>
      <c r="AK279" s="21" t="str">
        <f t="shared" si="77"/>
        <v xml:space="preserve"> </v>
      </c>
      <c r="AM279" s="20">
        <f t="shared" si="78"/>
        <v>268</v>
      </c>
      <c r="AN279" s="5">
        <f t="shared" si="79"/>
        <v>0</v>
      </c>
      <c r="AO279" s="5">
        <f t="shared" si="80"/>
        <v>0</v>
      </c>
      <c r="AP279" s="5">
        <f t="shared" si="81"/>
        <v>0</v>
      </c>
      <c r="AQ279" s="5">
        <f>IF(CreditAmort4WORST[[#This Row],[Month]]=AS$8,AO$7,0)</f>
        <v>0</v>
      </c>
      <c r="AR279" s="13">
        <f t="shared" si="82"/>
        <v>0</v>
      </c>
      <c r="AS279" s="6" t="str">
        <f t="shared" si="83"/>
        <v xml:space="preserve"> </v>
      </c>
      <c r="AT279" s="21" t="str">
        <f t="shared" si="84"/>
        <v xml:space="preserve"> </v>
      </c>
    </row>
    <row r="280" spans="3:46">
      <c r="C280" s="22">
        <f t="shared" si="69"/>
        <v>269</v>
      </c>
      <c r="D280" s="23">
        <f>IF(AND(C280&gt;='Amort. Sched.-WORST'!$I$8, C280&lt;= ($I$7+$I$8)), PMT('Amort. Sched.-WORST'!$E$8/12, 'Amort. Sched.-WORST'!$I$7, 'Amort. Sched.-WORST'!$E$7), 0)</f>
        <v>-2026.0175758541329</v>
      </c>
      <c r="E280" s="5">
        <f>IF(AND(C280&gt;='Amort. Sched.-WORST'!$I$8, C280&lt;= ($I$7+$I$8)), (IPMT($E$8/12, (C280-$I$8), $I$7, $E$7)), 0)</f>
        <v>-388.06552185186854</v>
      </c>
      <c r="F280" s="23">
        <f>IF(AND(C280&gt;='Amort. Sched.-WORST'!$I$8, C280&lt;= ($I$7+$I$8)), (PPMT($E$8/12, (C280-$I$8), $I$7, $E$7)), 0)</f>
        <v>-1637.9520540022643</v>
      </c>
      <c r="G280" s="5">
        <f>IF(MortgageAmortWORST[[#This Row],[Month]]=I$8,E$7,0)</f>
        <v>0</v>
      </c>
      <c r="H280" s="13">
        <f>IF(AND(C280&gt;='Amort. Sched.-WORST'!$I$8, C280&lt;= ($I$7+$I$8)), H279+F280, 0)</f>
        <v>56571.876223778097</v>
      </c>
      <c r="I280" s="24">
        <f>IF(AND(C280&gt;='Amort. Sched.-WORST'!$I$8, C280&lt;= ($I$7+$I$8)), E280/D280, " ")</f>
        <v>0.1915410441038583</v>
      </c>
      <c r="J280" s="25">
        <f>IF(AND(C280&gt;='Amort. Sched.-WORST'!$I$8, C280&lt;= ($I$7+$I$8)), F280/D280, " ")</f>
        <v>0.8084589558961417</v>
      </c>
      <c r="L280" s="20">
        <f t="shared" si="68"/>
        <v>269</v>
      </c>
      <c r="M280" s="5">
        <f>IF(AND(L280&gt;='Amort. Sched.-WORST'!$R$8, L280&lt;= ($R$7+$R$8)), PMT('Amort. Sched.-WORST'!$N$8/12, 'Amort. Sched.-WORST'!$R$7, 'Amort. Sched.-WORST'!$N$7), 0)</f>
        <v>0</v>
      </c>
      <c r="N280" s="5">
        <f>IF(AND(L280&gt;='Amort. Sched.-WORST'!$R$8, L280&lt;= ($R$7+$R$8)), (IPMT($N$8/12, (L280-$R$8), $R$7, $N$7)), 0)</f>
        <v>0</v>
      </c>
      <c r="O280" s="5">
        <f>IF(AND(L280&gt;='Amort. Sched.-WORST'!$R$8, L280&lt;= ($R$7+$R$8)), (PPMT($N$8/12, (L280-$R$8), $R$7, $N$7)), 0)</f>
        <v>0</v>
      </c>
      <c r="P280" s="5">
        <f>IF(CreditAmort1WORST[[#This Row],[Month]]=R$8,N$7,0)</f>
        <v>0</v>
      </c>
      <c r="Q280" s="13">
        <f>IF(AND(L280&gt;='Amort. Sched.-WORST'!$R$8, L280&lt;= ($R$7+$R$8)), Q279+O280, 0)</f>
        <v>0</v>
      </c>
      <c r="R280" s="6" t="str">
        <f>IF(AND(L280&gt;='Amort. Sched.-WORST'!$R$8, L280&lt;= ($R$7+$R$8)), N280/M280, " ")</f>
        <v xml:space="preserve"> </v>
      </c>
      <c r="S280" s="21" t="str">
        <f>IF(AND(L280&gt;='Amort. Sched.-WORST'!$R$8, L280&lt;= ($R$7+$R$8)), O280/M280, " ")</f>
        <v xml:space="preserve"> </v>
      </c>
      <c r="U280" s="22">
        <f t="shared" si="70"/>
        <v>269</v>
      </c>
      <c r="V280" s="23">
        <f>IF(AND(U280&gt;='Amort. Sched.-WORST'!$AA$8, U280&lt;= ($AA$7+$AA$8)), PMT('Amort. Sched.-WORST'!$W$8/12, 'Amort. Sched.-WORST'!$AA$7, 'Amort. Sched.-WORST'!$W$7), 0)</f>
        <v>0</v>
      </c>
      <c r="W280" s="5">
        <f>IF(AND(U280&gt;='Amort. Sched.-WORST'!$AA$8, U280&lt;= ($AA$7+$AA$8)), (IPMT($W$8/12, (U280-$AA$8), $AA$7, $W$7)), 0)</f>
        <v>0</v>
      </c>
      <c r="X280" s="23">
        <f>IF(AND(U280&gt;='Amort. Sched.-WORST'!$AA$8, U280&lt;= ($AA$7+$AA$8)), (PPMT($W$8/12, (U280-$AA$8), $AA$7, $W$7)), 0)</f>
        <v>0</v>
      </c>
      <c r="Y280" s="5">
        <f>IF(CreditAmort2WORST[[#This Row],[Month]]=AA$8,W$7,0)</f>
        <v>0</v>
      </c>
      <c r="Z280" s="13">
        <f>IF(AND(U280&gt;='Amort. Sched.-WORST'!$AA$8, U280&lt;= ($AA$7+$AA$8)), Z279+X280, 0)</f>
        <v>0</v>
      </c>
      <c r="AA280" s="24" t="str">
        <f>IF(AND(U280&gt;='Amort. Sched.-WORST'!$AA$8, U280&lt;= ($AA$7+$AA$8)), W280/V280, " ")</f>
        <v xml:space="preserve"> </v>
      </c>
      <c r="AB280" s="25" t="str">
        <f>IF(AND(U280&gt;='Amort. Sched.-WORST'!$AA$8, U280&lt;= ($AA$7+$AA$8)), X280/V280, " ")</f>
        <v xml:space="preserve"> </v>
      </c>
      <c r="AD280" s="20">
        <f t="shared" si="71"/>
        <v>269</v>
      </c>
      <c r="AE280" s="5">
        <f t="shared" si="72"/>
        <v>0</v>
      </c>
      <c r="AF280" s="5">
        <f t="shared" si="73"/>
        <v>0</v>
      </c>
      <c r="AG280" s="5">
        <f t="shared" si="74"/>
        <v>0</v>
      </c>
      <c r="AH280" s="5">
        <f>IF(CreditAmort3WORST[[#This Row],[Month]]=AJ$8,AF$7,0)</f>
        <v>0</v>
      </c>
      <c r="AI280" s="13">
        <f t="shared" si="75"/>
        <v>0</v>
      </c>
      <c r="AJ280" s="6" t="str">
        <f t="shared" si="76"/>
        <v xml:space="preserve"> </v>
      </c>
      <c r="AK280" s="21" t="str">
        <f t="shared" si="77"/>
        <v xml:space="preserve"> </v>
      </c>
      <c r="AM280" s="20">
        <f t="shared" si="78"/>
        <v>269</v>
      </c>
      <c r="AN280" s="5">
        <f t="shared" si="79"/>
        <v>0</v>
      </c>
      <c r="AO280" s="5">
        <f t="shared" si="80"/>
        <v>0</v>
      </c>
      <c r="AP280" s="5">
        <f t="shared" si="81"/>
        <v>0</v>
      </c>
      <c r="AQ280" s="5">
        <f>IF(CreditAmort4WORST[[#This Row],[Month]]=AS$8,AO$7,0)</f>
        <v>0</v>
      </c>
      <c r="AR280" s="13">
        <f t="shared" si="82"/>
        <v>0</v>
      </c>
      <c r="AS280" s="6" t="str">
        <f t="shared" si="83"/>
        <v xml:space="preserve"> </v>
      </c>
      <c r="AT280" s="21" t="str">
        <f t="shared" si="84"/>
        <v xml:space="preserve"> </v>
      </c>
    </row>
    <row r="281" spans="3:46">
      <c r="C281" s="22">
        <f t="shared" si="69"/>
        <v>270</v>
      </c>
      <c r="D281" s="23">
        <f>IF(AND(C281&gt;='Amort. Sched.-WORST'!$I$8, C281&lt;= ($I$7+$I$8)), PMT('Amort. Sched.-WORST'!$E$8/12, 'Amort. Sched.-WORST'!$I$7, 'Amort. Sched.-WORST'!$E$7), 0)</f>
        <v>-2026.0175758541329</v>
      </c>
      <c r="E281" s="5">
        <f>IF(AND(C281&gt;='Amort. Sched.-WORST'!$I$8, C281&lt;= ($I$7+$I$8)), (IPMT($E$8/12, (C281-$I$8), $I$7, $E$7)), 0)</f>
        <v>-377.14584149185345</v>
      </c>
      <c r="F281" s="23">
        <f>IF(AND(C281&gt;='Amort. Sched.-WORST'!$I$8, C281&lt;= ($I$7+$I$8)), (PPMT($E$8/12, (C281-$I$8), $I$7, $E$7)), 0)</f>
        <v>-1648.8717343622795</v>
      </c>
      <c r="G281" s="5">
        <f>IF(MortgageAmortWORST[[#This Row],[Month]]=I$8,E$7,0)</f>
        <v>0</v>
      </c>
      <c r="H281" s="13">
        <f>IF(AND(C281&gt;='Amort. Sched.-WORST'!$I$8, C281&lt;= ($I$7+$I$8)), H280+F281, 0)</f>
        <v>54923.00448941582</v>
      </c>
      <c r="I281" s="24">
        <f>IF(AND(C281&gt;='Amort. Sched.-WORST'!$I$8, C281&lt;= ($I$7+$I$8)), E281/D281, " ")</f>
        <v>0.18615131773121735</v>
      </c>
      <c r="J281" s="25">
        <f>IF(AND(C281&gt;='Amort. Sched.-WORST'!$I$8, C281&lt;= ($I$7+$I$8)), F281/D281, " ")</f>
        <v>0.81384868226878271</v>
      </c>
      <c r="L281" s="20">
        <f t="shared" si="68"/>
        <v>270</v>
      </c>
      <c r="M281" s="5">
        <f>IF(AND(L281&gt;='Amort. Sched.-WORST'!$R$8, L281&lt;= ($R$7+$R$8)), PMT('Amort. Sched.-WORST'!$N$8/12, 'Amort. Sched.-WORST'!$R$7, 'Amort. Sched.-WORST'!$N$7), 0)</f>
        <v>0</v>
      </c>
      <c r="N281" s="5">
        <f>IF(AND(L281&gt;='Amort. Sched.-WORST'!$R$8, L281&lt;= ($R$7+$R$8)), (IPMT($N$8/12, (L281-$R$8), $R$7, $N$7)), 0)</f>
        <v>0</v>
      </c>
      <c r="O281" s="5">
        <f>IF(AND(L281&gt;='Amort. Sched.-WORST'!$R$8, L281&lt;= ($R$7+$R$8)), (PPMT($N$8/12, (L281-$R$8), $R$7, $N$7)), 0)</f>
        <v>0</v>
      </c>
      <c r="P281" s="5">
        <f>IF(CreditAmort1WORST[[#This Row],[Month]]=R$8,N$7,0)</f>
        <v>0</v>
      </c>
      <c r="Q281" s="13">
        <f>IF(AND(L281&gt;='Amort. Sched.-WORST'!$R$8, L281&lt;= ($R$7+$R$8)), Q280+O281, 0)</f>
        <v>0</v>
      </c>
      <c r="R281" s="6" t="str">
        <f>IF(AND(L281&gt;='Amort. Sched.-WORST'!$R$8, L281&lt;= ($R$7+$R$8)), N281/M281, " ")</f>
        <v xml:space="preserve"> </v>
      </c>
      <c r="S281" s="21" t="str">
        <f>IF(AND(L281&gt;='Amort. Sched.-WORST'!$R$8, L281&lt;= ($R$7+$R$8)), O281/M281, " ")</f>
        <v xml:space="preserve"> </v>
      </c>
      <c r="U281" s="22">
        <f t="shared" si="70"/>
        <v>270</v>
      </c>
      <c r="V281" s="23">
        <f>IF(AND(U281&gt;='Amort. Sched.-WORST'!$AA$8, U281&lt;= ($AA$7+$AA$8)), PMT('Amort. Sched.-WORST'!$W$8/12, 'Amort. Sched.-WORST'!$AA$7, 'Amort. Sched.-WORST'!$W$7), 0)</f>
        <v>0</v>
      </c>
      <c r="W281" s="5">
        <f>IF(AND(U281&gt;='Amort. Sched.-WORST'!$AA$8, U281&lt;= ($AA$7+$AA$8)), (IPMT($W$8/12, (U281-$AA$8), $AA$7, $W$7)), 0)</f>
        <v>0</v>
      </c>
      <c r="X281" s="23">
        <f>IF(AND(U281&gt;='Amort. Sched.-WORST'!$AA$8, U281&lt;= ($AA$7+$AA$8)), (PPMT($W$8/12, (U281-$AA$8), $AA$7, $W$7)), 0)</f>
        <v>0</v>
      </c>
      <c r="Y281" s="5">
        <f>IF(CreditAmort2WORST[[#This Row],[Month]]=AA$8,W$7,0)</f>
        <v>0</v>
      </c>
      <c r="Z281" s="13">
        <f>IF(AND(U281&gt;='Amort. Sched.-WORST'!$AA$8, U281&lt;= ($AA$7+$AA$8)), Z280+X281, 0)</f>
        <v>0</v>
      </c>
      <c r="AA281" s="24" t="str">
        <f>IF(AND(U281&gt;='Amort. Sched.-WORST'!$AA$8, U281&lt;= ($AA$7+$AA$8)), W281/V281, " ")</f>
        <v xml:space="preserve"> </v>
      </c>
      <c r="AB281" s="25" t="str">
        <f>IF(AND(U281&gt;='Amort. Sched.-WORST'!$AA$8, U281&lt;= ($AA$7+$AA$8)), X281/V281, " ")</f>
        <v xml:space="preserve"> </v>
      </c>
      <c r="AD281" s="20">
        <f t="shared" si="71"/>
        <v>270</v>
      </c>
      <c r="AE281" s="5">
        <f t="shared" si="72"/>
        <v>0</v>
      </c>
      <c r="AF281" s="5">
        <f t="shared" si="73"/>
        <v>0</v>
      </c>
      <c r="AG281" s="5">
        <f t="shared" si="74"/>
        <v>0</v>
      </c>
      <c r="AH281" s="5">
        <f>IF(CreditAmort3WORST[[#This Row],[Month]]=AJ$8,AF$7,0)</f>
        <v>0</v>
      </c>
      <c r="AI281" s="13">
        <f t="shared" si="75"/>
        <v>0</v>
      </c>
      <c r="AJ281" s="6" t="str">
        <f t="shared" si="76"/>
        <v xml:space="preserve"> </v>
      </c>
      <c r="AK281" s="21" t="str">
        <f t="shared" si="77"/>
        <v xml:space="preserve"> </v>
      </c>
      <c r="AM281" s="20">
        <f t="shared" si="78"/>
        <v>270</v>
      </c>
      <c r="AN281" s="5">
        <f t="shared" si="79"/>
        <v>0</v>
      </c>
      <c r="AO281" s="5">
        <f t="shared" si="80"/>
        <v>0</v>
      </c>
      <c r="AP281" s="5">
        <f t="shared" si="81"/>
        <v>0</v>
      </c>
      <c r="AQ281" s="5">
        <f>IF(CreditAmort4WORST[[#This Row],[Month]]=AS$8,AO$7,0)</f>
        <v>0</v>
      </c>
      <c r="AR281" s="13">
        <f t="shared" si="82"/>
        <v>0</v>
      </c>
      <c r="AS281" s="6" t="str">
        <f t="shared" si="83"/>
        <v xml:space="preserve"> </v>
      </c>
      <c r="AT281" s="21" t="str">
        <f t="shared" si="84"/>
        <v xml:space="preserve"> </v>
      </c>
    </row>
    <row r="282" spans="3:46">
      <c r="C282" s="22">
        <f t="shared" si="69"/>
        <v>271</v>
      </c>
      <c r="D282" s="23">
        <f>IF(AND(C282&gt;='Amort. Sched.-WORST'!$I$8, C282&lt;= ($I$7+$I$8)), PMT('Amort. Sched.-WORST'!$E$8/12, 'Amort. Sched.-WORST'!$I$7, 'Amort. Sched.-WORST'!$E$7), 0)</f>
        <v>-2026.0175758541329</v>
      </c>
      <c r="E282" s="5">
        <f>IF(AND(C282&gt;='Amort. Sched.-WORST'!$I$8, C282&lt;= ($I$7+$I$8)), (IPMT($E$8/12, (C282-$I$8), $I$7, $E$7)), 0)</f>
        <v>-366.15336326277156</v>
      </c>
      <c r="F282" s="23">
        <f>IF(AND(C282&gt;='Amort. Sched.-WORST'!$I$8, C282&lt;= ($I$7+$I$8)), (PPMT($E$8/12, (C282-$I$8), $I$7, $E$7)), 0)</f>
        <v>-1659.8642125913614</v>
      </c>
      <c r="G282" s="5">
        <f>IF(MortgageAmortWORST[[#This Row],[Month]]=I$8,E$7,0)</f>
        <v>0</v>
      </c>
      <c r="H282" s="13">
        <f>IF(AND(C282&gt;='Amort. Sched.-WORST'!$I$8, C282&lt;= ($I$7+$I$8)), H281+F282, 0)</f>
        <v>53263.140276824459</v>
      </c>
      <c r="I282" s="24">
        <f>IF(AND(C282&gt;='Amort. Sched.-WORST'!$I$8, C282&lt;= ($I$7+$I$8)), E282/D282, " ")</f>
        <v>0.18072565984942546</v>
      </c>
      <c r="J282" s="25">
        <f>IF(AND(C282&gt;='Amort. Sched.-WORST'!$I$8, C282&lt;= ($I$7+$I$8)), F282/D282, " ")</f>
        <v>0.81927434015057454</v>
      </c>
      <c r="L282" s="20">
        <f t="shared" si="68"/>
        <v>271</v>
      </c>
      <c r="M282" s="5">
        <f>IF(AND(L282&gt;='Amort. Sched.-WORST'!$R$8, L282&lt;= ($R$7+$R$8)), PMT('Amort. Sched.-WORST'!$N$8/12, 'Amort. Sched.-WORST'!$R$7, 'Amort. Sched.-WORST'!$N$7), 0)</f>
        <v>0</v>
      </c>
      <c r="N282" s="5">
        <f>IF(AND(L282&gt;='Amort. Sched.-WORST'!$R$8, L282&lt;= ($R$7+$R$8)), (IPMT($N$8/12, (L282-$R$8), $R$7, $N$7)), 0)</f>
        <v>0</v>
      </c>
      <c r="O282" s="5">
        <f>IF(AND(L282&gt;='Amort. Sched.-WORST'!$R$8, L282&lt;= ($R$7+$R$8)), (PPMT($N$8/12, (L282-$R$8), $R$7, $N$7)), 0)</f>
        <v>0</v>
      </c>
      <c r="P282" s="5">
        <f>IF(CreditAmort1WORST[[#This Row],[Month]]=R$8,N$7,0)</f>
        <v>0</v>
      </c>
      <c r="Q282" s="13">
        <f>IF(AND(L282&gt;='Amort. Sched.-WORST'!$R$8, L282&lt;= ($R$7+$R$8)), Q281+O282, 0)</f>
        <v>0</v>
      </c>
      <c r="R282" s="6" t="str">
        <f>IF(AND(L282&gt;='Amort. Sched.-WORST'!$R$8, L282&lt;= ($R$7+$R$8)), N282/M282, " ")</f>
        <v xml:space="preserve"> </v>
      </c>
      <c r="S282" s="21" t="str">
        <f>IF(AND(L282&gt;='Amort. Sched.-WORST'!$R$8, L282&lt;= ($R$7+$R$8)), O282/M282, " ")</f>
        <v xml:space="preserve"> </v>
      </c>
      <c r="U282" s="22">
        <f t="shared" si="70"/>
        <v>271</v>
      </c>
      <c r="V282" s="23">
        <f>IF(AND(U282&gt;='Amort. Sched.-WORST'!$AA$8, U282&lt;= ($AA$7+$AA$8)), PMT('Amort. Sched.-WORST'!$W$8/12, 'Amort. Sched.-WORST'!$AA$7, 'Amort. Sched.-WORST'!$W$7), 0)</f>
        <v>0</v>
      </c>
      <c r="W282" s="5">
        <f>IF(AND(U282&gt;='Amort. Sched.-WORST'!$AA$8, U282&lt;= ($AA$7+$AA$8)), (IPMT($W$8/12, (U282-$AA$8), $AA$7, $W$7)), 0)</f>
        <v>0</v>
      </c>
      <c r="X282" s="23">
        <f>IF(AND(U282&gt;='Amort. Sched.-WORST'!$AA$8, U282&lt;= ($AA$7+$AA$8)), (PPMT($W$8/12, (U282-$AA$8), $AA$7, $W$7)), 0)</f>
        <v>0</v>
      </c>
      <c r="Y282" s="5">
        <f>IF(CreditAmort2WORST[[#This Row],[Month]]=AA$8,W$7,0)</f>
        <v>0</v>
      </c>
      <c r="Z282" s="13">
        <f>IF(AND(U282&gt;='Amort. Sched.-WORST'!$AA$8, U282&lt;= ($AA$7+$AA$8)), Z281+X282, 0)</f>
        <v>0</v>
      </c>
      <c r="AA282" s="24" t="str">
        <f>IF(AND(U282&gt;='Amort. Sched.-WORST'!$AA$8, U282&lt;= ($AA$7+$AA$8)), W282/V282, " ")</f>
        <v xml:space="preserve"> </v>
      </c>
      <c r="AB282" s="25" t="str">
        <f>IF(AND(U282&gt;='Amort. Sched.-WORST'!$AA$8, U282&lt;= ($AA$7+$AA$8)), X282/V282, " ")</f>
        <v xml:space="preserve"> </v>
      </c>
      <c r="AD282" s="20">
        <f t="shared" si="71"/>
        <v>271</v>
      </c>
      <c r="AE282" s="5">
        <f t="shared" si="72"/>
        <v>0</v>
      </c>
      <c r="AF282" s="5">
        <f t="shared" si="73"/>
        <v>0</v>
      </c>
      <c r="AG282" s="5">
        <f t="shared" si="74"/>
        <v>0</v>
      </c>
      <c r="AH282" s="5">
        <f>IF(CreditAmort3WORST[[#This Row],[Month]]=AJ$8,AF$7,0)</f>
        <v>0</v>
      </c>
      <c r="AI282" s="13">
        <f t="shared" si="75"/>
        <v>0</v>
      </c>
      <c r="AJ282" s="6" t="str">
        <f t="shared" si="76"/>
        <v xml:space="preserve"> </v>
      </c>
      <c r="AK282" s="21" t="str">
        <f t="shared" si="77"/>
        <v xml:space="preserve"> </v>
      </c>
      <c r="AM282" s="20">
        <f t="shared" si="78"/>
        <v>271</v>
      </c>
      <c r="AN282" s="5">
        <f t="shared" si="79"/>
        <v>0</v>
      </c>
      <c r="AO282" s="5">
        <f t="shared" si="80"/>
        <v>0</v>
      </c>
      <c r="AP282" s="5">
        <f t="shared" si="81"/>
        <v>0</v>
      </c>
      <c r="AQ282" s="5">
        <f>IF(CreditAmort4WORST[[#This Row],[Month]]=AS$8,AO$7,0)</f>
        <v>0</v>
      </c>
      <c r="AR282" s="13">
        <f t="shared" si="82"/>
        <v>0</v>
      </c>
      <c r="AS282" s="6" t="str">
        <f t="shared" si="83"/>
        <v xml:space="preserve"> </v>
      </c>
      <c r="AT282" s="21" t="str">
        <f t="shared" si="84"/>
        <v xml:space="preserve"> </v>
      </c>
    </row>
    <row r="283" spans="3:46">
      <c r="C283" s="22">
        <f t="shared" si="69"/>
        <v>272</v>
      </c>
      <c r="D283" s="23">
        <f>IF(AND(C283&gt;='Amort. Sched.-WORST'!$I$8, C283&lt;= ($I$7+$I$8)), PMT('Amort. Sched.-WORST'!$E$8/12, 'Amort. Sched.-WORST'!$I$7, 'Amort. Sched.-WORST'!$E$7), 0)</f>
        <v>-2026.0175758541329</v>
      </c>
      <c r="E283" s="5">
        <f>IF(AND(C283&gt;='Amort. Sched.-WORST'!$I$8, C283&lt;= ($I$7+$I$8)), (IPMT($E$8/12, (C283-$I$8), $I$7, $E$7)), 0)</f>
        <v>-355.08760184549584</v>
      </c>
      <c r="F283" s="23">
        <f>IF(AND(C283&gt;='Amort. Sched.-WORST'!$I$8, C283&lt;= ($I$7+$I$8)), (PPMT($E$8/12, (C283-$I$8), $I$7, $E$7)), 0)</f>
        <v>-1670.9299740086374</v>
      </c>
      <c r="G283" s="5">
        <f>IF(MortgageAmortWORST[[#This Row],[Month]]=I$8,E$7,0)</f>
        <v>0</v>
      </c>
      <c r="H283" s="13">
        <f>IF(AND(C283&gt;='Amort. Sched.-WORST'!$I$8, C283&lt;= ($I$7+$I$8)), H282+F283, 0)</f>
        <v>51592.210302815824</v>
      </c>
      <c r="I283" s="24">
        <f>IF(AND(C283&gt;='Amort. Sched.-WORST'!$I$8, C283&lt;= ($I$7+$I$8)), E283/D283, " ")</f>
        <v>0.17526383091508829</v>
      </c>
      <c r="J283" s="25">
        <f>IF(AND(C283&gt;='Amort. Sched.-WORST'!$I$8, C283&lt;= ($I$7+$I$8)), F283/D283, " ")</f>
        <v>0.82473616908491187</v>
      </c>
      <c r="L283" s="20">
        <f t="shared" si="68"/>
        <v>272</v>
      </c>
      <c r="M283" s="5">
        <f>IF(AND(L283&gt;='Amort. Sched.-WORST'!$R$8, L283&lt;= ($R$7+$R$8)), PMT('Amort. Sched.-WORST'!$N$8/12, 'Amort. Sched.-WORST'!$R$7, 'Amort. Sched.-WORST'!$N$7), 0)</f>
        <v>0</v>
      </c>
      <c r="N283" s="5">
        <f>IF(AND(L283&gt;='Amort. Sched.-WORST'!$R$8, L283&lt;= ($R$7+$R$8)), (IPMT($N$8/12, (L283-$R$8), $R$7, $N$7)), 0)</f>
        <v>0</v>
      </c>
      <c r="O283" s="5">
        <f>IF(AND(L283&gt;='Amort. Sched.-WORST'!$R$8, L283&lt;= ($R$7+$R$8)), (PPMT($N$8/12, (L283-$R$8), $R$7, $N$7)), 0)</f>
        <v>0</v>
      </c>
      <c r="P283" s="5">
        <f>IF(CreditAmort1WORST[[#This Row],[Month]]=R$8,N$7,0)</f>
        <v>0</v>
      </c>
      <c r="Q283" s="13">
        <f>IF(AND(L283&gt;='Amort. Sched.-WORST'!$R$8, L283&lt;= ($R$7+$R$8)), Q282+O283, 0)</f>
        <v>0</v>
      </c>
      <c r="R283" s="6" t="str">
        <f>IF(AND(L283&gt;='Amort. Sched.-WORST'!$R$8, L283&lt;= ($R$7+$R$8)), N283/M283, " ")</f>
        <v xml:space="preserve"> </v>
      </c>
      <c r="S283" s="21" t="str">
        <f>IF(AND(L283&gt;='Amort. Sched.-WORST'!$R$8, L283&lt;= ($R$7+$R$8)), O283/M283, " ")</f>
        <v xml:space="preserve"> </v>
      </c>
      <c r="U283" s="22">
        <f t="shared" si="70"/>
        <v>272</v>
      </c>
      <c r="V283" s="23">
        <f>IF(AND(U283&gt;='Amort. Sched.-WORST'!$AA$8, U283&lt;= ($AA$7+$AA$8)), PMT('Amort. Sched.-WORST'!$W$8/12, 'Amort. Sched.-WORST'!$AA$7, 'Amort. Sched.-WORST'!$W$7), 0)</f>
        <v>0</v>
      </c>
      <c r="W283" s="5">
        <f>IF(AND(U283&gt;='Amort. Sched.-WORST'!$AA$8, U283&lt;= ($AA$7+$AA$8)), (IPMT($W$8/12, (U283-$AA$8), $AA$7, $W$7)), 0)</f>
        <v>0</v>
      </c>
      <c r="X283" s="23">
        <f>IF(AND(U283&gt;='Amort. Sched.-WORST'!$AA$8, U283&lt;= ($AA$7+$AA$8)), (PPMT($W$8/12, (U283-$AA$8), $AA$7, $W$7)), 0)</f>
        <v>0</v>
      </c>
      <c r="Y283" s="5">
        <f>IF(CreditAmort2WORST[[#This Row],[Month]]=AA$8,W$7,0)</f>
        <v>0</v>
      </c>
      <c r="Z283" s="13">
        <f>IF(AND(U283&gt;='Amort. Sched.-WORST'!$AA$8, U283&lt;= ($AA$7+$AA$8)), Z282+X283, 0)</f>
        <v>0</v>
      </c>
      <c r="AA283" s="24" t="str">
        <f>IF(AND(U283&gt;='Amort. Sched.-WORST'!$AA$8, U283&lt;= ($AA$7+$AA$8)), W283/V283, " ")</f>
        <v xml:space="preserve"> </v>
      </c>
      <c r="AB283" s="25" t="str">
        <f>IF(AND(U283&gt;='Amort. Sched.-WORST'!$AA$8, U283&lt;= ($AA$7+$AA$8)), X283/V283, " ")</f>
        <v xml:space="preserve"> </v>
      </c>
      <c r="AD283" s="20">
        <f t="shared" si="71"/>
        <v>272</v>
      </c>
      <c r="AE283" s="5">
        <f t="shared" si="72"/>
        <v>0</v>
      </c>
      <c r="AF283" s="5">
        <f t="shared" si="73"/>
        <v>0</v>
      </c>
      <c r="AG283" s="5">
        <f t="shared" si="74"/>
        <v>0</v>
      </c>
      <c r="AH283" s="5">
        <f>IF(CreditAmort3WORST[[#This Row],[Month]]=AJ$8,AF$7,0)</f>
        <v>0</v>
      </c>
      <c r="AI283" s="13">
        <f t="shared" si="75"/>
        <v>0</v>
      </c>
      <c r="AJ283" s="6" t="str">
        <f t="shared" si="76"/>
        <v xml:space="preserve"> </v>
      </c>
      <c r="AK283" s="21" t="str">
        <f t="shared" si="77"/>
        <v xml:space="preserve"> </v>
      </c>
      <c r="AM283" s="20">
        <f t="shared" si="78"/>
        <v>272</v>
      </c>
      <c r="AN283" s="5">
        <f t="shared" si="79"/>
        <v>0</v>
      </c>
      <c r="AO283" s="5">
        <f t="shared" si="80"/>
        <v>0</v>
      </c>
      <c r="AP283" s="5">
        <f t="shared" si="81"/>
        <v>0</v>
      </c>
      <c r="AQ283" s="5">
        <f>IF(CreditAmort4WORST[[#This Row],[Month]]=AS$8,AO$7,0)</f>
        <v>0</v>
      </c>
      <c r="AR283" s="13">
        <f t="shared" si="82"/>
        <v>0</v>
      </c>
      <c r="AS283" s="6" t="str">
        <f t="shared" si="83"/>
        <v xml:space="preserve"> </v>
      </c>
      <c r="AT283" s="21" t="str">
        <f t="shared" si="84"/>
        <v xml:space="preserve"> </v>
      </c>
    </row>
    <row r="284" spans="3:46">
      <c r="C284" s="22">
        <f t="shared" si="69"/>
        <v>273</v>
      </c>
      <c r="D284" s="23">
        <f>IF(AND(C284&gt;='Amort. Sched.-WORST'!$I$8, C284&lt;= ($I$7+$I$8)), PMT('Amort. Sched.-WORST'!$E$8/12, 'Amort. Sched.-WORST'!$I$7, 'Amort. Sched.-WORST'!$E$7), 0)</f>
        <v>-2026.0175758541329</v>
      </c>
      <c r="E284" s="5">
        <f>IF(AND(C284&gt;='Amort. Sched.-WORST'!$I$8, C284&lt;= ($I$7+$I$8)), (IPMT($E$8/12, (C284-$I$8), $I$7, $E$7)), 0)</f>
        <v>-343.94806868543827</v>
      </c>
      <c r="F284" s="23">
        <f>IF(AND(C284&gt;='Amort. Sched.-WORST'!$I$8, C284&lt;= ($I$7+$I$8)), (PPMT($E$8/12, (C284-$I$8), $I$7, $E$7)), 0)</f>
        <v>-1682.0695071686948</v>
      </c>
      <c r="G284" s="5">
        <f>IF(MortgageAmortWORST[[#This Row],[Month]]=I$8,E$7,0)</f>
        <v>0</v>
      </c>
      <c r="H284" s="13">
        <f>IF(AND(C284&gt;='Amort. Sched.-WORST'!$I$8, C284&lt;= ($I$7+$I$8)), H283+F284, 0)</f>
        <v>49910.14079564713</v>
      </c>
      <c r="I284" s="24">
        <f>IF(AND(C284&gt;='Amort. Sched.-WORST'!$I$8, C284&lt;= ($I$7+$I$8)), E284/D284, " ")</f>
        <v>0.16976558978785555</v>
      </c>
      <c r="J284" s="25">
        <f>IF(AND(C284&gt;='Amort. Sched.-WORST'!$I$8, C284&lt;= ($I$7+$I$8)), F284/D284, " ")</f>
        <v>0.8302344102121445</v>
      </c>
      <c r="L284" s="20">
        <f t="shared" si="68"/>
        <v>273</v>
      </c>
      <c r="M284" s="5">
        <f>IF(AND(L284&gt;='Amort. Sched.-WORST'!$R$8, L284&lt;= ($R$7+$R$8)), PMT('Amort. Sched.-WORST'!$N$8/12, 'Amort. Sched.-WORST'!$R$7, 'Amort. Sched.-WORST'!$N$7), 0)</f>
        <v>0</v>
      </c>
      <c r="N284" s="5">
        <f>IF(AND(L284&gt;='Amort. Sched.-WORST'!$R$8, L284&lt;= ($R$7+$R$8)), (IPMT($N$8/12, (L284-$R$8), $R$7, $N$7)), 0)</f>
        <v>0</v>
      </c>
      <c r="O284" s="5">
        <f>IF(AND(L284&gt;='Amort. Sched.-WORST'!$R$8, L284&lt;= ($R$7+$R$8)), (PPMT($N$8/12, (L284-$R$8), $R$7, $N$7)), 0)</f>
        <v>0</v>
      </c>
      <c r="P284" s="5">
        <f>IF(CreditAmort1WORST[[#This Row],[Month]]=R$8,N$7,0)</f>
        <v>0</v>
      </c>
      <c r="Q284" s="13">
        <f>IF(AND(L284&gt;='Amort. Sched.-WORST'!$R$8, L284&lt;= ($R$7+$R$8)), Q283+O284, 0)</f>
        <v>0</v>
      </c>
      <c r="R284" s="6" t="str">
        <f>IF(AND(L284&gt;='Amort. Sched.-WORST'!$R$8, L284&lt;= ($R$7+$R$8)), N284/M284, " ")</f>
        <v xml:space="preserve"> </v>
      </c>
      <c r="S284" s="21" t="str">
        <f>IF(AND(L284&gt;='Amort. Sched.-WORST'!$R$8, L284&lt;= ($R$7+$R$8)), O284/M284, " ")</f>
        <v xml:space="preserve"> </v>
      </c>
      <c r="U284" s="22">
        <f t="shared" si="70"/>
        <v>273</v>
      </c>
      <c r="V284" s="23">
        <f>IF(AND(U284&gt;='Amort. Sched.-WORST'!$AA$8, U284&lt;= ($AA$7+$AA$8)), PMT('Amort. Sched.-WORST'!$W$8/12, 'Amort. Sched.-WORST'!$AA$7, 'Amort. Sched.-WORST'!$W$7), 0)</f>
        <v>0</v>
      </c>
      <c r="W284" s="5">
        <f>IF(AND(U284&gt;='Amort. Sched.-WORST'!$AA$8, U284&lt;= ($AA$7+$AA$8)), (IPMT($W$8/12, (U284-$AA$8), $AA$7, $W$7)), 0)</f>
        <v>0</v>
      </c>
      <c r="X284" s="23">
        <f>IF(AND(U284&gt;='Amort. Sched.-WORST'!$AA$8, U284&lt;= ($AA$7+$AA$8)), (PPMT($W$8/12, (U284-$AA$8), $AA$7, $W$7)), 0)</f>
        <v>0</v>
      </c>
      <c r="Y284" s="5">
        <f>IF(CreditAmort2WORST[[#This Row],[Month]]=AA$8,W$7,0)</f>
        <v>0</v>
      </c>
      <c r="Z284" s="13">
        <f>IF(AND(U284&gt;='Amort. Sched.-WORST'!$AA$8, U284&lt;= ($AA$7+$AA$8)), Z283+X284, 0)</f>
        <v>0</v>
      </c>
      <c r="AA284" s="24" t="str">
        <f>IF(AND(U284&gt;='Amort. Sched.-WORST'!$AA$8, U284&lt;= ($AA$7+$AA$8)), W284/V284, " ")</f>
        <v xml:space="preserve"> </v>
      </c>
      <c r="AB284" s="25" t="str">
        <f>IF(AND(U284&gt;='Amort. Sched.-WORST'!$AA$8, U284&lt;= ($AA$7+$AA$8)), X284/V284, " ")</f>
        <v xml:space="preserve"> </v>
      </c>
      <c r="AD284" s="20">
        <f t="shared" si="71"/>
        <v>273</v>
      </c>
      <c r="AE284" s="5">
        <f t="shared" si="72"/>
        <v>0</v>
      </c>
      <c r="AF284" s="5">
        <f t="shared" si="73"/>
        <v>0</v>
      </c>
      <c r="AG284" s="5">
        <f t="shared" si="74"/>
        <v>0</v>
      </c>
      <c r="AH284" s="5">
        <f>IF(CreditAmort3WORST[[#This Row],[Month]]=AJ$8,AF$7,0)</f>
        <v>0</v>
      </c>
      <c r="AI284" s="13">
        <f t="shared" si="75"/>
        <v>0</v>
      </c>
      <c r="AJ284" s="6" t="str">
        <f t="shared" si="76"/>
        <v xml:space="preserve"> </v>
      </c>
      <c r="AK284" s="21" t="str">
        <f t="shared" si="77"/>
        <v xml:space="preserve"> </v>
      </c>
      <c r="AM284" s="20">
        <f t="shared" si="78"/>
        <v>273</v>
      </c>
      <c r="AN284" s="5">
        <f t="shared" si="79"/>
        <v>0</v>
      </c>
      <c r="AO284" s="5">
        <f t="shared" si="80"/>
        <v>0</v>
      </c>
      <c r="AP284" s="5">
        <f t="shared" si="81"/>
        <v>0</v>
      </c>
      <c r="AQ284" s="5">
        <f>IF(CreditAmort4WORST[[#This Row],[Month]]=AS$8,AO$7,0)</f>
        <v>0</v>
      </c>
      <c r="AR284" s="13">
        <f t="shared" si="82"/>
        <v>0</v>
      </c>
      <c r="AS284" s="6" t="str">
        <f t="shared" si="83"/>
        <v xml:space="preserve"> </v>
      </c>
      <c r="AT284" s="21" t="str">
        <f t="shared" si="84"/>
        <v xml:space="preserve"> </v>
      </c>
    </row>
    <row r="285" spans="3:46">
      <c r="C285" s="22">
        <f t="shared" si="69"/>
        <v>274</v>
      </c>
      <c r="D285" s="23">
        <f>IF(AND(C285&gt;='Amort. Sched.-WORST'!$I$8, C285&lt;= ($I$7+$I$8)), PMT('Amort. Sched.-WORST'!$E$8/12, 'Amort. Sched.-WORST'!$I$7, 'Amort. Sched.-WORST'!$E$7), 0)</f>
        <v>-2026.0175758541329</v>
      </c>
      <c r="E285" s="5">
        <f>IF(AND(C285&gt;='Amort. Sched.-WORST'!$I$8, C285&lt;= ($I$7+$I$8)), (IPMT($E$8/12, (C285-$I$8), $I$7, $E$7)), 0)</f>
        <v>-332.73427197098033</v>
      </c>
      <c r="F285" s="23">
        <f>IF(AND(C285&gt;='Amort. Sched.-WORST'!$I$8, C285&lt;= ($I$7+$I$8)), (PPMT($E$8/12, (C285-$I$8), $I$7, $E$7)), 0)</f>
        <v>-1693.2833038831527</v>
      </c>
      <c r="G285" s="5">
        <f>IF(MortgageAmortWORST[[#This Row],[Month]]=I$8,E$7,0)</f>
        <v>0</v>
      </c>
      <c r="H285" s="13">
        <f>IF(AND(C285&gt;='Amort. Sched.-WORST'!$I$8, C285&lt;= ($I$7+$I$8)), H284+F285, 0)</f>
        <v>48216.857491763978</v>
      </c>
      <c r="I285" s="24">
        <f>IF(AND(C285&gt;='Amort. Sched.-WORST'!$I$8, C285&lt;= ($I$7+$I$8)), E285/D285, " ")</f>
        <v>0.16423069371977461</v>
      </c>
      <c r="J285" s="25">
        <f>IF(AND(C285&gt;='Amort. Sched.-WORST'!$I$8, C285&lt;= ($I$7+$I$8)), F285/D285, " ")</f>
        <v>0.8357693062802255</v>
      </c>
      <c r="L285" s="20">
        <f t="shared" si="68"/>
        <v>274</v>
      </c>
      <c r="M285" s="5">
        <f>IF(AND(L285&gt;='Amort. Sched.-WORST'!$R$8, L285&lt;= ($R$7+$R$8)), PMT('Amort. Sched.-WORST'!$N$8/12, 'Amort. Sched.-WORST'!$R$7, 'Amort. Sched.-WORST'!$N$7), 0)</f>
        <v>0</v>
      </c>
      <c r="N285" s="5">
        <f>IF(AND(L285&gt;='Amort. Sched.-WORST'!$R$8, L285&lt;= ($R$7+$R$8)), (IPMT($N$8/12, (L285-$R$8), $R$7, $N$7)), 0)</f>
        <v>0</v>
      </c>
      <c r="O285" s="5">
        <f>IF(AND(L285&gt;='Amort. Sched.-WORST'!$R$8, L285&lt;= ($R$7+$R$8)), (PPMT($N$8/12, (L285-$R$8), $R$7, $N$7)), 0)</f>
        <v>0</v>
      </c>
      <c r="P285" s="5">
        <f>IF(CreditAmort1WORST[[#This Row],[Month]]=R$8,N$7,0)</f>
        <v>0</v>
      </c>
      <c r="Q285" s="13">
        <f>IF(AND(L285&gt;='Amort. Sched.-WORST'!$R$8, L285&lt;= ($R$7+$R$8)), Q284+O285, 0)</f>
        <v>0</v>
      </c>
      <c r="R285" s="6" t="str">
        <f>IF(AND(L285&gt;='Amort. Sched.-WORST'!$R$8, L285&lt;= ($R$7+$R$8)), N285/M285, " ")</f>
        <v xml:space="preserve"> </v>
      </c>
      <c r="S285" s="21" t="str">
        <f>IF(AND(L285&gt;='Amort. Sched.-WORST'!$R$8, L285&lt;= ($R$7+$R$8)), O285/M285, " ")</f>
        <v xml:space="preserve"> </v>
      </c>
      <c r="U285" s="22">
        <f t="shared" si="70"/>
        <v>274</v>
      </c>
      <c r="V285" s="23">
        <f>IF(AND(U285&gt;='Amort. Sched.-WORST'!$AA$8, U285&lt;= ($AA$7+$AA$8)), PMT('Amort. Sched.-WORST'!$W$8/12, 'Amort. Sched.-WORST'!$AA$7, 'Amort. Sched.-WORST'!$W$7), 0)</f>
        <v>0</v>
      </c>
      <c r="W285" s="5">
        <f>IF(AND(U285&gt;='Amort. Sched.-WORST'!$AA$8, U285&lt;= ($AA$7+$AA$8)), (IPMT($W$8/12, (U285-$AA$8), $AA$7, $W$7)), 0)</f>
        <v>0</v>
      </c>
      <c r="X285" s="23">
        <f>IF(AND(U285&gt;='Amort. Sched.-WORST'!$AA$8, U285&lt;= ($AA$7+$AA$8)), (PPMT($W$8/12, (U285-$AA$8), $AA$7, $W$7)), 0)</f>
        <v>0</v>
      </c>
      <c r="Y285" s="5">
        <f>IF(CreditAmort2WORST[[#This Row],[Month]]=AA$8,W$7,0)</f>
        <v>0</v>
      </c>
      <c r="Z285" s="13">
        <f>IF(AND(U285&gt;='Amort. Sched.-WORST'!$AA$8, U285&lt;= ($AA$7+$AA$8)), Z284+X285, 0)</f>
        <v>0</v>
      </c>
      <c r="AA285" s="24" t="str">
        <f>IF(AND(U285&gt;='Amort. Sched.-WORST'!$AA$8, U285&lt;= ($AA$7+$AA$8)), W285/V285, " ")</f>
        <v xml:space="preserve"> </v>
      </c>
      <c r="AB285" s="25" t="str">
        <f>IF(AND(U285&gt;='Amort. Sched.-WORST'!$AA$8, U285&lt;= ($AA$7+$AA$8)), X285/V285, " ")</f>
        <v xml:space="preserve"> </v>
      </c>
      <c r="AD285" s="20">
        <f t="shared" si="71"/>
        <v>274</v>
      </c>
      <c r="AE285" s="5">
        <f t="shared" si="72"/>
        <v>0</v>
      </c>
      <c r="AF285" s="5">
        <f t="shared" si="73"/>
        <v>0</v>
      </c>
      <c r="AG285" s="5">
        <f t="shared" si="74"/>
        <v>0</v>
      </c>
      <c r="AH285" s="5">
        <f>IF(CreditAmort3WORST[[#This Row],[Month]]=AJ$8,AF$7,0)</f>
        <v>0</v>
      </c>
      <c r="AI285" s="13">
        <f t="shared" si="75"/>
        <v>0</v>
      </c>
      <c r="AJ285" s="6" t="str">
        <f t="shared" si="76"/>
        <v xml:space="preserve"> </v>
      </c>
      <c r="AK285" s="21" t="str">
        <f t="shared" si="77"/>
        <v xml:space="preserve"> </v>
      </c>
      <c r="AM285" s="20">
        <f t="shared" si="78"/>
        <v>274</v>
      </c>
      <c r="AN285" s="5">
        <f t="shared" si="79"/>
        <v>0</v>
      </c>
      <c r="AO285" s="5">
        <f t="shared" si="80"/>
        <v>0</v>
      </c>
      <c r="AP285" s="5">
        <f t="shared" si="81"/>
        <v>0</v>
      </c>
      <c r="AQ285" s="5">
        <f>IF(CreditAmort4WORST[[#This Row],[Month]]=AS$8,AO$7,0)</f>
        <v>0</v>
      </c>
      <c r="AR285" s="13">
        <f t="shared" si="82"/>
        <v>0</v>
      </c>
      <c r="AS285" s="6" t="str">
        <f t="shared" si="83"/>
        <v xml:space="preserve"> </v>
      </c>
      <c r="AT285" s="21" t="str">
        <f t="shared" si="84"/>
        <v xml:space="preserve"> </v>
      </c>
    </row>
    <row r="286" spans="3:46">
      <c r="C286" s="22">
        <f t="shared" si="69"/>
        <v>275</v>
      </c>
      <c r="D286" s="23">
        <f>IF(AND(C286&gt;='Amort. Sched.-WORST'!$I$8, C286&lt;= ($I$7+$I$8)), PMT('Amort. Sched.-WORST'!$E$8/12, 'Amort. Sched.-WORST'!$I$7, 'Amort. Sched.-WORST'!$E$7), 0)</f>
        <v>-2026.0175758541329</v>
      </c>
      <c r="E286" s="5">
        <f>IF(AND(C286&gt;='Amort. Sched.-WORST'!$I$8, C286&lt;= ($I$7+$I$8)), (IPMT($E$8/12, (C286-$I$8), $I$7, $E$7)), 0)</f>
        <v>-321.44571661175928</v>
      </c>
      <c r="F286" s="23">
        <f>IF(AND(C286&gt;='Amort. Sched.-WORST'!$I$8, C286&lt;= ($I$7+$I$8)), (PPMT($E$8/12, (C286-$I$8), $I$7, $E$7)), 0)</f>
        <v>-1704.5718592423739</v>
      </c>
      <c r="G286" s="5">
        <f>IF(MortgageAmortWORST[[#This Row],[Month]]=I$8,E$7,0)</f>
        <v>0</v>
      </c>
      <c r="H286" s="13">
        <f>IF(AND(C286&gt;='Amort. Sched.-WORST'!$I$8, C286&lt;= ($I$7+$I$8)), H285+F286, 0)</f>
        <v>46512.285632521605</v>
      </c>
      <c r="I286" s="24">
        <f>IF(AND(C286&gt;='Amort. Sched.-WORST'!$I$8, C286&lt;= ($I$7+$I$8)), E286/D286, " ")</f>
        <v>0.15865889834457308</v>
      </c>
      <c r="J286" s="25">
        <f>IF(AND(C286&gt;='Amort. Sched.-WORST'!$I$8, C286&lt;= ($I$7+$I$8)), F286/D286, " ")</f>
        <v>0.84134110165542697</v>
      </c>
      <c r="L286" s="20">
        <f t="shared" si="68"/>
        <v>275</v>
      </c>
      <c r="M286" s="5">
        <f>IF(AND(L286&gt;='Amort. Sched.-WORST'!$R$8, L286&lt;= ($R$7+$R$8)), PMT('Amort. Sched.-WORST'!$N$8/12, 'Amort. Sched.-WORST'!$R$7, 'Amort. Sched.-WORST'!$N$7), 0)</f>
        <v>0</v>
      </c>
      <c r="N286" s="5">
        <f>IF(AND(L286&gt;='Amort. Sched.-WORST'!$R$8, L286&lt;= ($R$7+$R$8)), (IPMT($N$8/12, (L286-$R$8), $R$7, $N$7)), 0)</f>
        <v>0</v>
      </c>
      <c r="O286" s="5">
        <f>IF(AND(L286&gt;='Amort. Sched.-WORST'!$R$8, L286&lt;= ($R$7+$R$8)), (PPMT($N$8/12, (L286-$R$8), $R$7, $N$7)), 0)</f>
        <v>0</v>
      </c>
      <c r="P286" s="5">
        <f>IF(CreditAmort1WORST[[#This Row],[Month]]=R$8,N$7,0)</f>
        <v>0</v>
      </c>
      <c r="Q286" s="13">
        <f>IF(AND(L286&gt;='Amort. Sched.-WORST'!$R$8, L286&lt;= ($R$7+$R$8)), Q285+O286, 0)</f>
        <v>0</v>
      </c>
      <c r="R286" s="6" t="str">
        <f>IF(AND(L286&gt;='Amort. Sched.-WORST'!$R$8, L286&lt;= ($R$7+$R$8)), N286/M286, " ")</f>
        <v xml:space="preserve"> </v>
      </c>
      <c r="S286" s="21" t="str">
        <f>IF(AND(L286&gt;='Amort. Sched.-WORST'!$R$8, L286&lt;= ($R$7+$R$8)), O286/M286, " ")</f>
        <v xml:space="preserve"> </v>
      </c>
      <c r="U286" s="22">
        <f t="shared" si="70"/>
        <v>275</v>
      </c>
      <c r="V286" s="23">
        <f>IF(AND(U286&gt;='Amort. Sched.-WORST'!$AA$8, U286&lt;= ($AA$7+$AA$8)), PMT('Amort. Sched.-WORST'!$W$8/12, 'Amort. Sched.-WORST'!$AA$7, 'Amort. Sched.-WORST'!$W$7), 0)</f>
        <v>0</v>
      </c>
      <c r="W286" s="5">
        <f>IF(AND(U286&gt;='Amort. Sched.-WORST'!$AA$8, U286&lt;= ($AA$7+$AA$8)), (IPMT($W$8/12, (U286-$AA$8), $AA$7, $W$7)), 0)</f>
        <v>0</v>
      </c>
      <c r="X286" s="23">
        <f>IF(AND(U286&gt;='Amort. Sched.-WORST'!$AA$8, U286&lt;= ($AA$7+$AA$8)), (PPMT($W$8/12, (U286-$AA$8), $AA$7, $W$7)), 0)</f>
        <v>0</v>
      </c>
      <c r="Y286" s="5">
        <f>IF(CreditAmort2WORST[[#This Row],[Month]]=AA$8,W$7,0)</f>
        <v>0</v>
      </c>
      <c r="Z286" s="13">
        <f>IF(AND(U286&gt;='Amort. Sched.-WORST'!$AA$8, U286&lt;= ($AA$7+$AA$8)), Z285+X286, 0)</f>
        <v>0</v>
      </c>
      <c r="AA286" s="24" t="str">
        <f>IF(AND(U286&gt;='Amort. Sched.-WORST'!$AA$8, U286&lt;= ($AA$7+$AA$8)), W286/V286, " ")</f>
        <v xml:space="preserve"> </v>
      </c>
      <c r="AB286" s="25" t="str">
        <f>IF(AND(U286&gt;='Amort. Sched.-WORST'!$AA$8, U286&lt;= ($AA$7+$AA$8)), X286/V286, " ")</f>
        <v xml:space="preserve"> </v>
      </c>
      <c r="AD286" s="20">
        <f t="shared" si="71"/>
        <v>275</v>
      </c>
      <c r="AE286" s="5">
        <f t="shared" si="72"/>
        <v>0</v>
      </c>
      <c r="AF286" s="5">
        <f t="shared" si="73"/>
        <v>0</v>
      </c>
      <c r="AG286" s="5">
        <f t="shared" si="74"/>
        <v>0</v>
      </c>
      <c r="AH286" s="5">
        <f>IF(CreditAmort3WORST[[#This Row],[Month]]=AJ$8,AF$7,0)</f>
        <v>0</v>
      </c>
      <c r="AI286" s="13">
        <f t="shared" si="75"/>
        <v>0</v>
      </c>
      <c r="AJ286" s="6" t="str">
        <f t="shared" si="76"/>
        <v xml:space="preserve"> </v>
      </c>
      <c r="AK286" s="21" t="str">
        <f t="shared" si="77"/>
        <v xml:space="preserve"> </v>
      </c>
      <c r="AM286" s="20">
        <f t="shared" si="78"/>
        <v>275</v>
      </c>
      <c r="AN286" s="5">
        <f t="shared" si="79"/>
        <v>0</v>
      </c>
      <c r="AO286" s="5">
        <f t="shared" si="80"/>
        <v>0</v>
      </c>
      <c r="AP286" s="5">
        <f t="shared" si="81"/>
        <v>0</v>
      </c>
      <c r="AQ286" s="5">
        <f>IF(CreditAmort4WORST[[#This Row],[Month]]=AS$8,AO$7,0)</f>
        <v>0</v>
      </c>
      <c r="AR286" s="13">
        <f t="shared" si="82"/>
        <v>0</v>
      </c>
      <c r="AS286" s="6" t="str">
        <f t="shared" si="83"/>
        <v xml:space="preserve"> </v>
      </c>
      <c r="AT286" s="21" t="str">
        <f t="shared" si="84"/>
        <v xml:space="preserve"> </v>
      </c>
    </row>
    <row r="287" spans="3:46">
      <c r="C287" s="22">
        <f t="shared" si="69"/>
        <v>276</v>
      </c>
      <c r="D287" s="23">
        <f>IF(AND(C287&gt;='Amort. Sched.-WORST'!$I$8, C287&lt;= ($I$7+$I$8)), PMT('Amort. Sched.-WORST'!$E$8/12, 'Amort. Sched.-WORST'!$I$7, 'Amort. Sched.-WORST'!$E$7), 0)</f>
        <v>-2026.0175758541329</v>
      </c>
      <c r="E287" s="5">
        <f>IF(AND(C287&gt;='Amort. Sched.-WORST'!$I$8, C287&lt;= ($I$7+$I$8)), (IPMT($E$8/12, (C287-$I$8), $I$7, $E$7)), 0)</f>
        <v>-310.08190421681013</v>
      </c>
      <c r="F287" s="23">
        <f>IF(AND(C287&gt;='Amort. Sched.-WORST'!$I$8, C287&lt;= ($I$7+$I$8)), (PPMT($E$8/12, (C287-$I$8), $I$7, $E$7)), 0)</f>
        <v>-1715.9356716373229</v>
      </c>
      <c r="G287" s="5">
        <f>IF(MortgageAmortWORST[[#This Row],[Month]]=I$8,E$7,0)</f>
        <v>0</v>
      </c>
      <c r="H287" s="13">
        <f>IF(AND(C287&gt;='Amort. Sched.-WORST'!$I$8, C287&lt;= ($I$7+$I$8)), H286+F287, 0)</f>
        <v>44796.349960884283</v>
      </c>
      <c r="I287" s="24">
        <f>IF(AND(C287&gt;='Amort. Sched.-WORST'!$I$8, C287&lt;= ($I$7+$I$8)), E287/D287, " ")</f>
        <v>0.15304995766687024</v>
      </c>
      <c r="J287" s="25">
        <f>IF(AND(C287&gt;='Amort. Sched.-WORST'!$I$8, C287&lt;= ($I$7+$I$8)), F287/D287, " ")</f>
        <v>0.84695004233312976</v>
      </c>
      <c r="L287" s="20">
        <f t="shared" si="68"/>
        <v>276</v>
      </c>
      <c r="M287" s="5">
        <f>IF(AND(L287&gt;='Amort. Sched.-WORST'!$R$8, L287&lt;= ($R$7+$R$8)), PMT('Amort. Sched.-WORST'!$N$8/12, 'Amort. Sched.-WORST'!$R$7, 'Amort. Sched.-WORST'!$N$7), 0)</f>
        <v>0</v>
      </c>
      <c r="N287" s="5">
        <f>IF(AND(L287&gt;='Amort. Sched.-WORST'!$R$8, L287&lt;= ($R$7+$R$8)), (IPMT($N$8/12, (L287-$R$8), $R$7, $N$7)), 0)</f>
        <v>0</v>
      </c>
      <c r="O287" s="5">
        <f>IF(AND(L287&gt;='Amort. Sched.-WORST'!$R$8, L287&lt;= ($R$7+$R$8)), (PPMT($N$8/12, (L287-$R$8), $R$7, $N$7)), 0)</f>
        <v>0</v>
      </c>
      <c r="P287" s="5">
        <f>IF(CreditAmort1WORST[[#This Row],[Month]]=R$8,N$7,0)</f>
        <v>0</v>
      </c>
      <c r="Q287" s="13">
        <f>IF(AND(L287&gt;='Amort. Sched.-WORST'!$R$8, L287&lt;= ($R$7+$R$8)), Q286+O287, 0)</f>
        <v>0</v>
      </c>
      <c r="R287" s="6" t="str">
        <f>IF(AND(L287&gt;='Amort. Sched.-WORST'!$R$8, L287&lt;= ($R$7+$R$8)), N287/M287, " ")</f>
        <v xml:space="preserve"> </v>
      </c>
      <c r="S287" s="21" t="str">
        <f>IF(AND(L287&gt;='Amort. Sched.-WORST'!$R$8, L287&lt;= ($R$7+$R$8)), O287/M287, " ")</f>
        <v xml:space="preserve"> </v>
      </c>
      <c r="U287" s="22">
        <f t="shared" si="70"/>
        <v>276</v>
      </c>
      <c r="V287" s="23">
        <f>IF(AND(U287&gt;='Amort. Sched.-WORST'!$AA$8, U287&lt;= ($AA$7+$AA$8)), PMT('Amort. Sched.-WORST'!$W$8/12, 'Amort. Sched.-WORST'!$AA$7, 'Amort. Sched.-WORST'!$W$7), 0)</f>
        <v>0</v>
      </c>
      <c r="W287" s="5">
        <f>IF(AND(U287&gt;='Amort. Sched.-WORST'!$AA$8, U287&lt;= ($AA$7+$AA$8)), (IPMT($W$8/12, (U287-$AA$8), $AA$7, $W$7)), 0)</f>
        <v>0</v>
      </c>
      <c r="X287" s="23">
        <f>IF(AND(U287&gt;='Amort. Sched.-WORST'!$AA$8, U287&lt;= ($AA$7+$AA$8)), (PPMT($W$8/12, (U287-$AA$8), $AA$7, $W$7)), 0)</f>
        <v>0</v>
      </c>
      <c r="Y287" s="5">
        <f>IF(CreditAmort2WORST[[#This Row],[Month]]=AA$8,W$7,0)</f>
        <v>0</v>
      </c>
      <c r="Z287" s="13">
        <f>IF(AND(U287&gt;='Amort. Sched.-WORST'!$AA$8, U287&lt;= ($AA$7+$AA$8)), Z286+X287, 0)</f>
        <v>0</v>
      </c>
      <c r="AA287" s="24" t="str">
        <f>IF(AND(U287&gt;='Amort. Sched.-WORST'!$AA$8, U287&lt;= ($AA$7+$AA$8)), W287/V287, " ")</f>
        <v xml:space="preserve"> </v>
      </c>
      <c r="AB287" s="25" t="str">
        <f>IF(AND(U287&gt;='Amort. Sched.-WORST'!$AA$8, U287&lt;= ($AA$7+$AA$8)), X287/V287, " ")</f>
        <v xml:space="preserve"> </v>
      </c>
      <c r="AD287" s="20">
        <f t="shared" si="71"/>
        <v>276</v>
      </c>
      <c r="AE287" s="5">
        <f t="shared" si="72"/>
        <v>0</v>
      </c>
      <c r="AF287" s="5">
        <f t="shared" si="73"/>
        <v>0</v>
      </c>
      <c r="AG287" s="5">
        <f t="shared" si="74"/>
        <v>0</v>
      </c>
      <c r="AH287" s="5">
        <f>IF(CreditAmort3WORST[[#This Row],[Month]]=AJ$8,AF$7,0)</f>
        <v>0</v>
      </c>
      <c r="AI287" s="13">
        <f t="shared" si="75"/>
        <v>0</v>
      </c>
      <c r="AJ287" s="6" t="str">
        <f t="shared" si="76"/>
        <v xml:space="preserve"> </v>
      </c>
      <c r="AK287" s="21" t="str">
        <f t="shared" si="77"/>
        <v xml:space="preserve"> </v>
      </c>
      <c r="AM287" s="20">
        <f t="shared" si="78"/>
        <v>276</v>
      </c>
      <c r="AN287" s="5">
        <f t="shared" si="79"/>
        <v>0</v>
      </c>
      <c r="AO287" s="5">
        <f t="shared" si="80"/>
        <v>0</v>
      </c>
      <c r="AP287" s="5">
        <f t="shared" si="81"/>
        <v>0</v>
      </c>
      <c r="AQ287" s="5">
        <f>IF(CreditAmort4WORST[[#This Row],[Month]]=AS$8,AO$7,0)</f>
        <v>0</v>
      </c>
      <c r="AR287" s="13">
        <f t="shared" si="82"/>
        <v>0</v>
      </c>
      <c r="AS287" s="6" t="str">
        <f t="shared" si="83"/>
        <v xml:space="preserve"> </v>
      </c>
      <c r="AT287" s="21" t="str">
        <f t="shared" si="84"/>
        <v xml:space="preserve"> </v>
      </c>
    </row>
    <row r="288" spans="3:46">
      <c r="C288" s="22">
        <f t="shared" si="69"/>
        <v>277</v>
      </c>
      <c r="D288" s="23">
        <f>IF(AND(C288&gt;='Amort. Sched.-WORST'!$I$8, C288&lt;= ($I$7+$I$8)), PMT('Amort. Sched.-WORST'!$E$8/12, 'Amort. Sched.-WORST'!$I$7, 'Amort. Sched.-WORST'!$E$7), 0)</f>
        <v>-2026.0175758541329</v>
      </c>
      <c r="E288" s="5">
        <f>IF(AND(C288&gt;='Amort. Sched.-WORST'!$I$8, C288&lt;= ($I$7+$I$8)), (IPMT($E$8/12, (C288-$I$8), $I$7, $E$7)), 0)</f>
        <v>-298.64233307256131</v>
      </c>
      <c r="F288" s="23">
        <f>IF(AND(C288&gt;='Amort. Sched.-WORST'!$I$8, C288&lt;= ($I$7+$I$8)), (PPMT($E$8/12, (C288-$I$8), $I$7, $E$7)), 0)</f>
        <v>-1727.3752427815716</v>
      </c>
      <c r="G288" s="5">
        <f>IF(MortgageAmortWORST[[#This Row],[Month]]=I$8,E$7,0)</f>
        <v>0</v>
      </c>
      <c r="H288" s="13">
        <f>IF(AND(C288&gt;='Amort. Sched.-WORST'!$I$8, C288&lt;= ($I$7+$I$8)), H287+F288, 0)</f>
        <v>43068.974718102712</v>
      </c>
      <c r="I288" s="24">
        <f>IF(AND(C288&gt;='Amort. Sched.-WORST'!$I$8, C288&lt;= ($I$7+$I$8)), E288/D288, " ")</f>
        <v>0.14740362405131605</v>
      </c>
      <c r="J288" s="25">
        <f>IF(AND(C288&gt;='Amort. Sched.-WORST'!$I$8, C288&lt;= ($I$7+$I$8)), F288/D288, " ")</f>
        <v>0.85259637594868398</v>
      </c>
      <c r="L288" s="20">
        <f t="shared" si="68"/>
        <v>277</v>
      </c>
      <c r="M288" s="5">
        <f>IF(AND(L288&gt;='Amort. Sched.-WORST'!$R$8, L288&lt;= ($R$7+$R$8)), PMT('Amort. Sched.-WORST'!$N$8/12, 'Amort. Sched.-WORST'!$R$7, 'Amort. Sched.-WORST'!$N$7), 0)</f>
        <v>0</v>
      </c>
      <c r="N288" s="5">
        <f>IF(AND(L288&gt;='Amort. Sched.-WORST'!$R$8, L288&lt;= ($R$7+$R$8)), (IPMT($N$8/12, (L288-$R$8), $R$7, $N$7)), 0)</f>
        <v>0</v>
      </c>
      <c r="O288" s="5">
        <f>IF(AND(L288&gt;='Amort. Sched.-WORST'!$R$8, L288&lt;= ($R$7+$R$8)), (PPMT($N$8/12, (L288-$R$8), $R$7, $N$7)), 0)</f>
        <v>0</v>
      </c>
      <c r="P288" s="5">
        <f>IF(CreditAmort1WORST[[#This Row],[Month]]=R$8,N$7,0)</f>
        <v>0</v>
      </c>
      <c r="Q288" s="13">
        <f>IF(AND(L288&gt;='Amort. Sched.-WORST'!$R$8, L288&lt;= ($R$7+$R$8)), Q287+O288, 0)</f>
        <v>0</v>
      </c>
      <c r="R288" s="6" t="str">
        <f>IF(AND(L288&gt;='Amort. Sched.-WORST'!$R$8, L288&lt;= ($R$7+$R$8)), N288/M288, " ")</f>
        <v xml:space="preserve"> </v>
      </c>
      <c r="S288" s="21" t="str">
        <f>IF(AND(L288&gt;='Amort. Sched.-WORST'!$R$8, L288&lt;= ($R$7+$R$8)), O288/M288, " ")</f>
        <v xml:space="preserve"> </v>
      </c>
      <c r="U288" s="22">
        <f t="shared" si="70"/>
        <v>277</v>
      </c>
      <c r="V288" s="23">
        <f>IF(AND(U288&gt;='Amort. Sched.-WORST'!$AA$8, U288&lt;= ($AA$7+$AA$8)), PMT('Amort. Sched.-WORST'!$W$8/12, 'Amort. Sched.-WORST'!$AA$7, 'Amort. Sched.-WORST'!$W$7), 0)</f>
        <v>0</v>
      </c>
      <c r="W288" s="5">
        <f>IF(AND(U288&gt;='Amort. Sched.-WORST'!$AA$8, U288&lt;= ($AA$7+$AA$8)), (IPMT($W$8/12, (U288-$AA$8), $AA$7, $W$7)), 0)</f>
        <v>0</v>
      </c>
      <c r="X288" s="23">
        <f>IF(AND(U288&gt;='Amort. Sched.-WORST'!$AA$8, U288&lt;= ($AA$7+$AA$8)), (PPMT($W$8/12, (U288-$AA$8), $AA$7, $W$7)), 0)</f>
        <v>0</v>
      </c>
      <c r="Y288" s="5">
        <f>IF(CreditAmort2WORST[[#This Row],[Month]]=AA$8,W$7,0)</f>
        <v>0</v>
      </c>
      <c r="Z288" s="13">
        <f>IF(AND(U288&gt;='Amort. Sched.-WORST'!$AA$8, U288&lt;= ($AA$7+$AA$8)), Z287+X288, 0)</f>
        <v>0</v>
      </c>
      <c r="AA288" s="24" t="str">
        <f>IF(AND(U288&gt;='Amort. Sched.-WORST'!$AA$8, U288&lt;= ($AA$7+$AA$8)), W288/V288, " ")</f>
        <v xml:space="preserve"> </v>
      </c>
      <c r="AB288" s="25" t="str">
        <f>IF(AND(U288&gt;='Amort. Sched.-WORST'!$AA$8, U288&lt;= ($AA$7+$AA$8)), X288/V288, " ")</f>
        <v xml:space="preserve"> </v>
      </c>
      <c r="AD288" s="20">
        <f t="shared" si="71"/>
        <v>277</v>
      </c>
      <c r="AE288" s="5">
        <f t="shared" si="72"/>
        <v>0</v>
      </c>
      <c r="AF288" s="5">
        <f t="shared" si="73"/>
        <v>0</v>
      </c>
      <c r="AG288" s="5">
        <f t="shared" si="74"/>
        <v>0</v>
      </c>
      <c r="AH288" s="5">
        <f>IF(CreditAmort3WORST[[#This Row],[Month]]=AJ$8,AF$7,0)</f>
        <v>0</v>
      </c>
      <c r="AI288" s="13">
        <f t="shared" si="75"/>
        <v>0</v>
      </c>
      <c r="AJ288" s="6" t="str">
        <f t="shared" si="76"/>
        <v xml:space="preserve"> </v>
      </c>
      <c r="AK288" s="21" t="str">
        <f t="shared" si="77"/>
        <v xml:space="preserve"> </v>
      </c>
      <c r="AM288" s="20">
        <f t="shared" si="78"/>
        <v>277</v>
      </c>
      <c r="AN288" s="5">
        <f t="shared" si="79"/>
        <v>0</v>
      </c>
      <c r="AO288" s="5">
        <f t="shared" si="80"/>
        <v>0</v>
      </c>
      <c r="AP288" s="5">
        <f t="shared" si="81"/>
        <v>0</v>
      </c>
      <c r="AQ288" s="5">
        <f>IF(CreditAmort4WORST[[#This Row],[Month]]=AS$8,AO$7,0)</f>
        <v>0</v>
      </c>
      <c r="AR288" s="13">
        <f t="shared" si="82"/>
        <v>0</v>
      </c>
      <c r="AS288" s="6" t="str">
        <f t="shared" si="83"/>
        <v xml:space="preserve"> </v>
      </c>
      <c r="AT288" s="21" t="str">
        <f t="shared" si="84"/>
        <v xml:space="preserve"> </v>
      </c>
    </row>
    <row r="289" spans="3:46">
      <c r="C289" s="22">
        <f t="shared" si="69"/>
        <v>278</v>
      </c>
      <c r="D289" s="23">
        <f>IF(AND(C289&gt;='Amort. Sched.-WORST'!$I$8, C289&lt;= ($I$7+$I$8)), PMT('Amort. Sched.-WORST'!$E$8/12, 'Amort. Sched.-WORST'!$I$7, 'Amort. Sched.-WORST'!$E$7), 0)</f>
        <v>-2026.0175758541329</v>
      </c>
      <c r="E289" s="5">
        <f>IF(AND(C289&gt;='Amort. Sched.-WORST'!$I$8, C289&lt;= ($I$7+$I$8)), (IPMT($E$8/12, (C289-$I$8), $I$7, $E$7)), 0)</f>
        <v>-287.12649812068412</v>
      </c>
      <c r="F289" s="23">
        <f>IF(AND(C289&gt;='Amort. Sched.-WORST'!$I$8, C289&lt;= ($I$7+$I$8)), (PPMT($E$8/12, (C289-$I$8), $I$7, $E$7)), 0)</f>
        <v>-1738.8910777334488</v>
      </c>
      <c r="G289" s="5">
        <f>IF(MortgageAmortWORST[[#This Row],[Month]]=I$8,E$7,0)</f>
        <v>0</v>
      </c>
      <c r="H289" s="13">
        <f>IF(AND(C289&gt;='Amort. Sched.-WORST'!$I$8, C289&lt;= ($I$7+$I$8)), H288+F289, 0)</f>
        <v>41330.083640369267</v>
      </c>
      <c r="I289" s="24">
        <f>IF(AND(C289&gt;='Amort. Sched.-WORST'!$I$8, C289&lt;= ($I$7+$I$8)), E289/D289, " ")</f>
        <v>0.14171964821165814</v>
      </c>
      <c r="J289" s="25">
        <f>IF(AND(C289&gt;='Amort. Sched.-WORST'!$I$8, C289&lt;= ($I$7+$I$8)), F289/D289, " ")</f>
        <v>0.85828035178834183</v>
      </c>
      <c r="L289" s="20">
        <f t="shared" si="68"/>
        <v>278</v>
      </c>
      <c r="M289" s="5">
        <f>IF(AND(L289&gt;='Amort. Sched.-WORST'!$R$8, L289&lt;= ($R$7+$R$8)), PMT('Amort. Sched.-WORST'!$N$8/12, 'Amort. Sched.-WORST'!$R$7, 'Amort. Sched.-WORST'!$N$7), 0)</f>
        <v>0</v>
      </c>
      <c r="N289" s="5">
        <f>IF(AND(L289&gt;='Amort. Sched.-WORST'!$R$8, L289&lt;= ($R$7+$R$8)), (IPMT($N$8/12, (L289-$R$8), $R$7, $N$7)), 0)</f>
        <v>0</v>
      </c>
      <c r="O289" s="5">
        <f>IF(AND(L289&gt;='Amort. Sched.-WORST'!$R$8, L289&lt;= ($R$7+$R$8)), (PPMT($N$8/12, (L289-$R$8), $R$7, $N$7)), 0)</f>
        <v>0</v>
      </c>
      <c r="P289" s="5">
        <f>IF(CreditAmort1WORST[[#This Row],[Month]]=R$8,N$7,0)</f>
        <v>0</v>
      </c>
      <c r="Q289" s="13">
        <f>IF(AND(L289&gt;='Amort. Sched.-WORST'!$R$8, L289&lt;= ($R$7+$R$8)), Q288+O289, 0)</f>
        <v>0</v>
      </c>
      <c r="R289" s="6" t="str">
        <f>IF(AND(L289&gt;='Amort. Sched.-WORST'!$R$8, L289&lt;= ($R$7+$R$8)), N289/M289, " ")</f>
        <v xml:space="preserve"> </v>
      </c>
      <c r="S289" s="21" t="str">
        <f>IF(AND(L289&gt;='Amort. Sched.-WORST'!$R$8, L289&lt;= ($R$7+$R$8)), O289/M289, " ")</f>
        <v xml:space="preserve"> </v>
      </c>
      <c r="U289" s="22">
        <f t="shared" si="70"/>
        <v>278</v>
      </c>
      <c r="V289" s="23">
        <f>IF(AND(U289&gt;='Amort. Sched.-WORST'!$AA$8, U289&lt;= ($AA$7+$AA$8)), PMT('Amort. Sched.-WORST'!$W$8/12, 'Amort. Sched.-WORST'!$AA$7, 'Amort. Sched.-WORST'!$W$7), 0)</f>
        <v>0</v>
      </c>
      <c r="W289" s="5">
        <f>IF(AND(U289&gt;='Amort. Sched.-WORST'!$AA$8, U289&lt;= ($AA$7+$AA$8)), (IPMT($W$8/12, (U289-$AA$8), $AA$7, $W$7)), 0)</f>
        <v>0</v>
      </c>
      <c r="X289" s="23">
        <f>IF(AND(U289&gt;='Amort. Sched.-WORST'!$AA$8, U289&lt;= ($AA$7+$AA$8)), (PPMT($W$8/12, (U289-$AA$8), $AA$7, $W$7)), 0)</f>
        <v>0</v>
      </c>
      <c r="Y289" s="5">
        <f>IF(CreditAmort2WORST[[#This Row],[Month]]=AA$8,W$7,0)</f>
        <v>0</v>
      </c>
      <c r="Z289" s="13">
        <f>IF(AND(U289&gt;='Amort. Sched.-WORST'!$AA$8, U289&lt;= ($AA$7+$AA$8)), Z288+X289, 0)</f>
        <v>0</v>
      </c>
      <c r="AA289" s="24" t="str">
        <f>IF(AND(U289&gt;='Amort. Sched.-WORST'!$AA$8, U289&lt;= ($AA$7+$AA$8)), W289/V289, " ")</f>
        <v xml:space="preserve"> </v>
      </c>
      <c r="AB289" s="25" t="str">
        <f>IF(AND(U289&gt;='Amort. Sched.-WORST'!$AA$8, U289&lt;= ($AA$7+$AA$8)), X289/V289, " ")</f>
        <v xml:space="preserve"> </v>
      </c>
      <c r="AD289" s="20">
        <f t="shared" si="71"/>
        <v>278</v>
      </c>
      <c r="AE289" s="5">
        <f t="shared" si="72"/>
        <v>0</v>
      </c>
      <c r="AF289" s="5">
        <f t="shared" si="73"/>
        <v>0</v>
      </c>
      <c r="AG289" s="5">
        <f t="shared" si="74"/>
        <v>0</v>
      </c>
      <c r="AH289" s="5">
        <f>IF(CreditAmort3WORST[[#This Row],[Month]]=AJ$8,AF$7,0)</f>
        <v>0</v>
      </c>
      <c r="AI289" s="13">
        <f t="shared" si="75"/>
        <v>0</v>
      </c>
      <c r="AJ289" s="6" t="str">
        <f t="shared" si="76"/>
        <v xml:space="preserve"> </v>
      </c>
      <c r="AK289" s="21" t="str">
        <f t="shared" si="77"/>
        <v xml:space="preserve"> </v>
      </c>
      <c r="AM289" s="20">
        <f t="shared" si="78"/>
        <v>278</v>
      </c>
      <c r="AN289" s="5">
        <f t="shared" si="79"/>
        <v>0</v>
      </c>
      <c r="AO289" s="5">
        <f t="shared" si="80"/>
        <v>0</v>
      </c>
      <c r="AP289" s="5">
        <f t="shared" si="81"/>
        <v>0</v>
      </c>
      <c r="AQ289" s="5">
        <f>IF(CreditAmort4WORST[[#This Row],[Month]]=AS$8,AO$7,0)</f>
        <v>0</v>
      </c>
      <c r="AR289" s="13">
        <f t="shared" si="82"/>
        <v>0</v>
      </c>
      <c r="AS289" s="6" t="str">
        <f t="shared" si="83"/>
        <v xml:space="preserve"> </v>
      </c>
      <c r="AT289" s="21" t="str">
        <f t="shared" si="84"/>
        <v xml:space="preserve"> </v>
      </c>
    </row>
    <row r="290" spans="3:46">
      <c r="C290" s="22">
        <f t="shared" si="69"/>
        <v>279</v>
      </c>
      <c r="D290" s="23">
        <f>IF(AND(C290&gt;='Amort. Sched.-WORST'!$I$8, C290&lt;= ($I$7+$I$8)), PMT('Amort. Sched.-WORST'!$E$8/12, 'Amort. Sched.-WORST'!$I$7, 'Amort. Sched.-WORST'!$E$7), 0)</f>
        <v>-2026.0175758541329</v>
      </c>
      <c r="E290" s="5">
        <f>IF(AND(C290&gt;='Amort. Sched.-WORST'!$I$8, C290&lt;= ($I$7+$I$8)), (IPMT($E$8/12, (C290-$I$8), $I$7, $E$7)), 0)</f>
        <v>-275.53389093579449</v>
      </c>
      <c r="F290" s="23">
        <f>IF(AND(C290&gt;='Amort. Sched.-WORST'!$I$8, C290&lt;= ($I$7+$I$8)), (PPMT($E$8/12, (C290-$I$8), $I$7, $E$7)), 0)</f>
        <v>-1750.4836849183384</v>
      </c>
      <c r="G290" s="5">
        <f>IF(MortgageAmortWORST[[#This Row],[Month]]=I$8,E$7,0)</f>
        <v>0</v>
      </c>
      <c r="H290" s="13">
        <f>IF(AND(C290&gt;='Amort. Sched.-WORST'!$I$8, C290&lt;= ($I$7+$I$8)), H289+F290, 0)</f>
        <v>39579.599955450925</v>
      </c>
      <c r="I290" s="24">
        <f>IF(AND(C290&gt;='Amort. Sched.-WORST'!$I$8, C290&lt;= ($I$7+$I$8)), E290/D290, " ")</f>
        <v>0.13599777919973588</v>
      </c>
      <c r="J290" s="25">
        <f>IF(AND(C290&gt;='Amort. Sched.-WORST'!$I$8, C290&lt;= ($I$7+$I$8)), F290/D290, " ")</f>
        <v>0.86400222080026412</v>
      </c>
      <c r="L290" s="20">
        <f t="shared" si="68"/>
        <v>279</v>
      </c>
      <c r="M290" s="5">
        <f>IF(AND(L290&gt;='Amort. Sched.-WORST'!$R$8, L290&lt;= ($R$7+$R$8)), PMT('Amort. Sched.-WORST'!$N$8/12, 'Amort. Sched.-WORST'!$R$7, 'Amort. Sched.-WORST'!$N$7), 0)</f>
        <v>0</v>
      </c>
      <c r="N290" s="5">
        <f>IF(AND(L290&gt;='Amort. Sched.-WORST'!$R$8, L290&lt;= ($R$7+$R$8)), (IPMT($N$8/12, (L290-$R$8), $R$7, $N$7)), 0)</f>
        <v>0</v>
      </c>
      <c r="O290" s="5">
        <f>IF(AND(L290&gt;='Amort. Sched.-WORST'!$R$8, L290&lt;= ($R$7+$R$8)), (PPMT($N$8/12, (L290-$R$8), $R$7, $N$7)), 0)</f>
        <v>0</v>
      </c>
      <c r="P290" s="5">
        <f>IF(CreditAmort1WORST[[#This Row],[Month]]=R$8,N$7,0)</f>
        <v>0</v>
      </c>
      <c r="Q290" s="13">
        <f>IF(AND(L290&gt;='Amort. Sched.-WORST'!$R$8, L290&lt;= ($R$7+$R$8)), Q289+O290, 0)</f>
        <v>0</v>
      </c>
      <c r="R290" s="6" t="str">
        <f>IF(AND(L290&gt;='Amort. Sched.-WORST'!$R$8, L290&lt;= ($R$7+$R$8)), N290/M290, " ")</f>
        <v xml:space="preserve"> </v>
      </c>
      <c r="S290" s="21" t="str">
        <f>IF(AND(L290&gt;='Amort. Sched.-WORST'!$R$8, L290&lt;= ($R$7+$R$8)), O290/M290, " ")</f>
        <v xml:space="preserve"> </v>
      </c>
      <c r="U290" s="22">
        <f t="shared" si="70"/>
        <v>279</v>
      </c>
      <c r="V290" s="23">
        <f>IF(AND(U290&gt;='Amort. Sched.-WORST'!$AA$8, U290&lt;= ($AA$7+$AA$8)), PMT('Amort. Sched.-WORST'!$W$8/12, 'Amort. Sched.-WORST'!$AA$7, 'Amort. Sched.-WORST'!$W$7), 0)</f>
        <v>0</v>
      </c>
      <c r="W290" s="5">
        <f>IF(AND(U290&gt;='Amort. Sched.-WORST'!$AA$8, U290&lt;= ($AA$7+$AA$8)), (IPMT($W$8/12, (U290-$AA$8), $AA$7, $W$7)), 0)</f>
        <v>0</v>
      </c>
      <c r="X290" s="23">
        <f>IF(AND(U290&gt;='Amort. Sched.-WORST'!$AA$8, U290&lt;= ($AA$7+$AA$8)), (PPMT($W$8/12, (U290-$AA$8), $AA$7, $W$7)), 0)</f>
        <v>0</v>
      </c>
      <c r="Y290" s="5">
        <f>IF(CreditAmort2WORST[[#This Row],[Month]]=AA$8,W$7,0)</f>
        <v>0</v>
      </c>
      <c r="Z290" s="13">
        <f>IF(AND(U290&gt;='Amort. Sched.-WORST'!$AA$8, U290&lt;= ($AA$7+$AA$8)), Z289+X290, 0)</f>
        <v>0</v>
      </c>
      <c r="AA290" s="24" t="str">
        <f>IF(AND(U290&gt;='Amort. Sched.-WORST'!$AA$8, U290&lt;= ($AA$7+$AA$8)), W290/V290, " ")</f>
        <v xml:space="preserve"> </v>
      </c>
      <c r="AB290" s="25" t="str">
        <f>IF(AND(U290&gt;='Amort. Sched.-WORST'!$AA$8, U290&lt;= ($AA$7+$AA$8)), X290/V290, " ")</f>
        <v xml:space="preserve"> </v>
      </c>
      <c r="AD290" s="20">
        <f t="shared" si="71"/>
        <v>279</v>
      </c>
      <c r="AE290" s="5">
        <f t="shared" si="72"/>
        <v>0</v>
      </c>
      <c r="AF290" s="5">
        <f t="shared" si="73"/>
        <v>0</v>
      </c>
      <c r="AG290" s="5">
        <f t="shared" si="74"/>
        <v>0</v>
      </c>
      <c r="AH290" s="5">
        <f>IF(CreditAmort3WORST[[#This Row],[Month]]=AJ$8,AF$7,0)</f>
        <v>0</v>
      </c>
      <c r="AI290" s="13">
        <f t="shared" si="75"/>
        <v>0</v>
      </c>
      <c r="AJ290" s="6" t="str">
        <f t="shared" si="76"/>
        <v xml:space="preserve"> </v>
      </c>
      <c r="AK290" s="21" t="str">
        <f t="shared" si="77"/>
        <v xml:space="preserve"> </v>
      </c>
      <c r="AM290" s="20">
        <f t="shared" si="78"/>
        <v>279</v>
      </c>
      <c r="AN290" s="5">
        <f t="shared" si="79"/>
        <v>0</v>
      </c>
      <c r="AO290" s="5">
        <f t="shared" si="80"/>
        <v>0</v>
      </c>
      <c r="AP290" s="5">
        <f t="shared" si="81"/>
        <v>0</v>
      </c>
      <c r="AQ290" s="5">
        <f>IF(CreditAmort4WORST[[#This Row],[Month]]=AS$8,AO$7,0)</f>
        <v>0</v>
      </c>
      <c r="AR290" s="13">
        <f t="shared" si="82"/>
        <v>0</v>
      </c>
      <c r="AS290" s="6" t="str">
        <f t="shared" si="83"/>
        <v xml:space="preserve"> </v>
      </c>
      <c r="AT290" s="21" t="str">
        <f t="shared" si="84"/>
        <v xml:space="preserve"> </v>
      </c>
    </row>
    <row r="291" spans="3:46">
      <c r="C291" s="22">
        <f t="shared" si="69"/>
        <v>280</v>
      </c>
      <c r="D291" s="23">
        <f>IF(AND(C291&gt;='Amort. Sched.-WORST'!$I$8, C291&lt;= ($I$7+$I$8)), PMT('Amort. Sched.-WORST'!$E$8/12, 'Amort. Sched.-WORST'!$I$7, 'Amort. Sched.-WORST'!$E$7), 0)</f>
        <v>-2026.0175758541329</v>
      </c>
      <c r="E291" s="5">
        <f>IF(AND(C291&gt;='Amort. Sched.-WORST'!$I$8, C291&lt;= ($I$7+$I$8)), (IPMT($E$8/12, (C291-$I$8), $I$7, $E$7)), 0)</f>
        <v>-263.86399970300556</v>
      </c>
      <c r="F291" s="23">
        <f>IF(AND(C291&gt;='Amort. Sched.-WORST'!$I$8, C291&lt;= ($I$7+$I$8)), (PPMT($E$8/12, (C291-$I$8), $I$7, $E$7)), 0)</f>
        <v>-1762.1535761511277</v>
      </c>
      <c r="G291" s="5">
        <f>IF(MortgageAmortWORST[[#This Row],[Month]]=I$8,E$7,0)</f>
        <v>0</v>
      </c>
      <c r="H291" s="13">
        <f>IF(AND(C291&gt;='Amort. Sched.-WORST'!$I$8, C291&lt;= ($I$7+$I$8)), H290+F291, 0)</f>
        <v>37817.446379299799</v>
      </c>
      <c r="I291" s="24">
        <f>IF(AND(C291&gt;='Amort. Sched.-WORST'!$I$8, C291&lt;= ($I$7+$I$8)), E291/D291, " ")</f>
        <v>0.13023776439440077</v>
      </c>
      <c r="J291" s="25">
        <f>IF(AND(C291&gt;='Amort. Sched.-WORST'!$I$8, C291&lt;= ($I$7+$I$8)), F291/D291, " ")</f>
        <v>0.8697622356055994</v>
      </c>
      <c r="L291" s="20">
        <f t="shared" si="68"/>
        <v>280</v>
      </c>
      <c r="M291" s="5">
        <f>IF(AND(L291&gt;='Amort. Sched.-WORST'!$R$8, L291&lt;= ($R$7+$R$8)), PMT('Amort. Sched.-WORST'!$N$8/12, 'Amort. Sched.-WORST'!$R$7, 'Amort. Sched.-WORST'!$N$7), 0)</f>
        <v>0</v>
      </c>
      <c r="N291" s="5">
        <f>IF(AND(L291&gt;='Amort. Sched.-WORST'!$R$8, L291&lt;= ($R$7+$R$8)), (IPMT($N$8/12, (L291-$R$8), $R$7, $N$7)), 0)</f>
        <v>0</v>
      </c>
      <c r="O291" s="5">
        <f>IF(AND(L291&gt;='Amort. Sched.-WORST'!$R$8, L291&lt;= ($R$7+$R$8)), (PPMT($N$8/12, (L291-$R$8), $R$7, $N$7)), 0)</f>
        <v>0</v>
      </c>
      <c r="P291" s="5">
        <f>IF(CreditAmort1WORST[[#This Row],[Month]]=R$8,N$7,0)</f>
        <v>0</v>
      </c>
      <c r="Q291" s="13">
        <f>IF(AND(L291&gt;='Amort. Sched.-WORST'!$R$8, L291&lt;= ($R$7+$R$8)), Q290+O291, 0)</f>
        <v>0</v>
      </c>
      <c r="R291" s="6" t="str">
        <f>IF(AND(L291&gt;='Amort. Sched.-WORST'!$R$8, L291&lt;= ($R$7+$R$8)), N291/M291, " ")</f>
        <v xml:space="preserve"> </v>
      </c>
      <c r="S291" s="21" t="str">
        <f>IF(AND(L291&gt;='Amort. Sched.-WORST'!$R$8, L291&lt;= ($R$7+$R$8)), O291/M291, " ")</f>
        <v xml:space="preserve"> </v>
      </c>
      <c r="U291" s="22">
        <f t="shared" si="70"/>
        <v>280</v>
      </c>
      <c r="V291" s="23">
        <f>IF(AND(U291&gt;='Amort. Sched.-WORST'!$AA$8, U291&lt;= ($AA$7+$AA$8)), PMT('Amort. Sched.-WORST'!$W$8/12, 'Amort. Sched.-WORST'!$AA$7, 'Amort. Sched.-WORST'!$W$7), 0)</f>
        <v>0</v>
      </c>
      <c r="W291" s="5">
        <f>IF(AND(U291&gt;='Amort. Sched.-WORST'!$AA$8, U291&lt;= ($AA$7+$AA$8)), (IPMT($W$8/12, (U291-$AA$8), $AA$7, $W$7)), 0)</f>
        <v>0</v>
      </c>
      <c r="X291" s="23">
        <f>IF(AND(U291&gt;='Amort. Sched.-WORST'!$AA$8, U291&lt;= ($AA$7+$AA$8)), (PPMT($W$8/12, (U291-$AA$8), $AA$7, $W$7)), 0)</f>
        <v>0</v>
      </c>
      <c r="Y291" s="5">
        <f>IF(CreditAmort2WORST[[#This Row],[Month]]=AA$8,W$7,0)</f>
        <v>0</v>
      </c>
      <c r="Z291" s="13">
        <f>IF(AND(U291&gt;='Amort. Sched.-WORST'!$AA$8, U291&lt;= ($AA$7+$AA$8)), Z290+X291, 0)</f>
        <v>0</v>
      </c>
      <c r="AA291" s="24" t="str">
        <f>IF(AND(U291&gt;='Amort. Sched.-WORST'!$AA$8, U291&lt;= ($AA$7+$AA$8)), W291/V291, " ")</f>
        <v xml:space="preserve"> </v>
      </c>
      <c r="AB291" s="25" t="str">
        <f>IF(AND(U291&gt;='Amort. Sched.-WORST'!$AA$8, U291&lt;= ($AA$7+$AA$8)), X291/V291, " ")</f>
        <v xml:space="preserve"> </v>
      </c>
      <c r="AD291" s="20">
        <f t="shared" si="71"/>
        <v>280</v>
      </c>
      <c r="AE291" s="5">
        <f t="shared" si="72"/>
        <v>0</v>
      </c>
      <c r="AF291" s="5">
        <f t="shared" si="73"/>
        <v>0</v>
      </c>
      <c r="AG291" s="5">
        <f t="shared" si="74"/>
        <v>0</v>
      </c>
      <c r="AH291" s="5">
        <f>IF(CreditAmort3WORST[[#This Row],[Month]]=AJ$8,AF$7,0)</f>
        <v>0</v>
      </c>
      <c r="AI291" s="13">
        <f t="shared" si="75"/>
        <v>0</v>
      </c>
      <c r="AJ291" s="6" t="str">
        <f t="shared" si="76"/>
        <v xml:space="preserve"> </v>
      </c>
      <c r="AK291" s="21" t="str">
        <f t="shared" si="77"/>
        <v xml:space="preserve"> </v>
      </c>
      <c r="AM291" s="20">
        <f t="shared" si="78"/>
        <v>280</v>
      </c>
      <c r="AN291" s="5">
        <f t="shared" si="79"/>
        <v>0</v>
      </c>
      <c r="AO291" s="5">
        <f t="shared" si="80"/>
        <v>0</v>
      </c>
      <c r="AP291" s="5">
        <f t="shared" si="81"/>
        <v>0</v>
      </c>
      <c r="AQ291" s="5">
        <f>IF(CreditAmort4WORST[[#This Row],[Month]]=AS$8,AO$7,0)</f>
        <v>0</v>
      </c>
      <c r="AR291" s="13">
        <f t="shared" si="82"/>
        <v>0</v>
      </c>
      <c r="AS291" s="6" t="str">
        <f t="shared" si="83"/>
        <v xml:space="preserve"> </v>
      </c>
      <c r="AT291" s="21" t="str">
        <f t="shared" si="84"/>
        <v xml:space="preserve"> </v>
      </c>
    </row>
    <row r="292" spans="3:46">
      <c r="C292" s="22">
        <f t="shared" si="69"/>
        <v>281</v>
      </c>
      <c r="D292" s="23">
        <f>IF(AND(C292&gt;='Amort. Sched.-WORST'!$I$8, C292&lt;= ($I$7+$I$8)), PMT('Amort. Sched.-WORST'!$E$8/12, 'Amort. Sched.-WORST'!$I$7, 'Amort. Sched.-WORST'!$E$7), 0)</f>
        <v>-2026.0175758541329</v>
      </c>
      <c r="E292" s="5">
        <f>IF(AND(C292&gt;='Amort. Sched.-WORST'!$I$8, C292&lt;= ($I$7+$I$8)), (IPMT($E$8/12, (C292-$I$8), $I$7, $E$7)), 0)</f>
        <v>-252.11630919533138</v>
      </c>
      <c r="F292" s="23">
        <f>IF(AND(C292&gt;='Amort. Sched.-WORST'!$I$8, C292&lt;= ($I$7+$I$8)), (PPMT($E$8/12, (C292-$I$8), $I$7, $E$7)), 0)</f>
        <v>-1773.9012666588019</v>
      </c>
      <c r="G292" s="5">
        <f>IF(MortgageAmortWORST[[#This Row],[Month]]=I$8,E$7,0)</f>
        <v>0</v>
      </c>
      <c r="H292" s="13">
        <f>IF(AND(C292&gt;='Amort. Sched.-WORST'!$I$8, C292&lt;= ($I$7+$I$8)), H291+F292, 0)</f>
        <v>36043.545112640997</v>
      </c>
      <c r="I292" s="24">
        <f>IF(AND(C292&gt;='Amort. Sched.-WORST'!$I$8, C292&lt;= ($I$7+$I$8)), E292/D292, " ")</f>
        <v>0.12443934949036345</v>
      </c>
      <c r="J292" s="25">
        <f>IF(AND(C292&gt;='Amort. Sched.-WORST'!$I$8, C292&lt;= ($I$7+$I$8)), F292/D292, " ")</f>
        <v>0.87556065050963672</v>
      </c>
      <c r="L292" s="20">
        <f t="shared" si="68"/>
        <v>281</v>
      </c>
      <c r="M292" s="5">
        <f>IF(AND(L292&gt;='Amort. Sched.-WORST'!$R$8, L292&lt;= ($R$7+$R$8)), PMT('Amort. Sched.-WORST'!$N$8/12, 'Amort. Sched.-WORST'!$R$7, 'Amort. Sched.-WORST'!$N$7), 0)</f>
        <v>0</v>
      </c>
      <c r="N292" s="5">
        <f>IF(AND(L292&gt;='Amort. Sched.-WORST'!$R$8, L292&lt;= ($R$7+$R$8)), (IPMT($N$8/12, (L292-$R$8), $R$7, $N$7)), 0)</f>
        <v>0</v>
      </c>
      <c r="O292" s="5">
        <f>IF(AND(L292&gt;='Amort. Sched.-WORST'!$R$8, L292&lt;= ($R$7+$R$8)), (PPMT($N$8/12, (L292-$R$8), $R$7, $N$7)), 0)</f>
        <v>0</v>
      </c>
      <c r="P292" s="5">
        <f>IF(CreditAmort1WORST[[#This Row],[Month]]=R$8,N$7,0)</f>
        <v>0</v>
      </c>
      <c r="Q292" s="13">
        <f>IF(AND(L292&gt;='Amort. Sched.-WORST'!$R$8, L292&lt;= ($R$7+$R$8)), Q291+O292, 0)</f>
        <v>0</v>
      </c>
      <c r="R292" s="6" t="str">
        <f>IF(AND(L292&gt;='Amort. Sched.-WORST'!$R$8, L292&lt;= ($R$7+$R$8)), N292/M292, " ")</f>
        <v xml:space="preserve"> </v>
      </c>
      <c r="S292" s="21" t="str">
        <f>IF(AND(L292&gt;='Amort. Sched.-WORST'!$R$8, L292&lt;= ($R$7+$R$8)), O292/M292, " ")</f>
        <v xml:space="preserve"> </v>
      </c>
      <c r="U292" s="22">
        <f t="shared" si="70"/>
        <v>281</v>
      </c>
      <c r="V292" s="23">
        <f>IF(AND(U292&gt;='Amort. Sched.-WORST'!$AA$8, U292&lt;= ($AA$7+$AA$8)), PMT('Amort. Sched.-WORST'!$W$8/12, 'Amort. Sched.-WORST'!$AA$7, 'Amort. Sched.-WORST'!$W$7), 0)</f>
        <v>0</v>
      </c>
      <c r="W292" s="5">
        <f>IF(AND(U292&gt;='Amort. Sched.-WORST'!$AA$8, U292&lt;= ($AA$7+$AA$8)), (IPMT($W$8/12, (U292-$AA$8), $AA$7, $W$7)), 0)</f>
        <v>0</v>
      </c>
      <c r="X292" s="23">
        <f>IF(AND(U292&gt;='Amort. Sched.-WORST'!$AA$8, U292&lt;= ($AA$7+$AA$8)), (PPMT($W$8/12, (U292-$AA$8), $AA$7, $W$7)), 0)</f>
        <v>0</v>
      </c>
      <c r="Y292" s="5">
        <f>IF(CreditAmort2WORST[[#This Row],[Month]]=AA$8,W$7,0)</f>
        <v>0</v>
      </c>
      <c r="Z292" s="13">
        <f>IF(AND(U292&gt;='Amort. Sched.-WORST'!$AA$8, U292&lt;= ($AA$7+$AA$8)), Z291+X292, 0)</f>
        <v>0</v>
      </c>
      <c r="AA292" s="24" t="str">
        <f>IF(AND(U292&gt;='Amort. Sched.-WORST'!$AA$8, U292&lt;= ($AA$7+$AA$8)), W292/V292, " ")</f>
        <v xml:space="preserve"> </v>
      </c>
      <c r="AB292" s="25" t="str">
        <f>IF(AND(U292&gt;='Amort. Sched.-WORST'!$AA$8, U292&lt;= ($AA$7+$AA$8)), X292/V292, " ")</f>
        <v xml:space="preserve"> </v>
      </c>
      <c r="AD292" s="20">
        <f t="shared" si="71"/>
        <v>281</v>
      </c>
      <c r="AE292" s="5">
        <f t="shared" si="72"/>
        <v>0</v>
      </c>
      <c r="AF292" s="5">
        <f t="shared" si="73"/>
        <v>0</v>
      </c>
      <c r="AG292" s="5">
        <f t="shared" si="74"/>
        <v>0</v>
      </c>
      <c r="AH292" s="5">
        <f>IF(CreditAmort3WORST[[#This Row],[Month]]=AJ$8,AF$7,0)</f>
        <v>0</v>
      </c>
      <c r="AI292" s="13">
        <f t="shared" si="75"/>
        <v>0</v>
      </c>
      <c r="AJ292" s="6" t="str">
        <f t="shared" si="76"/>
        <v xml:space="preserve"> </v>
      </c>
      <c r="AK292" s="21" t="str">
        <f t="shared" si="77"/>
        <v xml:space="preserve"> </v>
      </c>
      <c r="AM292" s="20">
        <f t="shared" si="78"/>
        <v>281</v>
      </c>
      <c r="AN292" s="5">
        <f t="shared" si="79"/>
        <v>0</v>
      </c>
      <c r="AO292" s="5">
        <f t="shared" si="80"/>
        <v>0</v>
      </c>
      <c r="AP292" s="5">
        <f t="shared" si="81"/>
        <v>0</v>
      </c>
      <c r="AQ292" s="5">
        <f>IF(CreditAmort4WORST[[#This Row],[Month]]=AS$8,AO$7,0)</f>
        <v>0</v>
      </c>
      <c r="AR292" s="13">
        <f t="shared" si="82"/>
        <v>0</v>
      </c>
      <c r="AS292" s="6" t="str">
        <f t="shared" si="83"/>
        <v xml:space="preserve"> </v>
      </c>
      <c r="AT292" s="21" t="str">
        <f t="shared" si="84"/>
        <v xml:space="preserve"> </v>
      </c>
    </row>
    <row r="293" spans="3:46">
      <c r="C293" s="22">
        <f t="shared" si="69"/>
        <v>282</v>
      </c>
      <c r="D293" s="23">
        <f>IF(AND(C293&gt;='Amort. Sched.-WORST'!$I$8, C293&lt;= ($I$7+$I$8)), PMT('Amort. Sched.-WORST'!$E$8/12, 'Amort. Sched.-WORST'!$I$7, 'Amort. Sched.-WORST'!$E$7), 0)</f>
        <v>-2026.0175758541329</v>
      </c>
      <c r="E293" s="5">
        <f>IF(AND(C293&gt;='Amort. Sched.-WORST'!$I$8, C293&lt;= ($I$7+$I$8)), (IPMT($E$8/12, (C293-$I$8), $I$7, $E$7)), 0)</f>
        <v>-240.29030075093942</v>
      </c>
      <c r="F293" s="23">
        <f>IF(AND(C293&gt;='Amort. Sched.-WORST'!$I$8, C293&lt;= ($I$7+$I$8)), (PPMT($E$8/12, (C293-$I$8), $I$7, $E$7)), 0)</f>
        <v>-1785.7272751031933</v>
      </c>
      <c r="G293" s="5">
        <f>IF(MortgageAmortWORST[[#This Row],[Month]]=I$8,E$7,0)</f>
        <v>0</v>
      </c>
      <c r="H293" s="13">
        <f>IF(AND(C293&gt;='Amort. Sched.-WORST'!$I$8, C293&lt;= ($I$7+$I$8)), H292+F293, 0)</f>
        <v>34257.817837537805</v>
      </c>
      <c r="I293" s="24">
        <f>IF(AND(C293&gt;='Amort. Sched.-WORST'!$I$8, C293&lt;= ($I$7+$I$8)), E293/D293, " ")</f>
        <v>0.11860227848696589</v>
      </c>
      <c r="J293" s="25">
        <f>IF(AND(C293&gt;='Amort. Sched.-WORST'!$I$8, C293&lt;= ($I$7+$I$8)), F293/D293, " ")</f>
        <v>0.88139772151303397</v>
      </c>
      <c r="L293" s="20">
        <f t="shared" si="68"/>
        <v>282</v>
      </c>
      <c r="M293" s="5">
        <f>IF(AND(L293&gt;='Amort. Sched.-WORST'!$R$8, L293&lt;= ($R$7+$R$8)), PMT('Amort. Sched.-WORST'!$N$8/12, 'Amort. Sched.-WORST'!$R$7, 'Amort. Sched.-WORST'!$N$7), 0)</f>
        <v>0</v>
      </c>
      <c r="N293" s="5">
        <f>IF(AND(L293&gt;='Amort. Sched.-WORST'!$R$8, L293&lt;= ($R$7+$R$8)), (IPMT($N$8/12, (L293-$R$8), $R$7, $N$7)), 0)</f>
        <v>0</v>
      </c>
      <c r="O293" s="5">
        <f>IF(AND(L293&gt;='Amort. Sched.-WORST'!$R$8, L293&lt;= ($R$7+$R$8)), (PPMT($N$8/12, (L293-$R$8), $R$7, $N$7)), 0)</f>
        <v>0</v>
      </c>
      <c r="P293" s="5">
        <f>IF(CreditAmort1WORST[[#This Row],[Month]]=R$8,N$7,0)</f>
        <v>0</v>
      </c>
      <c r="Q293" s="13">
        <f>IF(AND(L293&gt;='Amort. Sched.-WORST'!$R$8, L293&lt;= ($R$7+$R$8)), Q292+O293, 0)</f>
        <v>0</v>
      </c>
      <c r="R293" s="6" t="str">
        <f>IF(AND(L293&gt;='Amort. Sched.-WORST'!$R$8, L293&lt;= ($R$7+$R$8)), N293/M293, " ")</f>
        <v xml:space="preserve"> </v>
      </c>
      <c r="S293" s="21" t="str">
        <f>IF(AND(L293&gt;='Amort. Sched.-WORST'!$R$8, L293&lt;= ($R$7+$R$8)), O293/M293, " ")</f>
        <v xml:space="preserve"> </v>
      </c>
      <c r="U293" s="22">
        <f t="shared" si="70"/>
        <v>282</v>
      </c>
      <c r="V293" s="23">
        <f>IF(AND(U293&gt;='Amort. Sched.-WORST'!$AA$8, U293&lt;= ($AA$7+$AA$8)), PMT('Amort. Sched.-WORST'!$W$8/12, 'Amort. Sched.-WORST'!$AA$7, 'Amort. Sched.-WORST'!$W$7), 0)</f>
        <v>0</v>
      </c>
      <c r="W293" s="5">
        <f>IF(AND(U293&gt;='Amort. Sched.-WORST'!$AA$8, U293&lt;= ($AA$7+$AA$8)), (IPMT($W$8/12, (U293-$AA$8), $AA$7, $W$7)), 0)</f>
        <v>0</v>
      </c>
      <c r="X293" s="23">
        <f>IF(AND(U293&gt;='Amort. Sched.-WORST'!$AA$8, U293&lt;= ($AA$7+$AA$8)), (PPMT($W$8/12, (U293-$AA$8), $AA$7, $W$7)), 0)</f>
        <v>0</v>
      </c>
      <c r="Y293" s="5">
        <f>IF(CreditAmort2WORST[[#This Row],[Month]]=AA$8,W$7,0)</f>
        <v>0</v>
      </c>
      <c r="Z293" s="13">
        <f>IF(AND(U293&gt;='Amort. Sched.-WORST'!$AA$8, U293&lt;= ($AA$7+$AA$8)), Z292+X293, 0)</f>
        <v>0</v>
      </c>
      <c r="AA293" s="24" t="str">
        <f>IF(AND(U293&gt;='Amort. Sched.-WORST'!$AA$8, U293&lt;= ($AA$7+$AA$8)), W293/V293, " ")</f>
        <v xml:space="preserve"> </v>
      </c>
      <c r="AB293" s="25" t="str">
        <f>IF(AND(U293&gt;='Amort. Sched.-WORST'!$AA$8, U293&lt;= ($AA$7+$AA$8)), X293/V293, " ")</f>
        <v xml:space="preserve"> </v>
      </c>
      <c r="AD293" s="20">
        <f t="shared" si="71"/>
        <v>282</v>
      </c>
      <c r="AE293" s="5">
        <f t="shared" si="72"/>
        <v>0</v>
      </c>
      <c r="AF293" s="5">
        <f t="shared" si="73"/>
        <v>0</v>
      </c>
      <c r="AG293" s="5">
        <f t="shared" si="74"/>
        <v>0</v>
      </c>
      <c r="AH293" s="5">
        <f>IF(CreditAmort3WORST[[#This Row],[Month]]=AJ$8,AF$7,0)</f>
        <v>0</v>
      </c>
      <c r="AI293" s="13">
        <f t="shared" si="75"/>
        <v>0</v>
      </c>
      <c r="AJ293" s="6" t="str">
        <f t="shared" si="76"/>
        <v xml:space="preserve"> </v>
      </c>
      <c r="AK293" s="21" t="str">
        <f t="shared" si="77"/>
        <v xml:space="preserve"> </v>
      </c>
      <c r="AM293" s="20">
        <f t="shared" si="78"/>
        <v>282</v>
      </c>
      <c r="AN293" s="5">
        <f t="shared" si="79"/>
        <v>0</v>
      </c>
      <c r="AO293" s="5">
        <f t="shared" si="80"/>
        <v>0</v>
      </c>
      <c r="AP293" s="5">
        <f t="shared" si="81"/>
        <v>0</v>
      </c>
      <c r="AQ293" s="5">
        <f>IF(CreditAmort4WORST[[#This Row],[Month]]=AS$8,AO$7,0)</f>
        <v>0</v>
      </c>
      <c r="AR293" s="13">
        <f t="shared" si="82"/>
        <v>0</v>
      </c>
      <c r="AS293" s="6" t="str">
        <f t="shared" si="83"/>
        <v xml:space="preserve"> </v>
      </c>
      <c r="AT293" s="21" t="str">
        <f t="shared" si="84"/>
        <v xml:space="preserve"> </v>
      </c>
    </row>
    <row r="294" spans="3:46">
      <c r="C294" s="22">
        <f t="shared" si="69"/>
        <v>283</v>
      </c>
      <c r="D294" s="23">
        <f>IF(AND(C294&gt;='Amort. Sched.-WORST'!$I$8, C294&lt;= ($I$7+$I$8)), PMT('Amort. Sched.-WORST'!$E$8/12, 'Amort. Sched.-WORST'!$I$7, 'Amort. Sched.-WORST'!$E$7), 0)</f>
        <v>-2026.0175758541329</v>
      </c>
      <c r="E294" s="5">
        <f>IF(AND(C294&gt;='Amort. Sched.-WORST'!$I$8, C294&lt;= ($I$7+$I$8)), (IPMT($E$8/12, (C294-$I$8), $I$7, $E$7)), 0)</f>
        <v>-228.3854522502514</v>
      </c>
      <c r="F294" s="23">
        <f>IF(AND(C294&gt;='Amort. Sched.-WORST'!$I$8, C294&lt;= ($I$7+$I$8)), (PPMT($E$8/12, (C294-$I$8), $I$7, $E$7)), 0)</f>
        <v>-1797.6321236038818</v>
      </c>
      <c r="G294" s="5">
        <f>IF(MortgageAmortWORST[[#This Row],[Month]]=I$8,E$7,0)</f>
        <v>0</v>
      </c>
      <c r="H294" s="13">
        <f>IF(AND(C294&gt;='Amort. Sched.-WORST'!$I$8, C294&lt;= ($I$7+$I$8)), H293+F294, 0)</f>
        <v>32460.185713933923</v>
      </c>
      <c r="I294" s="24">
        <f>IF(AND(C294&gt;='Amort. Sched.-WORST'!$I$8, C294&lt;= ($I$7+$I$8)), E294/D294, " ")</f>
        <v>0.11272629367687897</v>
      </c>
      <c r="J294" s="25">
        <f>IF(AND(C294&gt;='Amort. Sched.-WORST'!$I$8, C294&lt;= ($I$7+$I$8)), F294/D294, " ")</f>
        <v>0.88727370632312119</v>
      </c>
      <c r="L294" s="20">
        <f t="shared" si="68"/>
        <v>283</v>
      </c>
      <c r="M294" s="5">
        <f>IF(AND(L294&gt;='Amort. Sched.-WORST'!$R$8, L294&lt;= ($R$7+$R$8)), PMT('Amort. Sched.-WORST'!$N$8/12, 'Amort. Sched.-WORST'!$R$7, 'Amort. Sched.-WORST'!$N$7), 0)</f>
        <v>0</v>
      </c>
      <c r="N294" s="5">
        <f>IF(AND(L294&gt;='Amort. Sched.-WORST'!$R$8, L294&lt;= ($R$7+$R$8)), (IPMT($N$8/12, (L294-$R$8), $R$7, $N$7)), 0)</f>
        <v>0</v>
      </c>
      <c r="O294" s="5">
        <f>IF(AND(L294&gt;='Amort. Sched.-WORST'!$R$8, L294&lt;= ($R$7+$R$8)), (PPMT($N$8/12, (L294-$R$8), $R$7, $N$7)), 0)</f>
        <v>0</v>
      </c>
      <c r="P294" s="5">
        <f>IF(CreditAmort1WORST[[#This Row],[Month]]=R$8,N$7,0)</f>
        <v>0</v>
      </c>
      <c r="Q294" s="13">
        <f>IF(AND(L294&gt;='Amort. Sched.-WORST'!$R$8, L294&lt;= ($R$7+$R$8)), Q293+O294, 0)</f>
        <v>0</v>
      </c>
      <c r="R294" s="6" t="str">
        <f>IF(AND(L294&gt;='Amort. Sched.-WORST'!$R$8, L294&lt;= ($R$7+$R$8)), N294/M294, " ")</f>
        <v xml:space="preserve"> </v>
      </c>
      <c r="S294" s="21" t="str">
        <f>IF(AND(L294&gt;='Amort. Sched.-WORST'!$R$8, L294&lt;= ($R$7+$R$8)), O294/M294, " ")</f>
        <v xml:space="preserve"> </v>
      </c>
      <c r="U294" s="22">
        <f t="shared" si="70"/>
        <v>283</v>
      </c>
      <c r="V294" s="23">
        <f>IF(AND(U294&gt;='Amort. Sched.-WORST'!$AA$8, U294&lt;= ($AA$7+$AA$8)), PMT('Amort. Sched.-WORST'!$W$8/12, 'Amort. Sched.-WORST'!$AA$7, 'Amort. Sched.-WORST'!$W$7), 0)</f>
        <v>0</v>
      </c>
      <c r="W294" s="5">
        <f>IF(AND(U294&gt;='Amort. Sched.-WORST'!$AA$8, U294&lt;= ($AA$7+$AA$8)), (IPMT($W$8/12, (U294-$AA$8), $AA$7, $W$7)), 0)</f>
        <v>0</v>
      </c>
      <c r="X294" s="23">
        <f>IF(AND(U294&gt;='Amort. Sched.-WORST'!$AA$8, U294&lt;= ($AA$7+$AA$8)), (PPMT($W$8/12, (U294-$AA$8), $AA$7, $W$7)), 0)</f>
        <v>0</v>
      </c>
      <c r="Y294" s="5">
        <f>IF(CreditAmort2WORST[[#This Row],[Month]]=AA$8,W$7,0)</f>
        <v>0</v>
      </c>
      <c r="Z294" s="13">
        <f>IF(AND(U294&gt;='Amort. Sched.-WORST'!$AA$8, U294&lt;= ($AA$7+$AA$8)), Z293+X294, 0)</f>
        <v>0</v>
      </c>
      <c r="AA294" s="24" t="str">
        <f>IF(AND(U294&gt;='Amort. Sched.-WORST'!$AA$8, U294&lt;= ($AA$7+$AA$8)), W294/V294, " ")</f>
        <v xml:space="preserve"> </v>
      </c>
      <c r="AB294" s="25" t="str">
        <f>IF(AND(U294&gt;='Amort. Sched.-WORST'!$AA$8, U294&lt;= ($AA$7+$AA$8)), X294/V294, " ")</f>
        <v xml:space="preserve"> </v>
      </c>
      <c r="AD294" s="20">
        <f t="shared" si="71"/>
        <v>283</v>
      </c>
      <c r="AE294" s="5">
        <f t="shared" si="72"/>
        <v>0</v>
      </c>
      <c r="AF294" s="5">
        <f t="shared" si="73"/>
        <v>0</v>
      </c>
      <c r="AG294" s="5">
        <f t="shared" si="74"/>
        <v>0</v>
      </c>
      <c r="AH294" s="5">
        <f>IF(CreditAmort3WORST[[#This Row],[Month]]=AJ$8,AF$7,0)</f>
        <v>0</v>
      </c>
      <c r="AI294" s="13">
        <f t="shared" si="75"/>
        <v>0</v>
      </c>
      <c r="AJ294" s="6" t="str">
        <f t="shared" si="76"/>
        <v xml:space="preserve"> </v>
      </c>
      <c r="AK294" s="21" t="str">
        <f t="shared" si="77"/>
        <v xml:space="preserve"> </v>
      </c>
      <c r="AM294" s="20">
        <f t="shared" si="78"/>
        <v>283</v>
      </c>
      <c r="AN294" s="5">
        <f t="shared" si="79"/>
        <v>0</v>
      </c>
      <c r="AO294" s="5">
        <f t="shared" si="80"/>
        <v>0</v>
      </c>
      <c r="AP294" s="5">
        <f t="shared" si="81"/>
        <v>0</v>
      </c>
      <c r="AQ294" s="5">
        <f>IF(CreditAmort4WORST[[#This Row],[Month]]=AS$8,AO$7,0)</f>
        <v>0</v>
      </c>
      <c r="AR294" s="13">
        <f t="shared" si="82"/>
        <v>0</v>
      </c>
      <c r="AS294" s="6" t="str">
        <f t="shared" si="83"/>
        <v xml:space="preserve"> </v>
      </c>
      <c r="AT294" s="21" t="str">
        <f t="shared" si="84"/>
        <v xml:space="preserve"> </v>
      </c>
    </row>
    <row r="295" spans="3:46">
      <c r="C295" s="22">
        <f t="shared" si="69"/>
        <v>284</v>
      </c>
      <c r="D295" s="23">
        <f>IF(AND(C295&gt;='Amort. Sched.-WORST'!$I$8, C295&lt;= ($I$7+$I$8)), PMT('Amort. Sched.-WORST'!$E$8/12, 'Amort. Sched.-WORST'!$I$7, 'Amort. Sched.-WORST'!$E$7), 0)</f>
        <v>-2026.0175758541329</v>
      </c>
      <c r="E295" s="5">
        <f>IF(AND(C295&gt;='Amort. Sched.-WORST'!$I$8, C295&lt;= ($I$7+$I$8)), (IPMT($E$8/12, (C295-$I$8), $I$7, $E$7)), 0)</f>
        <v>-216.40123809289221</v>
      </c>
      <c r="F295" s="23">
        <f>IF(AND(C295&gt;='Amort. Sched.-WORST'!$I$8, C295&lt;= ($I$7+$I$8)), (PPMT($E$8/12, (C295-$I$8), $I$7, $E$7)), 0)</f>
        <v>-1809.6163377612406</v>
      </c>
      <c r="G295" s="5">
        <f>IF(MortgageAmortWORST[[#This Row],[Month]]=I$8,E$7,0)</f>
        <v>0</v>
      </c>
      <c r="H295" s="13">
        <f>IF(AND(C295&gt;='Amort. Sched.-WORST'!$I$8, C295&lt;= ($I$7+$I$8)), H294+F295, 0)</f>
        <v>30650.569376172683</v>
      </c>
      <c r="I295" s="24">
        <f>IF(AND(C295&gt;='Amort. Sched.-WORST'!$I$8, C295&lt;= ($I$7+$I$8)), E295/D295, " ")</f>
        <v>0.10681113563472484</v>
      </c>
      <c r="J295" s="25">
        <f>IF(AND(C295&gt;='Amort. Sched.-WORST'!$I$8, C295&lt;= ($I$7+$I$8)), F295/D295, " ")</f>
        <v>0.89318886436527511</v>
      </c>
      <c r="L295" s="20">
        <f t="shared" si="68"/>
        <v>284</v>
      </c>
      <c r="M295" s="5">
        <f>IF(AND(L295&gt;='Amort. Sched.-WORST'!$R$8, L295&lt;= ($R$7+$R$8)), PMT('Amort. Sched.-WORST'!$N$8/12, 'Amort. Sched.-WORST'!$R$7, 'Amort. Sched.-WORST'!$N$7), 0)</f>
        <v>0</v>
      </c>
      <c r="N295" s="5">
        <f>IF(AND(L295&gt;='Amort. Sched.-WORST'!$R$8, L295&lt;= ($R$7+$R$8)), (IPMT($N$8/12, (L295-$R$8), $R$7, $N$7)), 0)</f>
        <v>0</v>
      </c>
      <c r="O295" s="5">
        <f>IF(AND(L295&gt;='Amort. Sched.-WORST'!$R$8, L295&lt;= ($R$7+$R$8)), (PPMT($N$8/12, (L295-$R$8), $R$7, $N$7)), 0)</f>
        <v>0</v>
      </c>
      <c r="P295" s="5">
        <f>IF(CreditAmort1WORST[[#This Row],[Month]]=R$8,N$7,0)</f>
        <v>0</v>
      </c>
      <c r="Q295" s="13">
        <f>IF(AND(L295&gt;='Amort. Sched.-WORST'!$R$8, L295&lt;= ($R$7+$R$8)), Q294+O295, 0)</f>
        <v>0</v>
      </c>
      <c r="R295" s="6" t="str">
        <f>IF(AND(L295&gt;='Amort. Sched.-WORST'!$R$8, L295&lt;= ($R$7+$R$8)), N295/M295, " ")</f>
        <v xml:space="preserve"> </v>
      </c>
      <c r="S295" s="21" t="str">
        <f>IF(AND(L295&gt;='Amort. Sched.-WORST'!$R$8, L295&lt;= ($R$7+$R$8)), O295/M295, " ")</f>
        <v xml:space="preserve"> </v>
      </c>
      <c r="U295" s="22">
        <f t="shared" si="70"/>
        <v>284</v>
      </c>
      <c r="V295" s="23">
        <f>IF(AND(U295&gt;='Amort. Sched.-WORST'!$AA$8, U295&lt;= ($AA$7+$AA$8)), PMT('Amort. Sched.-WORST'!$W$8/12, 'Amort. Sched.-WORST'!$AA$7, 'Amort. Sched.-WORST'!$W$7), 0)</f>
        <v>0</v>
      </c>
      <c r="W295" s="5">
        <f>IF(AND(U295&gt;='Amort. Sched.-WORST'!$AA$8, U295&lt;= ($AA$7+$AA$8)), (IPMT($W$8/12, (U295-$AA$8), $AA$7, $W$7)), 0)</f>
        <v>0</v>
      </c>
      <c r="X295" s="23">
        <f>IF(AND(U295&gt;='Amort. Sched.-WORST'!$AA$8, U295&lt;= ($AA$7+$AA$8)), (PPMT($W$8/12, (U295-$AA$8), $AA$7, $W$7)), 0)</f>
        <v>0</v>
      </c>
      <c r="Y295" s="5">
        <f>IF(CreditAmort2WORST[[#This Row],[Month]]=AA$8,W$7,0)</f>
        <v>0</v>
      </c>
      <c r="Z295" s="13">
        <f>IF(AND(U295&gt;='Amort. Sched.-WORST'!$AA$8, U295&lt;= ($AA$7+$AA$8)), Z294+X295, 0)</f>
        <v>0</v>
      </c>
      <c r="AA295" s="24" t="str">
        <f>IF(AND(U295&gt;='Amort. Sched.-WORST'!$AA$8, U295&lt;= ($AA$7+$AA$8)), W295/V295, " ")</f>
        <v xml:space="preserve"> </v>
      </c>
      <c r="AB295" s="25" t="str">
        <f>IF(AND(U295&gt;='Amort. Sched.-WORST'!$AA$8, U295&lt;= ($AA$7+$AA$8)), X295/V295, " ")</f>
        <v xml:space="preserve"> </v>
      </c>
      <c r="AD295" s="20">
        <f t="shared" si="71"/>
        <v>284</v>
      </c>
      <c r="AE295" s="5">
        <f t="shared" si="72"/>
        <v>0</v>
      </c>
      <c r="AF295" s="5">
        <f t="shared" si="73"/>
        <v>0</v>
      </c>
      <c r="AG295" s="5">
        <f t="shared" si="74"/>
        <v>0</v>
      </c>
      <c r="AH295" s="5">
        <f>IF(CreditAmort3WORST[[#This Row],[Month]]=AJ$8,AF$7,0)</f>
        <v>0</v>
      </c>
      <c r="AI295" s="13">
        <f t="shared" si="75"/>
        <v>0</v>
      </c>
      <c r="AJ295" s="6" t="str">
        <f t="shared" si="76"/>
        <v xml:space="preserve"> </v>
      </c>
      <c r="AK295" s="21" t="str">
        <f t="shared" si="77"/>
        <v xml:space="preserve"> </v>
      </c>
      <c r="AM295" s="20">
        <f t="shared" si="78"/>
        <v>284</v>
      </c>
      <c r="AN295" s="5">
        <f t="shared" si="79"/>
        <v>0</v>
      </c>
      <c r="AO295" s="5">
        <f t="shared" si="80"/>
        <v>0</v>
      </c>
      <c r="AP295" s="5">
        <f t="shared" si="81"/>
        <v>0</v>
      </c>
      <c r="AQ295" s="5">
        <f>IF(CreditAmort4WORST[[#This Row],[Month]]=AS$8,AO$7,0)</f>
        <v>0</v>
      </c>
      <c r="AR295" s="13">
        <f t="shared" si="82"/>
        <v>0</v>
      </c>
      <c r="AS295" s="6" t="str">
        <f t="shared" si="83"/>
        <v xml:space="preserve"> </v>
      </c>
      <c r="AT295" s="21" t="str">
        <f t="shared" si="84"/>
        <v xml:space="preserve"> </v>
      </c>
    </row>
    <row r="296" spans="3:46">
      <c r="C296" s="22">
        <f t="shared" si="69"/>
        <v>285</v>
      </c>
      <c r="D296" s="23">
        <f>IF(AND(C296&gt;='Amort. Sched.-WORST'!$I$8, C296&lt;= ($I$7+$I$8)), PMT('Amort. Sched.-WORST'!$E$8/12, 'Amort. Sched.-WORST'!$I$7, 'Amort. Sched.-WORST'!$E$7), 0)</f>
        <v>-2026.0175758541329</v>
      </c>
      <c r="E296" s="5">
        <f>IF(AND(C296&gt;='Amort. Sched.-WORST'!$I$8, C296&lt;= ($I$7+$I$8)), (IPMT($E$8/12, (C296-$I$8), $I$7, $E$7)), 0)</f>
        <v>-204.33712917448395</v>
      </c>
      <c r="F296" s="23">
        <f>IF(AND(C296&gt;='Amort. Sched.-WORST'!$I$8, C296&lt;= ($I$7+$I$8)), (PPMT($E$8/12, (C296-$I$8), $I$7, $E$7)), 0)</f>
        <v>-1821.6804466796493</v>
      </c>
      <c r="G296" s="5">
        <f>IF(MortgageAmortWORST[[#This Row],[Month]]=I$8,E$7,0)</f>
        <v>0</v>
      </c>
      <c r="H296" s="13">
        <f>IF(AND(C296&gt;='Amort. Sched.-WORST'!$I$8, C296&lt;= ($I$7+$I$8)), H295+F296, 0)</f>
        <v>28828.888929493034</v>
      </c>
      <c r="I296" s="24">
        <f>IF(AND(C296&gt;='Amort. Sched.-WORST'!$I$8, C296&lt;= ($I$7+$I$8)), E296/D296, " ")</f>
        <v>0.10085654320562301</v>
      </c>
      <c r="J296" s="25">
        <f>IF(AND(C296&gt;='Amort. Sched.-WORST'!$I$8, C296&lt;= ($I$7+$I$8)), F296/D296, " ")</f>
        <v>0.89914345679437713</v>
      </c>
      <c r="L296" s="20">
        <f t="shared" si="68"/>
        <v>285</v>
      </c>
      <c r="M296" s="5">
        <f>IF(AND(L296&gt;='Amort. Sched.-WORST'!$R$8, L296&lt;= ($R$7+$R$8)), PMT('Amort. Sched.-WORST'!$N$8/12, 'Amort. Sched.-WORST'!$R$7, 'Amort. Sched.-WORST'!$N$7), 0)</f>
        <v>0</v>
      </c>
      <c r="N296" s="5">
        <f>IF(AND(L296&gt;='Amort. Sched.-WORST'!$R$8, L296&lt;= ($R$7+$R$8)), (IPMT($N$8/12, (L296-$R$8), $R$7, $N$7)), 0)</f>
        <v>0</v>
      </c>
      <c r="O296" s="5">
        <f>IF(AND(L296&gt;='Amort. Sched.-WORST'!$R$8, L296&lt;= ($R$7+$R$8)), (PPMT($N$8/12, (L296-$R$8), $R$7, $N$7)), 0)</f>
        <v>0</v>
      </c>
      <c r="P296" s="5">
        <f>IF(CreditAmort1WORST[[#This Row],[Month]]=R$8,N$7,0)</f>
        <v>0</v>
      </c>
      <c r="Q296" s="13">
        <f>IF(AND(L296&gt;='Amort. Sched.-WORST'!$R$8, L296&lt;= ($R$7+$R$8)), Q295+O296, 0)</f>
        <v>0</v>
      </c>
      <c r="R296" s="6" t="str">
        <f>IF(AND(L296&gt;='Amort. Sched.-WORST'!$R$8, L296&lt;= ($R$7+$R$8)), N296/M296, " ")</f>
        <v xml:space="preserve"> </v>
      </c>
      <c r="S296" s="21" t="str">
        <f>IF(AND(L296&gt;='Amort. Sched.-WORST'!$R$8, L296&lt;= ($R$7+$R$8)), O296/M296, " ")</f>
        <v xml:space="preserve"> </v>
      </c>
      <c r="U296" s="22">
        <f t="shared" si="70"/>
        <v>285</v>
      </c>
      <c r="V296" s="23">
        <f>IF(AND(U296&gt;='Amort. Sched.-WORST'!$AA$8, U296&lt;= ($AA$7+$AA$8)), PMT('Amort. Sched.-WORST'!$W$8/12, 'Amort. Sched.-WORST'!$AA$7, 'Amort. Sched.-WORST'!$W$7), 0)</f>
        <v>0</v>
      </c>
      <c r="W296" s="5">
        <f>IF(AND(U296&gt;='Amort. Sched.-WORST'!$AA$8, U296&lt;= ($AA$7+$AA$8)), (IPMT($W$8/12, (U296-$AA$8), $AA$7, $W$7)), 0)</f>
        <v>0</v>
      </c>
      <c r="X296" s="23">
        <f>IF(AND(U296&gt;='Amort. Sched.-WORST'!$AA$8, U296&lt;= ($AA$7+$AA$8)), (PPMT($W$8/12, (U296-$AA$8), $AA$7, $W$7)), 0)</f>
        <v>0</v>
      </c>
      <c r="Y296" s="5">
        <f>IF(CreditAmort2WORST[[#This Row],[Month]]=AA$8,W$7,0)</f>
        <v>0</v>
      </c>
      <c r="Z296" s="13">
        <f>IF(AND(U296&gt;='Amort. Sched.-WORST'!$AA$8, U296&lt;= ($AA$7+$AA$8)), Z295+X296, 0)</f>
        <v>0</v>
      </c>
      <c r="AA296" s="24" t="str">
        <f>IF(AND(U296&gt;='Amort. Sched.-WORST'!$AA$8, U296&lt;= ($AA$7+$AA$8)), W296/V296, " ")</f>
        <v xml:space="preserve"> </v>
      </c>
      <c r="AB296" s="25" t="str">
        <f>IF(AND(U296&gt;='Amort. Sched.-WORST'!$AA$8, U296&lt;= ($AA$7+$AA$8)), X296/V296, " ")</f>
        <v xml:space="preserve"> </v>
      </c>
      <c r="AD296" s="20">
        <f t="shared" si="71"/>
        <v>285</v>
      </c>
      <c r="AE296" s="5">
        <f t="shared" si="72"/>
        <v>0</v>
      </c>
      <c r="AF296" s="5">
        <f t="shared" si="73"/>
        <v>0</v>
      </c>
      <c r="AG296" s="5">
        <f t="shared" si="74"/>
        <v>0</v>
      </c>
      <c r="AH296" s="5">
        <f>IF(CreditAmort3WORST[[#This Row],[Month]]=AJ$8,AF$7,0)</f>
        <v>0</v>
      </c>
      <c r="AI296" s="13">
        <f t="shared" si="75"/>
        <v>0</v>
      </c>
      <c r="AJ296" s="6" t="str">
        <f t="shared" si="76"/>
        <v xml:space="preserve"> </v>
      </c>
      <c r="AK296" s="21" t="str">
        <f t="shared" si="77"/>
        <v xml:space="preserve"> </v>
      </c>
      <c r="AM296" s="20">
        <f t="shared" si="78"/>
        <v>285</v>
      </c>
      <c r="AN296" s="5">
        <f t="shared" si="79"/>
        <v>0</v>
      </c>
      <c r="AO296" s="5">
        <f t="shared" si="80"/>
        <v>0</v>
      </c>
      <c r="AP296" s="5">
        <f t="shared" si="81"/>
        <v>0</v>
      </c>
      <c r="AQ296" s="5">
        <f>IF(CreditAmort4WORST[[#This Row],[Month]]=AS$8,AO$7,0)</f>
        <v>0</v>
      </c>
      <c r="AR296" s="13">
        <f t="shared" si="82"/>
        <v>0</v>
      </c>
      <c r="AS296" s="6" t="str">
        <f t="shared" si="83"/>
        <v xml:space="preserve"> </v>
      </c>
      <c r="AT296" s="21" t="str">
        <f t="shared" si="84"/>
        <v xml:space="preserve"> </v>
      </c>
    </row>
    <row r="297" spans="3:46">
      <c r="C297" s="22">
        <f t="shared" si="69"/>
        <v>286</v>
      </c>
      <c r="D297" s="23">
        <f>IF(AND(C297&gt;='Amort. Sched.-WORST'!$I$8, C297&lt;= ($I$7+$I$8)), PMT('Amort. Sched.-WORST'!$E$8/12, 'Amort. Sched.-WORST'!$I$7, 'Amort. Sched.-WORST'!$E$7), 0)</f>
        <v>-2026.0175758541329</v>
      </c>
      <c r="E297" s="5">
        <f>IF(AND(C297&gt;='Amort. Sched.-WORST'!$I$8, C297&lt;= ($I$7+$I$8)), (IPMT($E$8/12, (C297-$I$8), $I$7, $E$7)), 0)</f>
        <v>-192.19259286328628</v>
      </c>
      <c r="F297" s="23">
        <f>IF(AND(C297&gt;='Amort. Sched.-WORST'!$I$8, C297&lt;= ($I$7+$I$8)), (PPMT($E$8/12, (C297-$I$8), $I$7, $E$7)), 0)</f>
        <v>-1833.8249829908466</v>
      </c>
      <c r="G297" s="5">
        <f>IF(MortgageAmortWORST[[#This Row],[Month]]=I$8,E$7,0)</f>
        <v>0</v>
      </c>
      <c r="H297" s="13">
        <f>IF(AND(C297&gt;='Amort. Sched.-WORST'!$I$8, C297&lt;= ($I$7+$I$8)), H296+F297, 0)</f>
        <v>26995.063946502189</v>
      </c>
      <c r="I297" s="24">
        <f>IF(AND(C297&gt;='Amort. Sched.-WORST'!$I$8, C297&lt;= ($I$7+$I$8)), E297/D297, " ")</f>
        <v>9.4862253493660495E-2</v>
      </c>
      <c r="J297" s="25">
        <f>IF(AND(C297&gt;='Amort. Sched.-WORST'!$I$8, C297&lt;= ($I$7+$I$8)), F297/D297, " ")</f>
        <v>0.90513774650633949</v>
      </c>
      <c r="L297" s="20">
        <f t="shared" si="68"/>
        <v>286</v>
      </c>
      <c r="M297" s="5">
        <f>IF(AND(L297&gt;='Amort. Sched.-WORST'!$R$8, L297&lt;= ($R$7+$R$8)), PMT('Amort. Sched.-WORST'!$N$8/12, 'Amort. Sched.-WORST'!$R$7, 'Amort. Sched.-WORST'!$N$7), 0)</f>
        <v>0</v>
      </c>
      <c r="N297" s="5">
        <f>IF(AND(L297&gt;='Amort. Sched.-WORST'!$R$8, L297&lt;= ($R$7+$R$8)), (IPMT($N$8/12, (L297-$R$8), $R$7, $N$7)), 0)</f>
        <v>0</v>
      </c>
      <c r="O297" s="5">
        <f>IF(AND(L297&gt;='Amort. Sched.-WORST'!$R$8, L297&lt;= ($R$7+$R$8)), (PPMT($N$8/12, (L297-$R$8), $R$7, $N$7)), 0)</f>
        <v>0</v>
      </c>
      <c r="P297" s="5">
        <f>IF(CreditAmort1WORST[[#This Row],[Month]]=R$8,N$7,0)</f>
        <v>0</v>
      </c>
      <c r="Q297" s="13">
        <f>IF(AND(L297&gt;='Amort. Sched.-WORST'!$R$8, L297&lt;= ($R$7+$R$8)), Q296+O297, 0)</f>
        <v>0</v>
      </c>
      <c r="R297" s="6" t="str">
        <f>IF(AND(L297&gt;='Amort. Sched.-WORST'!$R$8, L297&lt;= ($R$7+$R$8)), N297/M297, " ")</f>
        <v xml:space="preserve"> </v>
      </c>
      <c r="S297" s="21" t="str">
        <f>IF(AND(L297&gt;='Amort. Sched.-WORST'!$R$8, L297&lt;= ($R$7+$R$8)), O297/M297, " ")</f>
        <v xml:space="preserve"> </v>
      </c>
      <c r="U297" s="22">
        <f t="shared" si="70"/>
        <v>286</v>
      </c>
      <c r="V297" s="23">
        <f>IF(AND(U297&gt;='Amort. Sched.-WORST'!$AA$8, U297&lt;= ($AA$7+$AA$8)), PMT('Amort. Sched.-WORST'!$W$8/12, 'Amort. Sched.-WORST'!$AA$7, 'Amort. Sched.-WORST'!$W$7), 0)</f>
        <v>0</v>
      </c>
      <c r="W297" s="5">
        <f>IF(AND(U297&gt;='Amort. Sched.-WORST'!$AA$8, U297&lt;= ($AA$7+$AA$8)), (IPMT($W$8/12, (U297-$AA$8), $AA$7, $W$7)), 0)</f>
        <v>0</v>
      </c>
      <c r="X297" s="23">
        <f>IF(AND(U297&gt;='Amort. Sched.-WORST'!$AA$8, U297&lt;= ($AA$7+$AA$8)), (PPMT($W$8/12, (U297-$AA$8), $AA$7, $W$7)), 0)</f>
        <v>0</v>
      </c>
      <c r="Y297" s="5">
        <f>IF(CreditAmort2WORST[[#This Row],[Month]]=AA$8,W$7,0)</f>
        <v>0</v>
      </c>
      <c r="Z297" s="13">
        <f>IF(AND(U297&gt;='Amort. Sched.-WORST'!$AA$8, U297&lt;= ($AA$7+$AA$8)), Z296+X297, 0)</f>
        <v>0</v>
      </c>
      <c r="AA297" s="24" t="str">
        <f>IF(AND(U297&gt;='Amort. Sched.-WORST'!$AA$8, U297&lt;= ($AA$7+$AA$8)), W297/V297, " ")</f>
        <v xml:space="preserve"> </v>
      </c>
      <c r="AB297" s="25" t="str">
        <f>IF(AND(U297&gt;='Amort. Sched.-WORST'!$AA$8, U297&lt;= ($AA$7+$AA$8)), X297/V297, " ")</f>
        <v xml:space="preserve"> </v>
      </c>
      <c r="AD297" s="20">
        <f t="shared" si="71"/>
        <v>286</v>
      </c>
      <c r="AE297" s="5">
        <f t="shared" si="72"/>
        <v>0</v>
      </c>
      <c r="AF297" s="5">
        <f t="shared" si="73"/>
        <v>0</v>
      </c>
      <c r="AG297" s="5">
        <f t="shared" si="74"/>
        <v>0</v>
      </c>
      <c r="AH297" s="5">
        <f>IF(CreditAmort3WORST[[#This Row],[Month]]=AJ$8,AF$7,0)</f>
        <v>0</v>
      </c>
      <c r="AI297" s="13">
        <f t="shared" si="75"/>
        <v>0</v>
      </c>
      <c r="AJ297" s="6" t="str">
        <f t="shared" si="76"/>
        <v xml:space="preserve"> </v>
      </c>
      <c r="AK297" s="21" t="str">
        <f t="shared" si="77"/>
        <v xml:space="preserve"> </v>
      </c>
      <c r="AM297" s="20">
        <f t="shared" si="78"/>
        <v>286</v>
      </c>
      <c r="AN297" s="5">
        <f t="shared" si="79"/>
        <v>0</v>
      </c>
      <c r="AO297" s="5">
        <f t="shared" si="80"/>
        <v>0</v>
      </c>
      <c r="AP297" s="5">
        <f t="shared" si="81"/>
        <v>0</v>
      </c>
      <c r="AQ297" s="5">
        <f>IF(CreditAmort4WORST[[#This Row],[Month]]=AS$8,AO$7,0)</f>
        <v>0</v>
      </c>
      <c r="AR297" s="13">
        <f t="shared" si="82"/>
        <v>0</v>
      </c>
      <c r="AS297" s="6" t="str">
        <f t="shared" si="83"/>
        <v xml:space="preserve"> </v>
      </c>
      <c r="AT297" s="21" t="str">
        <f t="shared" si="84"/>
        <v xml:space="preserve"> </v>
      </c>
    </row>
    <row r="298" spans="3:46">
      <c r="C298" s="22">
        <f t="shared" si="69"/>
        <v>287</v>
      </c>
      <c r="D298" s="23">
        <f>IF(AND(C298&gt;='Amort. Sched.-WORST'!$I$8, C298&lt;= ($I$7+$I$8)), PMT('Amort. Sched.-WORST'!$E$8/12, 'Amort. Sched.-WORST'!$I$7, 'Amort. Sched.-WORST'!$E$7), 0)</f>
        <v>-2026.0175758541329</v>
      </c>
      <c r="E298" s="5">
        <f>IF(AND(C298&gt;='Amort. Sched.-WORST'!$I$8, C298&lt;= ($I$7+$I$8)), (IPMT($E$8/12, (C298-$I$8), $I$7, $E$7)), 0)</f>
        <v>-179.96709297668065</v>
      </c>
      <c r="F298" s="23">
        <f>IF(AND(C298&gt;='Amort. Sched.-WORST'!$I$8, C298&lt;= ($I$7+$I$8)), (PPMT($E$8/12, (C298-$I$8), $I$7, $E$7)), 0)</f>
        <v>-1846.0504828774526</v>
      </c>
      <c r="G298" s="5">
        <f>IF(MortgageAmortWORST[[#This Row],[Month]]=I$8,E$7,0)</f>
        <v>0</v>
      </c>
      <c r="H298" s="13">
        <f>IF(AND(C298&gt;='Amort. Sched.-WORST'!$I$8, C298&lt;= ($I$7+$I$8)), H297+F298, 0)</f>
        <v>25149.013463624735</v>
      </c>
      <c r="I298" s="24">
        <f>IF(AND(C298&gt;='Amort. Sched.-WORST'!$I$8, C298&lt;= ($I$7+$I$8)), E298/D298, " ")</f>
        <v>8.8828001850284902E-2</v>
      </c>
      <c r="J298" s="25">
        <f>IF(AND(C298&gt;='Amort. Sched.-WORST'!$I$8, C298&lt;= ($I$7+$I$8)), F298/D298, " ")</f>
        <v>0.91117199814971528</v>
      </c>
      <c r="L298" s="20">
        <f t="shared" si="68"/>
        <v>287</v>
      </c>
      <c r="M298" s="5">
        <f>IF(AND(L298&gt;='Amort. Sched.-WORST'!$R$8, L298&lt;= ($R$7+$R$8)), PMT('Amort. Sched.-WORST'!$N$8/12, 'Amort. Sched.-WORST'!$R$7, 'Amort. Sched.-WORST'!$N$7), 0)</f>
        <v>0</v>
      </c>
      <c r="N298" s="5">
        <f>IF(AND(L298&gt;='Amort. Sched.-WORST'!$R$8, L298&lt;= ($R$7+$R$8)), (IPMT($N$8/12, (L298-$R$8), $R$7, $N$7)), 0)</f>
        <v>0</v>
      </c>
      <c r="O298" s="5">
        <f>IF(AND(L298&gt;='Amort. Sched.-WORST'!$R$8, L298&lt;= ($R$7+$R$8)), (PPMT($N$8/12, (L298-$R$8), $R$7, $N$7)), 0)</f>
        <v>0</v>
      </c>
      <c r="P298" s="5">
        <f>IF(CreditAmort1WORST[[#This Row],[Month]]=R$8,N$7,0)</f>
        <v>0</v>
      </c>
      <c r="Q298" s="13">
        <f>IF(AND(L298&gt;='Amort. Sched.-WORST'!$R$8, L298&lt;= ($R$7+$R$8)), Q297+O298, 0)</f>
        <v>0</v>
      </c>
      <c r="R298" s="6" t="str">
        <f>IF(AND(L298&gt;='Amort. Sched.-WORST'!$R$8, L298&lt;= ($R$7+$R$8)), N298/M298, " ")</f>
        <v xml:space="preserve"> </v>
      </c>
      <c r="S298" s="21" t="str">
        <f>IF(AND(L298&gt;='Amort. Sched.-WORST'!$R$8, L298&lt;= ($R$7+$R$8)), O298/M298, " ")</f>
        <v xml:space="preserve"> </v>
      </c>
      <c r="U298" s="22">
        <f t="shared" si="70"/>
        <v>287</v>
      </c>
      <c r="V298" s="23">
        <f>IF(AND(U298&gt;='Amort. Sched.-WORST'!$AA$8, U298&lt;= ($AA$7+$AA$8)), PMT('Amort. Sched.-WORST'!$W$8/12, 'Amort. Sched.-WORST'!$AA$7, 'Amort. Sched.-WORST'!$W$7), 0)</f>
        <v>0</v>
      </c>
      <c r="W298" s="5">
        <f>IF(AND(U298&gt;='Amort. Sched.-WORST'!$AA$8, U298&lt;= ($AA$7+$AA$8)), (IPMT($W$8/12, (U298-$AA$8), $AA$7, $W$7)), 0)</f>
        <v>0</v>
      </c>
      <c r="X298" s="23">
        <f>IF(AND(U298&gt;='Amort. Sched.-WORST'!$AA$8, U298&lt;= ($AA$7+$AA$8)), (PPMT($W$8/12, (U298-$AA$8), $AA$7, $W$7)), 0)</f>
        <v>0</v>
      </c>
      <c r="Y298" s="5">
        <f>IF(CreditAmort2WORST[[#This Row],[Month]]=AA$8,W$7,0)</f>
        <v>0</v>
      </c>
      <c r="Z298" s="13">
        <f>IF(AND(U298&gt;='Amort. Sched.-WORST'!$AA$8, U298&lt;= ($AA$7+$AA$8)), Z297+X298, 0)</f>
        <v>0</v>
      </c>
      <c r="AA298" s="24" t="str">
        <f>IF(AND(U298&gt;='Amort. Sched.-WORST'!$AA$8, U298&lt;= ($AA$7+$AA$8)), W298/V298, " ")</f>
        <v xml:space="preserve"> </v>
      </c>
      <c r="AB298" s="25" t="str">
        <f>IF(AND(U298&gt;='Amort. Sched.-WORST'!$AA$8, U298&lt;= ($AA$7+$AA$8)), X298/V298, " ")</f>
        <v xml:space="preserve"> </v>
      </c>
      <c r="AD298" s="20">
        <f t="shared" si="71"/>
        <v>287</v>
      </c>
      <c r="AE298" s="5">
        <f t="shared" si="72"/>
        <v>0</v>
      </c>
      <c r="AF298" s="5">
        <f t="shared" si="73"/>
        <v>0</v>
      </c>
      <c r="AG298" s="5">
        <f t="shared" si="74"/>
        <v>0</v>
      </c>
      <c r="AH298" s="5">
        <f>IF(CreditAmort3WORST[[#This Row],[Month]]=AJ$8,AF$7,0)</f>
        <v>0</v>
      </c>
      <c r="AI298" s="13">
        <f t="shared" si="75"/>
        <v>0</v>
      </c>
      <c r="AJ298" s="6" t="str">
        <f t="shared" si="76"/>
        <v xml:space="preserve"> </v>
      </c>
      <c r="AK298" s="21" t="str">
        <f t="shared" si="77"/>
        <v xml:space="preserve"> </v>
      </c>
      <c r="AM298" s="20">
        <f t="shared" si="78"/>
        <v>287</v>
      </c>
      <c r="AN298" s="5">
        <f t="shared" si="79"/>
        <v>0</v>
      </c>
      <c r="AO298" s="5">
        <f t="shared" si="80"/>
        <v>0</v>
      </c>
      <c r="AP298" s="5">
        <f t="shared" si="81"/>
        <v>0</v>
      </c>
      <c r="AQ298" s="5">
        <f>IF(CreditAmort4WORST[[#This Row],[Month]]=AS$8,AO$7,0)</f>
        <v>0</v>
      </c>
      <c r="AR298" s="13">
        <f t="shared" si="82"/>
        <v>0</v>
      </c>
      <c r="AS298" s="6" t="str">
        <f t="shared" si="83"/>
        <v xml:space="preserve"> </v>
      </c>
      <c r="AT298" s="21" t="str">
        <f t="shared" si="84"/>
        <v xml:space="preserve"> </v>
      </c>
    </row>
    <row r="299" spans="3:46">
      <c r="C299" s="22">
        <f t="shared" si="69"/>
        <v>288</v>
      </c>
      <c r="D299" s="23">
        <f>IF(AND(C299&gt;='Amort. Sched.-WORST'!$I$8, C299&lt;= ($I$7+$I$8)), PMT('Amort. Sched.-WORST'!$E$8/12, 'Amort. Sched.-WORST'!$I$7, 'Amort. Sched.-WORST'!$E$7), 0)</f>
        <v>-2026.0175758541329</v>
      </c>
      <c r="E299" s="5">
        <f>IF(AND(C299&gt;='Amort. Sched.-WORST'!$I$8, C299&lt;= ($I$7+$I$8)), (IPMT($E$8/12, (C299-$I$8), $I$7, $E$7)), 0)</f>
        <v>-167.66008975749759</v>
      </c>
      <c r="F299" s="23">
        <f>IF(AND(C299&gt;='Amort. Sched.-WORST'!$I$8, C299&lt;= ($I$7+$I$8)), (PPMT($E$8/12, (C299-$I$8), $I$7, $E$7)), 0)</f>
        <v>-1858.3574860966355</v>
      </c>
      <c r="G299" s="5">
        <f>IF(MortgageAmortWORST[[#This Row],[Month]]=I$8,E$7,0)</f>
        <v>0</v>
      </c>
      <c r="H299" s="13">
        <f>IF(AND(C299&gt;='Amort. Sched.-WORST'!$I$8, C299&lt;= ($I$7+$I$8)), H298+F299, 0)</f>
        <v>23290.655977528098</v>
      </c>
      <c r="I299" s="24">
        <f>IF(AND(C299&gt;='Amort. Sched.-WORST'!$I$8, C299&lt;= ($I$7+$I$8)), E299/D299, " ")</f>
        <v>8.2753521862620111E-2</v>
      </c>
      <c r="J299" s="25">
        <f>IF(AND(C299&gt;='Amort. Sched.-WORST'!$I$8, C299&lt;= ($I$7+$I$8)), F299/D299, " ")</f>
        <v>0.91724647813738003</v>
      </c>
      <c r="L299" s="20">
        <f t="shared" si="68"/>
        <v>288</v>
      </c>
      <c r="M299" s="5">
        <f>IF(AND(L299&gt;='Amort. Sched.-WORST'!$R$8, L299&lt;= ($R$7+$R$8)), PMT('Amort. Sched.-WORST'!$N$8/12, 'Amort. Sched.-WORST'!$R$7, 'Amort. Sched.-WORST'!$N$7), 0)</f>
        <v>0</v>
      </c>
      <c r="N299" s="5">
        <f>IF(AND(L299&gt;='Amort. Sched.-WORST'!$R$8, L299&lt;= ($R$7+$R$8)), (IPMT($N$8/12, (L299-$R$8), $R$7, $N$7)), 0)</f>
        <v>0</v>
      </c>
      <c r="O299" s="5">
        <f>IF(AND(L299&gt;='Amort. Sched.-WORST'!$R$8, L299&lt;= ($R$7+$R$8)), (PPMT($N$8/12, (L299-$R$8), $R$7, $N$7)), 0)</f>
        <v>0</v>
      </c>
      <c r="P299" s="5">
        <f>IF(CreditAmort1WORST[[#This Row],[Month]]=R$8,N$7,0)</f>
        <v>0</v>
      </c>
      <c r="Q299" s="13">
        <f>IF(AND(L299&gt;='Amort. Sched.-WORST'!$R$8, L299&lt;= ($R$7+$R$8)), Q298+O299, 0)</f>
        <v>0</v>
      </c>
      <c r="R299" s="6" t="str">
        <f>IF(AND(L299&gt;='Amort. Sched.-WORST'!$R$8, L299&lt;= ($R$7+$R$8)), N299/M299, " ")</f>
        <v xml:space="preserve"> </v>
      </c>
      <c r="S299" s="21" t="str">
        <f>IF(AND(L299&gt;='Amort. Sched.-WORST'!$R$8, L299&lt;= ($R$7+$R$8)), O299/M299, " ")</f>
        <v xml:space="preserve"> </v>
      </c>
      <c r="U299" s="22">
        <f t="shared" si="70"/>
        <v>288</v>
      </c>
      <c r="V299" s="23">
        <f>IF(AND(U299&gt;='Amort. Sched.-WORST'!$AA$8, U299&lt;= ($AA$7+$AA$8)), PMT('Amort. Sched.-WORST'!$W$8/12, 'Amort. Sched.-WORST'!$AA$7, 'Amort. Sched.-WORST'!$W$7), 0)</f>
        <v>0</v>
      </c>
      <c r="W299" s="5">
        <f>IF(AND(U299&gt;='Amort. Sched.-WORST'!$AA$8, U299&lt;= ($AA$7+$AA$8)), (IPMT($W$8/12, (U299-$AA$8), $AA$7, $W$7)), 0)</f>
        <v>0</v>
      </c>
      <c r="X299" s="23">
        <f>IF(AND(U299&gt;='Amort. Sched.-WORST'!$AA$8, U299&lt;= ($AA$7+$AA$8)), (PPMT($W$8/12, (U299-$AA$8), $AA$7, $W$7)), 0)</f>
        <v>0</v>
      </c>
      <c r="Y299" s="5">
        <f>IF(CreditAmort2WORST[[#This Row],[Month]]=AA$8,W$7,0)</f>
        <v>0</v>
      </c>
      <c r="Z299" s="13">
        <f>IF(AND(U299&gt;='Amort. Sched.-WORST'!$AA$8, U299&lt;= ($AA$7+$AA$8)), Z298+X299, 0)</f>
        <v>0</v>
      </c>
      <c r="AA299" s="24" t="str">
        <f>IF(AND(U299&gt;='Amort. Sched.-WORST'!$AA$8, U299&lt;= ($AA$7+$AA$8)), W299/V299, " ")</f>
        <v xml:space="preserve"> </v>
      </c>
      <c r="AB299" s="25" t="str">
        <f>IF(AND(U299&gt;='Amort. Sched.-WORST'!$AA$8, U299&lt;= ($AA$7+$AA$8)), X299/V299, " ")</f>
        <v xml:space="preserve"> </v>
      </c>
      <c r="AD299" s="20">
        <f t="shared" si="71"/>
        <v>288</v>
      </c>
      <c r="AE299" s="5">
        <f t="shared" si="72"/>
        <v>0</v>
      </c>
      <c r="AF299" s="5">
        <f t="shared" si="73"/>
        <v>0</v>
      </c>
      <c r="AG299" s="5">
        <f t="shared" si="74"/>
        <v>0</v>
      </c>
      <c r="AH299" s="5">
        <f>IF(CreditAmort3WORST[[#This Row],[Month]]=AJ$8,AF$7,0)</f>
        <v>0</v>
      </c>
      <c r="AI299" s="13">
        <f t="shared" si="75"/>
        <v>0</v>
      </c>
      <c r="AJ299" s="6" t="str">
        <f t="shared" si="76"/>
        <v xml:space="preserve"> </v>
      </c>
      <c r="AK299" s="21" t="str">
        <f t="shared" si="77"/>
        <v xml:space="preserve"> </v>
      </c>
      <c r="AM299" s="20">
        <f t="shared" si="78"/>
        <v>288</v>
      </c>
      <c r="AN299" s="5">
        <f t="shared" si="79"/>
        <v>0</v>
      </c>
      <c r="AO299" s="5">
        <f t="shared" si="80"/>
        <v>0</v>
      </c>
      <c r="AP299" s="5">
        <f t="shared" si="81"/>
        <v>0</v>
      </c>
      <c r="AQ299" s="5">
        <f>IF(CreditAmort4WORST[[#This Row],[Month]]=AS$8,AO$7,0)</f>
        <v>0</v>
      </c>
      <c r="AR299" s="13">
        <f t="shared" si="82"/>
        <v>0</v>
      </c>
      <c r="AS299" s="6" t="str">
        <f t="shared" si="83"/>
        <v xml:space="preserve"> </v>
      </c>
      <c r="AT299" s="21" t="str">
        <f t="shared" si="84"/>
        <v xml:space="preserve"> </v>
      </c>
    </row>
    <row r="300" spans="3:46">
      <c r="C300" s="22">
        <f t="shared" si="69"/>
        <v>289</v>
      </c>
      <c r="D300" s="23">
        <f>IF(AND(C300&gt;='Amort. Sched.-WORST'!$I$8, C300&lt;= ($I$7+$I$8)), PMT('Amort. Sched.-WORST'!$E$8/12, 'Amort. Sched.-WORST'!$I$7, 'Amort. Sched.-WORST'!$E$7), 0)</f>
        <v>-2026.0175758541329</v>
      </c>
      <c r="E300" s="5">
        <f>IF(AND(C300&gt;='Amort. Sched.-WORST'!$I$8, C300&lt;= ($I$7+$I$8)), (IPMT($E$8/12, (C300-$I$8), $I$7, $E$7)), 0)</f>
        <v>-155.2710398501867</v>
      </c>
      <c r="F300" s="23">
        <f>IF(AND(C300&gt;='Amort. Sched.-WORST'!$I$8, C300&lt;= ($I$7+$I$8)), (PPMT($E$8/12, (C300-$I$8), $I$7, $E$7)), 0)</f>
        <v>-1870.7465360039462</v>
      </c>
      <c r="G300" s="5">
        <f>IF(MortgageAmortWORST[[#This Row],[Month]]=I$8,E$7,0)</f>
        <v>0</v>
      </c>
      <c r="H300" s="13">
        <f>IF(AND(C300&gt;='Amort. Sched.-WORST'!$I$8, C300&lt;= ($I$7+$I$8)), H299+F300, 0)</f>
        <v>21419.909441524152</v>
      </c>
      <c r="I300" s="24">
        <f>IF(AND(C300&gt;='Amort. Sched.-WORST'!$I$8, C300&lt;= ($I$7+$I$8)), E300/D300, " ")</f>
        <v>7.6638545341704251E-2</v>
      </c>
      <c r="J300" s="25">
        <f>IF(AND(C300&gt;='Amort. Sched.-WORST'!$I$8, C300&lt;= ($I$7+$I$8)), F300/D300, " ")</f>
        <v>0.92336145465829578</v>
      </c>
      <c r="L300" s="20">
        <f t="shared" si="68"/>
        <v>289</v>
      </c>
      <c r="M300" s="5">
        <f>IF(AND(L300&gt;='Amort. Sched.-WORST'!$R$8, L300&lt;= ($R$7+$R$8)), PMT('Amort. Sched.-WORST'!$N$8/12, 'Amort. Sched.-WORST'!$R$7, 'Amort. Sched.-WORST'!$N$7), 0)</f>
        <v>0</v>
      </c>
      <c r="N300" s="5">
        <f>IF(AND(L300&gt;='Amort. Sched.-WORST'!$R$8, L300&lt;= ($R$7+$R$8)), (IPMT($N$8/12, (L300-$R$8), $R$7, $N$7)), 0)</f>
        <v>0</v>
      </c>
      <c r="O300" s="5">
        <f>IF(AND(L300&gt;='Amort. Sched.-WORST'!$R$8, L300&lt;= ($R$7+$R$8)), (PPMT($N$8/12, (L300-$R$8), $R$7, $N$7)), 0)</f>
        <v>0</v>
      </c>
      <c r="P300" s="5">
        <f>IF(CreditAmort1WORST[[#This Row],[Month]]=R$8,N$7,0)</f>
        <v>0</v>
      </c>
      <c r="Q300" s="13">
        <f>IF(AND(L300&gt;='Amort. Sched.-WORST'!$R$8, L300&lt;= ($R$7+$R$8)), Q299+O300, 0)</f>
        <v>0</v>
      </c>
      <c r="R300" s="6" t="str">
        <f>IF(AND(L300&gt;='Amort. Sched.-WORST'!$R$8, L300&lt;= ($R$7+$R$8)), N300/M300, " ")</f>
        <v xml:space="preserve"> </v>
      </c>
      <c r="S300" s="21" t="str">
        <f>IF(AND(L300&gt;='Amort. Sched.-WORST'!$R$8, L300&lt;= ($R$7+$R$8)), O300/M300, " ")</f>
        <v xml:space="preserve"> </v>
      </c>
      <c r="U300" s="22">
        <f t="shared" si="70"/>
        <v>289</v>
      </c>
      <c r="V300" s="23">
        <f>IF(AND(U300&gt;='Amort. Sched.-WORST'!$AA$8, U300&lt;= ($AA$7+$AA$8)), PMT('Amort. Sched.-WORST'!$W$8/12, 'Amort. Sched.-WORST'!$AA$7, 'Amort. Sched.-WORST'!$W$7), 0)</f>
        <v>0</v>
      </c>
      <c r="W300" s="5">
        <f>IF(AND(U300&gt;='Amort. Sched.-WORST'!$AA$8, U300&lt;= ($AA$7+$AA$8)), (IPMT($W$8/12, (U300-$AA$8), $AA$7, $W$7)), 0)</f>
        <v>0</v>
      </c>
      <c r="X300" s="23">
        <f>IF(AND(U300&gt;='Amort. Sched.-WORST'!$AA$8, U300&lt;= ($AA$7+$AA$8)), (PPMT($W$8/12, (U300-$AA$8), $AA$7, $W$7)), 0)</f>
        <v>0</v>
      </c>
      <c r="Y300" s="5">
        <f>IF(CreditAmort2WORST[[#This Row],[Month]]=AA$8,W$7,0)</f>
        <v>0</v>
      </c>
      <c r="Z300" s="13">
        <f>IF(AND(U300&gt;='Amort. Sched.-WORST'!$AA$8, U300&lt;= ($AA$7+$AA$8)), Z299+X300, 0)</f>
        <v>0</v>
      </c>
      <c r="AA300" s="24" t="str">
        <f>IF(AND(U300&gt;='Amort. Sched.-WORST'!$AA$8, U300&lt;= ($AA$7+$AA$8)), W300/V300, " ")</f>
        <v xml:space="preserve"> </v>
      </c>
      <c r="AB300" s="25" t="str">
        <f>IF(AND(U300&gt;='Amort. Sched.-WORST'!$AA$8, U300&lt;= ($AA$7+$AA$8)), X300/V300, " ")</f>
        <v xml:space="preserve"> </v>
      </c>
      <c r="AD300" s="20">
        <f t="shared" si="71"/>
        <v>289</v>
      </c>
      <c r="AE300" s="5">
        <f t="shared" si="72"/>
        <v>0</v>
      </c>
      <c r="AF300" s="5">
        <f t="shared" si="73"/>
        <v>0</v>
      </c>
      <c r="AG300" s="5">
        <f t="shared" si="74"/>
        <v>0</v>
      </c>
      <c r="AH300" s="5">
        <f>IF(CreditAmort3WORST[[#This Row],[Month]]=AJ$8,AF$7,0)</f>
        <v>0</v>
      </c>
      <c r="AI300" s="13">
        <f t="shared" si="75"/>
        <v>0</v>
      </c>
      <c r="AJ300" s="6" t="str">
        <f t="shared" si="76"/>
        <v xml:space="preserve"> </v>
      </c>
      <c r="AK300" s="21" t="str">
        <f t="shared" si="77"/>
        <v xml:space="preserve"> </v>
      </c>
      <c r="AM300" s="20">
        <f t="shared" si="78"/>
        <v>289</v>
      </c>
      <c r="AN300" s="5">
        <f t="shared" si="79"/>
        <v>0</v>
      </c>
      <c r="AO300" s="5">
        <f t="shared" si="80"/>
        <v>0</v>
      </c>
      <c r="AP300" s="5">
        <f t="shared" si="81"/>
        <v>0</v>
      </c>
      <c r="AQ300" s="5">
        <f>IF(CreditAmort4WORST[[#This Row],[Month]]=AS$8,AO$7,0)</f>
        <v>0</v>
      </c>
      <c r="AR300" s="13">
        <f t="shared" si="82"/>
        <v>0</v>
      </c>
      <c r="AS300" s="6" t="str">
        <f t="shared" si="83"/>
        <v xml:space="preserve"> </v>
      </c>
      <c r="AT300" s="21" t="str">
        <f t="shared" si="84"/>
        <v xml:space="preserve"> </v>
      </c>
    </row>
    <row r="301" spans="3:46">
      <c r="C301" s="22">
        <f t="shared" si="69"/>
        <v>290</v>
      </c>
      <c r="D301" s="23">
        <f>IF(AND(C301&gt;='Amort. Sched.-WORST'!$I$8, C301&lt;= ($I$7+$I$8)), PMT('Amort. Sched.-WORST'!$E$8/12, 'Amort. Sched.-WORST'!$I$7, 'Amort. Sched.-WORST'!$E$7), 0)</f>
        <v>-2026.0175758541329</v>
      </c>
      <c r="E301" s="5">
        <f>IF(AND(C301&gt;='Amort. Sched.-WORST'!$I$8, C301&lt;= ($I$7+$I$8)), (IPMT($E$8/12, (C301-$I$8), $I$7, $E$7)), 0)</f>
        <v>-142.79939627682705</v>
      </c>
      <c r="F301" s="23">
        <f>IF(AND(C301&gt;='Amort. Sched.-WORST'!$I$8, C301&lt;= ($I$7+$I$8)), (PPMT($E$8/12, (C301-$I$8), $I$7, $E$7)), 0)</f>
        <v>-1883.2181795773058</v>
      </c>
      <c r="G301" s="5">
        <f>IF(MortgageAmortWORST[[#This Row],[Month]]=I$8,E$7,0)</f>
        <v>0</v>
      </c>
      <c r="H301" s="13">
        <f>IF(AND(C301&gt;='Amort. Sched.-WORST'!$I$8, C301&lt;= ($I$7+$I$8)), H300+F301, 0)</f>
        <v>19536.691261946846</v>
      </c>
      <c r="I301" s="24">
        <f>IF(AND(C301&gt;='Amort. Sched.-WORST'!$I$8, C301&lt;= ($I$7+$I$8)), E301/D301, " ")</f>
        <v>7.0482802310648948E-2</v>
      </c>
      <c r="J301" s="25">
        <f>IF(AND(C301&gt;='Amort. Sched.-WORST'!$I$8, C301&lt;= ($I$7+$I$8)), F301/D301, " ")</f>
        <v>0.92951719768935104</v>
      </c>
      <c r="L301" s="20">
        <f t="shared" si="68"/>
        <v>290</v>
      </c>
      <c r="M301" s="5">
        <f>IF(AND(L301&gt;='Amort. Sched.-WORST'!$R$8, L301&lt;= ($R$7+$R$8)), PMT('Amort. Sched.-WORST'!$N$8/12, 'Amort. Sched.-WORST'!$R$7, 'Amort. Sched.-WORST'!$N$7), 0)</f>
        <v>0</v>
      </c>
      <c r="N301" s="5">
        <f>IF(AND(L301&gt;='Amort. Sched.-WORST'!$R$8, L301&lt;= ($R$7+$R$8)), (IPMT($N$8/12, (L301-$R$8), $R$7, $N$7)), 0)</f>
        <v>0</v>
      </c>
      <c r="O301" s="5">
        <f>IF(AND(L301&gt;='Amort. Sched.-WORST'!$R$8, L301&lt;= ($R$7+$R$8)), (PPMT($N$8/12, (L301-$R$8), $R$7, $N$7)), 0)</f>
        <v>0</v>
      </c>
      <c r="P301" s="5">
        <f>IF(CreditAmort1WORST[[#This Row],[Month]]=R$8,N$7,0)</f>
        <v>0</v>
      </c>
      <c r="Q301" s="13">
        <f>IF(AND(L301&gt;='Amort. Sched.-WORST'!$R$8, L301&lt;= ($R$7+$R$8)), Q300+O301, 0)</f>
        <v>0</v>
      </c>
      <c r="R301" s="6" t="str">
        <f>IF(AND(L301&gt;='Amort. Sched.-WORST'!$R$8, L301&lt;= ($R$7+$R$8)), N301/M301, " ")</f>
        <v xml:space="preserve"> </v>
      </c>
      <c r="S301" s="21" t="str">
        <f>IF(AND(L301&gt;='Amort. Sched.-WORST'!$R$8, L301&lt;= ($R$7+$R$8)), O301/M301, " ")</f>
        <v xml:space="preserve"> </v>
      </c>
      <c r="U301" s="22">
        <f t="shared" si="70"/>
        <v>290</v>
      </c>
      <c r="V301" s="23">
        <f>IF(AND(U301&gt;='Amort. Sched.-WORST'!$AA$8, U301&lt;= ($AA$7+$AA$8)), PMT('Amort. Sched.-WORST'!$W$8/12, 'Amort. Sched.-WORST'!$AA$7, 'Amort. Sched.-WORST'!$W$7), 0)</f>
        <v>0</v>
      </c>
      <c r="W301" s="5">
        <f>IF(AND(U301&gt;='Amort. Sched.-WORST'!$AA$8, U301&lt;= ($AA$7+$AA$8)), (IPMT($W$8/12, (U301-$AA$8), $AA$7, $W$7)), 0)</f>
        <v>0</v>
      </c>
      <c r="X301" s="23">
        <f>IF(AND(U301&gt;='Amort. Sched.-WORST'!$AA$8, U301&lt;= ($AA$7+$AA$8)), (PPMT($W$8/12, (U301-$AA$8), $AA$7, $W$7)), 0)</f>
        <v>0</v>
      </c>
      <c r="Y301" s="5">
        <f>IF(CreditAmort2WORST[[#This Row],[Month]]=AA$8,W$7,0)</f>
        <v>0</v>
      </c>
      <c r="Z301" s="13">
        <f>IF(AND(U301&gt;='Amort. Sched.-WORST'!$AA$8, U301&lt;= ($AA$7+$AA$8)), Z300+X301, 0)</f>
        <v>0</v>
      </c>
      <c r="AA301" s="24" t="str">
        <f>IF(AND(U301&gt;='Amort. Sched.-WORST'!$AA$8, U301&lt;= ($AA$7+$AA$8)), W301/V301, " ")</f>
        <v xml:space="preserve"> </v>
      </c>
      <c r="AB301" s="25" t="str">
        <f>IF(AND(U301&gt;='Amort. Sched.-WORST'!$AA$8, U301&lt;= ($AA$7+$AA$8)), X301/V301, " ")</f>
        <v xml:space="preserve"> </v>
      </c>
      <c r="AD301" s="20">
        <f t="shared" si="71"/>
        <v>290</v>
      </c>
      <c r="AE301" s="5">
        <f t="shared" si="72"/>
        <v>0</v>
      </c>
      <c r="AF301" s="5">
        <f t="shared" si="73"/>
        <v>0</v>
      </c>
      <c r="AG301" s="5">
        <f t="shared" si="74"/>
        <v>0</v>
      </c>
      <c r="AH301" s="5">
        <f>IF(CreditAmort3WORST[[#This Row],[Month]]=AJ$8,AF$7,0)</f>
        <v>0</v>
      </c>
      <c r="AI301" s="13">
        <f t="shared" si="75"/>
        <v>0</v>
      </c>
      <c r="AJ301" s="6" t="str">
        <f t="shared" si="76"/>
        <v xml:space="preserve"> </v>
      </c>
      <c r="AK301" s="21" t="str">
        <f t="shared" si="77"/>
        <v xml:space="preserve"> </v>
      </c>
      <c r="AM301" s="20">
        <f t="shared" si="78"/>
        <v>290</v>
      </c>
      <c r="AN301" s="5">
        <f t="shared" si="79"/>
        <v>0</v>
      </c>
      <c r="AO301" s="5">
        <f t="shared" si="80"/>
        <v>0</v>
      </c>
      <c r="AP301" s="5">
        <f t="shared" si="81"/>
        <v>0</v>
      </c>
      <c r="AQ301" s="5">
        <f>IF(CreditAmort4WORST[[#This Row],[Month]]=AS$8,AO$7,0)</f>
        <v>0</v>
      </c>
      <c r="AR301" s="13">
        <f t="shared" si="82"/>
        <v>0</v>
      </c>
      <c r="AS301" s="6" t="str">
        <f t="shared" si="83"/>
        <v xml:space="preserve"> </v>
      </c>
      <c r="AT301" s="21" t="str">
        <f t="shared" si="84"/>
        <v xml:space="preserve"> </v>
      </c>
    </row>
    <row r="302" spans="3:46">
      <c r="C302" s="22">
        <f t="shared" si="69"/>
        <v>291</v>
      </c>
      <c r="D302" s="23">
        <f>IF(AND(C302&gt;='Amort. Sched.-WORST'!$I$8, C302&lt;= ($I$7+$I$8)), PMT('Amort. Sched.-WORST'!$E$8/12, 'Amort. Sched.-WORST'!$I$7, 'Amort. Sched.-WORST'!$E$7), 0)</f>
        <v>-2026.0175758541329</v>
      </c>
      <c r="E302" s="5">
        <f>IF(AND(C302&gt;='Amort. Sched.-WORST'!$I$8, C302&lt;= ($I$7+$I$8)), (IPMT($E$8/12, (C302-$I$8), $I$7, $E$7)), 0)</f>
        <v>-130.24460841297835</v>
      </c>
      <c r="F302" s="23">
        <f>IF(AND(C302&gt;='Amort. Sched.-WORST'!$I$8, C302&lt;= ($I$7+$I$8)), (PPMT($E$8/12, (C302-$I$8), $I$7, $E$7)), 0)</f>
        <v>-1895.7729674411546</v>
      </c>
      <c r="G302" s="5">
        <f>IF(MortgageAmortWORST[[#This Row],[Month]]=I$8,E$7,0)</f>
        <v>0</v>
      </c>
      <c r="H302" s="13">
        <f>IF(AND(C302&gt;='Amort. Sched.-WORST'!$I$8, C302&lt;= ($I$7+$I$8)), H301+F302, 0)</f>
        <v>17640.918294505693</v>
      </c>
      <c r="I302" s="24">
        <f>IF(AND(C302&gt;='Amort. Sched.-WORST'!$I$8, C302&lt;= ($I$7+$I$8)), E302/D302, " ")</f>
        <v>6.4286020992719933E-2</v>
      </c>
      <c r="J302" s="25">
        <f>IF(AND(C302&gt;='Amort. Sched.-WORST'!$I$8, C302&lt;= ($I$7+$I$8)), F302/D302, " ")</f>
        <v>0.93571397900728004</v>
      </c>
      <c r="L302" s="20">
        <f t="shared" si="68"/>
        <v>291</v>
      </c>
      <c r="M302" s="5">
        <f>IF(AND(L302&gt;='Amort. Sched.-WORST'!$R$8, L302&lt;= ($R$7+$R$8)), PMT('Amort. Sched.-WORST'!$N$8/12, 'Amort. Sched.-WORST'!$R$7, 'Amort. Sched.-WORST'!$N$7), 0)</f>
        <v>0</v>
      </c>
      <c r="N302" s="5">
        <f>IF(AND(L302&gt;='Amort. Sched.-WORST'!$R$8, L302&lt;= ($R$7+$R$8)), (IPMT($N$8/12, (L302-$R$8), $R$7, $N$7)), 0)</f>
        <v>0</v>
      </c>
      <c r="O302" s="5">
        <f>IF(AND(L302&gt;='Amort. Sched.-WORST'!$R$8, L302&lt;= ($R$7+$R$8)), (PPMT($N$8/12, (L302-$R$8), $R$7, $N$7)), 0)</f>
        <v>0</v>
      </c>
      <c r="P302" s="5">
        <f>IF(CreditAmort1WORST[[#This Row],[Month]]=R$8,N$7,0)</f>
        <v>0</v>
      </c>
      <c r="Q302" s="13">
        <f>IF(AND(L302&gt;='Amort. Sched.-WORST'!$R$8, L302&lt;= ($R$7+$R$8)), Q301+O302, 0)</f>
        <v>0</v>
      </c>
      <c r="R302" s="6" t="str">
        <f>IF(AND(L302&gt;='Amort. Sched.-WORST'!$R$8, L302&lt;= ($R$7+$R$8)), N302/M302, " ")</f>
        <v xml:space="preserve"> </v>
      </c>
      <c r="S302" s="21" t="str">
        <f>IF(AND(L302&gt;='Amort. Sched.-WORST'!$R$8, L302&lt;= ($R$7+$R$8)), O302/M302, " ")</f>
        <v xml:space="preserve"> </v>
      </c>
      <c r="U302" s="22">
        <f t="shared" si="70"/>
        <v>291</v>
      </c>
      <c r="V302" s="23">
        <f>IF(AND(U302&gt;='Amort. Sched.-WORST'!$AA$8, U302&lt;= ($AA$7+$AA$8)), PMT('Amort. Sched.-WORST'!$W$8/12, 'Amort. Sched.-WORST'!$AA$7, 'Amort. Sched.-WORST'!$W$7), 0)</f>
        <v>0</v>
      </c>
      <c r="W302" s="5">
        <f>IF(AND(U302&gt;='Amort. Sched.-WORST'!$AA$8, U302&lt;= ($AA$7+$AA$8)), (IPMT($W$8/12, (U302-$AA$8), $AA$7, $W$7)), 0)</f>
        <v>0</v>
      </c>
      <c r="X302" s="23">
        <f>IF(AND(U302&gt;='Amort. Sched.-WORST'!$AA$8, U302&lt;= ($AA$7+$AA$8)), (PPMT($W$8/12, (U302-$AA$8), $AA$7, $W$7)), 0)</f>
        <v>0</v>
      </c>
      <c r="Y302" s="5">
        <f>IF(CreditAmort2WORST[[#This Row],[Month]]=AA$8,W$7,0)</f>
        <v>0</v>
      </c>
      <c r="Z302" s="13">
        <f>IF(AND(U302&gt;='Amort. Sched.-WORST'!$AA$8, U302&lt;= ($AA$7+$AA$8)), Z301+X302, 0)</f>
        <v>0</v>
      </c>
      <c r="AA302" s="24" t="str">
        <f>IF(AND(U302&gt;='Amort. Sched.-WORST'!$AA$8, U302&lt;= ($AA$7+$AA$8)), W302/V302, " ")</f>
        <v xml:space="preserve"> </v>
      </c>
      <c r="AB302" s="25" t="str">
        <f>IF(AND(U302&gt;='Amort. Sched.-WORST'!$AA$8, U302&lt;= ($AA$7+$AA$8)), X302/V302, " ")</f>
        <v xml:space="preserve"> </v>
      </c>
      <c r="AD302" s="20">
        <f t="shared" si="71"/>
        <v>291</v>
      </c>
      <c r="AE302" s="5">
        <f t="shared" si="72"/>
        <v>0</v>
      </c>
      <c r="AF302" s="5">
        <f t="shared" si="73"/>
        <v>0</v>
      </c>
      <c r="AG302" s="5">
        <f t="shared" si="74"/>
        <v>0</v>
      </c>
      <c r="AH302" s="5">
        <f>IF(CreditAmort3WORST[[#This Row],[Month]]=AJ$8,AF$7,0)</f>
        <v>0</v>
      </c>
      <c r="AI302" s="13">
        <f t="shared" si="75"/>
        <v>0</v>
      </c>
      <c r="AJ302" s="6" t="str">
        <f t="shared" si="76"/>
        <v xml:space="preserve"> </v>
      </c>
      <c r="AK302" s="21" t="str">
        <f t="shared" si="77"/>
        <v xml:space="preserve"> </v>
      </c>
      <c r="AM302" s="20">
        <f t="shared" si="78"/>
        <v>291</v>
      </c>
      <c r="AN302" s="5">
        <f t="shared" si="79"/>
        <v>0</v>
      </c>
      <c r="AO302" s="5">
        <f t="shared" si="80"/>
        <v>0</v>
      </c>
      <c r="AP302" s="5">
        <f t="shared" si="81"/>
        <v>0</v>
      </c>
      <c r="AQ302" s="5">
        <f>IF(CreditAmort4WORST[[#This Row],[Month]]=AS$8,AO$7,0)</f>
        <v>0</v>
      </c>
      <c r="AR302" s="13">
        <f t="shared" si="82"/>
        <v>0</v>
      </c>
      <c r="AS302" s="6" t="str">
        <f t="shared" si="83"/>
        <v xml:space="preserve"> </v>
      </c>
      <c r="AT302" s="21" t="str">
        <f t="shared" si="84"/>
        <v xml:space="preserve"> </v>
      </c>
    </row>
    <row r="303" spans="3:46">
      <c r="C303" s="22">
        <f t="shared" si="69"/>
        <v>292</v>
      </c>
      <c r="D303" s="23">
        <f>IF(AND(C303&gt;='Amort. Sched.-WORST'!$I$8, C303&lt;= ($I$7+$I$8)), PMT('Amort. Sched.-WORST'!$E$8/12, 'Amort. Sched.-WORST'!$I$7, 'Amort. Sched.-WORST'!$E$7), 0)</f>
        <v>-2026.0175758541329</v>
      </c>
      <c r="E303" s="5">
        <f>IF(AND(C303&gt;='Amort. Sched.-WORST'!$I$8, C303&lt;= ($I$7+$I$8)), (IPMT($E$8/12, (C303-$I$8), $I$7, $E$7)), 0)</f>
        <v>-117.60612196337064</v>
      </c>
      <c r="F303" s="23">
        <f>IF(AND(C303&gt;='Amort. Sched.-WORST'!$I$8, C303&lt;= ($I$7+$I$8)), (PPMT($E$8/12, (C303-$I$8), $I$7, $E$7)), 0)</f>
        <v>-1908.4114538907622</v>
      </c>
      <c r="G303" s="5">
        <f>IF(MortgageAmortWORST[[#This Row],[Month]]=I$8,E$7,0)</f>
        <v>0</v>
      </c>
      <c r="H303" s="13">
        <f>IF(AND(C303&gt;='Amort. Sched.-WORST'!$I$8, C303&lt;= ($I$7+$I$8)), H302+F303, 0)</f>
        <v>15732.506840614931</v>
      </c>
      <c r="I303" s="24">
        <f>IF(AND(C303&gt;='Amort. Sched.-WORST'!$I$8, C303&lt;= ($I$7+$I$8)), E303/D303, " ")</f>
        <v>5.8047927799338067E-2</v>
      </c>
      <c r="J303" s="25">
        <f>IF(AND(C303&gt;='Amort. Sched.-WORST'!$I$8, C303&lt;= ($I$7+$I$8)), F303/D303, " ")</f>
        <v>0.94195207220066191</v>
      </c>
      <c r="L303" s="20">
        <f t="shared" si="68"/>
        <v>292</v>
      </c>
      <c r="M303" s="5">
        <f>IF(AND(L303&gt;='Amort. Sched.-WORST'!$R$8, L303&lt;= ($R$7+$R$8)), PMT('Amort. Sched.-WORST'!$N$8/12, 'Amort. Sched.-WORST'!$R$7, 'Amort. Sched.-WORST'!$N$7), 0)</f>
        <v>0</v>
      </c>
      <c r="N303" s="5">
        <f>IF(AND(L303&gt;='Amort. Sched.-WORST'!$R$8, L303&lt;= ($R$7+$R$8)), (IPMT($N$8/12, (L303-$R$8), $R$7, $N$7)), 0)</f>
        <v>0</v>
      </c>
      <c r="O303" s="5">
        <f>IF(AND(L303&gt;='Amort. Sched.-WORST'!$R$8, L303&lt;= ($R$7+$R$8)), (PPMT($N$8/12, (L303-$R$8), $R$7, $N$7)), 0)</f>
        <v>0</v>
      </c>
      <c r="P303" s="5">
        <f>IF(CreditAmort1WORST[[#This Row],[Month]]=R$8,N$7,0)</f>
        <v>0</v>
      </c>
      <c r="Q303" s="13">
        <f>IF(AND(L303&gt;='Amort. Sched.-WORST'!$R$8, L303&lt;= ($R$7+$R$8)), Q302+O303, 0)</f>
        <v>0</v>
      </c>
      <c r="R303" s="6" t="str">
        <f>IF(AND(L303&gt;='Amort. Sched.-WORST'!$R$8, L303&lt;= ($R$7+$R$8)), N303/M303, " ")</f>
        <v xml:space="preserve"> </v>
      </c>
      <c r="S303" s="21" t="str">
        <f>IF(AND(L303&gt;='Amort. Sched.-WORST'!$R$8, L303&lt;= ($R$7+$R$8)), O303/M303, " ")</f>
        <v xml:space="preserve"> </v>
      </c>
      <c r="U303" s="22">
        <f t="shared" si="70"/>
        <v>292</v>
      </c>
      <c r="V303" s="23">
        <f>IF(AND(U303&gt;='Amort. Sched.-WORST'!$AA$8, U303&lt;= ($AA$7+$AA$8)), PMT('Amort. Sched.-WORST'!$W$8/12, 'Amort. Sched.-WORST'!$AA$7, 'Amort. Sched.-WORST'!$W$7), 0)</f>
        <v>0</v>
      </c>
      <c r="W303" s="5">
        <f>IF(AND(U303&gt;='Amort. Sched.-WORST'!$AA$8, U303&lt;= ($AA$7+$AA$8)), (IPMT($W$8/12, (U303-$AA$8), $AA$7, $W$7)), 0)</f>
        <v>0</v>
      </c>
      <c r="X303" s="23">
        <f>IF(AND(U303&gt;='Amort. Sched.-WORST'!$AA$8, U303&lt;= ($AA$7+$AA$8)), (PPMT($W$8/12, (U303-$AA$8), $AA$7, $W$7)), 0)</f>
        <v>0</v>
      </c>
      <c r="Y303" s="5">
        <f>IF(CreditAmort2WORST[[#This Row],[Month]]=AA$8,W$7,0)</f>
        <v>0</v>
      </c>
      <c r="Z303" s="13">
        <f>IF(AND(U303&gt;='Amort. Sched.-WORST'!$AA$8, U303&lt;= ($AA$7+$AA$8)), Z302+X303, 0)</f>
        <v>0</v>
      </c>
      <c r="AA303" s="24" t="str">
        <f>IF(AND(U303&gt;='Amort. Sched.-WORST'!$AA$8, U303&lt;= ($AA$7+$AA$8)), W303/V303, " ")</f>
        <v xml:space="preserve"> </v>
      </c>
      <c r="AB303" s="25" t="str">
        <f>IF(AND(U303&gt;='Amort. Sched.-WORST'!$AA$8, U303&lt;= ($AA$7+$AA$8)), X303/V303, " ")</f>
        <v xml:space="preserve"> </v>
      </c>
      <c r="AD303" s="20">
        <f t="shared" si="71"/>
        <v>292</v>
      </c>
      <c r="AE303" s="5">
        <f t="shared" si="72"/>
        <v>0</v>
      </c>
      <c r="AF303" s="5">
        <f t="shared" si="73"/>
        <v>0</v>
      </c>
      <c r="AG303" s="5">
        <f t="shared" si="74"/>
        <v>0</v>
      </c>
      <c r="AH303" s="5">
        <f>IF(CreditAmort3WORST[[#This Row],[Month]]=AJ$8,AF$7,0)</f>
        <v>0</v>
      </c>
      <c r="AI303" s="13">
        <f t="shared" si="75"/>
        <v>0</v>
      </c>
      <c r="AJ303" s="6" t="str">
        <f t="shared" si="76"/>
        <v xml:space="preserve"> </v>
      </c>
      <c r="AK303" s="21" t="str">
        <f t="shared" si="77"/>
        <v xml:space="preserve"> </v>
      </c>
      <c r="AM303" s="20">
        <f t="shared" si="78"/>
        <v>292</v>
      </c>
      <c r="AN303" s="5">
        <f t="shared" si="79"/>
        <v>0</v>
      </c>
      <c r="AO303" s="5">
        <f t="shared" si="80"/>
        <v>0</v>
      </c>
      <c r="AP303" s="5">
        <f t="shared" si="81"/>
        <v>0</v>
      </c>
      <c r="AQ303" s="5">
        <f>IF(CreditAmort4WORST[[#This Row],[Month]]=AS$8,AO$7,0)</f>
        <v>0</v>
      </c>
      <c r="AR303" s="13">
        <f t="shared" si="82"/>
        <v>0</v>
      </c>
      <c r="AS303" s="6" t="str">
        <f t="shared" si="83"/>
        <v xml:space="preserve"> </v>
      </c>
      <c r="AT303" s="21" t="str">
        <f t="shared" si="84"/>
        <v xml:space="preserve"> </v>
      </c>
    </row>
    <row r="304" spans="3:46">
      <c r="C304" s="22">
        <f t="shared" si="69"/>
        <v>293</v>
      </c>
      <c r="D304" s="23">
        <f>IF(AND(C304&gt;='Amort. Sched.-WORST'!$I$8, C304&lt;= ($I$7+$I$8)), PMT('Amort. Sched.-WORST'!$E$8/12, 'Amort. Sched.-WORST'!$I$7, 'Amort. Sched.-WORST'!$E$7), 0)</f>
        <v>-2026.0175758541329</v>
      </c>
      <c r="E304" s="5">
        <f>IF(AND(C304&gt;='Amort. Sched.-WORST'!$I$8, C304&lt;= ($I$7+$I$8)), (IPMT($E$8/12, (C304-$I$8), $I$7, $E$7)), 0)</f>
        <v>-104.88337893743223</v>
      </c>
      <c r="F304" s="23">
        <f>IF(AND(C304&gt;='Amort. Sched.-WORST'!$I$8, C304&lt;= ($I$7+$I$8)), (PPMT($E$8/12, (C304-$I$8), $I$7, $E$7)), 0)</f>
        <v>-1921.1341969167008</v>
      </c>
      <c r="G304" s="5">
        <f>IF(MortgageAmortWORST[[#This Row],[Month]]=I$8,E$7,0)</f>
        <v>0</v>
      </c>
      <c r="H304" s="13">
        <f>IF(AND(C304&gt;='Amort. Sched.-WORST'!$I$8, C304&lt;= ($I$7+$I$8)), H303+F304, 0)</f>
        <v>13811.372643698231</v>
      </c>
      <c r="I304" s="24">
        <f>IF(AND(C304&gt;='Amort. Sched.-WORST'!$I$8, C304&lt;= ($I$7+$I$8)), E304/D304, " ")</f>
        <v>5.1768247318000317E-2</v>
      </c>
      <c r="J304" s="25">
        <f>IF(AND(C304&gt;='Amort. Sched.-WORST'!$I$8, C304&lt;= ($I$7+$I$8)), F304/D304, " ")</f>
        <v>0.94823175268199977</v>
      </c>
      <c r="L304" s="20">
        <f t="shared" si="68"/>
        <v>293</v>
      </c>
      <c r="M304" s="5">
        <f>IF(AND(L304&gt;='Amort. Sched.-WORST'!$R$8, L304&lt;= ($R$7+$R$8)), PMT('Amort. Sched.-WORST'!$N$8/12, 'Amort. Sched.-WORST'!$R$7, 'Amort. Sched.-WORST'!$N$7), 0)</f>
        <v>0</v>
      </c>
      <c r="N304" s="5">
        <f>IF(AND(L304&gt;='Amort. Sched.-WORST'!$R$8, L304&lt;= ($R$7+$R$8)), (IPMT($N$8/12, (L304-$R$8), $R$7, $N$7)), 0)</f>
        <v>0</v>
      </c>
      <c r="O304" s="5">
        <f>IF(AND(L304&gt;='Amort. Sched.-WORST'!$R$8, L304&lt;= ($R$7+$R$8)), (PPMT($N$8/12, (L304-$R$8), $R$7, $N$7)), 0)</f>
        <v>0</v>
      </c>
      <c r="P304" s="5">
        <f>IF(CreditAmort1WORST[[#This Row],[Month]]=R$8,N$7,0)</f>
        <v>0</v>
      </c>
      <c r="Q304" s="13">
        <f>IF(AND(L304&gt;='Amort. Sched.-WORST'!$R$8, L304&lt;= ($R$7+$R$8)), Q303+O304, 0)</f>
        <v>0</v>
      </c>
      <c r="R304" s="6" t="str">
        <f>IF(AND(L304&gt;='Amort. Sched.-WORST'!$R$8, L304&lt;= ($R$7+$R$8)), N304/M304, " ")</f>
        <v xml:space="preserve"> </v>
      </c>
      <c r="S304" s="21" t="str">
        <f>IF(AND(L304&gt;='Amort. Sched.-WORST'!$R$8, L304&lt;= ($R$7+$R$8)), O304/M304, " ")</f>
        <v xml:space="preserve"> </v>
      </c>
      <c r="U304" s="22">
        <f t="shared" si="70"/>
        <v>293</v>
      </c>
      <c r="V304" s="23">
        <f>IF(AND(U304&gt;='Amort. Sched.-WORST'!$AA$8, U304&lt;= ($AA$7+$AA$8)), PMT('Amort. Sched.-WORST'!$W$8/12, 'Amort. Sched.-WORST'!$AA$7, 'Amort. Sched.-WORST'!$W$7), 0)</f>
        <v>0</v>
      </c>
      <c r="W304" s="5">
        <f>IF(AND(U304&gt;='Amort. Sched.-WORST'!$AA$8, U304&lt;= ($AA$7+$AA$8)), (IPMT($W$8/12, (U304-$AA$8), $AA$7, $W$7)), 0)</f>
        <v>0</v>
      </c>
      <c r="X304" s="23">
        <f>IF(AND(U304&gt;='Amort. Sched.-WORST'!$AA$8, U304&lt;= ($AA$7+$AA$8)), (PPMT($W$8/12, (U304-$AA$8), $AA$7, $W$7)), 0)</f>
        <v>0</v>
      </c>
      <c r="Y304" s="5">
        <f>IF(CreditAmort2WORST[[#This Row],[Month]]=AA$8,W$7,0)</f>
        <v>0</v>
      </c>
      <c r="Z304" s="13">
        <f>IF(AND(U304&gt;='Amort. Sched.-WORST'!$AA$8, U304&lt;= ($AA$7+$AA$8)), Z303+X304, 0)</f>
        <v>0</v>
      </c>
      <c r="AA304" s="24" t="str">
        <f>IF(AND(U304&gt;='Amort. Sched.-WORST'!$AA$8, U304&lt;= ($AA$7+$AA$8)), W304/V304, " ")</f>
        <v xml:space="preserve"> </v>
      </c>
      <c r="AB304" s="25" t="str">
        <f>IF(AND(U304&gt;='Amort. Sched.-WORST'!$AA$8, U304&lt;= ($AA$7+$AA$8)), X304/V304, " ")</f>
        <v xml:space="preserve"> </v>
      </c>
      <c r="AD304" s="20">
        <f t="shared" si="71"/>
        <v>293</v>
      </c>
      <c r="AE304" s="5">
        <f t="shared" si="72"/>
        <v>0</v>
      </c>
      <c r="AF304" s="5">
        <f t="shared" si="73"/>
        <v>0</v>
      </c>
      <c r="AG304" s="5">
        <f t="shared" si="74"/>
        <v>0</v>
      </c>
      <c r="AH304" s="5">
        <f>IF(CreditAmort3WORST[[#This Row],[Month]]=AJ$8,AF$7,0)</f>
        <v>0</v>
      </c>
      <c r="AI304" s="13">
        <f t="shared" si="75"/>
        <v>0</v>
      </c>
      <c r="AJ304" s="6" t="str">
        <f t="shared" si="76"/>
        <v xml:space="preserve"> </v>
      </c>
      <c r="AK304" s="21" t="str">
        <f t="shared" si="77"/>
        <v xml:space="preserve"> </v>
      </c>
      <c r="AM304" s="20">
        <f t="shared" si="78"/>
        <v>293</v>
      </c>
      <c r="AN304" s="5">
        <f t="shared" si="79"/>
        <v>0</v>
      </c>
      <c r="AO304" s="5">
        <f t="shared" si="80"/>
        <v>0</v>
      </c>
      <c r="AP304" s="5">
        <f t="shared" si="81"/>
        <v>0</v>
      </c>
      <c r="AQ304" s="5">
        <f>IF(CreditAmort4WORST[[#This Row],[Month]]=AS$8,AO$7,0)</f>
        <v>0</v>
      </c>
      <c r="AR304" s="13">
        <f t="shared" si="82"/>
        <v>0</v>
      </c>
      <c r="AS304" s="6" t="str">
        <f t="shared" si="83"/>
        <v xml:space="preserve"> </v>
      </c>
      <c r="AT304" s="21" t="str">
        <f t="shared" si="84"/>
        <v xml:space="preserve"> </v>
      </c>
    </row>
    <row r="305" spans="3:46">
      <c r="C305" s="22">
        <f t="shared" si="69"/>
        <v>294</v>
      </c>
      <c r="D305" s="23">
        <f>IF(AND(C305&gt;='Amort. Sched.-WORST'!$I$8, C305&lt;= ($I$7+$I$8)), PMT('Amort. Sched.-WORST'!$E$8/12, 'Amort. Sched.-WORST'!$I$7, 'Amort. Sched.-WORST'!$E$7), 0)</f>
        <v>-2026.0175758541329</v>
      </c>
      <c r="E305" s="5">
        <f>IF(AND(C305&gt;='Amort. Sched.-WORST'!$I$8, C305&lt;= ($I$7+$I$8)), (IPMT($E$8/12, (C305-$I$8), $I$7, $E$7)), 0)</f>
        <v>-92.075817624654221</v>
      </c>
      <c r="F305" s="23">
        <f>IF(AND(C305&gt;='Amort. Sched.-WORST'!$I$8, C305&lt;= ($I$7+$I$8)), (PPMT($E$8/12, (C305-$I$8), $I$7, $E$7)), 0)</f>
        <v>-1933.9417582294789</v>
      </c>
      <c r="G305" s="5">
        <f>IF(MortgageAmortWORST[[#This Row],[Month]]=I$8,E$7,0)</f>
        <v>0</v>
      </c>
      <c r="H305" s="13">
        <f>IF(AND(C305&gt;='Amort. Sched.-WORST'!$I$8, C305&lt;= ($I$7+$I$8)), H304+F305, 0)</f>
        <v>11877.430885468752</v>
      </c>
      <c r="I305" s="24">
        <f>IF(AND(C305&gt;='Amort. Sched.-WORST'!$I$8, C305&lt;= ($I$7+$I$8)), E305/D305, " ")</f>
        <v>4.5446702300120323E-2</v>
      </c>
      <c r="J305" s="25">
        <f>IF(AND(C305&gt;='Amort. Sched.-WORST'!$I$8, C305&lt;= ($I$7+$I$8)), F305/D305, " ")</f>
        <v>0.95455329769987973</v>
      </c>
      <c r="L305" s="20">
        <f t="shared" si="68"/>
        <v>294</v>
      </c>
      <c r="M305" s="5">
        <f>IF(AND(L305&gt;='Amort. Sched.-WORST'!$R$8, L305&lt;= ($R$7+$R$8)), PMT('Amort. Sched.-WORST'!$N$8/12, 'Amort. Sched.-WORST'!$R$7, 'Amort. Sched.-WORST'!$N$7), 0)</f>
        <v>0</v>
      </c>
      <c r="N305" s="5">
        <f>IF(AND(L305&gt;='Amort. Sched.-WORST'!$R$8, L305&lt;= ($R$7+$R$8)), (IPMT($N$8/12, (L305-$R$8), $R$7, $N$7)), 0)</f>
        <v>0</v>
      </c>
      <c r="O305" s="5">
        <f>IF(AND(L305&gt;='Amort. Sched.-WORST'!$R$8, L305&lt;= ($R$7+$R$8)), (PPMT($N$8/12, (L305-$R$8), $R$7, $N$7)), 0)</f>
        <v>0</v>
      </c>
      <c r="P305" s="5">
        <f>IF(CreditAmort1WORST[[#This Row],[Month]]=R$8,N$7,0)</f>
        <v>0</v>
      </c>
      <c r="Q305" s="13">
        <f>IF(AND(L305&gt;='Amort. Sched.-WORST'!$R$8, L305&lt;= ($R$7+$R$8)), Q304+O305, 0)</f>
        <v>0</v>
      </c>
      <c r="R305" s="6" t="str">
        <f>IF(AND(L305&gt;='Amort. Sched.-WORST'!$R$8, L305&lt;= ($R$7+$R$8)), N305/M305, " ")</f>
        <v xml:space="preserve"> </v>
      </c>
      <c r="S305" s="21" t="str">
        <f>IF(AND(L305&gt;='Amort. Sched.-WORST'!$R$8, L305&lt;= ($R$7+$R$8)), O305/M305, " ")</f>
        <v xml:space="preserve"> </v>
      </c>
      <c r="U305" s="22">
        <f t="shared" si="70"/>
        <v>294</v>
      </c>
      <c r="V305" s="23">
        <f>IF(AND(U305&gt;='Amort. Sched.-WORST'!$AA$8, U305&lt;= ($AA$7+$AA$8)), PMT('Amort. Sched.-WORST'!$W$8/12, 'Amort. Sched.-WORST'!$AA$7, 'Amort. Sched.-WORST'!$W$7), 0)</f>
        <v>0</v>
      </c>
      <c r="W305" s="5">
        <f>IF(AND(U305&gt;='Amort. Sched.-WORST'!$AA$8, U305&lt;= ($AA$7+$AA$8)), (IPMT($W$8/12, (U305-$AA$8), $AA$7, $W$7)), 0)</f>
        <v>0</v>
      </c>
      <c r="X305" s="23">
        <f>IF(AND(U305&gt;='Amort. Sched.-WORST'!$AA$8, U305&lt;= ($AA$7+$AA$8)), (PPMT($W$8/12, (U305-$AA$8), $AA$7, $W$7)), 0)</f>
        <v>0</v>
      </c>
      <c r="Y305" s="5">
        <f>IF(CreditAmort2WORST[[#This Row],[Month]]=AA$8,W$7,0)</f>
        <v>0</v>
      </c>
      <c r="Z305" s="13">
        <f>IF(AND(U305&gt;='Amort. Sched.-WORST'!$AA$8, U305&lt;= ($AA$7+$AA$8)), Z304+X305, 0)</f>
        <v>0</v>
      </c>
      <c r="AA305" s="24" t="str">
        <f>IF(AND(U305&gt;='Amort. Sched.-WORST'!$AA$8, U305&lt;= ($AA$7+$AA$8)), W305/V305, " ")</f>
        <v xml:space="preserve"> </v>
      </c>
      <c r="AB305" s="25" t="str">
        <f>IF(AND(U305&gt;='Amort. Sched.-WORST'!$AA$8, U305&lt;= ($AA$7+$AA$8)), X305/V305, " ")</f>
        <v xml:space="preserve"> </v>
      </c>
      <c r="AD305" s="20">
        <f t="shared" si="71"/>
        <v>294</v>
      </c>
      <c r="AE305" s="5">
        <f t="shared" si="72"/>
        <v>0</v>
      </c>
      <c r="AF305" s="5">
        <f t="shared" si="73"/>
        <v>0</v>
      </c>
      <c r="AG305" s="5">
        <f t="shared" si="74"/>
        <v>0</v>
      </c>
      <c r="AH305" s="5">
        <f>IF(CreditAmort3WORST[[#This Row],[Month]]=AJ$8,AF$7,0)</f>
        <v>0</v>
      </c>
      <c r="AI305" s="13">
        <f t="shared" si="75"/>
        <v>0</v>
      </c>
      <c r="AJ305" s="6" t="str">
        <f t="shared" si="76"/>
        <v xml:space="preserve"> </v>
      </c>
      <c r="AK305" s="21" t="str">
        <f t="shared" si="77"/>
        <v xml:space="preserve"> </v>
      </c>
      <c r="AM305" s="20">
        <f t="shared" si="78"/>
        <v>294</v>
      </c>
      <c r="AN305" s="5">
        <f t="shared" si="79"/>
        <v>0</v>
      </c>
      <c r="AO305" s="5">
        <f t="shared" si="80"/>
        <v>0</v>
      </c>
      <c r="AP305" s="5">
        <f t="shared" si="81"/>
        <v>0</v>
      </c>
      <c r="AQ305" s="5">
        <f>IF(CreditAmort4WORST[[#This Row],[Month]]=AS$8,AO$7,0)</f>
        <v>0</v>
      </c>
      <c r="AR305" s="13">
        <f t="shared" si="82"/>
        <v>0</v>
      </c>
      <c r="AS305" s="6" t="str">
        <f t="shared" si="83"/>
        <v xml:space="preserve"> </v>
      </c>
      <c r="AT305" s="21" t="str">
        <f t="shared" si="84"/>
        <v xml:space="preserve"> </v>
      </c>
    </row>
    <row r="306" spans="3:46">
      <c r="C306" s="22">
        <f t="shared" si="69"/>
        <v>295</v>
      </c>
      <c r="D306" s="23">
        <f>IF(AND(C306&gt;='Amort. Sched.-WORST'!$I$8, C306&lt;= ($I$7+$I$8)), PMT('Amort. Sched.-WORST'!$E$8/12, 'Amort. Sched.-WORST'!$I$7, 'Amort. Sched.-WORST'!$E$7), 0)</f>
        <v>-2026.0175758541329</v>
      </c>
      <c r="E306" s="5">
        <f>IF(AND(C306&gt;='Amort. Sched.-WORST'!$I$8, C306&lt;= ($I$7+$I$8)), (IPMT($E$8/12, (C306-$I$8), $I$7, $E$7)), 0)</f>
        <v>-79.182872569791044</v>
      </c>
      <c r="F306" s="23">
        <f>IF(AND(C306&gt;='Amort. Sched.-WORST'!$I$8, C306&lt;= ($I$7+$I$8)), (PPMT($E$8/12, (C306-$I$8), $I$7, $E$7)), 0)</f>
        <v>-1946.8347032843419</v>
      </c>
      <c r="G306" s="5">
        <f>IF(MortgageAmortWORST[[#This Row],[Month]]=I$8,E$7,0)</f>
        <v>0</v>
      </c>
      <c r="H306" s="13">
        <f>IF(AND(C306&gt;='Amort. Sched.-WORST'!$I$8, C306&lt;= ($I$7+$I$8)), H305+F306, 0)</f>
        <v>9930.5961821844103</v>
      </c>
      <c r="I306" s="24">
        <f>IF(AND(C306&gt;='Amort. Sched.-WORST'!$I$8, C306&lt;= ($I$7+$I$8)), E306/D306, " ")</f>
        <v>3.9083013648787801E-2</v>
      </c>
      <c r="J306" s="25">
        <f>IF(AND(C306&gt;='Amort. Sched.-WORST'!$I$8, C306&lt;= ($I$7+$I$8)), F306/D306, " ")</f>
        <v>0.96091698635121225</v>
      </c>
      <c r="L306" s="20">
        <f t="shared" si="68"/>
        <v>295</v>
      </c>
      <c r="M306" s="5">
        <f>IF(AND(L306&gt;='Amort. Sched.-WORST'!$R$8, L306&lt;= ($R$7+$R$8)), PMT('Amort. Sched.-WORST'!$N$8/12, 'Amort. Sched.-WORST'!$R$7, 'Amort. Sched.-WORST'!$N$7), 0)</f>
        <v>0</v>
      </c>
      <c r="N306" s="5">
        <f>IF(AND(L306&gt;='Amort. Sched.-WORST'!$R$8, L306&lt;= ($R$7+$R$8)), (IPMT($N$8/12, (L306-$R$8), $R$7, $N$7)), 0)</f>
        <v>0</v>
      </c>
      <c r="O306" s="5">
        <f>IF(AND(L306&gt;='Amort. Sched.-WORST'!$R$8, L306&lt;= ($R$7+$R$8)), (PPMT($N$8/12, (L306-$R$8), $R$7, $N$7)), 0)</f>
        <v>0</v>
      </c>
      <c r="P306" s="5">
        <f>IF(CreditAmort1WORST[[#This Row],[Month]]=R$8,N$7,0)</f>
        <v>0</v>
      </c>
      <c r="Q306" s="13">
        <f>IF(AND(L306&gt;='Amort. Sched.-WORST'!$R$8, L306&lt;= ($R$7+$R$8)), Q305+O306, 0)</f>
        <v>0</v>
      </c>
      <c r="R306" s="6" t="str">
        <f>IF(AND(L306&gt;='Amort. Sched.-WORST'!$R$8, L306&lt;= ($R$7+$R$8)), N306/M306, " ")</f>
        <v xml:space="preserve"> </v>
      </c>
      <c r="S306" s="21" t="str">
        <f>IF(AND(L306&gt;='Amort. Sched.-WORST'!$R$8, L306&lt;= ($R$7+$R$8)), O306/M306, " ")</f>
        <v xml:space="preserve"> </v>
      </c>
      <c r="U306" s="22">
        <f t="shared" si="70"/>
        <v>295</v>
      </c>
      <c r="V306" s="23">
        <f>IF(AND(U306&gt;='Amort. Sched.-WORST'!$AA$8, U306&lt;= ($AA$7+$AA$8)), PMT('Amort. Sched.-WORST'!$W$8/12, 'Amort. Sched.-WORST'!$AA$7, 'Amort. Sched.-WORST'!$W$7), 0)</f>
        <v>0</v>
      </c>
      <c r="W306" s="5">
        <f>IF(AND(U306&gt;='Amort. Sched.-WORST'!$AA$8, U306&lt;= ($AA$7+$AA$8)), (IPMT($W$8/12, (U306-$AA$8), $AA$7, $W$7)), 0)</f>
        <v>0</v>
      </c>
      <c r="X306" s="23">
        <f>IF(AND(U306&gt;='Amort. Sched.-WORST'!$AA$8, U306&lt;= ($AA$7+$AA$8)), (PPMT($W$8/12, (U306-$AA$8), $AA$7, $W$7)), 0)</f>
        <v>0</v>
      </c>
      <c r="Y306" s="5">
        <f>IF(CreditAmort2WORST[[#This Row],[Month]]=AA$8,W$7,0)</f>
        <v>0</v>
      </c>
      <c r="Z306" s="13">
        <f>IF(AND(U306&gt;='Amort. Sched.-WORST'!$AA$8, U306&lt;= ($AA$7+$AA$8)), Z305+X306, 0)</f>
        <v>0</v>
      </c>
      <c r="AA306" s="24" t="str">
        <f>IF(AND(U306&gt;='Amort. Sched.-WORST'!$AA$8, U306&lt;= ($AA$7+$AA$8)), W306/V306, " ")</f>
        <v xml:space="preserve"> </v>
      </c>
      <c r="AB306" s="25" t="str">
        <f>IF(AND(U306&gt;='Amort. Sched.-WORST'!$AA$8, U306&lt;= ($AA$7+$AA$8)), X306/V306, " ")</f>
        <v xml:space="preserve"> </v>
      </c>
      <c r="AD306" s="20">
        <f t="shared" si="71"/>
        <v>295</v>
      </c>
      <c r="AE306" s="5">
        <f t="shared" si="72"/>
        <v>0</v>
      </c>
      <c r="AF306" s="5">
        <f t="shared" si="73"/>
        <v>0</v>
      </c>
      <c r="AG306" s="5">
        <f t="shared" si="74"/>
        <v>0</v>
      </c>
      <c r="AH306" s="5">
        <f>IF(CreditAmort3WORST[[#This Row],[Month]]=AJ$8,AF$7,0)</f>
        <v>0</v>
      </c>
      <c r="AI306" s="13">
        <f t="shared" si="75"/>
        <v>0</v>
      </c>
      <c r="AJ306" s="6" t="str">
        <f t="shared" si="76"/>
        <v xml:space="preserve"> </v>
      </c>
      <c r="AK306" s="21" t="str">
        <f t="shared" si="77"/>
        <v xml:space="preserve"> </v>
      </c>
      <c r="AM306" s="20">
        <f t="shared" si="78"/>
        <v>295</v>
      </c>
      <c r="AN306" s="5">
        <f t="shared" si="79"/>
        <v>0</v>
      </c>
      <c r="AO306" s="5">
        <f t="shared" si="80"/>
        <v>0</v>
      </c>
      <c r="AP306" s="5">
        <f t="shared" si="81"/>
        <v>0</v>
      </c>
      <c r="AQ306" s="5">
        <f>IF(CreditAmort4WORST[[#This Row],[Month]]=AS$8,AO$7,0)</f>
        <v>0</v>
      </c>
      <c r="AR306" s="13">
        <f t="shared" si="82"/>
        <v>0</v>
      </c>
      <c r="AS306" s="6" t="str">
        <f t="shared" si="83"/>
        <v xml:space="preserve"> </v>
      </c>
      <c r="AT306" s="21" t="str">
        <f t="shared" si="84"/>
        <v xml:space="preserve"> </v>
      </c>
    </row>
    <row r="307" spans="3:46">
      <c r="C307" s="22">
        <f t="shared" si="69"/>
        <v>296</v>
      </c>
      <c r="D307" s="23">
        <f>IF(AND(C307&gt;='Amort. Sched.-WORST'!$I$8, C307&lt;= ($I$7+$I$8)), PMT('Amort. Sched.-WORST'!$E$8/12, 'Amort. Sched.-WORST'!$I$7, 'Amort. Sched.-WORST'!$E$7), 0)</f>
        <v>-2026.0175758541329</v>
      </c>
      <c r="E307" s="5">
        <f>IF(AND(C307&gt;='Amort. Sched.-WORST'!$I$8, C307&lt;= ($I$7+$I$8)), (IPMT($E$8/12, (C307-$I$8), $I$7, $E$7)), 0)</f>
        <v>-66.203974547895427</v>
      </c>
      <c r="F307" s="23">
        <f>IF(AND(C307&gt;='Amort. Sched.-WORST'!$I$8, C307&lt;= ($I$7+$I$8)), (PPMT($E$8/12, (C307-$I$8), $I$7, $E$7)), 0)</f>
        <v>-1959.8136013062376</v>
      </c>
      <c r="G307" s="5">
        <f>IF(MortgageAmortWORST[[#This Row],[Month]]=I$8,E$7,0)</f>
        <v>0</v>
      </c>
      <c r="H307" s="13">
        <f>IF(AND(C307&gt;='Amort. Sched.-WORST'!$I$8, C307&lt;= ($I$7+$I$8)), H306+F307, 0)</f>
        <v>7970.7825808781727</v>
      </c>
      <c r="I307" s="24">
        <f>IF(AND(C307&gt;='Amort. Sched.-WORST'!$I$8, C307&lt;= ($I$7+$I$8)), E307/D307, " ")</f>
        <v>3.2676900406446378E-2</v>
      </c>
      <c r="J307" s="25">
        <f>IF(AND(C307&gt;='Amort. Sched.-WORST'!$I$8, C307&lt;= ($I$7+$I$8)), F307/D307, " ")</f>
        <v>0.96732309959355367</v>
      </c>
      <c r="L307" s="20">
        <f t="shared" si="68"/>
        <v>296</v>
      </c>
      <c r="M307" s="5">
        <f>IF(AND(L307&gt;='Amort. Sched.-WORST'!$R$8, L307&lt;= ($R$7+$R$8)), PMT('Amort. Sched.-WORST'!$N$8/12, 'Amort. Sched.-WORST'!$R$7, 'Amort. Sched.-WORST'!$N$7), 0)</f>
        <v>0</v>
      </c>
      <c r="N307" s="5">
        <f>IF(AND(L307&gt;='Amort. Sched.-WORST'!$R$8, L307&lt;= ($R$7+$R$8)), (IPMT($N$8/12, (L307-$R$8), $R$7, $N$7)), 0)</f>
        <v>0</v>
      </c>
      <c r="O307" s="5">
        <f>IF(AND(L307&gt;='Amort. Sched.-WORST'!$R$8, L307&lt;= ($R$7+$R$8)), (PPMT($N$8/12, (L307-$R$8), $R$7, $N$7)), 0)</f>
        <v>0</v>
      </c>
      <c r="P307" s="5">
        <f>IF(CreditAmort1WORST[[#This Row],[Month]]=R$8,N$7,0)</f>
        <v>0</v>
      </c>
      <c r="Q307" s="13">
        <f>IF(AND(L307&gt;='Amort. Sched.-WORST'!$R$8, L307&lt;= ($R$7+$R$8)), Q306+O307, 0)</f>
        <v>0</v>
      </c>
      <c r="R307" s="6" t="str">
        <f>IF(AND(L307&gt;='Amort. Sched.-WORST'!$R$8, L307&lt;= ($R$7+$R$8)), N307/M307, " ")</f>
        <v xml:space="preserve"> </v>
      </c>
      <c r="S307" s="21" t="str">
        <f>IF(AND(L307&gt;='Amort. Sched.-WORST'!$R$8, L307&lt;= ($R$7+$R$8)), O307/M307, " ")</f>
        <v xml:space="preserve"> </v>
      </c>
      <c r="U307" s="22">
        <f t="shared" si="70"/>
        <v>296</v>
      </c>
      <c r="V307" s="23">
        <f>IF(AND(U307&gt;='Amort. Sched.-WORST'!$AA$8, U307&lt;= ($AA$7+$AA$8)), PMT('Amort. Sched.-WORST'!$W$8/12, 'Amort. Sched.-WORST'!$AA$7, 'Amort. Sched.-WORST'!$W$7), 0)</f>
        <v>0</v>
      </c>
      <c r="W307" s="5">
        <f>IF(AND(U307&gt;='Amort. Sched.-WORST'!$AA$8, U307&lt;= ($AA$7+$AA$8)), (IPMT($W$8/12, (U307-$AA$8), $AA$7, $W$7)), 0)</f>
        <v>0</v>
      </c>
      <c r="X307" s="23">
        <f>IF(AND(U307&gt;='Amort. Sched.-WORST'!$AA$8, U307&lt;= ($AA$7+$AA$8)), (PPMT($W$8/12, (U307-$AA$8), $AA$7, $W$7)), 0)</f>
        <v>0</v>
      </c>
      <c r="Y307" s="5">
        <f>IF(CreditAmort2WORST[[#This Row],[Month]]=AA$8,W$7,0)</f>
        <v>0</v>
      </c>
      <c r="Z307" s="13">
        <f>IF(AND(U307&gt;='Amort. Sched.-WORST'!$AA$8, U307&lt;= ($AA$7+$AA$8)), Z306+X307, 0)</f>
        <v>0</v>
      </c>
      <c r="AA307" s="24" t="str">
        <f>IF(AND(U307&gt;='Amort. Sched.-WORST'!$AA$8, U307&lt;= ($AA$7+$AA$8)), W307/V307, " ")</f>
        <v xml:space="preserve"> </v>
      </c>
      <c r="AB307" s="25" t="str">
        <f>IF(AND(U307&gt;='Amort. Sched.-WORST'!$AA$8, U307&lt;= ($AA$7+$AA$8)), X307/V307, " ")</f>
        <v xml:space="preserve"> </v>
      </c>
      <c r="AD307" s="20">
        <f t="shared" si="71"/>
        <v>296</v>
      </c>
      <c r="AE307" s="5">
        <f t="shared" si="72"/>
        <v>0</v>
      </c>
      <c r="AF307" s="5">
        <f t="shared" si="73"/>
        <v>0</v>
      </c>
      <c r="AG307" s="5">
        <f t="shared" si="74"/>
        <v>0</v>
      </c>
      <c r="AH307" s="5">
        <f>IF(CreditAmort3WORST[[#This Row],[Month]]=AJ$8,AF$7,0)</f>
        <v>0</v>
      </c>
      <c r="AI307" s="13">
        <f t="shared" si="75"/>
        <v>0</v>
      </c>
      <c r="AJ307" s="6" t="str">
        <f t="shared" si="76"/>
        <v xml:space="preserve"> </v>
      </c>
      <c r="AK307" s="21" t="str">
        <f t="shared" si="77"/>
        <v xml:space="preserve"> </v>
      </c>
      <c r="AM307" s="20">
        <f t="shared" si="78"/>
        <v>296</v>
      </c>
      <c r="AN307" s="5">
        <f t="shared" si="79"/>
        <v>0</v>
      </c>
      <c r="AO307" s="5">
        <f t="shared" si="80"/>
        <v>0</v>
      </c>
      <c r="AP307" s="5">
        <f t="shared" si="81"/>
        <v>0</v>
      </c>
      <c r="AQ307" s="5">
        <f>IF(CreditAmort4WORST[[#This Row],[Month]]=AS$8,AO$7,0)</f>
        <v>0</v>
      </c>
      <c r="AR307" s="13">
        <f t="shared" si="82"/>
        <v>0</v>
      </c>
      <c r="AS307" s="6" t="str">
        <f t="shared" si="83"/>
        <v xml:space="preserve"> </v>
      </c>
      <c r="AT307" s="21" t="str">
        <f t="shared" si="84"/>
        <v xml:space="preserve"> </v>
      </c>
    </row>
    <row r="308" spans="3:46">
      <c r="C308" s="22">
        <f t="shared" si="69"/>
        <v>297</v>
      </c>
      <c r="D308" s="23">
        <f>IF(AND(C308&gt;='Amort. Sched.-WORST'!$I$8, C308&lt;= ($I$7+$I$8)), PMT('Amort. Sched.-WORST'!$E$8/12, 'Amort. Sched.-WORST'!$I$7, 'Amort. Sched.-WORST'!$E$7), 0)</f>
        <v>-2026.0175758541329</v>
      </c>
      <c r="E308" s="5">
        <f>IF(AND(C308&gt;='Amort. Sched.-WORST'!$I$8, C308&lt;= ($I$7+$I$8)), (IPMT($E$8/12, (C308-$I$8), $I$7, $E$7)), 0)</f>
        <v>-53.138550539187172</v>
      </c>
      <c r="F308" s="23">
        <f>IF(AND(C308&gt;='Amort. Sched.-WORST'!$I$8, C308&lt;= ($I$7+$I$8)), (PPMT($E$8/12, (C308-$I$8), $I$7, $E$7)), 0)</f>
        <v>-1972.8790253149459</v>
      </c>
      <c r="G308" s="5">
        <f>IF(MortgageAmortWORST[[#This Row],[Month]]=I$8,E$7,0)</f>
        <v>0</v>
      </c>
      <c r="H308" s="13">
        <f>IF(AND(C308&gt;='Amort. Sched.-WORST'!$I$8, C308&lt;= ($I$7+$I$8)), H307+F308, 0)</f>
        <v>5997.9035555632272</v>
      </c>
      <c r="I308" s="24">
        <f>IF(AND(C308&gt;='Amort. Sched.-WORST'!$I$8, C308&lt;= ($I$7+$I$8)), E308/D308, " ")</f>
        <v>2.6228079742489353E-2</v>
      </c>
      <c r="J308" s="25">
        <f>IF(AND(C308&gt;='Amort. Sched.-WORST'!$I$8, C308&lt;= ($I$7+$I$8)), F308/D308, " ")</f>
        <v>0.97377192025751069</v>
      </c>
      <c r="L308" s="20">
        <f t="shared" si="68"/>
        <v>297</v>
      </c>
      <c r="M308" s="5">
        <f>IF(AND(L308&gt;='Amort. Sched.-WORST'!$R$8, L308&lt;= ($R$7+$R$8)), PMT('Amort. Sched.-WORST'!$N$8/12, 'Amort. Sched.-WORST'!$R$7, 'Amort. Sched.-WORST'!$N$7), 0)</f>
        <v>0</v>
      </c>
      <c r="N308" s="5">
        <f>IF(AND(L308&gt;='Amort. Sched.-WORST'!$R$8, L308&lt;= ($R$7+$R$8)), (IPMT($N$8/12, (L308-$R$8), $R$7, $N$7)), 0)</f>
        <v>0</v>
      </c>
      <c r="O308" s="5">
        <f>IF(AND(L308&gt;='Amort. Sched.-WORST'!$R$8, L308&lt;= ($R$7+$R$8)), (PPMT($N$8/12, (L308-$R$8), $R$7, $N$7)), 0)</f>
        <v>0</v>
      </c>
      <c r="P308" s="5">
        <f>IF(CreditAmort1WORST[[#This Row],[Month]]=R$8,N$7,0)</f>
        <v>0</v>
      </c>
      <c r="Q308" s="13">
        <f>IF(AND(L308&gt;='Amort. Sched.-WORST'!$R$8, L308&lt;= ($R$7+$R$8)), Q307+O308, 0)</f>
        <v>0</v>
      </c>
      <c r="R308" s="6" t="str">
        <f>IF(AND(L308&gt;='Amort. Sched.-WORST'!$R$8, L308&lt;= ($R$7+$R$8)), N308/M308, " ")</f>
        <v xml:space="preserve"> </v>
      </c>
      <c r="S308" s="21" t="str">
        <f>IF(AND(L308&gt;='Amort. Sched.-WORST'!$R$8, L308&lt;= ($R$7+$R$8)), O308/M308, " ")</f>
        <v xml:space="preserve"> </v>
      </c>
      <c r="U308" s="22">
        <f t="shared" si="70"/>
        <v>297</v>
      </c>
      <c r="V308" s="23">
        <f>IF(AND(U308&gt;='Amort. Sched.-WORST'!$AA$8, U308&lt;= ($AA$7+$AA$8)), PMT('Amort. Sched.-WORST'!$W$8/12, 'Amort. Sched.-WORST'!$AA$7, 'Amort. Sched.-WORST'!$W$7), 0)</f>
        <v>0</v>
      </c>
      <c r="W308" s="5">
        <f>IF(AND(U308&gt;='Amort. Sched.-WORST'!$AA$8, U308&lt;= ($AA$7+$AA$8)), (IPMT($W$8/12, (U308-$AA$8), $AA$7, $W$7)), 0)</f>
        <v>0</v>
      </c>
      <c r="X308" s="23">
        <f>IF(AND(U308&gt;='Amort. Sched.-WORST'!$AA$8, U308&lt;= ($AA$7+$AA$8)), (PPMT($W$8/12, (U308-$AA$8), $AA$7, $W$7)), 0)</f>
        <v>0</v>
      </c>
      <c r="Y308" s="5">
        <f>IF(CreditAmort2WORST[[#This Row],[Month]]=AA$8,W$7,0)</f>
        <v>0</v>
      </c>
      <c r="Z308" s="13">
        <f>IF(AND(U308&gt;='Amort. Sched.-WORST'!$AA$8, U308&lt;= ($AA$7+$AA$8)), Z307+X308, 0)</f>
        <v>0</v>
      </c>
      <c r="AA308" s="24" t="str">
        <f>IF(AND(U308&gt;='Amort. Sched.-WORST'!$AA$8, U308&lt;= ($AA$7+$AA$8)), W308/V308, " ")</f>
        <v xml:space="preserve"> </v>
      </c>
      <c r="AB308" s="25" t="str">
        <f>IF(AND(U308&gt;='Amort. Sched.-WORST'!$AA$8, U308&lt;= ($AA$7+$AA$8)), X308/V308, " ")</f>
        <v xml:space="preserve"> </v>
      </c>
      <c r="AD308" s="20">
        <f t="shared" si="71"/>
        <v>297</v>
      </c>
      <c r="AE308" s="5">
        <f t="shared" si="72"/>
        <v>0</v>
      </c>
      <c r="AF308" s="5">
        <f t="shared" si="73"/>
        <v>0</v>
      </c>
      <c r="AG308" s="5">
        <f t="shared" si="74"/>
        <v>0</v>
      </c>
      <c r="AH308" s="5">
        <f>IF(CreditAmort3WORST[[#This Row],[Month]]=AJ$8,AF$7,0)</f>
        <v>0</v>
      </c>
      <c r="AI308" s="13">
        <f t="shared" si="75"/>
        <v>0</v>
      </c>
      <c r="AJ308" s="6" t="str">
        <f t="shared" si="76"/>
        <v xml:space="preserve"> </v>
      </c>
      <c r="AK308" s="21" t="str">
        <f t="shared" si="77"/>
        <v xml:space="preserve"> </v>
      </c>
      <c r="AM308" s="20">
        <f t="shared" si="78"/>
        <v>297</v>
      </c>
      <c r="AN308" s="5">
        <f t="shared" si="79"/>
        <v>0</v>
      </c>
      <c r="AO308" s="5">
        <f t="shared" si="80"/>
        <v>0</v>
      </c>
      <c r="AP308" s="5">
        <f t="shared" si="81"/>
        <v>0</v>
      </c>
      <c r="AQ308" s="5">
        <f>IF(CreditAmort4WORST[[#This Row],[Month]]=AS$8,AO$7,0)</f>
        <v>0</v>
      </c>
      <c r="AR308" s="13">
        <f t="shared" si="82"/>
        <v>0</v>
      </c>
      <c r="AS308" s="6" t="str">
        <f t="shared" si="83"/>
        <v xml:space="preserve"> </v>
      </c>
      <c r="AT308" s="21" t="str">
        <f t="shared" si="84"/>
        <v xml:space="preserve"> </v>
      </c>
    </row>
    <row r="309" spans="3:46">
      <c r="C309" s="22">
        <f t="shared" si="69"/>
        <v>298</v>
      </c>
      <c r="D309" s="23">
        <f>IF(AND(C309&gt;='Amort. Sched.-WORST'!$I$8, C309&lt;= ($I$7+$I$8)), PMT('Amort. Sched.-WORST'!$E$8/12, 'Amort. Sched.-WORST'!$I$7, 'Amort. Sched.-WORST'!$E$7), 0)</f>
        <v>-2026.0175758541329</v>
      </c>
      <c r="E309" s="5">
        <f>IF(AND(C309&gt;='Amort. Sched.-WORST'!$I$8, C309&lt;= ($I$7+$I$8)), (IPMT($E$8/12, (C309-$I$8), $I$7, $E$7)), 0)</f>
        <v>-39.986023703754192</v>
      </c>
      <c r="F309" s="23">
        <f>IF(AND(C309&gt;='Amort. Sched.-WORST'!$I$8, C309&lt;= ($I$7+$I$8)), (PPMT($E$8/12, (C309-$I$8), $I$7, $E$7)), 0)</f>
        <v>-1986.0315521503787</v>
      </c>
      <c r="G309" s="5">
        <f>IF(MortgageAmortWORST[[#This Row],[Month]]=I$8,E$7,0)</f>
        <v>0</v>
      </c>
      <c r="H309" s="13">
        <f>IF(AND(C309&gt;='Amort. Sched.-WORST'!$I$8, C309&lt;= ($I$7+$I$8)), H308+F309, 0)</f>
        <v>4011.8720034128482</v>
      </c>
      <c r="I309" s="24">
        <f>IF(AND(C309&gt;='Amort. Sched.-WORST'!$I$8, C309&lt;= ($I$7+$I$8)), E309/D309, " ")</f>
        <v>1.9736266940772611E-2</v>
      </c>
      <c r="J309" s="25">
        <f>IF(AND(C309&gt;='Amort. Sched.-WORST'!$I$8, C309&lt;= ($I$7+$I$8)), F309/D309, " ")</f>
        <v>0.98026373305922743</v>
      </c>
      <c r="L309" s="20">
        <f t="shared" si="68"/>
        <v>298</v>
      </c>
      <c r="M309" s="5">
        <f>IF(AND(L309&gt;='Amort. Sched.-WORST'!$R$8, L309&lt;= ($R$7+$R$8)), PMT('Amort. Sched.-WORST'!$N$8/12, 'Amort. Sched.-WORST'!$R$7, 'Amort. Sched.-WORST'!$N$7), 0)</f>
        <v>0</v>
      </c>
      <c r="N309" s="5">
        <f>IF(AND(L309&gt;='Amort. Sched.-WORST'!$R$8, L309&lt;= ($R$7+$R$8)), (IPMT($N$8/12, (L309-$R$8), $R$7, $N$7)), 0)</f>
        <v>0</v>
      </c>
      <c r="O309" s="5">
        <f>IF(AND(L309&gt;='Amort. Sched.-WORST'!$R$8, L309&lt;= ($R$7+$R$8)), (PPMT($N$8/12, (L309-$R$8), $R$7, $N$7)), 0)</f>
        <v>0</v>
      </c>
      <c r="P309" s="5">
        <f>IF(CreditAmort1WORST[[#This Row],[Month]]=R$8,N$7,0)</f>
        <v>0</v>
      </c>
      <c r="Q309" s="13">
        <f>IF(AND(L309&gt;='Amort. Sched.-WORST'!$R$8, L309&lt;= ($R$7+$R$8)), Q308+O309, 0)</f>
        <v>0</v>
      </c>
      <c r="R309" s="6" t="str">
        <f>IF(AND(L309&gt;='Amort. Sched.-WORST'!$R$8, L309&lt;= ($R$7+$R$8)), N309/M309, " ")</f>
        <v xml:space="preserve"> </v>
      </c>
      <c r="S309" s="21" t="str">
        <f>IF(AND(L309&gt;='Amort. Sched.-WORST'!$R$8, L309&lt;= ($R$7+$R$8)), O309/M309, " ")</f>
        <v xml:space="preserve"> </v>
      </c>
      <c r="U309" s="22">
        <f t="shared" si="70"/>
        <v>298</v>
      </c>
      <c r="V309" s="23">
        <f>IF(AND(U309&gt;='Amort. Sched.-WORST'!$AA$8, U309&lt;= ($AA$7+$AA$8)), PMT('Amort. Sched.-WORST'!$W$8/12, 'Amort. Sched.-WORST'!$AA$7, 'Amort. Sched.-WORST'!$W$7), 0)</f>
        <v>0</v>
      </c>
      <c r="W309" s="5">
        <f>IF(AND(U309&gt;='Amort. Sched.-WORST'!$AA$8, U309&lt;= ($AA$7+$AA$8)), (IPMT($W$8/12, (U309-$AA$8), $AA$7, $W$7)), 0)</f>
        <v>0</v>
      </c>
      <c r="X309" s="23">
        <f>IF(AND(U309&gt;='Amort. Sched.-WORST'!$AA$8, U309&lt;= ($AA$7+$AA$8)), (PPMT($W$8/12, (U309-$AA$8), $AA$7, $W$7)), 0)</f>
        <v>0</v>
      </c>
      <c r="Y309" s="5">
        <f>IF(CreditAmort2WORST[[#This Row],[Month]]=AA$8,W$7,0)</f>
        <v>0</v>
      </c>
      <c r="Z309" s="13">
        <f>IF(AND(U309&gt;='Amort. Sched.-WORST'!$AA$8, U309&lt;= ($AA$7+$AA$8)), Z308+X309, 0)</f>
        <v>0</v>
      </c>
      <c r="AA309" s="24" t="str">
        <f>IF(AND(U309&gt;='Amort. Sched.-WORST'!$AA$8, U309&lt;= ($AA$7+$AA$8)), W309/V309, " ")</f>
        <v xml:space="preserve"> </v>
      </c>
      <c r="AB309" s="25" t="str">
        <f>IF(AND(U309&gt;='Amort. Sched.-WORST'!$AA$8, U309&lt;= ($AA$7+$AA$8)), X309/V309, " ")</f>
        <v xml:space="preserve"> </v>
      </c>
      <c r="AD309" s="20">
        <f t="shared" si="71"/>
        <v>298</v>
      </c>
      <c r="AE309" s="5">
        <f t="shared" si="72"/>
        <v>0</v>
      </c>
      <c r="AF309" s="5">
        <f t="shared" si="73"/>
        <v>0</v>
      </c>
      <c r="AG309" s="5">
        <f t="shared" si="74"/>
        <v>0</v>
      </c>
      <c r="AH309" s="5">
        <f>IF(CreditAmort3WORST[[#This Row],[Month]]=AJ$8,AF$7,0)</f>
        <v>0</v>
      </c>
      <c r="AI309" s="13">
        <f t="shared" si="75"/>
        <v>0</v>
      </c>
      <c r="AJ309" s="6" t="str">
        <f t="shared" si="76"/>
        <v xml:space="preserve"> </v>
      </c>
      <c r="AK309" s="21" t="str">
        <f t="shared" si="77"/>
        <v xml:space="preserve"> </v>
      </c>
      <c r="AM309" s="20">
        <f t="shared" si="78"/>
        <v>298</v>
      </c>
      <c r="AN309" s="5">
        <f t="shared" si="79"/>
        <v>0</v>
      </c>
      <c r="AO309" s="5">
        <f t="shared" si="80"/>
        <v>0</v>
      </c>
      <c r="AP309" s="5">
        <f t="shared" si="81"/>
        <v>0</v>
      </c>
      <c r="AQ309" s="5">
        <f>IF(CreditAmort4WORST[[#This Row],[Month]]=AS$8,AO$7,0)</f>
        <v>0</v>
      </c>
      <c r="AR309" s="13">
        <f t="shared" si="82"/>
        <v>0</v>
      </c>
      <c r="AS309" s="6" t="str">
        <f t="shared" si="83"/>
        <v xml:space="preserve"> </v>
      </c>
      <c r="AT309" s="21" t="str">
        <f t="shared" si="84"/>
        <v xml:space="preserve"> </v>
      </c>
    </row>
    <row r="310" spans="3:46">
      <c r="C310" s="22">
        <f t="shared" si="69"/>
        <v>299</v>
      </c>
      <c r="D310" s="23">
        <f>IF(AND(C310&gt;='Amort. Sched.-WORST'!$I$8, C310&lt;= ($I$7+$I$8)), PMT('Amort. Sched.-WORST'!$E$8/12, 'Amort. Sched.-WORST'!$I$7, 'Amort. Sched.-WORST'!$E$7), 0)</f>
        <v>-2026.0175758541329</v>
      </c>
      <c r="E310" s="5">
        <f>IF(AND(C310&gt;='Amort. Sched.-WORST'!$I$8, C310&lt;= ($I$7+$I$8)), (IPMT($E$8/12, (C310-$I$8), $I$7, $E$7)), 0)</f>
        <v>-26.745813356084998</v>
      </c>
      <c r="F310" s="23">
        <f>IF(AND(C310&gt;='Amort. Sched.-WORST'!$I$8, C310&lt;= ($I$7+$I$8)), (PPMT($E$8/12, (C310-$I$8), $I$7, $E$7)), 0)</f>
        <v>-1999.271762498048</v>
      </c>
      <c r="G310" s="5">
        <f>IF(MortgageAmortWORST[[#This Row],[Month]]=I$8,E$7,0)</f>
        <v>0</v>
      </c>
      <c r="H310" s="13">
        <f>IF(AND(C310&gt;='Amort. Sched.-WORST'!$I$8, C310&lt;= ($I$7+$I$8)), H309+F310, 0)</f>
        <v>2012.6002409148002</v>
      </c>
      <c r="I310" s="24">
        <f>IF(AND(C310&gt;='Amort. Sched.-WORST'!$I$8, C310&lt;= ($I$7+$I$8)), E310/D310, " ")</f>
        <v>1.3201175387044429E-2</v>
      </c>
      <c r="J310" s="25">
        <f>IF(AND(C310&gt;='Amort. Sched.-WORST'!$I$8, C310&lt;= ($I$7+$I$8)), F310/D310, " ")</f>
        <v>0.98679882461295565</v>
      </c>
      <c r="L310" s="20">
        <f t="shared" si="68"/>
        <v>299</v>
      </c>
      <c r="M310" s="5">
        <f>IF(AND(L310&gt;='Amort. Sched.-WORST'!$R$8, L310&lt;= ($R$7+$R$8)), PMT('Amort. Sched.-WORST'!$N$8/12, 'Amort. Sched.-WORST'!$R$7, 'Amort. Sched.-WORST'!$N$7), 0)</f>
        <v>0</v>
      </c>
      <c r="N310" s="5">
        <f>IF(AND(L310&gt;='Amort. Sched.-WORST'!$R$8, L310&lt;= ($R$7+$R$8)), (IPMT($N$8/12, (L310-$R$8), $R$7, $N$7)), 0)</f>
        <v>0</v>
      </c>
      <c r="O310" s="5">
        <f>IF(AND(L310&gt;='Amort. Sched.-WORST'!$R$8, L310&lt;= ($R$7+$R$8)), (PPMT($N$8/12, (L310-$R$8), $R$7, $N$7)), 0)</f>
        <v>0</v>
      </c>
      <c r="P310" s="5">
        <f>IF(CreditAmort1WORST[[#This Row],[Month]]=R$8,N$7,0)</f>
        <v>0</v>
      </c>
      <c r="Q310" s="13">
        <f>IF(AND(L310&gt;='Amort. Sched.-WORST'!$R$8, L310&lt;= ($R$7+$R$8)), Q309+O310, 0)</f>
        <v>0</v>
      </c>
      <c r="R310" s="6" t="str">
        <f>IF(AND(L310&gt;='Amort. Sched.-WORST'!$R$8, L310&lt;= ($R$7+$R$8)), N310/M310, " ")</f>
        <v xml:space="preserve"> </v>
      </c>
      <c r="S310" s="21" t="str">
        <f>IF(AND(L310&gt;='Amort. Sched.-WORST'!$R$8, L310&lt;= ($R$7+$R$8)), O310/M310, " ")</f>
        <v xml:space="preserve"> </v>
      </c>
      <c r="U310" s="22">
        <f t="shared" si="70"/>
        <v>299</v>
      </c>
      <c r="V310" s="23">
        <f>IF(AND(U310&gt;='Amort. Sched.-WORST'!$AA$8, U310&lt;= ($AA$7+$AA$8)), PMT('Amort. Sched.-WORST'!$W$8/12, 'Amort. Sched.-WORST'!$AA$7, 'Amort. Sched.-WORST'!$W$7), 0)</f>
        <v>0</v>
      </c>
      <c r="W310" s="5">
        <f>IF(AND(U310&gt;='Amort. Sched.-WORST'!$AA$8, U310&lt;= ($AA$7+$AA$8)), (IPMT($W$8/12, (U310-$AA$8), $AA$7, $W$7)), 0)</f>
        <v>0</v>
      </c>
      <c r="X310" s="23">
        <f>IF(AND(U310&gt;='Amort. Sched.-WORST'!$AA$8, U310&lt;= ($AA$7+$AA$8)), (PPMT($W$8/12, (U310-$AA$8), $AA$7, $W$7)), 0)</f>
        <v>0</v>
      </c>
      <c r="Y310" s="5">
        <f>IF(CreditAmort2WORST[[#This Row],[Month]]=AA$8,W$7,0)</f>
        <v>0</v>
      </c>
      <c r="Z310" s="13">
        <f>IF(AND(U310&gt;='Amort. Sched.-WORST'!$AA$8, U310&lt;= ($AA$7+$AA$8)), Z309+X310, 0)</f>
        <v>0</v>
      </c>
      <c r="AA310" s="24" t="str">
        <f>IF(AND(U310&gt;='Amort. Sched.-WORST'!$AA$8, U310&lt;= ($AA$7+$AA$8)), W310/V310, " ")</f>
        <v xml:space="preserve"> </v>
      </c>
      <c r="AB310" s="25" t="str">
        <f>IF(AND(U310&gt;='Amort. Sched.-WORST'!$AA$8, U310&lt;= ($AA$7+$AA$8)), X310/V310, " ")</f>
        <v xml:space="preserve"> </v>
      </c>
      <c r="AD310" s="20">
        <f t="shared" si="71"/>
        <v>299</v>
      </c>
      <c r="AE310" s="5">
        <f t="shared" si="72"/>
        <v>0</v>
      </c>
      <c r="AF310" s="5">
        <f t="shared" si="73"/>
        <v>0</v>
      </c>
      <c r="AG310" s="5">
        <f t="shared" si="74"/>
        <v>0</v>
      </c>
      <c r="AH310" s="5">
        <f>IF(CreditAmort3WORST[[#This Row],[Month]]=AJ$8,AF$7,0)</f>
        <v>0</v>
      </c>
      <c r="AI310" s="13">
        <f t="shared" si="75"/>
        <v>0</v>
      </c>
      <c r="AJ310" s="6" t="str">
        <f t="shared" si="76"/>
        <v xml:space="preserve"> </v>
      </c>
      <c r="AK310" s="21" t="str">
        <f t="shared" si="77"/>
        <v xml:space="preserve"> </v>
      </c>
      <c r="AM310" s="20">
        <f t="shared" si="78"/>
        <v>299</v>
      </c>
      <c r="AN310" s="5">
        <f t="shared" si="79"/>
        <v>0</v>
      </c>
      <c r="AO310" s="5">
        <f t="shared" si="80"/>
        <v>0</v>
      </c>
      <c r="AP310" s="5">
        <f t="shared" si="81"/>
        <v>0</v>
      </c>
      <c r="AQ310" s="5">
        <f>IF(CreditAmort4WORST[[#This Row],[Month]]=AS$8,AO$7,0)</f>
        <v>0</v>
      </c>
      <c r="AR310" s="13">
        <f t="shared" si="82"/>
        <v>0</v>
      </c>
      <c r="AS310" s="6" t="str">
        <f t="shared" si="83"/>
        <v xml:space="preserve"> </v>
      </c>
      <c r="AT310" s="21" t="str">
        <f t="shared" si="84"/>
        <v xml:space="preserve"> </v>
      </c>
    </row>
    <row r="311" spans="3:46">
      <c r="C311" s="22">
        <f t="shared" si="69"/>
        <v>300</v>
      </c>
      <c r="D311" s="23">
        <f>IF(AND(C311&gt;='Amort. Sched.-WORST'!$I$8, C311&lt;= ($I$7+$I$8)), PMT('Amort. Sched.-WORST'!$E$8/12, 'Amort. Sched.-WORST'!$I$7, 'Amort. Sched.-WORST'!$E$7), 0)</f>
        <v>-2026.0175758541329</v>
      </c>
      <c r="E311" s="5">
        <f>IF(AND(C311&gt;='Amort. Sched.-WORST'!$I$8, C311&lt;= ($I$7+$I$8)), (IPMT($E$8/12, (C311-$I$8), $I$7, $E$7)), 0)</f>
        <v>-13.417334939431344</v>
      </c>
      <c r="F311" s="23">
        <f>IF(AND(C311&gt;='Amort. Sched.-WORST'!$I$8, C311&lt;= ($I$7+$I$8)), (PPMT($E$8/12, (C311-$I$8), $I$7, $E$7)), 0)</f>
        <v>-2012.6002409147015</v>
      </c>
      <c r="G311" s="5">
        <f>IF(MortgageAmortWORST[[#This Row],[Month]]=I$8,E$7,0)</f>
        <v>0</v>
      </c>
      <c r="H311" s="13">
        <f>IF(AND(C311&gt;='Amort. Sched.-WORST'!$I$8, C311&lt;= ($I$7+$I$8)), H310+F311, 0)</f>
        <v>9.8680175142362714E-11</v>
      </c>
      <c r="I311" s="24">
        <f>IF(AND(C311&gt;='Amort. Sched.-WORST'!$I$8, C311&lt;= ($I$7+$I$8)), E311/D311, " ")</f>
        <v>6.6225165562913907E-3</v>
      </c>
      <c r="J311" s="25">
        <f>IF(AND(C311&gt;='Amort. Sched.-WORST'!$I$8, C311&lt;= ($I$7+$I$8)), F311/D311, " ")</f>
        <v>0.99337748344370858</v>
      </c>
      <c r="L311" s="20">
        <f t="shared" si="68"/>
        <v>300</v>
      </c>
      <c r="M311" s="5">
        <f>IF(AND(L311&gt;='Amort. Sched.-WORST'!$R$8, L311&lt;= ($R$7+$R$8)), PMT('Amort. Sched.-WORST'!$N$8/12, 'Amort. Sched.-WORST'!$R$7, 'Amort. Sched.-WORST'!$N$7), 0)</f>
        <v>0</v>
      </c>
      <c r="N311" s="5">
        <f>IF(AND(L311&gt;='Amort. Sched.-WORST'!$R$8, L311&lt;= ($R$7+$R$8)), (IPMT($N$8/12, (L311-$R$8), $R$7, $N$7)), 0)</f>
        <v>0</v>
      </c>
      <c r="O311" s="5">
        <f>IF(AND(L311&gt;='Amort. Sched.-WORST'!$R$8, L311&lt;= ($R$7+$R$8)), (PPMT($N$8/12, (L311-$R$8), $R$7, $N$7)), 0)</f>
        <v>0</v>
      </c>
      <c r="P311" s="5">
        <f>IF(CreditAmort1WORST[[#This Row],[Month]]=R$8,N$7,0)</f>
        <v>0</v>
      </c>
      <c r="Q311" s="13">
        <f>IF(AND(L311&gt;='Amort. Sched.-WORST'!$R$8, L311&lt;= ($R$7+$R$8)), Q310+O311, 0)</f>
        <v>0</v>
      </c>
      <c r="R311" s="6" t="str">
        <f>IF(AND(L311&gt;='Amort. Sched.-WORST'!$R$8, L311&lt;= ($R$7+$R$8)), N311/M311, " ")</f>
        <v xml:space="preserve"> </v>
      </c>
      <c r="S311" s="21" t="str">
        <f>IF(AND(L311&gt;='Amort. Sched.-WORST'!$R$8, L311&lt;= ($R$7+$R$8)), O311/M311, " ")</f>
        <v xml:space="preserve"> </v>
      </c>
      <c r="U311" s="22">
        <f t="shared" si="70"/>
        <v>300</v>
      </c>
      <c r="V311" s="23">
        <f>IF(AND(U311&gt;='Amort. Sched.-WORST'!$AA$8, U311&lt;= ($AA$7+$AA$8)), PMT('Amort. Sched.-WORST'!$W$8/12, 'Amort. Sched.-WORST'!$AA$7, 'Amort. Sched.-WORST'!$W$7), 0)</f>
        <v>0</v>
      </c>
      <c r="W311" s="5">
        <f>IF(AND(U311&gt;='Amort. Sched.-WORST'!$AA$8, U311&lt;= ($AA$7+$AA$8)), (IPMT($W$8/12, (U311-$AA$8), $AA$7, $W$7)), 0)</f>
        <v>0</v>
      </c>
      <c r="X311" s="23">
        <f>IF(AND(U311&gt;='Amort. Sched.-WORST'!$AA$8, U311&lt;= ($AA$7+$AA$8)), (PPMT($W$8/12, (U311-$AA$8), $AA$7, $W$7)), 0)</f>
        <v>0</v>
      </c>
      <c r="Y311" s="5">
        <f>IF(CreditAmort2WORST[[#This Row],[Month]]=AA$8,W$7,0)</f>
        <v>0</v>
      </c>
      <c r="Z311" s="13">
        <f>IF(AND(U311&gt;='Amort. Sched.-WORST'!$AA$8, U311&lt;= ($AA$7+$AA$8)), Z310+X311, 0)</f>
        <v>0</v>
      </c>
      <c r="AA311" s="24" t="str">
        <f>IF(AND(U311&gt;='Amort. Sched.-WORST'!$AA$8, U311&lt;= ($AA$7+$AA$8)), W311/V311, " ")</f>
        <v xml:space="preserve"> </v>
      </c>
      <c r="AB311" s="25" t="str">
        <f>IF(AND(U311&gt;='Amort. Sched.-WORST'!$AA$8, U311&lt;= ($AA$7+$AA$8)), X311/V311, " ")</f>
        <v xml:space="preserve"> </v>
      </c>
      <c r="AD311" s="20">
        <f t="shared" si="71"/>
        <v>300</v>
      </c>
      <c r="AE311" s="5">
        <f t="shared" si="72"/>
        <v>0</v>
      </c>
      <c r="AF311" s="5">
        <f t="shared" si="73"/>
        <v>0</v>
      </c>
      <c r="AG311" s="5">
        <f t="shared" si="74"/>
        <v>0</v>
      </c>
      <c r="AH311" s="5">
        <f>IF(CreditAmort3WORST[[#This Row],[Month]]=AJ$8,AF$7,0)</f>
        <v>0</v>
      </c>
      <c r="AI311" s="13">
        <f t="shared" si="75"/>
        <v>0</v>
      </c>
      <c r="AJ311" s="6" t="str">
        <f t="shared" si="76"/>
        <v xml:space="preserve"> </v>
      </c>
      <c r="AK311" s="21" t="str">
        <f t="shared" si="77"/>
        <v xml:space="preserve"> </v>
      </c>
      <c r="AM311" s="20">
        <f t="shared" si="78"/>
        <v>300</v>
      </c>
      <c r="AN311" s="5">
        <f t="shared" si="79"/>
        <v>0</v>
      </c>
      <c r="AO311" s="5">
        <f t="shared" si="80"/>
        <v>0</v>
      </c>
      <c r="AP311" s="5">
        <f t="shared" si="81"/>
        <v>0</v>
      </c>
      <c r="AQ311" s="5">
        <f>IF(CreditAmort4WORST[[#This Row],[Month]]=AS$8,AO$7,0)</f>
        <v>0</v>
      </c>
      <c r="AR311" s="13">
        <f t="shared" si="82"/>
        <v>0</v>
      </c>
      <c r="AS311" s="6" t="str">
        <f t="shared" si="83"/>
        <v xml:space="preserve"> </v>
      </c>
      <c r="AT311" s="21" t="str">
        <f t="shared" si="84"/>
        <v xml:space="preserve"> </v>
      </c>
    </row>
    <row r="312" spans="3:46">
      <c r="C312" s="22">
        <f t="shared" si="69"/>
        <v>301</v>
      </c>
      <c r="D312" s="23">
        <f>IF(AND(C312&gt;='Amort. Sched.-WORST'!$I$8, C312&lt;= ($I$7+$I$8)), PMT('Amort. Sched.-WORST'!$E$8/12, 'Amort. Sched.-WORST'!$I$7, 'Amort. Sched.-WORST'!$E$7), 0)</f>
        <v>0</v>
      </c>
      <c r="E312" s="5">
        <f>IF(AND(C312&gt;='Amort. Sched.-WORST'!$I$8, C312&lt;= ($I$7+$I$8)), (IPMT($E$8/12, (C312-$I$8), $I$7, $E$7)), 0)</f>
        <v>0</v>
      </c>
      <c r="F312" s="23">
        <f>IF(AND(C312&gt;='Amort. Sched.-WORST'!$I$8, C312&lt;= ($I$7+$I$8)), (PPMT($E$8/12, (C312-$I$8), $I$7, $E$7)), 0)</f>
        <v>0</v>
      </c>
      <c r="G312" s="5">
        <f>IF(MortgageAmortWORST[[#This Row],[Month]]=I$8,E$7,0)</f>
        <v>0</v>
      </c>
      <c r="H312" s="13">
        <f>IF(AND(C312&gt;='Amort. Sched.-WORST'!$I$8, C312&lt;= ($I$7+$I$8)), H311+F312, 0)</f>
        <v>0</v>
      </c>
      <c r="I312" s="24" t="str">
        <f>IF(AND(C312&gt;='Amort. Sched.-WORST'!$I$8, C312&lt;= ($I$7+$I$8)), E312/D312, " ")</f>
        <v xml:space="preserve"> </v>
      </c>
      <c r="J312" s="25" t="str">
        <f>IF(AND(C312&gt;='Amort. Sched.-WORST'!$I$8, C312&lt;= ($I$7+$I$8)), F312/D312, " ")</f>
        <v xml:space="preserve"> </v>
      </c>
      <c r="L312" s="20">
        <f t="shared" si="68"/>
        <v>301</v>
      </c>
      <c r="M312" s="5">
        <f>IF(AND(L312&gt;='Amort. Sched.-WORST'!$R$8, L312&lt;= ($R$7+$R$8)), PMT('Amort. Sched.-WORST'!$N$8/12, 'Amort. Sched.-WORST'!$R$7, 'Amort. Sched.-WORST'!$N$7), 0)</f>
        <v>0</v>
      </c>
      <c r="N312" s="5">
        <f>IF(AND(L312&gt;='Amort. Sched.-WORST'!$R$8, L312&lt;= ($R$7+$R$8)), (IPMT($N$8/12, (L312-$R$8), $R$7, $N$7)), 0)</f>
        <v>0</v>
      </c>
      <c r="O312" s="5">
        <f>IF(AND(L312&gt;='Amort. Sched.-WORST'!$R$8, L312&lt;= ($R$7+$R$8)), (PPMT($N$8/12, (L312-$R$8), $R$7, $N$7)), 0)</f>
        <v>0</v>
      </c>
      <c r="P312" s="5">
        <f>IF(CreditAmort1WORST[[#This Row],[Month]]=R$8,N$7,0)</f>
        <v>0</v>
      </c>
      <c r="Q312" s="13">
        <f>IF(AND(L312&gt;='Amort. Sched.-WORST'!$R$8, L312&lt;= ($R$7+$R$8)), Q311+O312, 0)</f>
        <v>0</v>
      </c>
      <c r="R312" s="6" t="str">
        <f>IF(AND(L312&gt;='Amort. Sched.-WORST'!$R$8, L312&lt;= ($R$7+$R$8)), N312/M312, " ")</f>
        <v xml:space="preserve"> </v>
      </c>
      <c r="S312" s="21" t="str">
        <f>IF(AND(L312&gt;='Amort. Sched.-WORST'!$R$8, L312&lt;= ($R$7+$R$8)), O312/M312, " ")</f>
        <v xml:space="preserve"> </v>
      </c>
      <c r="U312" s="22">
        <f t="shared" si="70"/>
        <v>301</v>
      </c>
      <c r="V312" s="23">
        <f>IF(AND(U312&gt;='Amort. Sched.-WORST'!$AA$8, U312&lt;= ($AA$7+$AA$8)), PMT('Amort. Sched.-WORST'!$W$8/12, 'Amort. Sched.-WORST'!$AA$7, 'Amort. Sched.-WORST'!$W$7), 0)</f>
        <v>0</v>
      </c>
      <c r="W312" s="5">
        <f>IF(AND(U312&gt;='Amort. Sched.-WORST'!$AA$8, U312&lt;= ($AA$7+$AA$8)), (IPMT($W$8/12, (U312-$AA$8), $AA$7, $W$7)), 0)</f>
        <v>0</v>
      </c>
      <c r="X312" s="23">
        <f>IF(AND(U312&gt;='Amort. Sched.-WORST'!$AA$8, U312&lt;= ($AA$7+$AA$8)), (PPMT($W$8/12, (U312-$AA$8), $AA$7, $W$7)), 0)</f>
        <v>0</v>
      </c>
      <c r="Y312" s="5">
        <f>IF(CreditAmort2WORST[[#This Row],[Month]]=AA$8,W$7,0)</f>
        <v>0</v>
      </c>
      <c r="Z312" s="13">
        <f>IF(AND(U312&gt;='Amort. Sched.-WORST'!$AA$8, U312&lt;= ($AA$7+$AA$8)), Z311+X312, 0)</f>
        <v>0</v>
      </c>
      <c r="AA312" s="24" t="str">
        <f>IF(AND(U312&gt;='Amort. Sched.-WORST'!$AA$8, U312&lt;= ($AA$7+$AA$8)), W312/V312, " ")</f>
        <v xml:space="preserve"> </v>
      </c>
      <c r="AB312" s="25" t="str">
        <f>IF(AND(U312&gt;='Amort. Sched.-WORST'!$AA$8, U312&lt;= ($AA$7+$AA$8)), X312/V312, " ")</f>
        <v xml:space="preserve"> </v>
      </c>
      <c r="AD312" s="20">
        <f t="shared" si="71"/>
        <v>301</v>
      </c>
      <c r="AE312" s="5">
        <f t="shared" si="72"/>
        <v>0</v>
      </c>
      <c r="AF312" s="5">
        <f t="shared" si="73"/>
        <v>0</v>
      </c>
      <c r="AG312" s="5">
        <f t="shared" si="74"/>
        <v>0</v>
      </c>
      <c r="AH312" s="5">
        <f>IF(CreditAmort3WORST[[#This Row],[Month]]=AJ$8,AF$7,0)</f>
        <v>0</v>
      </c>
      <c r="AI312" s="13">
        <f t="shared" si="75"/>
        <v>0</v>
      </c>
      <c r="AJ312" s="6" t="str">
        <f t="shared" si="76"/>
        <v xml:space="preserve"> </v>
      </c>
      <c r="AK312" s="21" t="str">
        <f t="shared" si="77"/>
        <v xml:space="preserve"> </v>
      </c>
      <c r="AM312" s="20">
        <f t="shared" si="78"/>
        <v>301</v>
      </c>
      <c r="AN312" s="5">
        <f t="shared" si="79"/>
        <v>0</v>
      </c>
      <c r="AO312" s="5">
        <f t="shared" si="80"/>
        <v>0</v>
      </c>
      <c r="AP312" s="5">
        <f t="shared" si="81"/>
        <v>0</v>
      </c>
      <c r="AQ312" s="5">
        <f>IF(CreditAmort4WORST[[#This Row],[Month]]=AS$8,AO$7,0)</f>
        <v>0</v>
      </c>
      <c r="AR312" s="13">
        <f t="shared" si="82"/>
        <v>0</v>
      </c>
      <c r="AS312" s="6" t="str">
        <f t="shared" si="83"/>
        <v xml:space="preserve"> </v>
      </c>
      <c r="AT312" s="21" t="str">
        <f t="shared" si="84"/>
        <v xml:space="preserve"> </v>
      </c>
    </row>
    <row r="313" spans="3:46">
      <c r="C313" s="22">
        <f t="shared" si="69"/>
        <v>302</v>
      </c>
      <c r="D313" s="23">
        <f>IF(AND(C313&gt;='Amort. Sched.-WORST'!$I$8, C313&lt;= ($I$7+$I$8)), PMT('Amort. Sched.-WORST'!$E$8/12, 'Amort. Sched.-WORST'!$I$7, 'Amort. Sched.-WORST'!$E$7), 0)</f>
        <v>0</v>
      </c>
      <c r="E313" s="5">
        <f>IF(AND(C313&gt;='Amort. Sched.-WORST'!$I$8, C313&lt;= ($I$7+$I$8)), (IPMT($E$8/12, (C313-$I$8), $I$7, $E$7)), 0)</f>
        <v>0</v>
      </c>
      <c r="F313" s="23">
        <f>IF(AND(C313&gt;='Amort. Sched.-WORST'!$I$8, C313&lt;= ($I$7+$I$8)), (PPMT($E$8/12, (C313-$I$8), $I$7, $E$7)), 0)</f>
        <v>0</v>
      </c>
      <c r="G313" s="5">
        <f>IF(MortgageAmortWORST[[#This Row],[Month]]=I$8,E$7,0)</f>
        <v>0</v>
      </c>
      <c r="H313" s="13">
        <f>IF(AND(C313&gt;='Amort. Sched.-WORST'!$I$8, C313&lt;= ($I$7+$I$8)), H312+F313, 0)</f>
        <v>0</v>
      </c>
      <c r="I313" s="24" t="str">
        <f>IF(AND(C313&gt;='Amort. Sched.-WORST'!$I$8, C313&lt;= ($I$7+$I$8)), E313/D313, " ")</f>
        <v xml:space="preserve"> </v>
      </c>
      <c r="J313" s="25" t="str">
        <f>IF(AND(C313&gt;='Amort. Sched.-WORST'!$I$8, C313&lt;= ($I$7+$I$8)), F313/D313, " ")</f>
        <v xml:space="preserve"> </v>
      </c>
      <c r="L313" s="20">
        <f t="shared" si="68"/>
        <v>302</v>
      </c>
      <c r="M313" s="5">
        <f>IF(AND(L313&gt;='Amort. Sched.-WORST'!$R$8, L313&lt;= ($R$7+$R$8)), PMT('Amort. Sched.-WORST'!$N$8/12, 'Amort. Sched.-WORST'!$R$7, 'Amort. Sched.-WORST'!$N$7), 0)</f>
        <v>0</v>
      </c>
      <c r="N313" s="5">
        <f>IF(AND(L313&gt;='Amort. Sched.-WORST'!$R$8, L313&lt;= ($R$7+$R$8)), (IPMT($N$8/12, (L313-$R$8), $R$7, $N$7)), 0)</f>
        <v>0</v>
      </c>
      <c r="O313" s="5">
        <f>IF(AND(L313&gt;='Amort. Sched.-WORST'!$R$8, L313&lt;= ($R$7+$R$8)), (PPMT($N$8/12, (L313-$R$8), $R$7, $N$7)), 0)</f>
        <v>0</v>
      </c>
      <c r="P313" s="5">
        <f>IF(CreditAmort1WORST[[#This Row],[Month]]=R$8,N$7,0)</f>
        <v>0</v>
      </c>
      <c r="Q313" s="13">
        <f>IF(AND(L313&gt;='Amort. Sched.-WORST'!$R$8, L313&lt;= ($R$7+$R$8)), Q312+O313, 0)</f>
        <v>0</v>
      </c>
      <c r="R313" s="6" t="str">
        <f>IF(AND(L313&gt;='Amort. Sched.-WORST'!$R$8, L313&lt;= ($R$7+$R$8)), N313/M313, " ")</f>
        <v xml:space="preserve"> </v>
      </c>
      <c r="S313" s="21" t="str">
        <f>IF(AND(L313&gt;='Amort. Sched.-WORST'!$R$8, L313&lt;= ($R$7+$R$8)), O313/M313, " ")</f>
        <v xml:space="preserve"> </v>
      </c>
      <c r="U313" s="22">
        <f t="shared" si="70"/>
        <v>302</v>
      </c>
      <c r="V313" s="23">
        <f>IF(AND(U313&gt;='Amort. Sched.-WORST'!$AA$8, U313&lt;= ($AA$7+$AA$8)), PMT('Amort. Sched.-WORST'!$W$8/12, 'Amort. Sched.-WORST'!$AA$7, 'Amort. Sched.-WORST'!$W$7), 0)</f>
        <v>0</v>
      </c>
      <c r="W313" s="5">
        <f>IF(AND(U313&gt;='Amort. Sched.-WORST'!$AA$8, U313&lt;= ($AA$7+$AA$8)), (IPMT($W$8/12, (U313-$AA$8), $AA$7, $W$7)), 0)</f>
        <v>0</v>
      </c>
      <c r="X313" s="23">
        <f>IF(AND(U313&gt;='Amort. Sched.-WORST'!$AA$8, U313&lt;= ($AA$7+$AA$8)), (PPMT($W$8/12, (U313-$AA$8), $AA$7, $W$7)), 0)</f>
        <v>0</v>
      </c>
      <c r="Y313" s="5">
        <f>IF(CreditAmort2WORST[[#This Row],[Month]]=AA$8,W$7,0)</f>
        <v>0</v>
      </c>
      <c r="Z313" s="13">
        <f>IF(AND(U313&gt;='Amort. Sched.-WORST'!$AA$8, U313&lt;= ($AA$7+$AA$8)), Z312+X313, 0)</f>
        <v>0</v>
      </c>
      <c r="AA313" s="24" t="str">
        <f>IF(AND(U313&gt;='Amort. Sched.-WORST'!$AA$8, U313&lt;= ($AA$7+$AA$8)), W313/V313, " ")</f>
        <v xml:space="preserve"> </v>
      </c>
      <c r="AB313" s="25" t="str">
        <f>IF(AND(U313&gt;='Amort. Sched.-WORST'!$AA$8, U313&lt;= ($AA$7+$AA$8)), X313/V313, " ")</f>
        <v xml:space="preserve"> </v>
      </c>
      <c r="AD313" s="20">
        <f t="shared" si="71"/>
        <v>302</v>
      </c>
      <c r="AE313" s="5">
        <f t="shared" si="72"/>
        <v>0</v>
      </c>
      <c r="AF313" s="5">
        <f t="shared" si="73"/>
        <v>0</v>
      </c>
      <c r="AG313" s="5">
        <f t="shared" si="74"/>
        <v>0</v>
      </c>
      <c r="AH313" s="5">
        <f>IF(CreditAmort3WORST[[#This Row],[Month]]=AJ$8,AF$7,0)</f>
        <v>0</v>
      </c>
      <c r="AI313" s="13">
        <f t="shared" si="75"/>
        <v>0</v>
      </c>
      <c r="AJ313" s="6" t="str">
        <f t="shared" si="76"/>
        <v xml:space="preserve"> </v>
      </c>
      <c r="AK313" s="21" t="str">
        <f t="shared" si="77"/>
        <v xml:space="preserve"> </v>
      </c>
      <c r="AM313" s="20">
        <f t="shared" si="78"/>
        <v>302</v>
      </c>
      <c r="AN313" s="5">
        <f t="shared" si="79"/>
        <v>0</v>
      </c>
      <c r="AO313" s="5">
        <f t="shared" si="80"/>
        <v>0</v>
      </c>
      <c r="AP313" s="5">
        <f t="shared" si="81"/>
        <v>0</v>
      </c>
      <c r="AQ313" s="5">
        <f>IF(CreditAmort4WORST[[#This Row],[Month]]=AS$8,AO$7,0)</f>
        <v>0</v>
      </c>
      <c r="AR313" s="13">
        <f t="shared" si="82"/>
        <v>0</v>
      </c>
      <c r="AS313" s="6" t="str">
        <f t="shared" si="83"/>
        <v xml:space="preserve"> </v>
      </c>
      <c r="AT313" s="21" t="str">
        <f t="shared" si="84"/>
        <v xml:space="preserve"> </v>
      </c>
    </row>
    <row r="314" spans="3:46">
      <c r="C314" s="22">
        <f t="shared" si="69"/>
        <v>303</v>
      </c>
      <c r="D314" s="23">
        <f>IF(AND(C314&gt;='Amort. Sched.-WORST'!$I$8, C314&lt;= ($I$7+$I$8)), PMT('Amort. Sched.-WORST'!$E$8/12, 'Amort. Sched.-WORST'!$I$7, 'Amort. Sched.-WORST'!$E$7), 0)</f>
        <v>0</v>
      </c>
      <c r="E314" s="5">
        <f>IF(AND(C314&gt;='Amort. Sched.-WORST'!$I$8, C314&lt;= ($I$7+$I$8)), (IPMT($E$8/12, (C314-$I$8), $I$7, $E$7)), 0)</f>
        <v>0</v>
      </c>
      <c r="F314" s="23">
        <f>IF(AND(C314&gt;='Amort. Sched.-WORST'!$I$8, C314&lt;= ($I$7+$I$8)), (PPMT($E$8/12, (C314-$I$8), $I$7, $E$7)), 0)</f>
        <v>0</v>
      </c>
      <c r="G314" s="5">
        <f>IF(MortgageAmortWORST[[#This Row],[Month]]=I$8,E$7,0)</f>
        <v>0</v>
      </c>
      <c r="H314" s="13">
        <f>IF(AND(C314&gt;='Amort. Sched.-WORST'!$I$8, C314&lt;= ($I$7+$I$8)), H313+F314, 0)</f>
        <v>0</v>
      </c>
      <c r="I314" s="24" t="str">
        <f>IF(AND(C314&gt;='Amort. Sched.-WORST'!$I$8, C314&lt;= ($I$7+$I$8)), E314/D314, " ")</f>
        <v xml:space="preserve"> </v>
      </c>
      <c r="J314" s="25" t="str">
        <f>IF(AND(C314&gt;='Amort. Sched.-WORST'!$I$8, C314&lt;= ($I$7+$I$8)), F314/D314, " ")</f>
        <v xml:space="preserve"> </v>
      </c>
      <c r="L314" s="20">
        <f t="shared" si="68"/>
        <v>303</v>
      </c>
      <c r="M314" s="5">
        <f>IF(AND(L314&gt;='Amort. Sched.-WORST'!$R$8, L314&lt;= ($R$7+$R$8)), PMT('Amort. Sched.-WORST'!$N$8/12, 'Amort. Sched.-WORST'!$R$7, 'Amort. Sched.-WORST'!$N$7), 0)</f>
        <v>0</v>
      </c>
      <c r="N314" s="5">
        <f>IF(AND(L314&gt;='Amort. Sched.-WORST'!$R$8, L314&lt;= ($R$7+$R$8)), (IPMT($N$8/12, (L314-$R$8), $R$7, $N$7)), 0)</f>
        <v>0</v>
      </c>
      <c r="O314" s="5">
        <f>IF(AND(L314&gt;='Amort. Sched.-WORST'!$R$8, L314&lt;= ($R$7+$R$8)), (PPMT($N$8/12, (L314-$R$8), $R$7, $N$7)), 0)</f>
        <v>0</v>
      </c>
      <c r="P314" s="5">
        <f>IF(CreditAmort1WORST[[#This Row],[Month]]=R$8,N$7,0)</f>
        <v>0</v>
      </c>
      <c r="Q314" s="13">
        <f>IF(AND(L314&gt;='Amort. Sched.-WORST'!$R$8, L314&lt;= ($R$7+$R$8)), Q313+O314, 0)</f>
        <v>0</v>
      </c>
      <c r="R314" s="6" t="str">
        <f>IF(AND(L314&gt;='Amort. Sched.-WORST'!$R$8, L314&lt;= ($R$7+$R$8)), N314/M314, " ")</f>
        <v xml:space="preserve"> </v>
      </c>
      <c r="S314" s="21" t="str">
        <f>IF(AND(L314&gt;='Amort. Sched.-WORST'!$R$8, L314&lt;= ($R$7+$R$8)), O314/M314, " ")</f>
        <v xml:space="preserve"> </v>
      </c>
      <c r="U314" s="22">
        <f t="shared" si="70"/>
        <v>303</v>
      </c>
      <c r="V314" s="23">
        <f>IF(AND(U314&gt;='Amort. Sched.-WORST'!$AA$8, U314&lt;= ($AA$7+$AA$8)), PMT('Amort. Sched.-WORST'!$W$8/12, 'Amort. Sched.-WORST'!$AA$7, 'Amort. Sched.-WORST'!$W$7), 0)</f>
        <v>0</v>
      </c>
      <c r="W314" s="5">
        <f>IF(AND(U314&gt;='Amort. Sched.-WORST'!$AA$8, U314&lt;= ($AA$7+$AA$8)), (IPMT($W$8/12, (U314-$AA$8), $AA$7, $W$7)), 0)</f>
        <v>0</v>
      </c>
      <c r="X314" s="23">
        <f>IF(AND(U314&gt;='Amort. Sched.-WORST'!$AA$8, U314&lt;= ($AA$7+$AA$8)), (PPMT($W$8/12, (U314-$AA$8), $AA$7, $W$7)), 0)</f>
        <v>0</v>
      </c>
      <c r="Y314" s="5">
        <f>IF(CreditAmort2WORST[[#This Row],[Month]]=AA$8,W$7,0)</f>
        <v>0</v>
      </c>
      <c r="Z314" s="13">
        <f>IF(AND(U314&gt;='Amort. Sched.-WORST'!$AA$8, U314&lt;= ($AA$7+$AA$8)), Z313+X314, 0)</f>
        <v>0</v>
      </c>
      <c r="AA314" s="24" t="str">
        <f>IF(AND(U314&gt;='Amort. Sched.-WORST'!$AA$8, U314&lt;= ($AA$7+$AA$8)), W314/V314, " ")</f>
        <v xml:space="preserve"> </v>
      </c>
      <c r="AB314" s="25" t="str">
        <f>IF(AND(U314&gt;='Amort. Sched.-WORST'!$AA$8, U314&lt;= ($AA$7+$AA$8)), X314/V314, " ")</f>
        <v xml:space="preserve"> </v>
      </c>
      <c r="AD314" s="20">
        <f t="shared" si="71"/>
        <v>303</v>
      </c>
      <c r="AE314" s="5">
        <f t="shared" si="72"/>
        <v>0</v>
      </c>
      <c r="AF314" s="5">
        <f t="shared" si="73"/>
        <v>0</v>
      </c>
      <c r="AG314" s="5">
        <f t="shared" si="74"/>
        <v>0</v>
      </c>
      <c r="AH314" s="5">
        <f>IF(CreditAmort3WORST[[#This Row],[Month]]=AJ$8,AF$7,0)</f>
        <v>0</v>
      </c>
      <c r="AI314" s="13">
        <f t="shared" si="75"/>
        <v>0</v>
      </c>
      <c r="AJ314" s="6" t="str">
        <f t="shared" si="76"/>
        <v xml:space="preserve"> </v>
      </c>
      <c r="AK314" s="21" t="str">
        <f t="shared" si="77"/>
        <v xml:space="preserve"> </v>
      </c>
      <c r="AM314" s="20">
        <f t="shared" si="78"/>
        <v>303</v>
      </c>
      <c r="AN314" s="5">
        <f t="shared" si="79"/>
        <v>0</v>
      </c>
      <c r="AO314" s="5">
        <f t="shared" si="80"/>
        <v>0</v>
      </c>
      <c r="AP314" s="5">
        <f t="shared" si="81"/>
        <v>0</v>
      </c>
      <c r="AQ314" s="5">
        <f>IF(CreditAmort4WORST[[#This Row],[Month]]=AS$8,AO$7,0)</f>
        <v>0</v>
      </c>
      <c r="AR314" s="13">
        <f t="shared" si="82"/>
        <v>0</v>
      </c>
      <c r="AS314" s="6" t="str">
        <f t="shared" si="83"/>
        <v xml:space="preserve"> </v>
      </c>
      <c r="AT314" s="21" t="str">
        <f t="shared" si="84"/>
        <v xml:space="preserve"> </v>
      </c>
    </row>
    <row r="315" spans="3:46">
      <c r="C315" s="22">
        <f t="shared" si="69"/>
        <v>304</v>
      </c>
      <c r="D315" s="23">
        <f>IF(AND(C315&gt;='Amort. Sched.-WORST'!$I$8, C315&lt;= ($I$7+$I$8)), PMT('Amort. Sched.-WORST'!$E$8/12, 'Amort. Sched.-WORST'!$I$7, 'Amort. Sched.-WORST'!$E$7), 0)</f>
        <v>0</v>
      </c>
      <c r="E315" s="5">
        <f>IF(AND(C315&gt;='Amort. Sched.-WORST'!$I$8, C315&lt;= ($I$7+$I$8)), (IPMT($E$8/12, (C315-$I$8), $I$7, $E$7)), 0)</f>
        <v>0</v>
      </c>
      <c r="F315" s="23">
        <f>IF(AND(C315&gt;='Amort. Sched.-WORST'!$I$8, C315&lt;= ($I$7+$I$8)), (PPMT($E$8/12, (C315-$I$8), $I$7, $E$7)), 0)</f>
        <v>0</v>
      </c>
      <c r="G315" s="5">
        <f>IF(MortgageAmortWORST[[#This Row],[Month]]=I$8,E$7,0)</f>
        <v>0</v>
      </c>
      <c r="H315" s="13">
        <f>IF(AND(C315&gt;='Amort. Sched.-WORST'!$I$8, C315&lt;= ($I$7+$I$8)), H314+F315, 0)</f>
        <v>0</v>
      </c>
      <c r="I315" s="24" t="str">
        <f>IF(AND(C315&gt;='Amort. Sched.-WORST'!$I$8, C315&lt;= ($I$7+$I$8)), E315/D315, " ")</f>
        <v xml:space="preserve"> </v>
      </c>
      <c r="J315" s="25" t="str">
        <f>IF(AND(C315&gt;='Amort. Sched.-WORST'!$I$8, C315&lt;= ($I$7+$I$8)), F315/D315, " ")</f>
        <v xml:space="preserve"> </v>
      </c>
      <c r="L315" s="20">
        <f t="shared" si="68"/>
        <v>304</v>
      </c>
      <c r="M315" s="5">
        <f>IF(AND(L315&gt;='Amort. Sched.-WORST'!$R$8, L315&lt;= ($R$7+$R$8)), PMT('Amort. Sched.-WORST'!$N$8/12, 'Amort. Sched.-WORST'!$R$7, 'Amort. Sched.-WORST'!$N$7), 0)</f>
        <v>0</v>
      </c>
      <c r="N315" s="5">
        <f>IF(AND(L315&gt;='Amort. Sched.-WORST'!$R$8, L315&lt;= ($R$7+$R$8)), (IPMT($N$8/12, (L315-$R$8), $R$7, $N$7)), 0)</f>
        <v>0</v>
      </c>
      <c r="O315" s="5">
        <f>IF(AND(L315&gt;='Amort. Sched.-WORST'!$R$8, L315&lt;= ($R$7+$R$8)), (PPMT($N$8/12, (L315-$R$8), $R$7, $N$7)), 0)</f>
        <v>0</v>
      </c>
      <c r="P315" s="5">
        <f>IF(CreditAmort1WORST[[#This Row],[Month]]=R$8,N$7,0)</f>
        <v>0</v>
      </c>
      <c r="Q315" s="13">
        <f>IF(AND(L315&gt;='Amort. Sched.-WORST'!$R$8, L315&lt;= ($R$7+$R$8)), Q314+O315, 0)</f>
        <v>0</v>
      </c>
      <c r="R315" s="6" t="str">
        <f>IF(AND(L315&gt;='Amort. Sched.-WORST'!$R$8, L315&lt;= ($R$7+$R$8)), N315/M315, " ")</f>
        <v xml:space="preserve"> </v>
      </c>
      <c r="S315" s="21" t="str">
        <f>IF(AND(L315&gt;='Amort. Sched.-WORST'!$R$8, L315&lt;= ($R$7+$R$8)), O315/M315, " ")</f>
        <v xml:space="preserve"> </v>
      </c>
      <c r="U315" s="22">
        <f t="shared" si="70"/>
        <v>304</v>
      </c>
      <c r="V315" s="23">
        <f>IF(AND(U315&gt;='Amort. Sched.-WORST'!$AA$8, U315&lt;= ($AA$7+$AA$8)), PMT('Amort. Sched.-WORST'!$W$8/12, 'Amort. Sched.-WORST'!$AA$7, 'Amort. Sched.-WORST'!$W$7), 0)</f>
        <v>0</v>
      </c>
      <c r="W315" s="5">
        <f>IF(AND(U315&gt;='Amort. Sched.-WORST'!$AA$8, U315&lt;= ($AA$7+$AA$8)), (IPMT($W$8/12, (U315-$AA$8), $AA$7, $W$7)), 0)</f>
        <v>0</v>
      </c>
      <c r="X315" s="23">
        <f>IF(AND(U315&gt;='Amort. Sched.-WORST'!$AA$8, U315&lt;= ($AA$7+$AA$8)), (PPMT($W$8/12, (U315-$AA$8), $AA$7, $W$7)), 0)</f>
        <v>0</v>
      </c>
      <c r="Y315" s="5">
        <f>IF(CreditAmort2WORST[[#This Row],[Month]]=AA$8,W$7,0)</f>
        <v>0</v>
      </c>
      <c r="Z315" s="13">
        <f>IF(AND(U315&gt;='Amort. Sched.-WORST'!$AA$8, U315&lt;= ($AA$7+$AA$8)), Z314+X315, 0)</f>
        <v>0</v>
      </c>
      <c r="AA315" s="24" t="str">
        <f>IF(AND(U315&gt;='Amort. Sched.-WORST'!$AA$8, U315&lt;= ($AA$7+$AA$8)), W315/V315, " ")</f>
        <v xml:space="preserve"> </v>
      </c>
      <c r="AB315" s="25" t="str">
        <f>IF(AND(U315&gt;='Amort. Sched.-WORST'!$AA$8, U315&lt;= ($AA$7+$AA$8)), X315/V315, " ")</f>
        <v xml:space="preserve"> </v>
      </c>
      <c r="AD315" s="20">
        <f t="shared" si="71"/>
        <v>304</v>
      </c>
      <c r="AE315" s="5">
        <f t="shared" si="72"/>
        <v>0</v>
      </c>
      <c r="AF315" s="5">
        <f t="shared" si="73"/>
        <v>0</v>
      </c>
      <c r="AG315" s="5">
        <f t="shared" si="74"/>
        <v>0</v>
      </c>
      <c r="AH315" s="5">
        <f>IF(CreditAmort3WORST[[#This Row],[Month]]=AJ$8,AF$7,0)</f>
        <v>0</v>
      </c>
      <c r="AI315" s="13">
        <f t="shared" si="75"/>
        <v>0</v>
      </c>
      <c r="AJ315" s="6" t="str">
        <f t="shared" si="76"/>
        <v xml:space="preserve"> </v>
      </c>
      <c r="AK315" s="21" t="str">
        <f t="shared" si="77"/>
        <v xml:space="preserve"> </v>
      </c>
      <c r="AM315" s="20">
        <f t="shared" si="78"/>
        <v>304</v>
      </c>
      <c r="AN315" s="5">
        <f t="shared" si="79"/>
        <v>0</v>
      </c>
      <c r="AO315" s="5">
        <f t="shared" si="80"/>
        <v>0</v>
      </c>
      <c r="AP315" s="5">
        <f t="shared" si="81"/>
        <v>0</v>
      </c>
      <c r="AQ315" s="5">
        <f>IF(CreditAmort4WORST[[#This Row],[Month]]=AS$8,AO$7,0)</f>
        <v>0</v>
      </c>
      <c r="AR315" s="13">
        <f t="shared" si="82"/>
        <v>0</v>
      </c>
      <c r="AS315" s="6" t="str">
        <f t="shared" si="83"/>
        <v xml:space="preserve"> </v>
      </c>
      <c r="AT315" s="21" t="str">
        <f t="shared" si="84"/>
        <v xml:space="preserve"> </v>
      </c>
    </row>
    <row r="316" spans="3:46">
      <c r="C316" s="22">
        <f t="shared" si="69"/>
        <v>305</v>
      </c>
      <c r="D316" s="23">
        <f>IF(AND(C316&gt;='Amort. Sched.-WORST'!$I$8, C316&lt;= ($I$7+$I$8)), PMT('Amort. Sched.-WORST'!$E$8/12, 'Amort. Sched.-WORST'!$I$7, 'Amort. Sched.-WORST'!$E$7), 0)</f>
        <v>0</v>
      </c>
      <c r="E316" s="5">
        <f>IF(AND(C316&gt;='Amort. Sched.-WORST'!$I$8, C316&lt;= ($I$7+$I$8)), (IPMT($E$8/12, (C316-$I$8), $I$7, $E$7)), 0)</f>
        <v>0</v>
      </c>
      <c r="F316" s="23">
        <f>IF(AND(C316&gt;='Amort. Sched.-WORST'!$I$8, C316&lt;= ($I$7+$I$8)), (PPMT($E$8/12, (C316-$I$8), $I$7, $E$7)), 0)</f>
        <v>0</v>
      </c>
      <c r="G316" s="5">
        <f>IF(MortgageAmortWORST[[#This Row],[Month]]=I$8,E$7,0)</f>
        <v>0</v>
      </c>
      <c r="H316" s="13">
        <f>IF(AND(C316&gt;='Amort. Sched.-WORST'!$I$8, C316&lt;= ($I$7+$I$8)), H315+F316, 0)</f>
        <v>0</v>
      </c>
      <c r="I316" s="24" t="str">
        <f>IF(AND(C316&gt;='Amort. Sched.-WORST'!$I$8, C316&lt;= ($I$7+$I$8)), E316/D316, " ")</f>
        <v xml:space="preserve"> </v>
      </c>
      <c r="J316" s="25" t="str">
        <f>IF(AND(C316&gt;='Amort. Sched.-WORST'!$I$8, C316&lt;= ($I$7+$I$8)), F316/D316, " ")</f>
        <v xml:space="preserve"> </v>
      </c>
      <c r="L316" s="20">
        <f t="shared" si="68"/>
        <v>305</v>
      </c>
      <c r="M316" s="5">
        <f>IF(AND(L316&gt;='Amort. Sched.-WORST'!$R$8, L316&lt;= ($R$7+$R$8)), PMT('Amort. Sched.-WORST'!$N$8/12, 'Amort. Sched.-WORST'!$R$7, 'Amort. Sched.-WORST'!$N$7), 0)</f>
        <v>0</v>
      </c>
      <c r="N316" s="5">
        <f>IF(AND(L316&gt;='Amort. Sched.-WORST'!$R$8, L316&lt;= ($R$7+$R$8)), (IPMT($N$8/12, (L316-$R$8), $R$7, $N$7)), 0)</f>
        <v>0</v>
      </c>
      <c r="O316" s="5">
        <f>IF(AND(L316&gt;='Amort. Sched.-WORST'!$R$8, L316&lt;= ($R$7+$R$8)), (PPMT($N$8/12, (L316-$R$8), $R$7, $N$7)), 0)</f>
        <v>0</v>
      </c>
      <c r="P316" s="5">
        <f>IF(CreditAmort1WORST[[#This Row],[Month]]=R$8,N$7,0)</f>
        <v>0</v>
      </c>
      <c r="Q316" s="13">
        <f>IF(AND(L316&gt;='Amort. Sched.-WORST'!$R$8, L316&lt;= ($R$7+$R$8)), Q315+O316, 0)</f>
        <v>0</v>
      </c>
      <c r="R316" s="6" t="str">
        <f>IF(AND(L316&gt;='Amort. Sched.-WORST'!$R$8, L316&lt;= ($R$7+$R$8)), N316/M316, " ")</f>
        <v xml:space="preserve"> </v>
      </c>
      <c r="S316" s="21" t="str">
        <f>IF(AND(L316&gt;='Amort. Sched.-WORST'!$R$8, L316&lt;= ($R$7+$R$8)), O316/M316, " ")</f>
        <v xml:space="preserve"> </v>
      </c>
      <c r="U316" s="22">
        <f t="shared" si="70"/>
        <v>305</v>
      </c>
      <c r="V316" s="23">
        <f>IF(AND(U316&gt;='Amort. Sched.-WORST'!$AA$8, U316&lt;= ($AA$7+$AA$8)), PMT('Amort. Sched.-WORST'!$W$8/12, 'Amort. Sched.-WORST'!$AA$7, 'Amort. Sched.-WORST'!$W$7), 0)</f>
        <v>0</v>
      </c>
      <c r="W316" s="5">
        <f>IF(AND(U316&gt;='Amort. Sched.-WORST'!$AA$8, U316&lt;= ($AA$7+$AA$8)), (IPMT($W$8/12, (U316-$AA$8), $AA$7, $W$7)), 0)</f>
        <v>0</v>
      </c>
      <c r="X316" s="23">
        <f>IF(AND(U316&gt;='Amort. Sched.-WORST'!$AA$8, U316&lt;= ($AA$7+$AA$8)), (PPMT($W$8/12, (U316-$AA$8), $AA$7, $W$7)), 0)</f>
        <v>0</v>
      </c>
      <c r="Y316" s="5">
        <f>IF(CreditAmort2WORST[[#This Row],[Month]]=AA$8,W$7,0)</f>
        <v>0</v>
      </c>
      <c r="Z316" s="13">
        <f>IF(AND(U316&gt;='Amort. Sched.-WORST'!$AA$8, U316&lt;= ($AA$7+$AA$8)), Z315+X316, 0)</f>
        <v>0</v>
      </c>
      <c r="AA316" s="24" t="str">
        <f>IF(AND(U316&gt;='Amort. Sched.-WORST'!$AA$8, U316&lt;= ($AA$7+$AA$8)), W316/V316, " ")</f>
        <v xml:space="preserve"> </v>
      </c>
      <c r="AB316" s="25" t="str">
        <f>IF(AND(U316&gt;='Amort. Sched.-WORST'!$AA$8, U316&lt;= ($AA$7+$AA$8)), X316/V316, " ")</f>
        <v xml:space="preserve"> </v>
      </c>
      <c r="AD316" s="20">
        <f t="shared" si="71"/>
        <v>305</v>
      </c>
      <c r="AE316" s="5">
        <f t="shared" si="72"/>
        <v>0</v>
      </c>
      <c r="AF316" s="5">
        <f t="shared" si="73"/>
        <v>0</v>
      </c>
      <c r="AG316" s="5">
        <f t="shared" si="74"/>
        <v>0</v>
      </c>
      <c r="AH316" s="5">
        <f>IF(CreditAmort3WORST[[#This Row],[Month]]=AJ$8,AF$7,0)</f>
        <v>0</v>
      </c>
      <c r="AI316" s="13">
        <f t="shared" si="75"/>
        <v>0</v>
      </c>
      <c r="AJ316" s="6" t="str">
        <f t="shared" si="76"/>
        <v xml:space="preserve"> </v>
      </c>
      <c r="AK316" s="21" t="str">
        <f t="shared" si="77"/>
        <v xml:space="preserve"> </v>
      </c>
      <c r="AM316" s="20">
        <f t="shared" si="78"/>
        <v>305</v>
      </c>
      <c r="AN316" s="5">
        <f t="shared" si="79"/>
        <v>0</v>
      </c>
      <c r="AO316" s="5">
        <f t="shared" si="80"/>
        <v>0</v>
      </c>
      <c r="AP316" s="5">
        <f t="shared" si="81"/>
        <v>0</v>
      </c>
      <c r="AQ316" s="5">
        <f>IF(CreditAmort4WORST[[#This Row],[Month]]=AS$8,AO$7,0)</f>
        <v>0</v>
      </c>
      <c r="AR316" s="13">
        <f t="shared" si="82"/>
        <v>0</v>
      </c>
      <c r="AS316" s="6" t="str">
        <f t="shared" si="83"/>
        <v xml:space="preserve"> </v>
      </c>
      <c r="AT316" s="21" t="str">
        <f t="shared" si="84"/>
        <v xml:space="preserve"> </v>
      </c>
    </row>
    <row r="317" spans="3:46">
      <c r="C317" s="22">
        <f t="shared" si="69"/>
        <v>306</v>
      </c>
      <c r="D317" s="23">
        <f>IF(AND(C317&gt;='Amort. Sched.-WORST'!$I$8, C317&lt;= ($I$7+$I$8)), PMT('Amort. Sched.-WORST'!$E$8/12, 'Amort. Sched.-WORST'!$I$7, 'Amort. Sched.-WORST'!$E$7), 0)</f>
        <v>0</v>
      </c>
      <c r="E317" s="5">
        <f>IF(AND(C317&gt;='Amort. Sched.-WORST'!$I$8, C317&lt;= ($I$7+$I$8)), (IPMT($E$8/12, (C317-$I$8), $I$7, $E$7)), 0)</f>
        <v>0</v>
      </c>
      <c r="F317" s="23">
        <f>IF(AND(C317&gt;='Amort. Sched.-WORST'!$I$8, C317&lt;= ($I$7+$I$8)), (PPMT($E$8/12, (C317-$I$8), $I$7, $E$7)), 0)</f>
        <v>0</v>
      </c>
      <c r="G317" s="5">
        <f>IF(MortgageAmortWORST[[#This Row],[Month]]=I$8,E$7,0)</f>
        <v>0</v>
      </c>
      <c r="H317" s="13">
        <f>IF(AND(C317&gt;='Amort. Sched.-WORST'!$I$8, C317&lt;= ($I$7+$I$8)), H316+F317, 0)</f>
        <v>0</v>
      </c>
      <c r="I317" s="24" t="str">
        <f>IF(AND(C317&gt;='Amort. Sched.-WORST'!$I$8, C317&lt;= ($I$7+$I$8)), E317/D317, " ")</f>
        <v xml:space="preserve"> </v>
      </c>
      <c r="J317" s="25" t="str">
        <f>IF(AND(C317&gt;='Amort. Sched.-WORST'!$I$8, C317&lt;= ($I$7+$I$8)), F317/D317, " ")</f>
        <v xml:space="preserve"> </v>
      </c>
      <c r="L317" s="20">
        <f t="shared" si="68"/>
        <v>306</v>
      </c>
      <c r="M317" s="5">
        <f>IF(AND(L317&gt;='Amort. Sched.-WORST'!$R$8, L317&lt;= ($R$7+$R$8)), PMT('Amort. Sched.-WORST'!$N$8/12, 'Amort. Sched.-WORST'!$R$7, 'Amort. Sched.-WORST'!$N$7), 0)</f>
        <v>0</v>
      </c>
      <c r="N317" s="5">
        <f>IF(AND(L317&gt;='Amort. Sched.-WORST'!$R$8, L317&lt;= ($R$7+$R$8)), (IPMT($N$8/12, (L317-$R$8), $R$7, $N$7)), 0)</f>
        <v>0</v>
      </c>
      <c r="O317" s="5">
        <f>IF(AND(L317&gt;='Amort. Sched.-WORST'!$R$8, L317&lt;= ($R$7+$R$8)), (PPMT($N$8/12, (L317-$R$8), $R$7, $N$7)), 0)</f>
        <v>0</v>
      </c>
      <c r="P317" s="5">
        <f>IF(CreditAmort1WORST[[#This Row],[Month]]=R$8,N$7,0)</f>
        <v>0</v>
      </c>
      <c r="Q317" s="13">
        <f>IF(AND(L317&gt;='Amort. Sched.-WORST'!$R$8, L317&lt;= ($R$7+$R$8)), Q316+O317, 0)</f>
        <v>0</v>
      </c>
      <c r="R317" s="6" t="str">
        <f>IF(AND(L317&gt;='Amort. Sched.-WORST'!$R$8, L317&lt;= ($R$7+$R$8)), N317/M317, " ")</f>
        <v xml:space="preserve"> </v>
      </c>
      <c r="S317" s="21" t="str">
        <f>IF(AND(L317&gt;='Amort. Sched.-WORST'!$R$8, L317&lt;= ($R$7+$R$8)), O317/M317, " ")</f>
        <v xml:space="preserve"> </v>
      </c>
      <c r="U317" s="22">
        <f t="shared" si="70"/>
        <v>306</v>
      </c>
      <c r="V317" s="23">
        <f>IF(AND(U317&gt;='Amort. Sched.-WORST'!$AA$8, U317&lt;= ($AA$7+$AA$8)), PMT('Amort. Sched.-WORST'!$W$8/12, 'Amort. Sched.-WORST'!$AA$7, 'Amort. Sched.-WORST'!$W$7), 0)</f>
        <v>0</v>
      </c>
      <c r="W317" s="5">
        <f>IF(AND(U317&gt;='Amort. Sched.-WORST'!$AA$8, U317&lt;= ($AA$7+$AA$8)), (IPMT($W$8/12, (U317-$AA$8), $AA$7, $W$7)), 0)</f>
        <v>0</v>
      </c>
      <c r="X317" s="23">
        <f>IF(AND(U317&gt;='Amort. Sched.-WORST'!$AA$8, U317&lt;= ($AA$7+$AA$8)), (PPMT($W$8/12, (U317-$AA$8), $AA$7, $W$7)), 0)</f>
        <v>0</v>
      </c>
      <c r="Y317" s="5">
        <f>IF(CreditAmort2WORST[[#This Row],[Month]]=AA$8,W$7,0)</f>
        <v>0</v>
      </c>
      <c r="Z317" s="13">
        <f>IF(AND(U317&gt;='Amort. Sched.-WORST'!$AA$8, U317&lt;= ($AA$7+$AA$8)), Z316+X317, 0)</f>
        <v>0</v>
      </c>
      <c r="AA317" s="24" t="str">
        <f>IF(AND(U317&gt;='Amort. Sched.-WORST'!$AA$8, U317&lt;= ($AA$7+$AA$8)), W317/V317, " ")</f>
        <v xml:space="preserve"> </v>
      </c>
      <c r="AB317" s="25" t="str">
        <f>IF(AND(U317&gt;='Amort. Sched.-WORST'!$AA$8, U317&lt;= ($AA$7+$AA$8)), X317/V317, " ")</f>
        <v xml:space="preserve"> </v>
      </c>
      <c r="AD317" s="20">
        <f t="shared" si="71"/>
        <v>306</v>
      </c>
      <c r="AE317" s="5">
        <f t="shared" si="72"/>
        <v>0</v>
      </c>
      <c r="AF317" s="5">
        <f t="shared" si="73"/>
        <v>0</v>
      </c>
      <c r="AG317" s="5">
        <f t="shared" si="74"/>
        <v>0</v>
      </c>
      <c r="AH317" s="5">
        <f>IF(CreditAmort3WORST[[#This Row],[Month]]=AJ$8,AF$7,0)</f>
        <v>0</v>
      </c>
      <c r="AI317" s="13">
        <f t="shared" si="75"/>
        <v>0</v>
      </c>
      <c r="AJ317" s="6" t="str">
        <f t="shared" si="76"/>
        <v xml:space="preserve"> </v>
      </c>
      <c r="AK317" s="21" t="str">
        <f t="shared" si="77"/>
        <v xml:space="preserve"> </v>
      </c>
      <c r="AM317" s="20">
        <f t="shared" si="78"/>
        <v>306</v>
      </c>
      <c r="AN317" s="5">
        <f t="shared" si="79"/>
        <v>0</v>
      </c>
      <c r="AO317" s="5">
        <f t="shared" si="80"/>
        <v>0</v>
      </c>
      <c r="AP317" s="5">
        <f t="shared" si="81"/>
        <v>0</v>
      </c>
      <c r="AQ317" s="5">
        <f>IF(CreditAmort4WORST[[#This Row],[Month]]=AS$8,AO$7,0)</f>
        <v>0</v>
      </c>
      <c r="AR317" s="13">
        <f t="shared" si="82"/>
        <v>0</v>
      </c>
      <c r="AS317" s="6" t="str">
        <f t="shared" si="83"/>
        <v xml:space="preserve"> </v>
      </c>
      <c r="AT317" s="21" t="str">
        <f t="shared" si="84"/>
        <v xml:space="preserve"> </v>
      </c>
    </row>
    <row r="318" spans="3:46">
      <c r="C318" s="22">
        <f t="shared" si="69"/>
        <v>307</v>
      </c>
      <c r="D318" s="23">
        <f>IF(AND(C318&gt;='Amort. Sched.-WORST'!$I$8, C318&lt;= ($I$7+$I$8)), PMT('Amort. Sched.-WORST'!$E$8/12, 'Amort. Sched.-WORST'!$I$7, 'Amort. Sched.-WORST'!$E$7), 0)</f>
        <v>0</v>
      </c>
      <c r="E318" s="5">
        <f>IF(AND(C318&gt;='Amort. Sched.-WORST'!$I$8, C318&lt;= ($I$7+$I$8)), (IPMT($E$8/12, (C318-$I$8), $I$7, $E$7)), 0)</f>
        <v>0</v>
      </c>
      <c r="F318" s="23">
        <f>IF(AND(C318&gt;='Amort. Sched.-WORST'!$I$8, C318&lt;= ($I$7+$I$8)), (PPMT($E$8/12, (C318-$I$8), $I$7, $E$7)), 0)</f>
        <v>0</v>
      </c>
      <c r="G318" s="5">
        <f>IF(MortgageAmortWORST[[#This Row],[Month]]=I$8,E$7,0)</f>
        <v>0</v>
      </c>
      <c r="H318" s="13">
        <f>IF(AND(C318&gt;='Amort. Sched.-WORST'!$I$8, C318&lt;= ($I$7+$I$8)), H317+F318, 0)</f>
        <v>0</v>
      </c>
      <c r="I318" s="24" t="str">
        <f>IF(AND(C318&gt;='Amort. Sched.-WORST'!$I$8, C318&lt;= ($I$7+$I$8)), E318/D318, " ")</f>
        <v xml:space="preserve"> </v>
      </c>
      <c r="J318" s="25" t="str">
        <f>IF(AND(C318&gt;='Amort. Sched.-WORST'!$I$8, C318&lt;= ($I$7+$I$8)), F318/D318, " ")</f>
        <v xml:space="preserve"> </v>
      </c>
      <c r="L318" s="20">
        <f t="shared" si="68"/>
        <v>307</v>
      </c>
      <c r="M318" s="5">
        <f>IF(AND(L318&gt;='Amort. Sched.-WORST'!$R$8, L318&lt;= ($R$7+$R$8)), PMT('Amort. Sched.-WORST'!$N$8/12, 'Amort. Sched.-WORST'!$R$7, 'Amort. Sched.-WORST'!$N$7), 0)</f>
        <v>0</v>
      </c>
      <c r="N318" s="5">
        <f>IF(AND(L318&gt;='Amort. Sched.-WORST'!$R$8, L318&lt;= ($R$7+$R$8)), (IPMT($N$8/12, (L318-$R$8), $R$7, $N$7)), 0)</f>
        <v>0</v>
      </c>
      <c r="O318" s="5">
        <f>IF(AND(L318&gt;='Amort. Sched.-WORST'!$R$8, L318&lt;= ($R$7+$R$8)), (PPMT($N$8/12, (L318-$R$8), $R$7, $N$7)), 0)</f>
        <v>0</v>
      </c>
      <c r="P318" s="5">
        <f>IF(CreditAmort1WORST[[#This Row],[Month]]=R$8,N$7,0)</f>
        <v>0</v>
      </c>
      <c r="Q318" s="13">
        <f>IF(AND(L318&gt;='Amort. Sched.-WORST'!$R$8, L318&lt;= ($R$7+$R$8)), Q317+O318, 0)</f>
        <v>0</v>
      </c>
      <c r="R318" s="6" t="str">
        <f>IF(AND(L318&gt;='Amort. Sched.-WORST'!$R$8, L318&lt;= ($R$7+$R$8)), N318/M318, " ")</f>
        <v xml:space="preserve"> </v>
      </c>
      <c r="S318" s="21" t="str">
        <f>IF(AND(L318&gt;='Amort. Sched.-WORST'!$R$8, L318&lt;= ($R$7+$R$8)), O318/M318, " ")</f>
        <v xml:space="preserve"> </v>
      </c>
      <c r="U318" s="22">
        <f t="shared" si="70"/>
        <v>307</v>
      </c>
      <c r="V318" s="23">
        <f>IF(AND(U318&gt;='Amort. Sched.-WORST'!$AA$8, U318&lt;= ($AA$7+$AA$8)), PMT('Amort. Sched.-WORST'!$W$8/12, 'Amort. Sched.-WORST'!$AA$7, 'Amort. Sched.-WORST'!$W$7), 0)</f>
        <v>0</v>
      </c>
      <c r="W318" s="5">
        <f>IF(AND(U318&gt;='Amort. Sched.-WORST'!$AA$8, U318&lt;= ($AA$7+$AA$8)), (IPMT($W$8/12, (U318-$AA$8), $AA$7, $W$7)), 0)</f>
        <v>0</v>
      </c>
      <c r="X318" s="23">
        <f>IF(AND(U318&gt;='Amort. Sched.-WORST'!$AA$8, U318&lt;= ($AA$7+$AA$8)), (PPMT($W$8/12, (U318-$AA$8), $AA$7, $W$7)), 0)</f>
        <v>0</v>
      </c>
      <c r="Y318" s="5">
        <f>IF(CreditAmort2WORST[[#This Row],[Month]]=AA$8,W$7,0)</f>
        <v>0</v>
      </c>
      <c r="Z318" s="13">
        <f>IF(AND(U318&gt;='Amort. Sched.-WORST'!$AA$8, U318&lt;= ($AA$7+$AA$8)), Z317+X318, 0)</f>
        <v>0</v>
      </c>
      <c r="AA318" s="24" t="str">
        <f>IF(AND(U318&gt;='Amort. Sched.-WORST'!$AA$8, U318&lt;= ($AA$7+$AA$8)), W318/V318, " ")</f>
        <v xml:space="preserve"> </v>
      </c>
      <c r="AB318" s="25" t="str">
        <f>IF(AND(U318&gt;='Amort. Sched.-WORST'!$AA$8, U318&lt;= ($AA$7+$AA$8)), X318/V318, " ")</f>
        <v xml:space="preserve"> </v>
      </c>
      <c r="AD318" s="20">
        <f t="shared" si="71"/>
        <v>307</v>
      </c>
      <c r="AE318" s="5">
        <f t="shared" si="72"/>
        <v>0</v>
      </c>
      <c r="AF318" s="5">
        <f t="shared" si="73"/>
        <v>0</v>
      </c>
      <c r="AG318" s="5">
        <f t="shared" si="74"/>
        <v>0</v>
      </c>
      <c r="AH318" s="5">
        <f>IF(CreditAmort3WORST[[#This Row],[Month]]=AJ$8,AF$7,0)</f>
        <v>0</v>
      </c>
      <c r="AI318" s="13">
        <f t="shared" si="75"/>
        <v>0</v>
      </c>
      <c r="AJ318" s="6" t="str">
        <f t="shared" si="76"/>
        <v xml:space="preserve"> </v>
      </c>
      <c r="AK318" s="21" t="str">
        <f t="shared" si="77"/>
        <v xml:space="preserve"> </v>
      </c>
      <c r="AM318" s="20">
        <f t="shared" si="78"/>
        <v>307</v>
      </c>
      <c r="AN318" s="5">
        <f t="shared" si="79"/>
        <v>0</v>
      </c>
      <c r="AO318" s="5">
        <f t="shared" si="80"/>
        <v>0</v>
      </c>
      <c r="AP318" s="5">
        <f t="shared" si="81"/>
        <v>0</v>
      </c>
      <c r="AQ318" s="5">
        <f>IF(CreditAmort4WORST[[#This Row],[Month]]=AS$8,AO$7,0)</f>
        <v>0</v>
      </c>
      <c r="AR318" s="13">
        <f t="shared" si="82"/>
        <v>0</v>
      </c>
      <c r="AS318" s="6" t="str">
        <f t="shared" si="83"/>
        <v xml:space="preserve"> </v>
      </c>
      <c r="AT318" s="21" t="str">
        <f t="shared" si="84"/>
        <v xml:space="preserve"> </v>
      </c>
    </row>
    <row r="319" spans="3:46">
      <c r="C319" s="22">
        <f t="shared" si="69"/>
        <v>308</v>
      </c>
      <c r="D319" s="23">
        <f>IF(AND(C319&gt;='Amort. Sched.-WORST'!$I$8, C319&lt;= ($I$7+$I$8)), PMT('Amort. Sched.-WORST'!$E$8/12, 'Amort. Sched.-WORST'!$I$7, 'Amort. Sched.-WORST'!$E$7), 0)</f>
        <v>0</v>
      </c>
      <c r="E319" s="5">
        <f>IF(AND(C319&gt;='Amort. Sched.-WORST'!$I$8, C319&lt;= ($I$7+$I$8)), (IPMT($E$8/12, (C319-$I$8), $I$7, $E$7)), 0)</f>
        <v>0</v>
      </c>
      <c r="F319" s="23">
        <f>IF(AND(C319&gt;='Amort. Sched.-WORST'!$I$8, C319&lt;= ($I$7+$I$8)), (PPMT($E$8/12, (C319-$I$8), $I$7, $E$7)), 0)</f>
        <v>0</v>
      </c>
      <c r="G319" s="5">
        <f>IF(MortgageAmortWORST[[#This Row],[Month]]=I$8,E$7,0)</f>
        <v>0</v>
      </c>
      <c r="H319" s="13">
        <f>IF(AND(C319&gt;='Amort. Sched.-WORST'!$I$8, C319&lt;= ($I$7+$I$8)), H318+F319, 0)</f>
        <v>0</v>
      </c>
      <c r="I319" s="24" t="str">
        <f>IF(AND(C319&gt;='Amort. Sched.-WORST'!$I$8, C319&lt;= ($I$7+$I$8)), E319/D319, " ")</f>
        <v xml:space="preserve"> </v>
      </c>
      <c r="J319" s="25" t="str">
        <f>IF(AND(C319&gt;='Amort. Sched.-WORST'!$I$8, C319&lt;= ($I$7+$I$8)), F319/D319, " ")</f>
        <v xml:space="preserve"> </v>
      </c>
      <c r="L319" s="20">
        <f t="shared" si="68"/>
        <v>308</v>
      </c>
      <c r="M319" s="5">
        <f>IF(AND(L319&gt;='Amort. Sched.-WORST'!$R$8, L319&lt;= ($R$7+$R$8)), PMT('Amort. Sched.-WORST'!$N$8/12, 'Amort. Sched.-WORST'!$R$7, 'Amort. Sched.-WORST'!$N$7), 0)</f>
        <v>0</v>
      </c>
      <c r="N319" s="5">
        <f>IF(AND(L319&gt;='Amort. Sched.-WORST'!$R$8, L319&lt;= ($R$7+$R$8)), (IPMT($N$8/12, (L319-$R$8), $R$7, $N$7)), 0)</f>
        <v>0</v>
      </c>
      <c r="O319" s="5">
        <f>IF(AND(L319&gt;='Amort. Sched.-WORST'!$R$8, L319&lt;= ($R$7+$R$8)), (PPMT($N$8/12, (L319-$R$8), $R$7, $N$7)), 0)</f>
        <v>0</v>
      </c>
      <c r="P319" s="5">
        <f>IF(CreditAmort1WORST[[#This Row],[Month]]=R$8,N$7,0)</f>
        <v>0</v>
      </c>
      <c r="Q319" s="13">
        <f>IF(AND(L319&gt;='Amort. Sched.-WORST'!$R$8, L319&lt;= ($R$7+$R$8)), Q318+O319, 0)</f>
        <v>0</v>
      </c>
      <c r="R319" s="6" t="str">
        <f>IF(AND(L319&gt;='Amort. Sched.-WORST'!$R$8, L319&lt;= ($R$7+$R$8)), N319/M319, " ")</f>
        <v xml:space="preserve"> </v>
      </c>
      <c r="S319" s="21" t="str">
        <f>IF(AND(L319&gt;='Amort. Sched.-WORST'!$R$8, L319&lt;= ($R$7+$R$8)), O319/M319, " ")</f>
        <v xml:space="preserve"> </v>
      </c>
      <c r="U319" s="22">
        <f t="shared" si="70"/>
        <v>308</v>
      </c>
      <c r="V319" s="23">
        <f>IF(AND(U319&gt;='Amort. Sched.-WORST'!$AA$8, U319&lt;= ($AA$7+$AA$8)), PMT('Amort. Sched.-WORST'!$W$8/12, 'Amort. Sched.-WORST'!$AA$7, 'Amort. Sched.-WORST'!$W$7), 0)</f>
        <v>0</v>
      </c>
      <c r="W319" s="5">
        <f>IF(AND(U319&gt;='Amort. Sched.-WORST'!$AA$8, U319&lt;= ($AA$7+$AA$8)), (IPMT($W$8/12, (U319-$AA$8), $AA$7, $W$7)), 0)</f>
        <v>0</v>
      </c>
      <c r="X319" s="23">
        <f>IF(AND(U319&gt;='Amort. Sched.-WORST'!$AA$8, U319&lt;= ($AA$7+$AA$8)), (PPMT($W$8/12, (U319-$AA$8), $AA$7, $W$7)), 0)</f>
        <v>0</v>
      </c>
      <c r="Y319" s="5">
        <f>IF(CreditAmort2WORST[[#This Row],[Month]]=AA$8,W$7,0)</f>
        <v>0</v>
      </c>
      <c r="Z319" s="13">
        <f>IF(AND(U319&gt;='Amort. Sched.-WORST'!$AA$8, U319&lt;= ($AA$7+$AA$8)), Z318+X319, 0)</f>
        <v>0</v>
      </c>
      <c r="AA319" s="24" t="str">
        <f>IF(AND(U319&gt;='Amort. Sched.-WORST'!$AA$8, U319&lt;= ($AA$7+$AA$8)), W319/V319, " ")</f>
        <v xml:space="preserve"> </v>
      </c>
      <c r="AB319" s="25" t="str">
        <f>IF(AND(U319&gt;='Amort. Sched.-WORST'!$AA$8, U319&lt;= ($AA$7+$AA$8)), X319/V319, " ")</f>
        <v xml:space="preserve"> </v>
      </c>
      <c r="AD319" s="20">
        <f t="shared" si="71"/>
        <v>308</v>
      </c>
      <c r="AE319" s="5">
        <f t="shared" si="72"/>
        <v>0</v>
      </c>
      <c r="AF319" s="5">
        <f t="shared" si="73"/>
        <v>0</v>
      </c>
      <c r="AG319" s="5">
        <f t="shared" si="74"/>
        <v>0</v>
      </c>
      <c r="AH319" s="5">
        <f>IF(CreditAmort3WORST[[#This Row],[Month]]=AJ$8,AF$7,0)</f>
        <v>0</v>
      </c>
      <c r="AI319" s="13">
        <f t="shared" si="75"/>
        <v>0</v>
      </c>
      <c r="AJ319" s="6" t="str">
        <f t="shared" si="76"/>
        <v xml:space="preserve"> </v>
      </c>
      <c r="AK319" s="21" t="str">
        <f t="shared" si="77"/>
        <v xml:space="preserve"> </v>
      </c>
      <c r="AM319" s="20">
        <f t="shared" si="78"/>
        <v>308</v>
      </c>
      <c r="AN319" s="5">
        <f t="shared" si="79"/>
        <v>0</v>
      </c>
      <c r="AO319" s="5">
        <f t="shared" si="80"/>
        <v>0</v>
      </c>
      <c r="AP319" s="5">
        <f t="shared" si="81"/>
        <v>0</v>
      </c>
      <c r="AQ319" s="5">
        <f>IF(CreditAmort4WORST[[#This Row],[Month]]=AS$8,AO$7,0)</f>
        <v>0</v>
      </c>
      <c r="AR319" s="13">
        <f t="shared" si="82"/>
        <v>0</v>
      </c>
      <c r="AS319" s="6" t="str">
        <f t="shared" si="83"/>
        <v xml:space="preserve"> </v>
      </c>
      <c r="AT319" s="21" t="str">
        <f t="shared" si="84"/>
        <v xml:space="preserve"> </v>
      </c>
    </row>
    <row r="320" spans="3:46">
      <c r="C320" s="22">
        <f t="shared" si="69"/>
        <v>309</v>
      </c>
      <c r="D320" s="23">
        <f>IF(AND(C320&gt;='Amort. Sched.-WORST'!$I$8, C320&lt;= ($I$7+$I$8)), PMT('Amort. Sched.-WORST'!$E$8/12, 'Amort. Sched.-WORST'!$I$7, 'Amort. Sched.-WORST'!$E$7), 0)</f>
        <v>0</v>
      </c>
      <c r="E320" s="5">
        <f>IF(AND(C320&gt;='Amort. Sched.-WORST'!$I$8, C320&lt;= ($I$7+$I$8)), (IPMT($E$8/12, (C320-$I$8), $I$7, $E$7)), 0)</f>
        <v>0</v>
      </c>
      <c r="F320" s="23">
        <f>IF(AND(C320&gt;='Amort. Sched.-WORST'!$I$8, C320&lt;= ($I$7+$I$8)), (PPMT($E$8/12, (C320-$I$8), $I$7, $E$7)), 0)</f>
        <v>0</v>
      </c>
      <c r="G320" s="5">
        <f>IF(MortgageAmortWORST[[#This Row],[Month]]=I$8,E$7,0)</f>
        <v>0</v>
      </c>
      <c r="H320" s="13">
        <f>IF(AND(C320&gt;='Amort. Sched.-WORST'!$I$8, C320&lt;= ($I$7+$I$8)), H319+F320, 0)</f>
        <v>0</v>
      </c>
      <c r="I320" s="24" t="str">
        <f>IF(AND(C320&gt;='Amort. Sched.-WORST'!$I$8, C320&lt;= ($I$7+$I$8)), E320/D320, " ")</f>
        <v xml:space="preserve"> </v>
      </c>
      <c r="J320" s="25" t="str">
        <f>IF(AND(C320&gt;='Amort. Sched.-WORST'!$I$8, C320&lt;= ($I$7+$I$8)), F320/D320, " ")</f>
        <v xml:space="preserve"> </v>
      </c>
      <c r="L320" s="20">
        <f t="shared" si="68"/>
        <v>309</v>
      </c>
      <c r="M320" s="5">
        <f>IF(AND(L320&gt;='Amort. Sched.-WORST'!$R$8, L320&lt;= ($R$7+$R$8)), PMT('Amort. Sched.-WORST'!$N$8/12, 'Amort. Sched.-WORST'!$R$7, 'Amort. Sched.-WORST'!$N$7), 0)</f>
        <v>0</v>
      </c>
      <c r="N320" s="5">
        <f>IF(AND(L320&gt;='Amort. Sched.-WORST'!$R$8, L320&lt;= ($R$7+$R$8)), (IPMT($N$8/12, (L320-$R$8), $R$7, $N$7)), 0)</f>
        <v>0</v>
      </c>
      <c r="O320" s="5">
        <f>IF(AND(L320&gt;='Amort. Sched.-WORST'!$R$8, L320&lt;= ($R$7+$R$8)), (PPMT($N$8/12, (L320-$R$8), $R$7, $N$7)), 0)</f>
        <v>0</v>
      </c>
      <c r="P320" s="5">
        <f>IF(CreditAmort1WORST[[#This Row],[Month]]=R$8,N$7,0)</f>
        <v>0</v>
      </c>
      <c r="Q320" s="13">
        <f>IF(AND(L320&gt;='Amort. Sched.-WORST'!$R$8, L320&lt;= ($R$7+$R$8)), Q319+O320, 0)</f>
        <v>0</v>
      </c>
      <c r="R320" s="6" t="str">
        <f>IF(AND(L320&gt;='Amort. Sched.-WORST'!$R$8, L320&lt;= ($R$7+$R$8)), N320/M320, " ")</f>
        <v xml:space="preserve"> </v>
      </c>
      <c r="S320" s="21" t="str">
        <f>IF(AND(L320&gt;='Amort. Sched.-WORST'!$R$8, L320&lt;= ($R$7+$R$8)), O320/M320, " ")</f>
        <v xml:space="preserve"> </v>
      </c>
      <c r="U320" s="22">
        <f t="shared" si="70"/>
        <v>309</v>
      </c>
      <c r="V320" s="23">
        <f>IF(AND(U320&gt;='Amort. Sched.-WORST'!$AA$8, U320&lt;= ($AA$7+$AA$8)), PMT('Amort. Sched.-WORST'!$W$8/12, 'Amort. Sched.-WORST'!$AA$7, 'Amort. Sched.-WORST'!$W$7), 0)</f>
        <v>0</v>
      </c>
      <c r="W320" s="5">
        <f>IF(AND(U320&gt;='Amort. Sched.-WORST'!$AA$8, U320&lt;= ($AA$7+$AA$8)), (IPMT($W$8/12, (U320-$AA$8), $AA$7, $W$7)), 0)</f>
        <v>0</v>
      </c>
      <c r="X320" s="23">
        <f>IF(AND(U320&gt;='Amort. Sched.-WORST'!$AA$8, U320&lt;= ($AA$7+$AA$8)), (PPMT($W$8/12, (U320-$AA$8), $AA$7, $W$7)), 0)</f>
        <v>0</v>
      </c>
      <c r="Y320" s="5">
        <f>IF(CreditAmort2WORST[[#This Row],[Month]]=AA$8,W$7,0)</f>
        <v>0</v>
      </c>
      <c r="Z320" s="13">
        <f>IF(AND(U320&gt;='Amort. Sched.-WORST'!$AA$8, U320&lt;= ($AA$7+$AA$8)), Z319+X320, 0)</f>
        <v>0</v>
      </c>
      <c r="AA320" s="24" t="str">
        <f>IF(AND(U320&gt;='Amort. Sched.-WORST'!$AA$8, U320&lt;= ($AA$7+$AA$8)), W320/V320, " ")</f>
        <v xml:space="preserve"> </v>
      </c>
      <c r="AB320" s="25" t="str">
        <f>IF(AND(U320&gt;='Amort. Sched.-WORST'!$AA$8, U320&lt;= ($AA$7+$AA$8)), X320/V320, " ")</f>
        <v xml:space="preserve"> </v>
      </c>
      <c r="AD320" s="20">
        <f t="shared" si="71"/>
        <v>309</v>
      </c>
      <c r="AE320" s="5">
        <f t="shared" si="72"/>
        <v>0</v>
      </c>
      <c r="AF320" s="5">
        <f t="shared" si="73"/>
        <v>0</v>
      </c>
      <c r="AG320" s="5">
        <f t="shared" si="74"/>
        <v>0</v>
      </c>
      <c r="AH320" s="5">
        <f>IF(CreditAmort3WORST[[#This Row],[Month]]=AJ$8,AF$7,0)</f>
        <v>0</v>
      </c>
      <c r="AI320" s="13">
        <f t="shared" si="75"/>
        <v>0</v>
      </c>
      <c r="AJ320" s="6" t="str">
        <f t="shared" si="76"/>
        <v xml:space="preserve"> </v>
      </c>
      <c r="AK320" s="21" t="str">
        <f t="shared" si="77"/>
        <v xml:space="preserve"> </v>
      </c>
      <c r="AM320" s="20">
        <f t="shared" si="78"/>
        <v>309</v>
      </c>
      <c r="AN320" s="5">
        <f t="shared" si="79"/>
        <v>0</v>
      </c>
      <c r="AO320" s="5">
        <f t="shared" si="80"/>
        <v>0</v>
      </c>
      <c r="AP320" s="5">
        <f t="shared" si="81"/>
        <v>0</v>
      </c>
      <c r="AQ320" s="5">
        <f>IF(CreditAmort4WORST[[#This Row],[Month]]=AS$8,AO$7,0)</f>
        <v>0</v>
      </c>
      <c r="AR320" s="13">
        <f t="shared" si="82"/>
        <v>0</v>
      </c>
      <c r="AS320" s="6" t="str">
        <f t="shared" si="83"/>
        <v xml:space="preserve"> </v>
      </c>
      <c r="AT320" s="21" t="str">
        <f t="shared" si="84"/>
        <v xml:space="preserve"> </v>
      </c>
    </row>
    <row r="321" spans="3:46">
      <c r="C321" s="22">
        <f t="shared" si="69"/>
        <v>310</v>
      </c>
      <c r="D321" s="23">
        <f>IF(AND(C321&gt;='Amort. Sched.-WORST'!$I$8, C321&lt;= ($I$7+$I$8)), PMT('Amort. Sched.-WORST'!$E$8/12, 'Amort. Sched.-WORST'!$I$7, 'Amort. Sched.-WORST'!$E$7), 0)</f>
        <v>0</v>
      </c>
      <c r="E321" s="5">
        <f>IF(AND(C321&gt;='Amort. Sched.-WORST'!$I$8, C321&lt;= ($I$7+$I$8)), (IPMT($E$8/12, (C321-$I$8), $I$7, $E$7)), 0)</f>
        <v>0</v>
      </c>
      <c r="F321" s="23">
        <f>IF(AND(C321&gt;='Amort. Sched.-WORST'!$I$8, C321&lt;= ($I$7+$I$8)), (PPMT($E$8/12, (C321-$I$8), $I$7, $E$7)), 0)</f>
        <v>0</v>
      </c>
      <c r="G321" s="5">
        <f>IF(MortgageAmortWORST[[#This Row],[Month]]=I$8,E$7,0)</f>
        <v>0</v>
      </c>
      <c r="H321" s="13">
        <f>IF(AND(C321&gt;='Amort. Sched.-WORST'!$I$8, C321&lt;= ($I$7+$I$8)), H320+F321, 0)</f>
        <v>0</v>
      </c>
      <c r="I321" s="24" t="str">
        <f>IF(AND(C321&gt;='Amort. Sched.-WORST'!$I$8, C321&lt;= ($I$7+$I$8)), E321/D321, " ")</f>
        <v xml:space="preserve"> </v>
      </c>
      <c r="J321" s="25" t="str">
        <f>IF(AND(C321&gt;='Amort. Sched.-WORST'!$I$8, C321&lt;= ($I$7+$I$8)), F321/D321, " ")</f>
        <v xml:space="preserve"> </v>
      </c>
      <c r="L321" s="20">
        <f t="shared" si="68"/>
        <v>310</v>
      </c>
      <c r="M321" s="5">
        <f>IF(AND(L321&gt;='Amort. Sched.-WORST'!$R$8, L321&lt;= ($R$7+$R$8)), PMT('Amort. Sched.-WORST'!$N$8/12, 'Amort. Sched.-WORST'!$R$7, 'Amort. Sched.-WORST'!$N$7), 0)</f>
        <v>0</v>
      </c>
      <c r="N321" s="5">
        <f>IF(AND(L321&gt;='Amort. Sched.-WORST'!$R$8, L321&lt;= ($R$7+$R$8)), (IPMT($N$8/12, (L321-$R$8), $R$7, $N$7)), 0)</f>
        <v>0</v>
      </c>
      <c r="O321" s="5">
        <f>IF(AND(L321&gt;='Amort. Sched.-WORST'!$R$8, L321&lt;= ($R$7+$R$8)), (PPMT($N$8/12, (L321-$R$8), $R$7, $N$7)), 0)</f>
        <v>0</v>
      </c>
      <c r="P321" s="5">
        <f>IF(CreditAmort1WORST[[#This Row],[Month]]=R$8,N$7,0)</f>
        <v>0</v>
      </c>
      <c r="Q321" s="13">
        <f>IF(AND(L321&gt;='Amort. Sched.-WORST'!$R$8, L321&lt;= ($R$7+$R$8)), Q320+O321, 0)</f>
        <v>0</v>
      </c>
      <c r="R321" s="6" t="str">
        <f>IF(AND(L321&gt;='Amort. Sched.-WORST'!$R$8, L321&lt;= ($R$7+$R$8)), N321/M321, " ")</f>
        <v xml:space="preserve"> </v>
      </c>
      <c r="S321" s="21" t="str">
        <f>IF(AND(L321&gt;='Amort. Sched.-WORST'!$R$8, L321&lt;= ($R$7+$R$8)), O321/M321, " ")</f>
        <v xml:space="preserve"> </v>
      </c>
      <c r="U321" s="22">
        <f t="shared" si="70"/>
        <v>310</v>
      </c>
      <c r="V321" s="23">
        <f>IF(AND(U321&gt;='Amort. Sched.-WORST'!$AA$8, U321&lt;= ($AA$7+$AA$8)), PMT('Amort. Sched.-WORST'!$W$8/12, 'Amort. Sched.-WORST'!$AA$7, 'Amort. Sched.-WORST'!$W$7), 0)</f>
        <v>0</v>
      </c>
      <c r="W321" s="5">
        <f>IF(AND(U321&gt;='Amort. Sched.-WORST'!$AA$8, U321&lt;= ($AA$7+$AA$8)), (IPMT($W$8/12, (U321-$AA$8), $AA$7, $W$7)), 0)</f>
        <v>0</v>
      </c>
      <c r="X321" s="23">
        <f>IF(AND(U321&gt;='Amort. Sched.-WORST'!$AA$8, U321&lt;= ($AA$7+$AA$8)), (PPMT($W$8/12, (U321-$AA$8), $AA$7, $W$7)), 0)</f>
        <v>0</v>
      </c>
      <c r="Y321" s="5">
        <f>IF(CreditAmort2WORST[[#This Row],[Month]]=AA$8,W$7,0)</f>
        <v>0</v>
      </c>
      <c r="Z321" s="13">
        <f>IF(AND(U321&gt;='Amort. Sched.-WORST'!$AA$8, U321&lt;= ($AA$7+$AA$8)), Z320+X321, 0)</f>
        <v>0</v>
      </c>
      <c r="AA321" s="24" t="str">
        <f>IF(AND(U321&gt;='Amort. Sched.-WORST'!$AA$8, U321&lt;= ($AA$7+$AA$8)), W321/V321, " ")</f>
        <v xml:space="preserve"> </v>
      </c>
      <c r="AB321" s="25" t="str">
        <f>IF(AND(U321&gt;='Amort. Sched.-WORST'!$AA$8, U321&lt;= ($AA$7+$AA$8)), X321/V321, " ")</f>
        <v xml:space="preserve"> </v>
      </c>
      <c r="AD321" s="20">
        <f t="shared" si="71"/>
        <v>310</v>
      </c>
      <c r="AE321" s="5">
        <f t="shared" si="72"/>
        <v>0</v>
      </c>
      <c r="AF321" s="5">
        <f t="shared" si="73"/>
        <v>0</v>
      </c>
      <c r="AG321" s="5">
        <f t="shared" si="74"/>
        <v>0</v>
      </c>
      <c r="AH321" s="5">
        <f>IF(CreditAmort3WORST[[#This Row],[Month]]=AJ$8,AF$7,0)</f>
        <v>0</v>
      </c>
      <c r="AI321" s="13">
        <f t="shared" si="75"/>
        <v>0</v>
      </c>
      <c r="AJ321" s="6" t="str">
        <f t="shared" si="76"/>
        <v xml:space="preserve"> </v>
      </c>
      <c r="AK321" s="21" t="str">
        <f t="shared" si="77"/>
        <v xml:space="preserve"> </v>
      </c>
      <c r="AM321" s="20">
        <f t="shared" si="78"/>
        <v>310</v>
      </c>
      <c r="AN321" s="5">
        <f t="shared" si="79"/>
        <v>0</v>
      </c>
      <c r="AO321" s="5">
        <f t="shared" si="80"/>
        <v>0</v>
      </c>
      <c r="AP321" s="5">
        <f t="shared" si="81"/>
        <v>0</v>
      </c>
      <c r="AQ321" s="5">
        <f>IF(CreditAmort4WORST[[#This Row],[Month]]=AS$8,AO$7,0)</f>
        <v>0</v>
      </c>
      <c r="AR321" s="13">
        <f t="shared" si="82"/>
        <v>0</v>
      </c>
      <c r="AS321" s="6" t="str">
        <f t="shared" si="83"/>
        <v xml:space="preserve"> </v>
      </c>
      <c r="AT321" s="21" t="str">
        <f t="shared" si="84"/>
        <v xml:space="preserve"> </v>
      </c>
    </row>
    <row r="322" spans="3:46">
      <c r="C322" s="22">
        <f t="shared" si="69"/>
        <v>311</v>
      </c>
      <c r="D322" s="23">
        <f>IF(AND(C322&gt;='Amort. Sched.-WORST'!$I$8, C322&lt;= ($I$7+$I$8)), PMT('Amort. Sched.-WORST'!$E$8/12, 'Amort. Sched.-WORST'!$I$7, 'Amort. Sched.-WORST'!$E$7), 0)</f>
        <v>0</v>
      </c>
      <c r="E322" s="5">
        <f>IF(AND(C322&gt;='Amort. Sched.-WORST'!$I$8, C322&lt;= ($I$7+$I$8)), (IPMT($E$8/12, (C322-$I$8), $I$7, $E$7)), 0)</f>
        <v>0</v>
      </c>
      <c r="F322" s="23">
        <f>IF(AND(C322&gt;='Amort. Sched.-WORST'!$I$8, C322&lt;= ($I$7+$I$8)), (PPMT($E$8/12, (C322-$I$8), $I$7, $E$7)), 0)</f>
        <v>0</v>
      </c>
      <c r="G322" s="5">
        <f>IF(MortgageAmortWORST[[#This Row],[Month]]=I$8,E$7,0)</f>
        <v>0</v>
      </c>
      <c r="H322" s="13">
        <f>IF(AND(C322&gt;='Amort. Sched.-WORST'!$I$8, C322&lt;= ($I$7+$I$8)), H321+F322, 0)</f>
        <v>0</v>
      </c>
      <c r="I322" s="24" t="str">
        <f>IF(AND(C322&gt;='Amort. Sched.-WORST'!$I$8, C322&lt;= ($I$7+$I$8)), E322/D322, " ")</f>
        <v xml:space="preserve"> </v>
      </c>
      <c r="J322" s="25" t="str">
        <f>IF(AND(C322&gt;='Amort. Sched.-WORST'!$I$8, C322&lt;= ($I$7+$I$8)), F322/D322, " ")</f>
        <v xml:space="preserve"> </v>
      </c>
      <c r="L322" s="20">
        <f t="shared" si="68"/>
        <v>311</v>
      </c>
      <c r="M322" s="5">
        <f>IF(AND(L322&gt;='Amort. Sched.-WORST'!$R$8, L322&lt;= ($R$7+$R$8)), PMT('Amort. Sched.-WORST'!$N$8/12, 'Amort. Sched.-WORST'!$R$7, 'Amort. Sched.-WORST'!$N$7), 0)</f>
        <v>0</v>
      </c>
      <c r="N322" s="5">
        <f>IF(AND(L322&gt;='Amort. Sched.-WORST'!$R$8, L322&lt;= ($R$7+$R$8)), (IPMT($N$8/12, (L322-$R$8), $R$7, $N$7)), 0)</f>
        <v>0</v>
      </c>
      <c r="O322" s="5">
        <f>IF(AND(L322&gt;='Amort. Sched.-WORST'!$R$8, L322&lt;= ($R$7+$R$8)), (PPMT($N$8/12, (L322-$R$8), $R$7, $N$7)), 0)</f>
        <v>0</v>
      </c>
      <c r="P322" s="5">
        <f>IF(CreditAmort1WORST[[#This Row],[Month]]=R$8,N$7,0)</f>
        <v>0</v>
      </c>
      <c r="Q322" s="13">
        <f>IF(AND(L322&gt;='Amort. Sched.-WORST'!$R$8, L322&lt;= ($R$7+$R$8)), Q321+O322, 0)</f>
        <v>0</v>
      </c>
      <c r="R322" s="6" t="str">
        <f>IF(AND(L322&gt;='Amort. Sched.-WORST'!$R$8, L322&lt;= ($R$7+$R$8)), N322/M322, " ")</f>
        <v xml:space="preserve"> </v>
      </c>
      <c r="S322" s="21" t="str">
        <f>IF(AND(L322&gt;='Amort. Sched.-WORST'!$R$8, L322&lt;= ($R$7+$R$8)), O322/M322, " ")</f>
        <v xml:space="preserve"> </v>
      </c>
      <c r="U322" s="22">
        <f t="shared" si="70"/>
        <v>311</v>
      </c>
      <c r="V322" s="23">
        <f>IF(AND(U322&gt;='Amort. Sched.-WORST'!$AA$8, U322&lt;= ($AA$7+$AA$8)), PMT('Amort. Sched.-WORST'!$W$8/12, 'Amort. Sched.-WORST'!$AA$7, 'Amort. Sched.-WORST'!$W$7), 0)</f>
        <v>0</v>
      </c>
      <c r="W322" s="5">
        <f>IF(AND(U322&gt;='Amort. Sched.-WORST'!$AA$8, U322&lt;= ($AA$7+$AA$8)), (IPMT($W$8/12, (U322-$AA$8), $AA$7, $W$7)), 0)</f>
        <v>0</v>
      </c>
      <c r="X322" s="23">
        <f>IF(AND(U322&gt;='Amort. Sched.-WORST'!$AA$8, U322&lt;= ($AA$7+$AA$8)), (PPMT($W$8/12, (U322-$AA$8), $AA$7, $W$7)), 0)</f>
        <v>0</v>
      </c>
      <c r="Y322" s="5">
        <f>IF(CreditAmort2WORST[[#This Row],[Month]]=AA$8,W$7,0)</f>
        <v>0</v>
      </c>
      <c r="Z322" s="13">
        <f>IF(AND(U322&gt;='Amort. Sched.-WORST'!$AA$8, U322&lt;= ($AA$7+$AA$8)), Z321+X322, 0)</f>
        <v>0</v>
      </c>
      <c r="AA322" s="24" t="str">
        <f>IF(AND(U322&gt;='Amort. Sched.-WORST'!$AA$8, U322&lt;= ($AA$7+$AA$8)), W322/V322, " ")</f>
        <v xml:space="preserve"> </v>
      </c>
      <c r="AB322" s="25" t="str">
        <f>IF(AND(U322&gt;='Amort. Sched.-WORST'!$AA$8, U322&lt;= ($AA$7+$AA$8)), X322/V322, " ")</f>
        <v xml:space="preserve"> </v>
      </c>
      <c r="AD322" s="20">
        <f t="shared" si="71"/>
        <v>311</v>
      </c>
      <c r="AE322" s="5">
        <f t="shared" si="72"/>
        <v>0</v>
      </c>
      <c r="AF322" s="5">
        <f t="shared" si="73"/>
        <v>0</v>
      </c>
      <c r="AG322" s="5">
        <f t="shared" si="74"/>
        <v>0</v>
      </c>
      <c r="AH322" s="5">
        <f>IF(CreditAmort3WORST[[#This Row],[Month]]=AJ$8,AF$7,0)</f>
        <v>0</v>
      </c>
      <c r="AI322" s="13">
        <f t="shared" si="75"/>
        <v>0</v>
      </c>
      <c r="AJ322" s="6" t="str">
        <f t="shared" si="76"/>
        <v xml:space="preserve"> </v>
      </c>
      <c r="AK322" s="21" t="str">
        <f t="shared" si="77"/>
        <v xml:space="preserve"> </v>
      </c>
      <c r="AM322" s="20">
        <f t="shared" si="78"/>
        <v>311</v>
      </c>
      <c r="AN322" s="5">
        <f t="shared" si="79"/>
        <v>0</v>
      </c>
      <c r="AO322" s="5">
        <f t="shared" si="80"/>
        <v>0</v>
      </c>
      <c r="AP322" s="5">
        <f t="shared" si="81"/>
        <v>0</v>
      </c>
      <c r="AQ322" s="5">
        <f>IF(CreditAmort4WORST[[#This Row],[Month]]=AS$8,AO$7,0)</f>
        <v>0</v>
      </c>
      <c r="AR322" s="13">
        <f t="shared" si="82"/>
        <v>0</v>
      </c>
      <c r="AS322" s="6" t="str">
        <f t="shared" si="83"/>
        <v xml:space="preserve"> </v>
      </c>
      <c r="AT322" s="21" t="str">
        <f t="shared" si="84"/>
        <v xml:space="preserve"> </v>
      </c>
    </row>
    <row r="323" spans="3:46">
      <c r="C323" s="22">
        <f t="shared" si="69"/>
        <v>312</v>
      </c>
      <c r="D323" s="23">
        <f>IF(AND(C323&gt;='Amort. Sched.-WORST'!$I$8, C323&lt;= ($I$7+$I$8)), PMT('Amort. Sched.-WORST'!$E$8/12, 'Amort. Sched.-WORST'!$I$7, 'Amort. Sched.-WORST'!$E$7), 0)</f>
        <v>0</v>
      </c>
      <c r="E323" s="5">
        <f>IF(AND(C323&gt;='Amort. Sched.-WORST'!$I$8, C323&lt;= ($I$7+$I$8)), (IPMT($E$8/12, (C323-$I$8), $I$7, $E$7)), 0)</f>
        <v>0</v>
      </c>
      <c r="F323" s="23">
        <f>IF(AND(C323&gt;='Amort. Sched.-WORST'!$I$8, C323&lt;= ($I$7+$I$8)), (PPMT($E$8/12, (C323-$I$8), $I$7, $E$7)), 0)</f>
        <v>0</v>
      </c>
      <c r="G323" s="5">
        <f>IF(MortgageAmortWORST[[#This Row],[Month]]=I$8,E$7,0)</f>
        <v>0</v>
      </c>
      <c r="H323" s="13">
        <f>IF(AND(C323&gt;='Amort. Sched.-WORST'!$I$8, C323&lt;= ($I$7+$I$8)), H322+F323, 0)</f>
        <v>0</v>
      </c>
      <c r="I323" s="24" t="str">
        <f>IF(AND(C323&gt;='Amort. Sched.-WORST'!$I$8, C323&lt;= ($I$7+$I$8)), E323/D323, " ")</f>
        <v xml:space="preserve"> </v>
      </c>
      <c r="J323" s="25" t="str">
        <f>IF(AND(C323&gt;='Amort. Sched.-WORST'!$I$8, C323&lt;= ($I$7+$I$8)), F323/D323, " ")</f>
        <v xml:space="preserve"> </v>
      </c>
      <c r="L323" s="20">
        <f t="shared" si="68"/>
        <v>312</v>
      </c>
      <c r="M323" s="5">
        <f>IF(AND(L323&gt;='Amort. Sched.-WORST'!$R$8, L323&lt;= ($R$7+$R$8)), PMT('Amort. Sched.-WORST'!$N$8/12, 'Amort. Sched.-WORST'!$R$7, 'Amort. Sched.-WORST'!$N$7), 0)</f>
        <v>0</v>
      </c>
      <c r="N323" s="5">
        <f>IF(AND(L323&gt;='Amort. Sched.-WORST'!$R$8, L323&lt;= ($R$7+$R$8)), (IPMT($N$8/12, (L323-$R$8), $R$7, $N$7)), 0)</f>
        <v>0</v>
      </c>
      <c r="O323" s="5">
        <f>IF(AND(L323&gt;='Amort. Sched.-WORST'!$R$8, L323&lt;= ($R$7+$R$8)), (PPMT($N$8/12, (L323-$R$8), $R$7, $N$7)), 0)</f>
        <v>0</v>
      </c>
      <c r="P323" s="5">
        <f>IF(CreditAmort1WORST[[#This Row],[Month]]=R$8,N$7,0)</f>
        <v>0</v>
      </c>
      <c r="Q323" s="13">
        <f>IF(AND(L323&gt;='Amort. Sched.-WORST'!$R$8, L323&lt;= ($R$7+$R$8)), Q322+O323, 0)</f>
        <v>0</v>
      </c>
      <c r="R323" s="6" t="str">
        <f>IF(AND(L323&gt;='Amort. Sched.-WORST'!$R$8, L323&lt;= ($R$7+$R$8)), N323/M323, " ")</f>
        <v xml:space="preserve"> </v>
      </c>
      <c r="S323" s="21" t="str">
        <f>IF(AND(L323&gt;='Amort. Sched.-WORST'!$R$8, L323&lt;= ($R$7+$R$8)), O323/M323, " ")</f>
        <v xml:space="preserve"> </v>
      </c>
      <c r="U323" s="22">
        <f t="shared" si="70"/>
        <v>312</v>
      </c>
      <c r="V323" s="23">
        <f>IF(AND(U323&gt;='Amort. Sched.-WORST'!$AA$8, U323&lt;= ($AA$7+$AA$8)), PMT('Amort. Sched.-WORST'!$W$8/12, 'Amort. Sched.-WORST'!$AA$7, 'Amort. Sched.-WORST'!$W$7), 0)</f>
        <v>0</v>
      </c>
      <c r="W323" s="5">
        <f>IF(AND(U323&gt;='Amort. Sched.-WORST'!$AA$8, U323&lt;= ($AA$7+$AA$8)), (IPMT($W$8/12, (U323-$AA$8), $AA$7, $W$7)), 0)</f>
        <v>0</v>
      </c>
      <c r="X323" s="23">
        <f>IF(AND(U323&gt;='Amort. Sched.-WORST'!$AA$8, U323&lt;= ($AA$7+$AA$8)), (PPMT($W$8/12, (U323-$AA$8), $AA$7, $W$7)), 0)</f>
        <v>0</v>
      </c>
      <c r="Y323" s="5">
        <f>IF(CreditAmort2WORST[[#This Row],[Month]]=AA$8,W$7,0)</f>
        <v>0</v>
      </c>
      <c r="Z323" s="13">
        <f>IF(AND(U323&gt;='Amort. Sched.-WORST'!$AA$8, U323&lt;= ($AA$7+$AA$8)), Z322+X323, 0)</f>
        <v>0</v>
      </c>
      <c r="AA323" s="24" t="str">
        <f>IF(AND(U323&gt;='Amort. Sched.-WORST'!$AA$8, U323&lt;= ($AA$7+$AA$8)), W323/V323, " ")</f>
        <v xml:space="preserve"> </v>
      </c>
      <c r="AB323" s="25" t="str">
        <f>IF(AND(U323&gt;='Amort. Sched.-WORST'!$AA$8, U323&lt;= ($AA$7+$AA$8)), X323/V323, " ")</f>
        <v xml:space="preserve"> </v>
      </c>
      <c r="AD323" s="20">
        <f t="shared" si="71"/>
        <v>312</v>
      </c>
      <c r="AE323" s="5">
        <f t="shared" si="72"/>
        <v>0</v>
      </c>
      <c r="AF323" s="5">
        <f t="shared" si="73"/>
        <v>0</v>
      </c>
      <c r="AG323" s="5">
        <f t="shared" si="74"/>
        <v>0</v>
      </c>
      <c r="AH323" s="5">
        <f>IF(CreditAmort3WORST[[#This Row],[Month]]=AJ$8,AF$7,0)</f>
        <v>0</v>
      </c>
      <c r="AI323" s="13">
        <f t="shared" si="75"/>
        <v>0</v>
      </c>
      <c r="AJ323" s="6" t="str">
        <f t="shared" si="76"/>
        <v xml:space="preserve"> </v>
      </c>
      <c r="AK323" s="21" t="str">
        <f t="shared" si="77"/>
        <v xml:space="preserve"> </v>
      </c>
      <c r="AM323" s="20">
        <f t="shared" si="78"/>
        <v>312</v>
      </c>
      <c r="AN323" s="5">
        <f t="shared" si="79"/>
        <v>0</v>
      </c>
      <c r="AO323" s="5">
        <f t="shared" si="80"/>
        <v>0</v>
      </c>
      <c r="AP323" s="5">
        <f t="shared" si="81"/>
        <v>0</v>
      </c>
      <c r="AQ323" s="5">
        <f>IF(CreditAmort4WORST[[#This Row],[Month]]=AS$8,AO$7,0)</f>
        <v>0</v>
      </c>
      <c r="AR323" s="13">
        <f t="shared" si="82"/>
        <v>0</v>
      </c>
      <c r="AS323" s="6" t="str">
        <f t="shared" si="83"/>
        <v xml:space="preserve"> </v>
      </c>
      <c r="AT323" s="21" t="str">
        <f t="shared" si="84"/>
        <v xml:space="preserve"> </v>
      </c>
    </row>
    <row r="324" spans="3:46">
      <c r="C324" s="22">
        <f t="shared" si="69"/>
        <v>313</v>
      </c>
      <c r="D324" s="23">
        <f>IF(AND(C324&gt;='Amort. Sched.-WORST'!$I$8, C324&lt;= ($I$7+$I$8)), PMT('Amort. Sched.-WORST'!$E$8/12, 'Amort. Sched.-WORST'!$I$7, 'Amort. Sched.-WORST'!$E$7), 0)</f>
        <v>0</v>
      </c>
      <c r="E324" s="5">
        <f>IF(AND(C324&gt;='Amort. Sched.-WORST'!$I$8, C324&lt;= ($I$7+$I$8)), (IPMT($E$8/12, (C324-$I$8), $I$7, $E$7)), 0)</f>
        <v>0</v>
      </c>
      <c r="F324" s="23">
        <f>IF(AND(C324&gt;='Amort. Sched.-WORST'!$I$8, C324&lt;= ($I$7+$I$8)), (PPMT($E$8/12, (C324-$I$8), $I$7, $E$7)), 0)</f>
        <v>0</v>
      </c>
      <c r="G324" s="5">
        <f>IF(MortgageAmortWORST[[#This Row],[Month]]=I$8,E$7,0)</f>
        <v>0</v>
      </c>
      <c r="H324" s="13">
        <f>IF(AND(C324&gt;='Amort. Sched.-WORST'!$I$8, C324&lt;= ($I$7+$I$8)), H323+F324, 0)</f>
        <v>0</v>
      </c>
      <c r="I324" s="24" t="str">
        <f>IF(AND(C324&gt;='Amort. Sched.-WORST'!$I$8, C324&lt;= ($I$7+$I$8)), E324/D324, " ")</f>
        <v xml:space="preserve"> </v>
      </c>
      <c r="J324" s="25" t="str">
        <f>IF(AND(C324&gt;='Amort. Sched.-WORST'!$I$8, C324&lt;= ($I$7+$I$8)), F324/D324, " ")</f>
        <v xml:space="preserve"> </v>
      </c>
      <c r="L324" s="20">
        <f t="shared" si="68"/>
        <v>313</v>
      </c>
      <c r="M324" s="5">
        <f>IF(AND(L324&gt;='Amort. Sched.-WORST'!$R$8, L324&lt;= ($R$7+$R$8)), PMT('Amort. Sched.-WORST'!$N$8/12, 'Amort. Sched.-WORST'!$R$7, 'Amort. Sched.-WORST'!$N$7), 0)</f>
        <v>0</v>
      </c>
      <c r="N324" s="5">
        <f>IF(AND(L324&gt;='Amort. Sched.-WORST'!$R$8, L324&lt;= ($R$7+$R$8)), (IPMT($N$8/12, (L324-$R$8), $R$7, $N$7)), 0)</f>
        <v>0</v>
      </c>
      <c r="O324" s="5">
        <f>IF(AND(L324&gt;='Amort. Sched.-WORST'!$R$8, L324&lt;= ($R$7+$R$8)), (PPMT($N$8/12, (L324-$R$8), $R$7, $N$7)), 0)</f>
        <v>0</v>
      </c>
      <c r="P324" s="5">
        <f>IF(CreditAmort1WORST[[#This Row],[Month]]=R$8,N$7,0)</f>
        <v>0</v>
      </c>
      <c r="Q324" s="13">
        <f>IF(AND(L324&gt;='Amort. Sched.-WORST'!$R$8, L324&lt;= ($R$7+$R$8)), Q323+O324, 0)</f>
        <v>0</v>
      </c>
      <c r="R324" s="6" t="str">
        <f>IF(AND(L324&gt;='Amort. Sched.-WORST'!$R$8, L324&lt;= ($R$7+$R$8)), N324/M324, " ")</f>
        <v xml:space="preserve"> </v>
      </c>
      <c r="S324" s="21" t="str">
        <f>IF(AND(L324&gt;='Amort. Sched.-WORST'!$R$8, L324&lt;= ($R$7+$R$8)), O324/M324, " ")</f>
        <v xml:space="preserve"> </v>
      </c>
      <c r="U324" s="22">
        <f t="shared" si="70"/>
        <v>313</v>
      </c>
      <c r="V324" s="23">
        <f>IF(AND(U324&gt;='Amort. Sched.-WORST'!$AA$8, U324&lt;= ($AA$7+$AA$8)), PMT('Amort. Sched.-WORST'!$W$8/12, 'Amort. Sched.-WORST'!$AA$7, 'Amort. Sched.-WORST'!$W$7), 0)</f>
        <v>0</v>
      </c>
      <c r="W324" s="5">
        <f>IF(AND(U324&gt;='Amort. Sched.-WORST'!$AA$8, U324&lt;= ($AA$7+$AA$8)), (IPMT($W$8/12, (U324-$AA$8), $AA$7, $W$7)), 0)</f>
        <v>0</v>
      </c>
      <c r="X324" s="23">
        <f>IF(AND(U324&gt;='Amort. Sched.-WORST'!$AA$8, U324&lt;= ($AA$7+$AA$8)), (PPMT($W$8/12, (U324-$AA$8), $AA$7, $W$7)), 0)</f>
        <v>0</v>
      </c>
      <c r="Y324" s="5">
        <f>IF(CreditAmort2WORST[[#This Row],[Month]]=AA$8,W$7,0)</f>
        <v>0</v>
      </c>
      <c r="Z324" s="13">
        <f>IF(AND(U324&gt;='Amort. Sched.-WORST'!$AA$8, U324&lt;= ($AA$7+$AA$8)), Z323+X324, 0)</f>
        <v>0</v>
      </c>
      <c r="AA324" s="24" t="str">
        <f>IF(AND(U324&gt;='Amort. Sched.-WORST'!$AA$8, U324&lt;= ($AA$7+$AA$8)), W324/V324, " ")</f>
        <v xml:space="preserve"> </v>
      </c>
      <c r="AB324" s="25" t="str">
        <f>IF(AND(U324&gt;='Amort. Sched.-WORST'!$AA$8, U324&lt;= ($AA$7+$AA$8)), X324/V324, " ")</f>
        <v xml:space="preserve"> </v>
      </c>
      <c r="AD324" s="20">
        <f t="shared" si="71"/>
        <v>313</v>
      </c>
      <c r="AE324" s="5">
        <f t="shared" si="72"/>
        <v>0</v>
      </c>
      <c r="AF324" s="5">
        <f t="shared" si="73"/>
        <v>0</v>
      </c>
      <c r="AG324" s="5">
        <f t="shared" si="74"/>
        <v>0</v>
      </c>
      <c r="AH324" s="5">
        <f>IF(CreditAmort3WORST[[#This Row],[Month]]=AJ$8,AF$7,0)</f>
        <v>0</v>
      </c>
      <c r="AI324" s="13">
        <f t="shared" si="75"/>
        <v>0</v>
      </c>
      <c r="AJ324" s="6" t="str">
        <f t="shared" si="76"/>
        <v xml:space="preserve"> </v>
      </c>
      <c r="AK324" s="21" t="str">
        <f t="shared" si="77"/>
        <v xml:space="preserve"> </v>
      </c>
      <c r="AM324" s="20">
        <f t="shared" si="78"/>
        <v>313</v>
      </c>
      <c r="AN324" s="5">
        <f t="shared" si="79"/>
        <v>0</v>
      </c>
      <c r="AO324" s="5">
        <f t="shared" si="80"/>
        <v>0</v>
      </c>
      <c r="AP324" s="5">
        <f t="shared" si="81"/>
        <v>0</v>
      </c>
      <c r="AQ324" s="5">
        <f>IF(CreditAmort4WORST[[#This Row],[Month]]=AS$8,AO$7,0)</f>
        <v>0</v>
      </c>
      <c r="AR324" s="13">
        <f t="shared" si="82"/>
        <v>0</v>
      </c>
      <c r="AS324" s="6" t="str">
        <f t="shared" si="83"/>
        <v xml:space="preserve"> </v>
      </c>
      <c r="AT324" s="21" t="str">
        <f t="shared" si="84"/>
        <v xml:space="preserve"> </v>
      </c>
    </row>
    <row r="325" spans="3:46">
      <c r="C325" s="22">
        <f t="shared" si="69"/>
        <v>314</v>
      </c>
      <c r="D325" s="23">
        <f>IF(AND(C325&gt;='Amort. Sched.-WORST'!$I$8, C325&lt;= ($I$7+$I$8)), PMT('Amort. Sched.-WORST'!$E$8/12, 'Amort. Sched.-WORST'!$I$7, 'Amort. Sched.-WORST'!$E$7), 0)</f>
        <v>0</v>
      </c>
      <c r="E325" s="5">
        <f>IF(AND(C325&gt;='Amort. Sched.-WORST'!$I$8, C325&lt;= ($I$7+$I$8)), (IPMT($E$8/12, (C325-$I$8), $I$7, $E$7)), 0)</f>
        <v>0</v>
      </c>
      <c r="F325" s="23">
        <f>IF(AND(C325&gt;='Amort. Sched.-WORST'!$I$8, C325&lt;= ($I$7+$I$8)), (PPMT($E$8/12, (C325-$I$8), $I$7, $E$7)), 0)</f>
        <v>0</v>
      </c>
      <c r="G325" s="5">
        <f>IF(MortgageAmortWORST[[#This Row],[Month]]=I$8,E$7,0)</f>
        <v>0</v>
      </c>
      <c r="H325" s="13">
        <f>IF(AND(C325&gt;='Amort. Sched.-WORST'!$I$8, C325&lt;= ($I$7+$I$8)), H324+F325, 0)</f>
        <v>0</v>
      </c>
      <c r="I325" s="24" t="str">
        <f>IF(AND(C325&gt;='Amort. Sched.-WORST'!$I$8, C325&lt;= ($I$7+$I$8)), E325/D325, " ")</f>
        <v xml:space="preserve"> </v>
      </c>
      <c r="J325" s="25" t="str">
        <f>IF(AND(C325&gt;='Amort. Sched.-WORST'!$I$8, C325&lt;= ($I$7+$I$8)), F325/D325, " ")</f>
        <v xml:space="preserve"> </v>
      </c>
      <c r="L325" s="20">
        <f t="shared" si="68"/>
        <v>314</v>
      </c>
      <c r="M325" s="5">
        <f>IF(AND(L325&gt;='Amort. Sched.-WORST'!$R$8, L325&lt;= ($R$7+$R$8)), PMT('Amort. Sched.-WORST'!$N$8/12, 'Amort. Sched.-WORST'!$R$7, 'Amort. Sched.-WORST'!$N$7), 0)</f>
        <v>0</v>
      </c>
      <c r="N325" s="5">
        <f>IF(AND(L325&gt;='Amort. Sched.-WORST'!$R$8, L325&lt;= ($R$7+$R$8)), (IPMT($N$8/12, (L325-$R$8), $R$7, $N$7)), 0)</f>
        <v>0</v>
      </c>
      <c r="O325" s="5">
        <f>IF(AND(L325&gt;='Amort. Sched.-WORST'!$R$8, L325&lt;= ($R$7+$R$8)), (PPMT($N$8/12, (L325-$R$8), $R$7, $N$7)), 0)</f>
        <v>0</v>
      </c>
      <c r="P325" s="5">
        <f>IF(CreditAmort1WORST[[#This Row],[Month]]=R$8,N$7,0)</f>
        <v>0</v>
      </c>
      <c r="Q325" s="13">
        <f>IF(AND(L325&gt;='Amort. Sched.-WORST'!$R$8, L325&lt;= ($R$7+$R$8)), Q324+O325, 0)</f>
        <v>0</v>
      </c>
      <c r="R325" s="6" t="str">
        <f>IF(AND(L325&gt;='Amort. Sched.-WORST'!$R$8, L325&lt;= ($R$7+$R$8)), N325/M325, " ")</f>
        <v xml:space="preserve"> </v>
      </c>
      <c r="S325" s="21" t="str">
        <f>IF(AND(L325&gt;='Amort. Sched.-WORST'!$R$8, L325&lt;= ($R$7+$R$8)), O325/M325, " ")</f>
        <v xml:space="preserve"> </v>
      </c>
      <c r="U325" s="22">
        <f t="shared" si="70"/>
        <v>314</v>
      </c>
      <c r="V325" s="23">
        <f>IF(AND(U325&gt;='Amort. Sched.-WORST'!$AA$8, U325&lt;= ($AA$7+$AA$8)), PMT('Amort. Sched.-WORST'!$W$8/12, 'Amort. Sched.-WORST'!$AA$7, 'Amort. Sched.-WORST'!$W$7), 0)</f>
        <v>0</v>
      </c>
      <c r="W325" s="5">
        <f>IF(AND(U325&gt;='Amort. Sched.-WORST'!$AA$8, U325&lt;= ($AA$7+$AA$8)), (IPMT($W$8/12, (U325-$AA$8), $AA$7, $W$7)), 0)</f>
        <v>0</v>
      </c>
      <c r="X325" s="23">
        <f>IF(AND(U325&gt;='Amort. Sched.-WORST'!$AA$8, U325&lt;= ($AA$7+$AA$8)), (PPMT($W$8/12, (U325-$AA$8), $AA$7, $W$7)), 0)</f>
        <v>0</v>
      </c>
      <c r="Y325" s="5">
        <f>IF(CreditAmort2WORST[[#This Row],[Month]]=AA$8,W$7,0)</f>
        <v>0</v>
      </c>
      <c r="Z325" s="13">
        <f>IF(AND(U325&gt;='Amort. Sched.-WORST'!$AA$8, U325&lt;= ($AA$7+$AA$8)), Z324+X325, 0)</f>
        <v>0</v>
      </c>
      <c r="AA325" s="24" t="str">
        <f>IF(AND(U325&gt;='Amort. Sched.-WORST'!$AA$8, U325&lt;= ($AA$7+$AA$8)), W325/V325, " ")</f>
        <v xml:space="preserve"> </v>
      </c>
      <c r="AB325" s="25" t="str">
        <f>IF(AND(U325&gt;='Amort. Sched.-WORST'!$AA$8, U325&lt;= ($AA$7+$AA$8)), X325/V325, " ")</f>
        <v xml:space="preserve"> </v>
      </c>
      <c r="AD325" s="20">
        <f t="shared" si="71"/>
        <v>314</v>
      </c>
      <c r="AE325" s="5">
        <f t="shared" si="72"/>
        <v>0</v>
      </c>
      <c r="AF325" s="5">
        <f t="shared" si="73"/>
        <v>0</v>
      </c>
      <c r="AG325" s="5">
        <f t="shared" si="74"/>
        <v>0</v>
      </c>
      <c r="AH325" s="5">
        <f>IF(CreditAmort3WORST[[#This Row],[Month]]=AJ$8,AF$7,0)</f>
        <v>0</v>
      </c>
      <c r="AI325" s="13">
        <f t="shared" si="75"/>
        <v>0</v>
      </c>
      <c r="AJ325" s="6" t="str">
        <f t="shared" si="76"/>
        <v xml:space="preserve"> </v>
      </c>
      <c r="AK325" s="21" t="str">
        <f t="shared" si="77"/>
        <v xml:space="preserve"> </v>
      </c>
      <c r="AM325" s="20">
        <f t="shared" si="78"/>
        <v>314</v>
      </c>
      <c r="AN325" s="5">
        <f t="shared" si="79"/>
        <v>0</v>
      </c>
      <c r="AO325" s="5">
        <f t="shared" si="80"/>
        <v>0</v>
      </c>
      <c r="AP325" s="5">
        <f t="shared" si="81"/>
        <v>0</v>
      </c>
      <c r="AQ325" s="5">
        <f>IF(CreditAmort4WORST[[#This Row],[Month]]=AS$8,AO$7,0)</f>
        <v>0</v>
      </c>
      <c r="AR325" s="13">
        <f t="shared" si="82"/>
        <v>0</v>
      </c>
      <c r="AS325" s="6" t="str">
        <f t="shared" si="83"/>
        <v xml:space="preserve"> </v>
      </c>
      <c r="AT325" s="21" t="str">
        <f t="shared" si="84"/>
        <v xml:space="preserve"> </v>
      </c>
    </row>
    <row r="326" spans="3:46">
      <c r="C326" s="22">
        <f t="shared" si="69"/>
        <v>315</v>
      </c>
      <c r="D326" s="23">
        <f>IF(AND(C326&gt;='Amort. Sched.-WORST'!$I$8, C326&lt;= ($I$7+$I$8)), PMT('Amort. Sched.-WORST'!$E$8/12, 'Amort. Sched.-WORST'!$I$7, 'Amort. Sched.-WORST'!$E$7), 0)</f>
        <v>0</v>
      </c>
      <c r="E326" s="5">
        <f>IF(AND(C326&gt;='Amort. Sched.-WORST'!$I$8, C326&lt;= ($I$7+$I$8)), (IPMT($E$8/12, (C326-$I$8), $I$7, $E$7)), 0)</f>
        <v>0</v>
      </c>
      <c r="F326" s="23">
        <f>IF(AND(C326&gt;='Amort. Sched.-WORST'!$I$8, C326&lt;= ($I$7+$I$8)), (PPMT($E$8/12, (C326-$I$8), $I$7, $E$7)), 0)</f>
        <v>0</v>
      </c>
      <c r="G326" s="5">
        <f>IF(MortgageAmortWORST[[#This Row],[Month]]=I$8,E$7,0)</f>
        <v>0</v>
      </c>
      <c r="H326" s="13">
        <f>IF(AND(C326&gt;='Amort. Sched.-WORST'!$I$8, C326&lt;= ($I$7+$I$8)), H325+F326, 0)</f>
        <v>0</v>
      </c>
      <c r="I326" s="24" t="str">
        <f>IF(AND(C326&gt;='Amort. Sched.-WORST'!$I$8, C326&lt;= ($I$7+$I$8)), E326/D326, " ")</f>
        <v xml:space="preserve"> </v>
      </c>
      <c r="J326" s="25" t="str">
        <f>IF(AND(C326&gt;='Amort. Sched.-WORST'!$I$8, C326&lt;= ($I$7+$I$8)), F326/D326, " ")</f>
        <v xml:space="preserve"> </v>
      </c>
      <c r="L326" s="20">
        <f t="shared" si="68"/>
        <v>315</v>
      </c>
      <c r="M326" s="5">
        <f>IF(AND(L326&gt;='Amort. Sched.-WORST'!$R$8, L326&lt;= ($R$7+$R$8)), PMT('Amort. Sched.-WORST'!$N$8/12, 'Amort. Sched.-WORST'!$R$7, 'Amort. Sched.-WORST'!$N$7), 0)</f>
        <v>0</v>
      </c>
      <c r="N326" s="5">
        <f>IF(AND(L326&gt;='Amort. Sched.-WORST'!$R$8, L326&lt;= ($R$7+$R$8)), (IPMT($N$8/12, (L326-$R$8), $R$7, $N$7)), 0)</f>
        <v>0</v>
      </c>
      <c r="O326" s="5">
        <f>IF(AND(L326&gt;='Amort. Sched.-WORST'!$R$8, L326&lt;= ($R$7+$R$8)), (PPMT($N$8/12, (L326-$R$8), $R$7, $N$7)), 0)</f>
        <v>0</v>
      </c>
      <c r="P326" s="5">
        <f>IF(CreditAmort1WORST[[#This Row],[Month]]=R$8,N$7,0)</f>
        <v>0</v>
      </c>
      <c r="Q326" s="13">
        <f>IF(AND(L326&gt;='Amort. Sched.-WORST'!$R$8, L326&lt;= ($R$7+$R$8)), Q325+O326, 0)</f>
        <v>0</v>
      </c>
      <c r="R326" s="6" t="str">
        <f>IF(AND(L326&gt;='Amort. Sched.-WORST'!$R$8, L326&lt;= ($R$7+$R$8)), N326/M326, " ")</f>
        <v xml:space="preserve"> </v>
      </c>
      <c r="S326" s="21" t="str">
        <f>IF(AND(L326&gt;='Amort. Sched.-WORST'!$R$8, L326&lt;= ($R$7+$R$8)), O326/M326, " ")</f>
        <v xml:space="preserve"> </v>
      </c>
      <c r="U326" s="22">
        <f t="shared" si="70"/>
        <v>315</v>
      </c>
      <c r="V326" s="23">
        <f>IF(AND(U326&gt;='Amort. Sched.-WORST'!$AA$8, U326&lt;= ($AA$7+$AA$8)), PMT('Amort. Sched.-WORST'!$W$8/12, 'Amort. Sched.-WORST'!$AA$7, 'Amort. Sched.-WORST'!$W$7), 0)</f>
        <v>0</v>
      </c>
      <c r="W326" s="5">
        <f>IF(AND(U326&gt;='Amort. Sched.-WORST'!$AA$8, U326&lt;= ($AA$7+$AA$8)), (IPMT($W$8/12, (U326-$AA$8), $AA$7, $W$7)), 0)</f>
        <v>0</v>
      </c>
      <c r="X326" s="23">
        <f>IF(AND(U326&gt;='Amort. Sched.-WORST'!$AA$8, U326&lt;= ($AA$7+$AA$8)), (PPMT($W$8/12, (U326-$AA$8), $AA$7, $W$7)), 0)</f>
        <v>0</v>
      </c>
      <c r="Y326" s="5">
        <f>IF(CreditAmort2WORST[[#This Row],[Month]]=AA$8,W$7,0)</f>
        <v>0</v>
      </c>
      <c r="Z326" s="13">
        <f>IF(AND(U326&gt;='Amort. Sched.-WORST'!$AA$8, U326&lt;= ($AA$7+$AA$8)), Z325+X326, 0)</f>
        <v>0</v>
      </c>
      <c r="AA326" s="24" t="str">
        <f>IF(AND(U326&gt;='Amort. Sched.-WORST'!$AA$8, U326&lt;= ($AA$7+$AA$8)), W326/V326, " ")</f>
        <v xml:space="preserve"> </v>
      </c>
      <c r="AB326" s="25" t="str">
        <f>IF(AND(U326&gt;='Amort. Sched.-WORST'!$AA$8, U326&lt;= ($AA$7+$AA$8)), X326/V326, " ")</f>
        <v xml:space="preserve"> </v>
      </c>
      <c r="AD326" s="20">
        <f t="shared" si="71"/>
        <v>315</v>
      </c>
      <c r="AE326" s="5">
        <f t="shared" si="72"/>
        <v>0</v>
      </c>
      <c r="AF326" s="5">
        <f t="shared" si="73"/>
        <v>0</v>
      </c>
      <c r="AG326" s="5">
        <f t="shared" si="74"/>
        <v>0</v>
      </c>
      <c r="AH326" s="5">
        <f>IF(CreditAmort3WORST[[#This Row],[Month]]=AJ$8,AF$7,0)</f>
        <v>0</v>
      </c>
      <c r="AI326" s="13">
        <f t="shared" si="75"/>
        <v>0</v>
      </c>
      <c r="AJ326" s="6" t="str">
        <f t="shared" si="76"/>
        <v xml:space="preserve"> </v>
      </c>
      <c r="AK326" s="21" t="str">
        <f t="shared" si="77"/>
        <v xml:space="preserve"> </v>
      </c>
      <c r="AM326" s="20">
        <f t="shared" si="78"/>
        <v>315</v>
      </c>
      <c r="AN326" s="5">
        <f t="shared" si="79"/>
        <v>0</v>
      </c>
      <c r="AO326" s="5">
        <f t="shared" si="80"/>
        <v>0</v>
      </c>
      <c r="AP326" s="5">
        <f t="shared" si="81"/>
        <v>0</v>
      </c>
      <c r="AQ326" s="5">
        <f>IF(CreditAmort4WORST[[#This Row],[Month]]=AS$8,AO$7,0)</f>
        <v>0</v>
      </c>
      <c r="AR326" s="13">
        <f t="shared" si="82"/>
        <v>0</v>
      </c>
      <c r="AS326" s="6" t="str">
        <f t="shared" si="83"/>
        <v xml:space="preserve"> </v>
      </c>
      <c r="AT326" s="21" t="str">
        <f t="shared" si="84"/>
        <v xml:space="preserve"> </v>
      </c>
    </row>
    <row r="327" spans="3:46">
      <c r="C327" s="22">
        <f t="shared" si="69"/>
        <v>316</v>
      </c>
      <c r="D327" s="23">
        <f>IF(AND(C327&gt;='Amort. Sched.-WORST'!$I$8, C327&lt;= ($I$7+$I$8)), PMT('Amort. Sched.-WORST'!$E$8/12, 'Amort. Sched.-WORST'!$I$7, 'Amort. Sched.-WORST'!$E$7), 0)</f>
        <v>0</v>
      </c>
      <c r="E327" s="5">
        <f>IF(AND(C327&gt;='Amort. Sched.-WORST'!$I$8, C327&lt;= ($I$7+$I$8)), (IPMT($E$8/12, (C327-$I$8), $I$7, $E$7)), 0)</f>
        <v>0</v>
      </c>
      <c r="F327" s="23">
        <f>IF(AND(C327&gt;='Amort. Sched.-WORST'!$I$8, C327&lt;= ($I$7+$I$8)), (PPMT($E$8/12, (C327-$I$8), $I$7, $E$7)), 0)</f>
        <v>0</v>
      </c>
      <c r="G327" s="5">
        <f>IF(MortgageAmortWORST[[#This Row],[Month]]=I$8,E$7,0)</f>
        <v>0</v>
      </c>
      <c r="H327" s="13">
        <f>IF(AND(C327&gt;='Amort. Sched.-WORST'!$I$8, C327&lt;= ($I$7+$I$8)), H326+F327, 0)</f>
        <v>0</v>
      </c>
      <c r="I327" s="24" t="str">
        <f>IF(AND(C327&gt;='Amort. Sched.-WORST'!$I$8, C327&lt;= ($I$7+$I$8)), E327/D327, " ")</f>
        <v xml:space="preserve"> </v>
      </c>
      <c r="J327" s="25" t="str">
        <f>IF(AND(C327&gt;='Amort. Sched.-WORST'!$I$8, C327&lt;= ($I$7+$I$8)), F327/D327, " ")</f>
        <v xml:space="preserve"> </v>
      </c>
      <c r="L327" s="20">
        <f t="shared" si="68"/>
        <v>316</v>
      </c>
      <c r="M327" s="5">
        <f>IF(AND(L327&gt;='Amort. Sched.-WORST'!$R$8, L327&lt;= ($R$7+$R$8)), PMT('Amort. Sched.-WORST'!$N$8/12, 'Amort. Sched.-WORST'!$R$7, 'Amort. Sched.-WORST'!$N$7), 0)</f>
        <v>0</v>
      </c>
      <c r="N327" s="5">
        <f>IF(AND(L327&gt;='Amort. Sched.-WORST'!$R$8, L327&lt;= ($R$7+$R$8)), (IPMT($N$8/12, (L327-$R$8), $R$7, $N$7)), 0)</f>
        <v>0</v>
      </c>
      <c r="O327" s="5">
        <f>IF(AND(L327&gt;='Amort. Sched.-WORST'!$R$8, L327&lt;= ($R$7+$R$8)), (PPMT($N$8/12, (L327-$R$8), $R$7, $N$7)), 0)</f>
        <v>0</v>
      </c>
      <c r="P327" s="5">
        <f>IF(CreditAmort1WORST[[#This Row],[Month]]=R$8,N$7,0)</f>
        <v>0</v>
      </c>
      <c r="Q327" s="13">
        <f>IF(AND(L327&gt;='Amort. Sched.-WORST'!$R$8, L327&lt;= ($R$7+$R$8)), Q326+O327, 0)</f>
        <v>0</v>
      </c>
      <c r="R327" s="6" t="str">
        <f>IF(AND(L327&gt;='Amort. Sched.-WORST'!$R$8, L327&lt;= ($R$7+$R$8)), N327/M327, " ")</f>
        <v xml:space="preserve"> </v>
      </c>
      <c r="S327" s="21" t="str">
        <f>IF(AND(L327&gt;='Amort. Sched.-WORST'!$R$8, L327&lt;= ($R$7+$R$8)), O327/M327, " ")</f>
        <v xml:space="preserve"> </v>
      </c>
      <c r="U327" s="22">
        <f t="shared" si="70"/>
        <v>316</v>
      </c>
      <c r="V327" s="23">
        <f>IF(AND(U327&gt;='Amort. Sched.-WORST'!$AA$8, U327&lt;= ($AA$7+$AA$8)), PMT('Amort. Sched.-WORST'!$W$8/12, 'Amort. Sched.-WORST'!$AA$7, 'Amort. Sched.-WORST'!$W$7), 0)</f>
        <v>0</v>
      </c>
      <c r="W327" s="5">
        <f>IF(AND(U327&gt;='Amort. Sched.-WORST'!$AA$8, U327&lt;= ($AA$7+$AA$8)), (IPMT($W$8/12, (U327-$AA$8), $AA$7, $W$7)), 0)</f>
        <v>0</v>
      </c>
      <c r="X327" s="23">
        <f>IF(AND(U327&gt;='Amort. Sched.-WORST'!$AA$8, U327&lt;= ($AA$7+$AA$8)), (PPMT($W$8/12, (U327-$AA$8), $AA$7, $W$7)), 0)</f>
        <v>0</v>
      </c>
      <c r="Y327" s="5">
        <f>IF(CreditAmort2WORST[[#This Row],[Month]]=AA$8,W$7,0)</f>
        <v>0</v>
      </c>
      <c r="Z327" s="13">
        <f>IF(AND(U327&gt;='Amort. Sched.-WORST'!$AA$8, U327&lt;= ($AA$7+$AA$8)), Z326+X327, 0)</f>
        <v>0</v>
      </c>
      <c r="AA327" s="24" t="str">
        <f>IF(AND(U327&gt;='Amort. Sched.-WORST'!$AA$8, U327&lt;= ($AA$7+$AA$8)), W327/V327, " ")</f>
        <v xml:space="preserve"> </v>
      </c>
      <c r="AB327" s="25" t="str">
        <f>IF(AND(U327&gt;='Amort. Sched.-WORST'!$AA$8, U327&lt;= ($AA$7+$AA$8)), X327/V327, " ")</f>
        <v xml:space="preserve"> </v>
      </c>
      <c r="AD327" s="20">
        <f t="shared" si="71"/>
        <v>316</v>
      </c>
      <c r="AE327" s="5">
        <f t="shared" si="72"/>
        <v>0</v>
      </c>
      <c r="AF327" s="5">
        <f t="shared" si="73"/>
        <v>0</v>
      </c>
      <c r="AG327" s="5">
        <f t="shared" si="74"/>
        <v>0</v>
      </c>
      <c r="AH327" s="5">
        <f>IF(CreditAmort3WORST[[#This Row],[Month]]=AJ$8,AF$7,0)</f>
        <v>0</v>
      </c>
      <c r="AI327" s="13">
        <f t="shared" si="75"/>
        <v>0</v>
      </c>
      <c r="AJ327" s="6" t="str">
        <f t="shared" si="76"/>
        <v xml:space="preserve"> </v>
      </c>
      <c r="AK327" s="21" t="str">
        <f t="shared" si="77"/>
        <v xml:space="preserve"> </v>
      </c>
      <c r="AM327" s="20">
        <f t="shared" si="78"/>
        <v>316</v>
      </c>
      <c r="AN327" s="5">
        <f t="shared" si="79"/>
        <v>0</v>
      </c>
      <c r="AO327" s="5">
        <f t="shared" si="80"/>
        <v>0</v>
      </c>
      <c r="AP327" s="5">
        <f t="shared" si="81"/>
        <v>0</v>
      </c>
      <c r="AQ327" s="5">
        <f>IF(CreditAmort4WORST[[#This Row],[Month]]=AS$8,AO$7,0)</f>
        <v>0</v>
      </c>
      <c r="AR327" s="13">
        <f t="shared" si="82"/>
        <v>0</v>
      </c>
      <c r="AS327" s="6" t="str">
        <f t="shared" si="83"/>
        <v xml:space="preserve"> </v>
      </c>
      <c r="AT327" s="21" t="str">
        <f t="shared" si="84"/>
        <v xml:space="preserve"> </v>
      </c>
    </row>
    <row r="328" spans="3:46">
      <c r="C328" s="22">
        <f t="shared" si="69"/>
        <v>317</v>
      </c>
      <c r="D328" s="23">
        <f>IF(AND(C328&gt;='Amort. Sched.-WORST'!$I$8, C328&lt;= ($I$7+$I$8)), PMT('Amort. Sched.-WORST'!$E$8/12, 'Amort. Sched.-WORST'!$I$7, 'Amort. Sched.-WORST'!$E$7), 0)</f>
        <v>0</v>
      </c>
      <c r="E328" s="5">
        <f>IF(AND(C328&gt;='Amort. Sched.-WORST'!$I$8, C328&lt;= ($I$7+$I$8)), (IPMT($E$8/12, (C328-$I$8), $I$7, $E$7)), 0)</f>
        <v>0</v>
      </c>
      <c r="F328" s="23">
        <f>IF(AND(C328&gt;='Amort. Sched.-WORST'!$I$8, C328&lt;= ($I$7+$I$8)), (PPMT($E$8/12, (C328-$I$8), $I$7, $E$7)), 0)</f>
        <v>0</v>
      </c>
      <c r="G328" s="5">
        <f>IF(MortgageAmortWORST[[#This Row],[Month]]=I$8,E$7,0)</f>
        <v>0</v>
      </c>
      <c r="H328" s="13">
        <f>IF(AND(C328&gt;='Amort. Sched.-WORST'!$I$8, C328&lt;= ($I$7+$I$8)), H327+F328, 0)</f>
        <v>0</v>
      </c>
      <c r="I328" s="24" t="str">
        <f>IF(AND(C328&gt;='Amort. Sched.-WORST'!$I$8, C328&lt;= ($I$7+$I$8)), E328/D328, " ")</f>
        <v xml:space="preserve"> </v>
      </c>
      <c r="J328" s="25" t="str">
        <f>IF(AND(C328&gt;='Amort. Sched.-WORST'!$I$8, C328&lt;= ($I$7+$I$8)), F328/D328, " ")</f>
        <v xml:space="preserve"> </v>
      </c>
      <c r="L328" s="20">
        <f t="shared" si="68"/>
        <v>317</v>
      </c>
      <c r="M328" s="5">
        <f>IF(AND(L328&gt;='Amort. Sched.-WORST'!$R$8, L328&lt;= ($R$7+$R$8)), PMT('Amort. Sched.-WORST'!$N$8/12, 'Amort. Sched.-WORST'!$R$7, 'Amort. Sched.-WORST'!$N$7), 0)</f>
        <v>0</v>
      </c>
      <c r="N328" s="5">
        <f>IF(AND(L328&gt;='Amort. Sched.-WORST'!$R$8, L328&lt;= ($R$7+$R$8)), (IPMT($N$8/12, (L328-$R$8), $R$7, $N$7)), 0)</f>
        <v>0</v>
      </c>
      <c r="O328" s="5">
        <f>IF(AND(L328&gt;='Amort. Sched.-WORST'!$R$8, L328&lt;= ($R$7+$R$8)), (PPMT($N$8/12, (L328-$R$8), $R$7, $N$7)), 0)</f>
        <v>0</v>
      </c>
      <c r="P328" s="5">
        <f>IF(CreditAmort1WORST[[#This Row],[Month]]=R$8,N$7,0)</f>
        <v>0</v>
      </c>
      <c r="Q328" s="13">
        <f>IF(AND(L328&gt;='Amort. Sched.-WORST'!$R$8, L328&lt;= ($R$7+$R$8)), Q327+O328, 0)</f>
        <v>0</v>
      </c>
      <c r="R328" s="6" t="str">
        <f>IF(AND(L328&gt;='Amort. Sched.-WORST'!$R$8, L328&lt;= ($R$7+$R$8)), N328/M328, " ")</f>
        <v xml:space="preserve"> </v>
      </c>
      <c r="S328" s="21" t="str">
        <f>IF(AND(L328&gt;='Amort. Sched.-WORST'!$R$8, L328&lt;= ($R$7+$R$8)), O328/M328, " ")</f>
        <v xml:space="preserve"> </v>
      </c>
      <c r="U328" s="22">
        <f t="shared" si="70"/>
        <v>317</v>
      </c>
      <c r="V328" s="23">
        <f>IF(AND(U328&gt;='Amort. Sched.-WORST'!$AA$8, U328&lt;= ($AA$7+$AA$8)), PMT('Amort. Sched.-WORST'!$W$8/12, 'Amort. Sched.-WORST'!$AA$7, 'Amort. Sched.-WORST'!$W$7), 0)</f>
        <v>0</v>
      </c>
      <c r="W328" s="5">
        <f>IF(AND(U328&gt;='Amort. Sched.-WORST'!$AA$8, U328&lt;= ($AA$7+$AA$8)), (IPMT($W$8/12, (U328-$AA$8), $AA$7, $W$7)), 0)</f>
        <v>0</v>
      </c>
      <c r="X328" s="23">
        <f>IF(AND(U328&gt;='Amort. Sched.-WORST'!$AA$8, U328&lt;= ($AA$7+$AA$8)), (PPMT($W$8/12, (U328-$AA$8), $AA$7, $W$7)), 0)</f>
        <v>0</v>
      </c>
      <c r="Y328" s="5">
        <f>IF(CreditAmort2WORST[[#This Row],[Month]]=AA$8,W$7,0)</f>
        <v>0</v>
      </c>
      <c r="Z328" s="13">
        <f>IF(AND(U328&gt;='Amort. Sched.-WORST'!$AA$8, U328&lt;= ($AA$7+$AA$8)), Z327+X328, 0)</f>
        <v>0</v>
      </c>
      <c r="AA328" s="24" t="str">
        <f>IF(AND(U328&gt;='Amort. Sched.-WORST'!$AA$8, U328&lt;= ($AA$7+$AA$8)), W328/V328, " ")</f>
        <v xml:space="preserve"> </v>
      </c>
      <c r="AB328" s="25" t="str">
        <f>IF(AND(U328&gt;='Amort. Sched.-WORST'!$AA$8, U328&lt;= ($AA$7+$AA$8)), X328/V328, " ")</f>
        <v xml:space="preserve"> </v>
      </c>
      <c r="AD328" s="20">
        <f t="shared" si="71"/>
        <v>317</v>
      </c>
      <c r="AE328" s="5">
        <f t="shared" si="72"/>
        <v>0</v>
      </c>
      <c r="AF328" s="5">
        <f t="shared" si="73"/>
        <v>0</v>
      </c>
      <c r="AG328" s="5">
        <f t="shared" si="74"/>
        <v>0</v>
      </c>
      <c r="AH328" s="5">
        <f>IF(CreditAmort3WORST[[#This Row],[Month]]=AJ$8,AF$7,0)</f>
        <v>0</v>
      </c>
      <c r="AI328" s="13">
        <f t="shared" si="75"/>
        <v>0</v>
      </c>
      <c r="AJ328" s="6" t="str">
        <f t="shared" si="76"/>
        <v xml:space="preserve"> </v>
      </c>
      <c r="AK328" s="21" t="str">
        <f t="shared" si="77"/>
        <v xml:space="preserve"> </v>
      </c>
      <c r="AM328" s="20">
        <f t="shared" si="78"/>
        <v>317</v>
      </c>
      <c r="AN328" s="5">
        <f t="shared" si="79"/>
        <v>0</v>
      </c>
      <c r="AO328" s="5">
        <f t="shared" si="80"/>
        <v>0</v>
      </c>
      <c r="AP328" s="5">
        <f t="shared" si="81"/>
        <v>0</v>
      </c>
      <c r="AQ328" s="5">
        <f>IF(CreditAmort4WORST[[#This Row],[Month]]=AS$8,AO$7,0)</f>
        <v>0</v>
      </c>
      <c r="AR328" s="13">
        <f t="shared" si="82"/>
        <v>0</v>
      </c>
      <c r="AS328" s="6" t="str">
        <f t="shared" si="83"/>
        <v xml:space="preserve"> </v>
      </c>
      <c r="AT328" s="21" t="str">
        <f t="shared" si="84"/>
        <v xml:space="preserve"> </v>
      </c>
    </row>
    <row r="329" spans="3:46">
      <c r="C329" s="22">
        <f t="shared" si="69"/>
        <v>318</v>
      </c>
      <c r="D329" s="23">
        <f>IF(AND(C329&gt;='Amort. Sched.-WORST'!$I$8, C329&lt;= ($I$7+$I$8)), PMT('Amort. Sched.-WORST'!$E$8/12, 'Amort. Sched.-WORST'!$I$7, 'Amort. Sched.-WORST'!$E$7), 0)</f>
        <v>0</v>
      </c>
      <c r="E329" s="5">
        <f>IF(AND(C329&gt;='Amort. Sched.-WORST'!$I$8, C329&lt;= ($I$7+$I$8)), (IPMT($E$8/12, (C329-$I$8), $I$7, $E$7)), 0)</f>
        <v>0</v>
      </c>
      <c r="F329" s="23">
        <f>IF(AND(C329&gt;='Amort. Sched.-WORST'!$I$8, C329&lt;= ($I$7+$I$8)), (PPMT($E$8/12, (C329-$I$8), $I$7, $E$7)), 0)</f>
        <v>0</v>
      </c>
      <c r="G329" s="5">
        <f>IF(MortgageAmortWORST[[#This Row],[Month]]=I$8,E$7,0)</f>
        <v>0</v>
      </c>
      <c r="H329" s="13">
        <f>IF(AND(C329&gt;='Amort. Sched.-WORST'!$I$8, C329&lt;= ($I$7+$I$8)), H328+F329, 0)</f>
        <v>0</v>
      </c>
      <c r="I329" s="24" t="str">
        <f>IF(AND(C329&gt;='Amort. Sched.-WORST'!$I$8, C329&lt;= ($I$7+$I$8)), E329/D329, " ")</f>
        <v xml:space="preserve"> </v>
      </c>
      <c r="J329" s="25" t="str">
        <f>IF(AND(C329&gt;='Amort. Sched.-WORST'!$I$8, C329&lt;= ($I$7+$I$8)), F329/D329, " ")</f>
        <v xml:space="preserve"> </v>
      </c>
      <c r="L329" s="20">
        <f t="shared" si="68"/>
        <v>318</v>
      </c>
      <c r="M329" s="5">
        <f>IF(AND(L329&gt;='Amort. Sched.-WORST'!$R$8, L329&lt;= ($R$7+$R$8)), PMT('Amort. Sched.-WORST'!$N$8/12, 'Amort. Sched.-WORST'!$R$7, 'Amort. Sched.-WORST'!$N$7), 0)</f>
        <v>0</v>
      </c>
      <c r="N329" s="5">
        <f>IF(AND(L329&gt;='Amort. Sched.-WORST'!$R$8, L329&lt;= ($R$7+$R$8)), (IPMT($N$8/12, (L329-$R$8), $R$7, $N$7)), 0)</f>
        <v>0</v>
      </c>
      <c r="O329" s="5">
        <f>IF(AND(L329&gt;='Amort. Sched.-WORST'!$R$8, L329&lt;= ($R$7+$R$8)), (PPMT($N$8/12, (L329-$R$8), $R$7, $N$7)), 0)</f>
        <v>0</v>
      </c>
      <c r="P329" s="5">
        <f>IF(CreditAmort1WORST[[#This Row],[Month]]=R$8,N$7,0)</f>
        <v>0</v>
      </c>
      <c r="Q329" s="13">
        <f>IF(AND(L329&gt;='Amort. Sched.-WORST'!$R$8, L329&lt;= ($R$7+$R$8)), Q328+O329, 0)</f>
        <v>0</v>
      </c>
      <c r="R329" s="6" t="str">
        <f>IF(AND(L329&gt;='Amort. Sched.-WORST'!$R$8, L329&lt;= ($R$7+$R$8)), N329/M329, " ")</f>
        <v xml:space="preserve"> </v>
      </c>
      <c r="S329" s="21" t="str">
        <f>IF(AND(L329&gt;='Amort. Sched.-WORST'!$R$8, L329&lt;= ($R$7+$R$8)), O329/M329, " ")</f>
        <v xml:space="preserve"> </v>
      </c>
      <c r="U329" s="22">
        <f t="shared" si="70"/>
        <v>318</v>
      </c>
      <c r="V329" s="23">
        <f>IF(AND(U329&gt;='Amort. Sched.-WORST'!$AA$8, U329&lt;= ($AA$7+$AA$8)), PMT('Amort. Sched.-WORST'!$W$8/12, 'Amort. Sched.-WORST'!$AA$7, 'Amort. Sched.-WORST'!$W$7), 0)</f>
        <v>0</v>
      </c>
      <c r="W329" s="5">
        <f>IF(AND(U329&gt;='Amort. Sched.-WORST'!$AA$8, U329&lt;= ($AA$7+$AA$8)), (IPMT($W$8/12, (U329-$AA$8), $AA$7, $W$7)), 0)</f>
        <v>0</v>
      </c>
      <c r="X329" s="23">
        <f>IF(AND(U329&gt;='Amort. Sched.-WORST'!$AA$8, U329&lt;= ($AA$7+$AA$8)), (PPMT($W$8/12, (U329-$AA$8), $AA$7, $W$7)), 0)</f>
        <v>0</v>
      </c>
      <c r="Y329" s="5">
        <f>IF(CreditAmort2WORST[[#This Row],[Month]]=AA$8,W$7,0)</f>
        <v>0</v>
      </c>
      <c r="Z329" s="13">
        <f>IF(AND(U329&gt;='Amort. Sched.-WORST'!$AA$8, U329&lt;= ($AA$7+$AA$8)), Z328+X329, 0)</f>
        <v>0</v>
      </c>
      <c r="AA329" s="24" t="str">
        <f>IF(AND(U329&gt;='Amort. Sched.-WORST'!$AA$8, U329&lt;= ($AA$7+$AA$8)), W329/V329, " ")</f>
        <v xml:space="preserve"> </v>
      </c>
      <c r="AB329" s="25" t="str">
        <f>IF(AND(U329&gt;='Amort. Sched.-WORST'!$AA$8, U329&lt;= ($AA$7+$AA$8)), X329/V329, " ")</f>
        <v xml:space="preserve"> </v>
      </c>
      <c r="AD329" s="20">
        <f t="shared" si="71"/>
        <v>318</v>
      </c>
      <c r="AE329" s="5">
        <f t="shared" si="72"/>
        <v>0</v>
      </c>
      <c r="AF329" s="5">
        <f t="shared" si="73"/>
        <v>0</v>
      </c>
      <c r="AG329" s="5">
        <f t="shared" si="74"/>
        <v>0</v>
      </c>
      <c r="AH329" s="5">
        <f>IF(CreditAmort3WORST[[#This Row],[Month]]=AJ$8,AF$7,0)</f>
        <v>0</v>
      </c>
      <c r="AI329" s="13">
        <f t="shared" si="75"/>
        <v>0</v>
      </c>
      <c r="AJ329" s="6" t="str">
        <f t="shared" si="76"/>
        <v xml:space="preserve"> </v>
      </c>
      <c r="AK329" s="21" t="str">
        <f t="shared" si="77"/>
        <v xml:space="preserve"> </v>
      </c>
      <c r="AM329" s="20">
        <f t="shared" si="78"/>
        <v>318</v>
      </c>
      <c r="AN329" s="5">
        <f t="shared" si="79"/>
        <v>0</v>
      </c>
      <c r="AO329" s="5">
        <f t="shared" si="80"/>
        <v>0</v>
      </c>
      <c r="AP329" s="5">
        <f t="shared" si="81"/>
        <v>0</v>
      </c>
      <c r="AQ329" s="5">
        <f>IF(CreditAmort4WORST[[#This Row],[Month]]=AS$8,AO$7,0)</f>
        <v>0</v>
      </c>
      <c r="AR329" s="13">
        <f t="shared" si="82"/>
        <v>0</v>
      </c>
      <c r="AS329" s="6" t="str">
        <f t="shared" si="83"/>
        <v xml:space="preserve"> </v>
      </c>
      <c r="AT329" s="21" t="str">
        <f t="shared" si="84"/>
        <v xml:space="preserve"> </v>
      </c>
    </row>
    <row r="330" spans="3:46">
      <c r="C330" s="22">
        <f t="shared" si="69"/>
        <v>319</v>
      </c>
      <c r="D330" s="23">
        <f>IF(AND(C330&gt;='Amort. Sched.-WORST'!$I$8, C330&lt;= ($I$7+$I$8)), PMT('Amort. Sched.-WORST'!$E$8/12, 'Amort. Sched.-WORST'!$I$7, 'Amort. Sched.-WORST'!$E$7), 0)</f>
        <v>0</v>
      </c>
      <c r="E330" s="5">
        <f>IF(AND(C330&gt;='Amort. Sched.-WORST'!$I$8, C330&lt;= ($I$7+$I$8)), (IPMT($E$8/12, (C330-$I$8), $I$7, $E$7)), 0)</f>
        <v>0</v>
      </c>
      <c r="F330" s="23">
        <f>IF(AND(C330&gt;='Amort. Sched.-WORST'!$I$8, C330&lt;= ($I$7+$I$8)), (PPMT($E$8/12, (C330-$I$8), $I$7, $E$7)), 0)</f>
        <v>0</v>
      </c>
      <c r="G330" s="5">
        <f>IF(MortgageAmortWORST[[#This Row],[Month]]=I$8,E$7,0)</f>
        <v>0</v>
      </c>
      <c r="H330" s="13">
        <f>IF(AND(C330&gt;='Amort. Sched.-WORST'!$I$8, C330&lt;= ($I$7+$I$8)), H329+F330, 0)</f>
        <v>0</v>
      </c>
      <c r="I330" s="24" t="str">
        <f>IF(AND(C330&gt;='Amort. Sched.-WORST'!$I$8, C330&lt;= ($I$7+$I$8)), E330/D330, " ")</f>
        <v xml:space="preserve"> </v>
      </c>
      <c r="J330" s="25" t="str">
        <f>IF(AND(C330&gt;='Amort. Sched.-WORST'!$I$8, C330&lt;= ($I$7+$I$8)), F330/D330, " ")</f>
        <v xml:space="preserve"> </v>
      </c>
      <c r="L330" s="20">
        <f t="shared" si="68"/>
        <v>319</v>
      </c>
      <c r="M330" s="5">
        <f>IF(AND(L330&gt;='Amort. Sched.-WORST'!$R$8, L330&lt;= ($R$7+$R$8)), PMT('Amort. Sched.-WORST'!$N$8/12, 'Amort. Sched.-WORST'!$R$7, 'Amort. Sched.-WORST'!$N$7), 0)</f>
        <v>0</v>
      </c>
      <c r="N330" s="5">
        <f>IF(AND(L330&gt;='Amort. Sched.-WORST'!$R$8, L330&lt;= ($R$7+$R$8)), (IPMT($N$8/12, (L330-$R$8), $R$7, $N$7)), 0)</f>
        <v>0</v>
      </c>
      <c r="O330" s="5">
        <f>IF(AND(L330&gt;='Amort. Sched.-WORST'!$R$8, L330&lt;= ($R$7+$R$8)), (PPMT($N$8/12, (L330-$R$8), $R$7, $N$7)), 0)</f>
        <v>0</v>
      </c>
      <c r="P330" s="5">
        <f>IF(CreditAmort1WORST[[#This Row],[Month]]=R$8,N$7,0)</f>
        <v>0</v>
      </c>
      <c r="Q330" s="13">
        <f>IF(AND(L330&gt;='Amort. Sched.-WORST'!$R$8, L330&lt;= ($R$7+$R$8)), Q329+O330, 0)</f>
        <v>0</v>
      </c>
      <c r="R330" s="6" t="str">
        <f>IF(AND(L330&gt;='Amort. Sched.-WORST'!$R$8, L330&lt;= ($R$7+$R$8)), N330/M330, " ")</f>
        <v xml:space="preserve"> </v>
      </c>
      <c r="S330" s="21" t="str">
        <f>IF(AND(L330&gt;='Amort. Sched.-WORST'!$R$8, L330&lt;= ($R$7+$R$8)), O330/M330, " ")</f>
        <v xml:space="preserve"> </v>
      </c>
      <c r="U330" s="22">
        <f t="shared" si="70"/>
        <v>319</v>
      </c>
      <c r="V330" s="23">
        <f>IF(AND(U330&gt;='Amort. Sched.-WORST'!$AA$8, U330&lt;= ($AA$7+$AA$8)), PMT('Amort. Sched.-WORST'!$W$8/12, 'Amort. Sched.-WORST'!$AA$7, 'Amort. Sched.-WORST'!$W$7), 0)</f>
        <v>0</v>
      </c>
      <c r="W330" s="5">
        <f>IF(AND(U330&gt;='Amort. Sched.-WORST'!$AA$8, U330&lt;= ($AA$7+$AA$8)), (IPMT($W$8/12, (U330-$AA$8), $AA$7, $W$7)), 0)</f>
        <v>0</v>
      </c>
      <c r="X330" s="23">
        <f>IF(AND(U330&gt;='Amort. Sched.-WORST'!$AA$8, U330&lt;= ($AA$7+$AA$8)), (PPMT($W$8/12, (U330-$AA$8), $AA$7, $W$7)), 0)</f>
        <v>0</v>
      </c>
      <c r="Y330" s="5">
        <f>IF(CreditAmort2WORST[[#This Row],[Month]]=AA$8,W$7,0)</f>
        <v>0</v>
      </c>
      <c r="Z330" s="13">
        <f>IF(AND(U330&gt;='Amort. Sched.-WORST'!$AA$8, U330&lt;= ($AA$7+$AA$8)), Z329+X330, 0)</f>
        <v>0</v>
      </c>
      <c r="AA330" s="24" t="str">
        <f>IF(AND(U330&gt;='Amort. Sched.-WORST'!$AA$8, U330&lt;= ($AA$7+$AA$8)), W330/V330, " ")</f>
        <v xml:space="preserve"> </v>
      </c>
      <c r="AB330" s="25" t="str">
        <f>IF(AND(U330&gt;='Amort. Sched.-WORST'!$AA$8, U330&lt;= ($AA$7+$AA$8)), X330/V330, " ")</f>
        <v xml:space="preserve"> </v>
      </c>
      <c r="AD330" s="20">
        <f t="shared" si="71"/>
        <v>319</v>
      </c>
      <c r="AE330" s="5">
        <f t="shared" si="72"/>
        <v>0</v>
      </c>
      <c r="AF330" s="5">
        <f t="shared" si="73"/>
        <v>0</v>
      </c>
      <c r="AG330" s="5">
        <f t="shared" si="74"/>
        <v>0</v>
      </c>
      <c r="AH330" s="5">
        <f>IF(CreditAmort3WORST[[#This Row],[Month]]=AJ$8,AF$7,0)</f>
        <v>0</v>
      </c>
      <c r="AI330" s="13">
        <f t="shared" si="75"/>
        <v>0</v>
      </c>
      <c r="AJ330" s="6" t="str">
        <f t="shared" si="76"/>
        <v xml:space="preserve"> </v>
      </c>
      <c r="AK330" s="21" t="str">
        <f t="shared" si="77"/>
        <v xml:space="preserve"> </v>
      </c>
      <c r="AM330" s="20">
        <f t="shared" si="78"/>
        <v>319</v>
      </c>
      <c r="AN330" s="5">
        <f t="shared" si="79"/>
        <v>0</v>
      </c>
      <c r="AO330" s="5">
        <f t="shared" si="80"/>
        <v>0</v>
      </c>
      <c r="AP330" s="5">
        <f t="shared" si="81"/>
        <v>0</v>
      </c>
      <c r="AQ330" s="5">
        <f>IF(CreditAmort4WORST[[#This Row],[Month]]=AS$8,AO$7,0)</f>
        <v>0</v>
      </c>
      <c r="AR330" s="13">
        <f t="shared" si="82"/>
        <v>0</v>
      </c>
      <c r="AS330" s="6" t="str">
        <f t="shared" si="83"/>
        <v xml:space="preserve"> </v>
      </c>
      <c r="AT330" s="21" t="str">
        <f t="shared" si="84"/>
        <v xml:space="preserve"> </v>
      </c>
    </row>
    <row r="331" spans="3:46">
      <c r="C331" s="22">
        <f t="shared" si="69"/>
        <v>320</v>
      </c>
      <c r="D331" s="23">
        <f>IF(AND(C331&gt;='Amort. Sched.-WORST'!$I$8, C331&lt;= ($I$7+$I$8)), PMT('Amort. Sched.-WORST'!$E$8/12, 'Amort. Sched.-WORST'!$I$7, 'Amort. Sched.-WORST'!$E$7), 0)</f>
        <v>0</v>
      </c>
      <c r="E331" s="5">
        <f>IF(AND(C331&gt;='Amort. Sched.-WORST'!$I$8, C331&lt;= ($I$7+$I$8)), (IPMT($E$8/12, (C331-$I$8), $I$7, $E$7)), 0)</f>
        <v>0</v>
      </c>
      <c r="F331" s="23">
        <f>IF(AND(C331&gt;='Amort. Sched.-WORST'!$I$8, C331&lt;= ($I$7+$I$8)), (PPMT($E$8/12, (C331-$I$8), $I$7, $E$7)), 0)</f>
        <v>0</v>
      </c>
      <c r="G331" s="5">
        <f>IF(MortgageAmortWORST[[#This Row],[Month]]=I$8,E$7,0)</f>
        <v>0</v>
      </c>
      <c r="H331" s="13">
        <f>IF(AND(C331&gt;='Amort. Sched.-WORST'!$I$8, C331&lt;= ($I$7+$I$8)), H330+F331, 0)</f>
        <v>0</v>
      </c>
      <c r="I331" s="24" t="str">
        <f>IF(AND(C331&gt;='Amort. Sched.-WORST'!$I$8, C331&lt;= ($I$7+$I$8)), E331/D331, " ")</f>
        <v xml:space="preserve"> </v>
      </c>
      <c r="J331" s="25" t="str">
        <f>IF(AND(C331&gt;='Amort. Sched.-WORST'!$I$8, C331&lt;= ($I$7+$I$8)), F331/D331, " ")</f>
        <v xml:space="preserve"> </v>
      </c>
      <c r="L331" s="20">
        <f t="shared" si="68"/>
        <v>320</v>
      </c>
      <c r="M331" s="5">
        <f>IF(AND(L331&gt;='Amort. Sched.-WORST'!$R$8, L331&lt;= ($R$7+$R$8)), PMT('Amort. Sched.-WORST'!$N$8/12, 'Amort. Sched.-WORST'!$R$7, 'Amort. Sched.-WORST'!$N$7), 0)</f>
        <v>0</v>
      </c>
      <c r="N331" s="5">
        <f>IF(AND(L331&gt;='Amort. Sched.-WORST'!$R$8, L331&lt;= ($R$7+$R$8)), (IPMT($N$8/12, (L331-$R$8), $R$7, $N$7)), 0)</f>
        <v>0</v>
      </c>
      <c r="O331" s="5">
        <f>IF(AND(L331&gt;='Amort. Sched.-WORST'!$R$8, L331&lt;= ($R$7+$R$8)), (PPMT($N$8/12, (L331-$R$8), $R$7, $N$7)), 0)</f>
        <v>0</v>
      </c>
      <c r="P331" s="5">
        <f>IF(CreditAmort1WORST[[#This Row],[Month]]=R$8,N$7,0)</f>
        <v>0</v>
      </c>
      <c r="Q331" s="13">
        <f>IF(AND(L331&gt;='Amort. Sched.-WORST'!$R$8, L331&lt;= ($R$7+$R$8)), Q330+O331, 0)</f>
        <v>0</v>
      </c>
      <c r="R331" s="6" t="str">
        <f>IF(AND(L331&gt;='Amort. Sched.-WORST'!$R$8, L331&lt;= ($R$7+$R$8)), N331/M331, " ")</f>
        <v xml:space="preserve"> </v>
      </c>
      <c r="S331" s="21" t="str">
        <f>IF(AND(L331&gt;='Amort. Sched.-WORST'!$R$8, L331&lt;= ($R$7+$R$8)), O331/M331, " ")</f>
        <v xml:space="preserve"> </v>
      </c>
      <c r="U331" s="22">
        <f t="shared" si="70"/>
        <v>320</v>
      </c>
      <c r="V331" s="23">
        <f>IF(AND(U331&gt;='Amort. Sched.-WORST'!$AA$8, U331&lt;= ($AA$7+$AA$8)), PMT('Amort. Sched.-WORST'!$W$8/12, 'Amort. Sched.-WORST'!$AA$7, 'Amort. Sched.-WORST'!$W$7), 0)</f>
        <v>0</v>
      </c>
      <c r="W331" s="5">
        <f>IF(AND(U331&gt;='Amort. Sched.-WORST'!$AA$8, U331&lt;= ($AA$7+$AA$8)), (IPMT($W$8/12, (U331-$AA$8), $AA$7, $W$7)), 0)</f>
        <v>0</v>
      </c>
      <c r="X331" s="23">
        <f>IF(AND(U331&gt;='Amort. Sched.-WORST'!$AA$8, U331&lt;= ($AA$7+$AA$8)), (PPMT($W$8/12, (U331-$AA$8), $AA$7, $W$7)), 0)</f>
        <v>0</v>
      </c>
      <c r="Y331" s="5">
        <f>IF(CreditAmort2WORST[[#This Row],[Month]]=AA$8,W$7,0)</f>
        <v>0</v>
      </c>
      <c r="Z331" s="13">
        <f>IF(AND(U331&gt;='Amort. Sched.-WORST'!$AA$8, U331&lt;= ($AA$7+$AA$8)), Z330+X331, 0)</f>
        <v>0</v>
      </c>
      <c r="AA331" s="24" t="str">
        <f>IF(AND(U331&gt;='Amort. Sched.-WORST'!$AA$8, U331&lt;= ($AA$7+$AA$8)), W331/V331, " ")</f>
        <v xml:space="preserve"> </v>
      </c>
      <c r="AB331" s="25" t="str">
        <f>IF(AND(U331&gt;='Amort. Sched.-WORST'!$AA$8, U331&lt;= ($AA$7+$AA$8)), X331/V331, " ")</f>
        <v xml:space="preserve"> </v>
      </c>
      <c r="AD331" s="20">
        <f t="shared" si="71"/>
        <v>320</v>
      </c>
      <c r="AE331" s="5">
        <f t="shared" si="72"/>
        <v>0</v>
      </c>
      <c r="AF331" s="5">
        <f t="shared" si="73"/>
        <v>0</v>
      </c>
      <c r="AG331" s="5">
        <f t="shared" si="74"/>
        <v>0</v>
      </c>
      <c r="AH331" s="5">
        <f>IF(CreditAmort3WORST[[#This Row],[Month]]=AJ$8,AF$7,0)</f>
        <v>0</v>
      </c>
      <c r="AI331" s="13">
        <f t="shared" si="75"/>
        <v>0</v>
      </c>
      <c r="AJ331" s="6" t="str">
        <f t="shared" si="76"/>
        <v xml:space="preserve"> </v>
      </c>
      <c r="AK331" s="21" t="str">
        <f t="shared" si="77"/>
        <v xml:space="preserve"> </v>
      </c>
      <c r="AM331" s="20">
        <f t="shared" si="78"/>
        <v>320</v>
      </c>
      <c r="AN331" s="5">
        <f t="shared" si="79"/>
        <v>0</v>
      </c>
      <c r="AO331" s="5">
        <f t="shared" si="80"/>
        <v>0</v>
      </c>
      <c r="AP331" s="5">
        <f t="shared" si="81"/>
        <v>0</v>
      </c>
      <c r="AQ331" s="5">
        <f>IF(CreditAmort4WORST[[#This Row],[Month]]=AS$8,AO$7,0)</f>
        <v>0</v>
      </c>
      <c r="AR331" s="13">
        <f t="shared" si="82"/>
        <v>0</v>
      </c>
      <c r="AS331" s="6" t="str">
        <f t="shared" si="83"/>
        <v xml:space="preserve"> </v>
      </c>
      <c r="AT331" s="21" t="str">
        <f t="shared" si="84"/>
        <v xml:space="preserve"> </v>
      </c>
    </row>
    <row r="332" spans="3:46">
      <c r="C332" s="22">
        <f t="shared" si="69"/>
        <v>321</v>
      </c>
      <c r="D332" s="23">
        <f>IF(AND(C332&gt;='Amort. Sched.-WORST'!$I$8, C332&lt;= ($I$7+$I$8)), PMT('Amort. Sched.-WORST'!$E$8/12, 'Amort. Sched.-WORST'!$I$7, 'Amort. Sched.-WORST'!$E$7), 0)</f>
        <v>0</v>
      </c>
      <c r="E332" s="5">
        <f>IF(AND(C332&gt;='Amort. Sched.-WORST'!$I$8, C332&lt;= ($I$7+$I$8)), (IPMT($E$8/12, (C332-$I$8), $I$7, $E$7)), 0)</f>
        <v>0</v>
      </c>
      <c r="F332" s="23">
        <f>IF(AND(C332&gt;='Amort. Sched.-WORST'!$I$8, C332&lt;= ($I$7+$I$8)), (PPMT($E$8/12, (C332-$I$8), $I$7, $E$7)), 0)</f>
        <v>0</v>
      </c>
      <c r="G332" s="5">
        <f>IF(MortgageAmortWORST[[#This Row],[Month]]=I$8,E$7,0)</f>
        <v>0</v>
      </c>
      <c r="H332" s="13">
        <f>IF(AND(C332&gt;='Amort. Sched.-WORST'!$I$8, C332&lt;= ($I$7+$I$8)), H331+F332, 0)</f>
        <v>0</v>
      </c>
      <c r="I332" s="24" t="str">
        <f>IF(AND(C332&gt;='Amort. Sched.-WORST'!$I$8, C332&lt;= ($I$7+$I$8)), E332/D332, " ")</f>
        <v xml:space="preserve"> </v>
      </c>
      <c r="J332" s="25" t="str">
        <f>IF(AND(C332&gt;='Amort. Sched.-WORST'!$I$8, C332&lt;= ($I$7+$I$8)), F332/D332, " ")</f>
        <v xml:space="preserve"> </v>
      </c>
      <c r="L332" s="20">
        <f t="shared" ref="L332:L371" si="85">L331+1</f>
        <v>321</v>
      </c>
      <c r="M332" s="5">
        <f>IF(AND(L332&gt;='Amort. Sched.-WORST'!$R$8, L332&lt;= ($R$7+$R$8)), PMT('Amort. Sched.-WORST'!$N$8/12, 'Amort. Sched.-WORST'!$R$7, 'Amort. Sched.-WORST'!$N$7), 0)</f>
        <v>0</v>
      </c>
      <c r="N332" s="5">
        <f>IF(AND(L332&gt;='Amort. Sched.-WORST'!$R$8, L332&lt;= ($R$7+$R$8)), (IPMT($N$8/12, (L332-$R$8), $R$7, $N$7)), 0)</f>
        <v>0</v>
      </c>
      <c r="O332" s="5">
        <f>IF(AND(L332&gt;='Amort. Sched.-WORST'!$R$8, L332&lt;= ($R$7+$R$8)), (PPMT($N$8/12, (L332-$R$8), $R$7, $N$7)), 0)</f>
        <v>0</v>
      </c>
      <c r="P332" s="5">
        <f>IF(CreditAmort1WORST[[#This Row],[Month]]=R$8,N$7,0)</f>
        <v>0</v>
      </c>
      <c r="Q332" s="13">
        <f>IF(AND(L332&gt;='Amort. Sched.-WORST'!$R$8, L332&lt;= ($R$7+$R$8)), Q331+O332, 0)</f>
        <v>0</v>
      </c>
      <c r="R332" s="6" t="str">
        <f>IF(AND(L332&gt;='Amort. Sched.-WORST'!$R$8, L332&lt;= ($R$7+$R$8)), N332/M332, " ")</f>
        <v xml:space="preserve"> </v>
      </c>
      <c r="S332" s="21" t="str">
        <f>IF(AND(L332&gt;='Amort. Sched.-WORST'!$R$8, L332&lt;= ($R$7+$R$8)), O332/M332, " ")</f>
        <v xml:space="preserve"> </v>
      </c>
      <c r="U332" s="22">
        <f t="shared" si="70"/>
        <v>321</v>
      </c>
      <c r="V332" s="23">
        <f>IF(AND(U332&gt;='Amort. Sched.-WORST'!$AA$8, U332&lt;= ($AA$7+$AA$8)), PMT('Amort. Sched.-WORST'!$W$8/12, 'Amort. Sched.-WORST'!$AA$7, 'Amort. Sched.-WORST'!$W$7), 0)</f>
        <v>0</v>
      </c>
      <c r="W332" s="5">
        <f>IF(AND(U332&gt;='Amort. Sched.-WORST'!$AA$8, U332&lt;= ($AA$7+$AA$8)), (IPMT($W$8/12, (U332-$AA$8), $AA$7, $W$7)), 0)</f>
        <v>0</v>
      </c>
      <c r="X332" s="23">
        <f>IF(AND(U332&gt;='Amort. Sched.-WORST'!$AA$8, U332&lt;= ($AA$7+$AA$8)), (PPMT($W$8/12, (U332-$AA$8), $AA$7, $W$7)), 0)</f>
        <v>0</v>
      </c>
      <c r="Y332" s="5">
        <f>IF(CreditAmort2WORST[[#This Row],[Month]]=AA$8,W$7,0)</f>
        <v>0</v>
      </c>
      <c r="Z332" s="13">
        <f>IF(AND(U332&gt;='Amort. Sched.-WORST'!$AA$8, U332&lt;= ($AA$7+$AA$8)), Z331+X332, 0)</f>
        <v>0</v>
      </c>
      <c r="AA332" s="24" t="str">
        <f>IF(AND(U332&gt;='Amort. Sched.-WORST'!$AA$8, U332&lt;= ($AA$7+$AA$8)), W332/V332, " ")</f>
        <v xml:space="preserve"> </v>
      </c>
      <c r="AB332" s="25" t="str">
        <f>IF(AND(U332&gt;='Amort. Sched.-WORST'!$AA$8, U332&lt;= ($AA$7+$AA$8)), X332/V332, " ")</f>
        <v xml:space="preserve"> </v>
      </c>
      <c r="AD332" s="20">
        <f t="shared" si="71"/>
        <v>321</v>
      </c>
      <c r="AE332" s="5">
        <f t="shared" si="72"/>
        <v>0</v>
      </c>
      <c r="AF332" s="5">
        <f t="shared" si="73"/>
        <v>0</v>
      </c>
      <c r="AG332" s="5">
        <f t="shared" si="74"/>
        <v>0</v>
      </c>
      <c r="AH332" s="5">
        <f>IF(CreditAmort3WORST[[#This Row],[Month]]=AJ$8,AF$7,0)</f>
        <v>0</v>
      </c>
      <c r="AI332" s="13">
        <f t="shared" si="75"/>
        <v>0</v>
      </c>
      <c r="AJ332" s="6" t="str">
        <f t="shared" si="76"/>
        <v xml:space="preserve"> </v>
      </c>
      <c r="AK332" s="21" t="str">
        <f t="shared" si="77"/>
        <v xml:space="preserve"> </v>
      </c>
      <c r="AM332" s="20">
        <f t="shared" si="78"/>
        <v>321</v>
      </c>
      <c r="AN332" s="5">
        <f t="shared" si="79"/>
        <v>0</v>
      </c>
      <c r="AO332" s="5">
        <f t="shared" si="80"/>
        <v>0</v>
      </c>
      <c r="AP332" s="5">
        <f t="shared" si="81"/>
        <v>0</v>
      </c>
      <c r="AQ332" s="5">
        <f>IF(CreditAmort4WORST[[#This Row],[Month]]=AS$8,AO$7,0)</f>
        <v>0</v>
      </c>
      <c r="AR332" s="13">
        <f t="shared" si="82"/>
        <v>0</v>
      </c>
      <c r="AS332" s="6" t="str">
        <f t="shared" si="83"/>
        <v xml:space="preserve"> </v>
      </c>
      <c r="AT332" s="21" t="str">
        <f t="shared" si="84"/>
        <v xml:space="preserve"> </v>
      </c>
    </row>
    <row r="333" spans="3:46">
      <c r="C333" s="22">
        <f t="shared" ref="C333:C371" si="86">C332+1</f>
        <v>322</v>
      </c>
      <c r="D333" s="23">
        <f>IF(AND(C333&gt;='Amort. Sched.-WORST'!$I$8, C333&lt;= ($I$7+$I$8)), PMT('Amort. Sched.-WORST'!$E$8/12, 'Amort. Sched.-WORST'!$I$7, 'Amort. Sched.-WORST'!$E$7), 0)</f>
        <v>0</v>
      </c>
      <c r="E333" s="5">
        <f>IF(AND(C333&gt;='Amort. Sched.-WORST'!$I$8, C333&lt;= ($I$7+$I$8)), (IPMT($E$8/12, (C333-$I$8), $I$7, $E$7)), 0)</f>
        <v>0</v>
      </c>
      <c r="F333" s="23">
        <f>IF(AND(C333&gt;='Amort. Sched.-WORST'!$I$8, C333&lt;= ($I$7+$I$8)), (PPMT($E$8/12, (C333-$I$8), $I$7, $E$7)), 0)</f>
        <v>0</v>
      </c>
      <c r="G333" s="5">
        <f>IF(MortgageAmortWORST[[#This Row],[Month]]=I$8,E$7,0)</f>
        <v>0</v>
      </c>
      <c r="H333" s="13">
        <f>IF(AND(C333&gt;='Amort. Sched.-WORST'!$I$8, C333&lt;= ($I$7+$I$8)), H332+F333, 0)</f>
        <v>0</v>
      </c>
      <c r="I333" s="24" t="str">
        <f>IF(AND(C333&gt;='Amort. Sched.-WORST'!$I$8, C333&lt;= ($I$7+$I$8)), E333/D333, " ")</f>
        <v xml:space="preserve"> </v>
      </c>
      <c r="J333" s="25" t="str">
        <f>IF(AND(C333&gt;='Amort. Sched.-WORST'!$I$8, C333&lt;= ($I$7+$I$8)), F333/D333, " ")</f>
        <v xml:space="preserve"> </v>
      </c>
      <c r="L333" s="20">
        <f t="shared" si="85"/>
        <v>322</v>
      </c>
      <c r="M333" s="5">
        <f>IF(AND(L333&gt;='Amort. Sched.-WORST'!$R$8, L333&lt;= ($R$7+$R$8)), PMT('Amort. Sched.-WORST'!$N$8/12, 'Amort. Sched.-WORST'!$R$7, 'Amort. Sched.-WORST'!$N$7), 0)</f>
        <v>0</v>
      </c>
      <c r="N333" s="5">
        <f>IF(AND(L333&gt;='Amort. Sched.-WORST'!$R$8, L333&lt;= ($R$7+$R$8)), (IPMT($N$8/12, (L333-$R$8), $R$7, $N$7)), 0)</f>
        <v>0</v>
      </c>
      <c r="O333" s="5">
        <f>IF(AND(L333&gt;='Amort. Sched.-WORST'!$R$8, L333&lt;= ($R$7+$R$8)), (PPMT($N$8/12, (L333-$R$8), $R$7, $N$7)), 0)</f>
        <v>0</v>
      </c>
      <c r="P333" s="5">
        <f>IF(CreditAmort1WORST[[#This Row],[Month]]=R$8,N$7,0)</f>
        <v>0</v>
      </c>
      <c r="Q333" s="13">
        <f>IF(AND(L333&gt;='Amort. Sched.-WORST'!$R$8, L333&lt;= ($R$7+$R$8)), Q332+O333, 0)</f>
        <v>0</v>
      </c>
      <c r="R333" s="6" t="str">
        <f>IF(AND(L333&gt;='Amort. Sched.-WORST'!$R$8, L333&lt;= ($R$7+$R$8)), N333/M333, " ")</f>
        <v xml:space="preserve"> </v>
      </c>
      <c r="S333" s="21" t="str">
        <f>IF(AND(L333&gt;='Amort. Sched.-WORST'!$R$8, L333&lt;= ($R$7+$R$8)), O333/M333, " ")</f>
        <v xml:space="preserve"> </v>
      </c>
      <c r="U333" s="22">
        <f t="shared" ref="U333:U371" si="87">U332+1</f>
        <v>322</v>
      </c>
      <c r="V333" s="23">
        <f>IF(AND(U333&gt;='Amort. Sched.-WORST'!$AA$8, U333&lt;= ($AA$7+$AA$8)), PMT('Amort. Sched.-WORST'!$W$8/12, 'Amort. Sched.-WORST'!$AA$7, 'Amort. Sched.-WORST'!$W$7), 0)</f>
        <v>0</v>
      </c>
      <c r="W333" s="5">
        <f>IF(AND(U333&gt;='Amort. Sched.-WORST'!$AA$8, U333&lt;= ($AA$7+$AA$8)), (IPMT($W$8/12, (U333-$AA$8), $AA$7, $W$7)), 0)</f>
        <v>0</v>
      </c>
      <c r="X333" s="23">
        <f>IF(AND(U333&gt;='Amort. Sched.-WORST'!$AA$8, U333&lt;= ($AA$7+$AA$8)), (PPMT($W$8/12, (U333-$AA$8), $AA$7, $W$7)), 0)</f>
        <v>0</v>
      </c>
      <c r="Y333" s="5">
        <f>IF(CreditAmort2WORST[[#This Row],[Month]]=AA$8,W$7,0)</f>
        <v>0</v>
      </c>
      <c r="Z333" s="13">
        <f>IF(AND(U333&gt;='Amort. Sched.-WORST'!$AA$8, U333&lt;= ($AA$7+$AA$8)), Z332+X333, 0)</f>
        <v>0</v>
      </c>
      <c r="AA333" s="24" t="str">
        <f>IF(AND(U333&gt;='Amort. Sched.-WORST'!$AA$8, U333&lt;= ($AA$7+$AA$8)), W333/V333, " ")</f>
        <v xml:space="preserve"> </v>
      </c>
      <c r="AB333" s="25" t="str">
        <f>IF(AND(U333&gt;='Amort. Sched.-WORST'!$AA$8, U333&lt;= ($AA$7+$AA$8)), X333/V333, " ")</f>
        <v xml:space="preserve"> </v>
      </c>
      <c r="AD333" s="20">
        <f t="shared" ref="AD333:AD371" si="88">AD332+1</f>
        <v>322</v>
      </c>
      <c r="AE333" s="5">
        <f t="shared" ref="AE333:AE371" si="89">IF(AND(AD333&gt;=$AJ$8, AD333&lt;= ($AJ$7+$AJ$8)), PMT($AF$8/12, $AJ$7, $AF$7), 0)</f>
        <v>0</v>
      </c>
      <c r="AF333" s="5">
        <f t="shared" ref="AF333:AF371" si="90">IF(AND(AD333&gt;=$AJ$8, AD333&lt;= ($AJ$7+$AJ$8)), (IPMT($AF$8/12, (AD333-$AJ$8), $AJ$7, $AF$7)), 0)</f>
        <v>0</v>
      </c>
      <c r="AG333" s="5">
        <f t="shared" ref="AG333:AG371" si="91">IF(AND(AD333&gt;=$AJ$8, AD333&lt;= ($AJ$7+$AJ$8)), (PPMT($AF$8/12, (AD333-$AJ$8), $AJ$7, $AF$7)), 0)</f>
        <v>0</v>
      </c>
      <c r="AH333" s="5">
        <f>IF(CreditAmort3WORST[[#This Row],[Month]]=AJ$8,AF$7,0)</f>
        <v>0</v>
      </c>
      <c r="AI333" s="13">
        <f t="shared" ref="AI333:AI371" si="92">IF(AND(AD333&gt;=$AJ$8, AD333&lt;= ($AJ$7+$AA$8)), AI332+AG333, 0)</f>
        <v>0</v>
      </c>
      <c r="AJ333" s="6" t="str">
        <f t="shared" ref="AJ333:AJ371" si="93">IF(AND(AD333&gt;=$AJ$8, AD333&lt;= ($AJ$7+$AJ$8)), AF333/AE333, " ")</f>
        <v xml:space="preserve"> </v>
      </c>
      <c r="AK333" s="21" t="str">
        <f t="shared" ref="AK333:AK371" si="94">IF(AND(AD333&gt;=$AJ$8, AD333&lt;= ($AJ$7+$AJ$8)), AG333/AE333, " ")</f>
        <v xml:space="preserve"> </v>
      </c>
      <c r="AM333" s="20">
        <f t="shared" ref="AM333:AM371" si="95">AM332+1</f>
        <v>322</v>
      </c>
      <c r="AN333" s="5">
        <f t="shared" ref="AN333:AN371" si="96">IF(AND(AM333&gt;=$AS$8, AM333&lt;= ($AS$7+$AS$8)), PMT($AO$8/12, $AS$7, $AO$7), 0)</f>
        <v>0</v>
      </c>
      <c r="AO333" s="5">
        <f t="shared" ref="AO333:AO371" si="97">IF(AND(AM333&gt;=$AS$8, AM333&lt;= ($AS$7+$AS$8)), (IPMT($AO$8/12, (AM333-$AS$8), $AS$7, $AO$7)), 0)</f>
        <v>0</v>
      </c>
      <c r="AP333" s="5">
        <f t="shared" ref="AP333:AP371" si="98">IF(AND(AM333&gt;=$AS$8, AM333&lt;= ($AS$7+$AS$8)), (PPMT($AO$8/12, (AM333-$AS$8), $AS$7, $AO$7)), 0)</f>
        <v>0</v>
      </c>
      <c r="AQ333" s="5">
        <f>IF(CreditAmort4WORST[[#This Row],[Month]]=AS$8,AO$7,0)</f>
        <v>0</v>
      </c>
      <c r="AR333" s="13">
        <f t="shared" ref="AR333:AR371" si="99">IF(AND(AM333&gt;=$AS$8, AM333&lt;= ($AS$7+$AS$8)), AR332+AP333, 0)</f>
        <v>0</v>
      </c>
      <c r="AS333" s="6" t="str">
        <f t="shared" ref="AS333:AS371" si="100">IF(AND(AM333&gt;=$AS$8, AM333&lt;= ($AS$7+$AS$8)), AO333/AN333, " ")</f>
        <v xml:space="preserve"> </v>
      </c>
      <c r="AT333" s="21" t="str">
        <f t="shared" ref="AT333:AT371" si="101">IF(AND(AM333&gt;=$AS$8, AM333&lt;= ($AS$7+$AS$8)), AP333/AN333, " ")</f>
        <v xml:space="preserve"> </v>
      </c>
    </row>
    <row r="334" spans="3:46">
      <c r="C334" s="22">
        <f t="shared" si="86"/>
        <v>323</v>
      </c>
      <c r="D334" s="23">
        <f>IF(AND(C334&gt;='Amort. Sched.-WORST'!$I$8, C334&lt;= ($I$7+$I$8)), PMT('Amort. Sched.-WORST'!$E$8/12, 'Amort. Sched.-WORST'!$I$7, 'Amort. Sched.-WORST'!$E$7), 0)</f>
        <v>0</v>
      </c>
      <c r="E334" s="5">
        <f>IF(AND(C334&gt;='Amort. Sched.-WORST'!$I$8, C334&lt;= ($I$7+$I$8)), (IPMT($E$8/12, (C334-$I$8), $I$7, $E$7)), 0)</f>
        <v>0</v>
      </c>
      <c r="F334" s="23">
        <f>IF(AND(C334&gt;='Amort. Sched.-WORST'!$I$8, C334&lt;= ($I$7+$I$8)), (PPMT($E$8/12, (C334-$I$8), $I$7, $E$7)), 0)</f>
        <v>0</v>
      </c>
      <c r="G334" s="5">
        <f>IF(MortgageAmortWORST[[#This Row],[Month]]=I$8,E$7,0)</f>
        <v>0</v>
      </c>
      <c r="H334" s="13">
        <f>IF(AND(C334&gt;='Amort. Sched.-WORST'!$I$8, C334&lt;= ($I$7+$I$8)), H333+F334, 0)</f>
        <v>0</v>
      </c>
      <c r="I334" s="24" t="str">
        <f>IF(AND(C334&gt;='Amort. Sched.-WORST'!$I$8, C334&lt;= ($I$7+$I$8)), E334/D334, " ")</f>
        <v xml:space="preserve"> </v>
      </c>
      <c r="J334" s="25" t="str">
        <f>IF(AND(C334&gt;='Amort. Sched.-WORST'!$I$8, C334&lt;= ($I$7+$I$8)), F334/D334, " ")</f>
        <v xml:space="preserve"> </v>
      </c>
      <c r="L334" s="20">
        <f t="shared" si="85"/>
        <v>323</v>
      </c>
      <c r="M334" s="5">
        <f>IF(AND(L334&gt;='Amort. Sched.-WORST'!$R$8, L334&lt;= ($R$7+$R$8)), PMT('Amort. Sched.-WORST'!$N$8/12, 'Amort. Sched.-WORST'!$R$7, 'Amort. Sched.-WORST'!$N$7), 0)</f>
        <v>0</v>
      </c>
      <c r="N334" s="5">
        <f>IF(AND(L334&gt;='Amort. Sched.-WORST'!$R$8, L334&lt;= ($R$7+$R$8)), (IPMT($N$8/12, (L334-$R$8), $R$7, $N$7)), 0)</f>
        <v>0</v>
      </c>
      <c r="O334" s="5">
        <f>IF(AND(L334&gt;='Amort. Sched.-WORST'!$R$8, L334&lt;= ($R$7+$R$8)), (PPMT($N$8/12, (L334-$R$8), $R$7, $N$7)), 0)</f>
        <v>0</v>
      </c>
      <c r="P334" s="5">
        <f>IF(CreditAmort1WORST[[#This Row],[Month]]=R$8,N$7,0)</f>
        <v>0</v>
      </c>
      <c r="Q334" s="13">
        <f>IF(AND(L334&gt;='Amort. Sched.-WORST'!$R$8, L334&lt;= ($R$7+$R$8)), Q333+O334, 0)</f>
        <v>0</v>
      </c>
      <c r="R334" s="6" t="str">
        <f>IF(AND(L334&gt;='Amort. Sched.-WORST'!$R$8, L334&lt;= ($R$7+$R$8)), N334/M334, " ")</f>
        <v xml:space="preserve"> </v>
      </c>
      <c r="S334" s="21" t="str">
        <f>IF(AND(L334&gt;='Amort. Sched.-WORST'!$R$8, L334&lt;= ($R$7+$R$8)), O334/M334, " ")</f>
        <v xml:space="preserve"> </v>
      </c>
      <c r="U334" s="22">
        <f t="shared" si="87"/>
        <v>323</v>
      </c>
      <c r="V334" s="23">
        <f>IF(AND(U334&gt;='Amort. Sched.-WORST'!$AA$8, U334&lt;= ($AA$7+$AA$8)), PMT('Amort. Sched.-WORST'!$W$8/12, 'Amort. Sched.-WORST'!$AA$7, 'Amort. Sched.-WORST'!$W$7), 0)</f>
        <v>0</v>
      </c>
      <c r="W334" s="5">
        <f>IF(AND(U334&gt;='Amort. Sched.-WORST'!$AA$8, U334&lt;= ($AA$7+$AA$8)), (IPMT($W$8/12, (U334-$AA$8), $AA$7, $W$7)), 0)</f>
        <v>0</v>
      </c>
      <c r="X334" s="23">
        <f>IF(AND(U334&gt;='Amort. Sched.-WORST'!$AA$8, U334&lt;= ($AA$7+$AA$8)), (PPMT($W$8/12, (U334-$AA$8), $AA$7, $W$7)), 0)</f>
        <v>0</v>
      </c>
      <c r="Y334" s="5">
        <f>IF(CreditAmort2WORST[[#This Row],[Month]]=AA$8,W$7,0)</f>
        <v>0</v>
      </c>
      <c r="Z334" s="13">
        <f>IF(AND(U334&gt;='Amort. Sched.-WORST'!$AA$8, U334&lt;= ($AA$7+$AA$8)), Z333+X334, 0)</f>
        <v>0</v>
      </c>
      <c r="AA334" s="24" t="str">
        <f>IF(AND(U334&gt;='Amort. Sched.-WORST'!$AA$8, U334&lt;= ($AA$7+$AA$8)), W334/V334, " ")</f>
        <v xml:space="preserve"> </v>
      </c>
      <c r="AB334" s="25" t="str">
        <f>IF(AND(U334&gt;='Amort. Sched.-WORST'!$AA$8, U334&lt;= ($AA$7+$AA$8)), X334/V334, " ")</f>
        <v xml:space="preserve"> </v>
      </c>
      <c r="AD334" s="20">
        <f t="shared" si="88"/>
        <v>323</v>
      </c>
      <c r="AE334" s="5">
        <f t="shared" si="89"/>
        <v>0</v>
      </c>
      <c r="AF334" s="5">
        <f t="shared" si="90"/>
        <v>0</v>
      </c>
      <c r="AG334" s="5">
        <f t="shared" si="91"/>
        <v>0</v>
      </c>
      <c r="AH334" s="5">
        <f>IF(CreditAmort3WORST[[#This Row],[Month]]=AJ$8,AF$7,0)</f>
        <v>0</v>
      </c>
      <c r="AI334" s="13">
        <f t="shared" si="92"/>
        <v>0</v>
      </c>
      <c r="AJ334" s="6" t="str">
        <f t="shared" si="93"/>
        <v xml:space="preserve"> </v>
      </c>
      <c r="AK334" s="21" t="str">
        <f t="shared" si="94"/>
        <v xml:space="preserve"> </v>
      </c>
      <c r="AM334" s="20">
        <f t="shared" si="95"/>
        <v>323</v>
      </c>
      <c r="AN334" s="5">
        <f t="shared" si="96"/>
        <v>0</v>
      </c>
      <c r="AO334" s="5">
        <f t="shared" si="97"/>
        <v>0</v>
      </c>
      <c r="AP334" s="5">
        <f t="shared" si="98"/>
        <v>0</v>
      </c>
      <c r="AQ334" s="5">
        <f>IF(CreditAmort4WORST[[#This Row],[Month]]=AS$8,AO$7,0)</f>
        <v>0</v>
      </c>
      <c r="AR334" s="13">
        <f t="shared" si="99"/>
        <v>0</v>
      </c>
      <c r="AS334" s="6" t="str">
        <f t="shared" si="100"/>
        <v xml:space="preserve"> </v>
      </c>
      <c r="AT334" s="21" t="str">
        <f t="shared" si="101"/>
        <v xml:space="preserve"> </v>
      </c>
    </row>
    <row r="335" spans="3:46">
      <c r="C335" s="22">
        <f t="shared" si="86"/>
        <v>324</v>
      </c>
      <c r="D335" s="23">
        <f>IF(AND(C335&gt;='Amort. Sched.-WORST'!$I$8, C335&lt;= ($I$7+$I$8)), PMT('Amort. Sched.-WORST'!$E$8/12, 'Amort. Sched.-WORST'!$I$7, 'Amort. Sched.-WORST'!$E$7), 0)</f>
        <v>0</v>
      </c>
      <c r="E335" s="5">
        <f>IF(AND(C335&gt;='Amort. Sched.-WORST'!$I$8, C335&lt;= ($I$7+$I$8)), (IPMT($E$8/12, (C335-$I$8), $I$7, $E$7)), 0)</f>
        <v>0</v>
      </c>
      <c r="F335" s="23">
        <f>IF(AND(C335&gt;='Amort. Sched.-WORST'!$I$8, C335&lt;= ($I$7+$I$8)), (PPMT($E$8/12, (C335-$I$8), $I$7, $E$7)), 0)</f>
        <v>0</v>
      </c>
      <c r="G335" s="5">
        <f>IF(MortgageAmortWORST[[#This Row],[Month]]=I$8,E$7,0)</f>
        <v>0</v>
      </c>
      <c r="H335" s="13">
        <f>IF(AND(C335&gt;='Amort. Sched.-WORST'!$I$8, C335&lt;= ($I$7+$I$8)), H334+F335, 0)</f>
        <v>0</v>
      </c>
      <c r="I335" s="24" t="str">
        <f>IF(AND(C335&gt;='Amort. Sched.-WORST'!$I$8, C335&lt;= ($I$7+$I$8)), E335/D335, " ")</f>
        <v xml:space="preserve"> </v>
      </c>
      <c r="J335" s="25" t="str">
        <f>IF(AND(C335&gt;='Amort. Sched.-WORST'!$I$8, C335&lt;= ($I$7+$I$8)), F335/D335, " ")</f>
        <v xml:space="preserve"> </v>
      </c>
      <c r="L335" s="20">
        <f t="shared" si="85"/>
        <v>324</v>
      </c>
      <c r="M335" s="5">
        <f>IF(AND(L335&gt;='Amort. Sched.-WORST'!$R$8, L335&lt;= ($R$7+$R$8)), PMT('Amort. Sched.-WORST'!$N$8/12, 'Amort. Sched.-WORST'!$R$7, 'Amort. Sched.-WORST'!$N$7), 0)</f>
        <v>0</v>
      </c>
      <c r="N335" s="5">
        <f>IF(AND(L335&gt;='Amort. Sched.-WORST'!$R$8, L335&lt;= ($R$7+$R$8)), (IPMT($N$8/12, (L335-$R$8), $R$7, $N$7)), 0)</f>
        <v>0</v>
      </c>
      <c r="O335" s="5">
        <f>IF(AND(L335&gt;='Amort. Sched.-WORST'!$R$8, L335&lt;= ($R$7+$R$8)), (PPMT($N$8/12, (L335-$R$8), $R$7, $N$7)), 0)</f>
        <v>0</v>
      </c>
      <c r="P335" s="5">
        <f>IF(CreditAmort1WORST[[#This Row],[Month]]=R$8,N$7,0)</f>
        <v>0</v>
      </c>
      <c r="Q335" s="13">
        <f>IF(AND(L335&gt;='Amort. Sched.-WORST'!$R$8, L335&lt;= ($R$7+$R$8)), Q334+O335, 0)</f>
        <v>0</v>
      </c>
      <c r="R335" s="6" t="str">
        <f>IF(AND(L335&gt;='Amort. Sched.-WORST'!$R$8, L335&lt;= ($R$7+$R$8)), N335/M335, " ")</f>
        <v xml:space="preserve"> </v>
      </c>
      <c r="S335" s="21" t="str">
        <f>IF(AND(L335&gt;='Amort. Sched.-WORST'!$R$8, L335&lt;= ($R$7+$R$8)), O335/M335, " ")</f>
        <v xml:space="preserve"> </v>
      </c>
      <c r="U335" s="22">
        <f t="shared" si="87"/>
        <v>324</v>
      </c>
      <c r="V335" s="23">
        <f>IF(AND(U335&gt;='Amort. Sched.-WORST'!$AA$8, U335&lt;= ($AA$7+$AA$8)), PMT('Amort. Sched.-WORST'!$W$8/12, 'Amort. Sched.-WORST'!$AA$7, 'Amort. Sched.-WORST'!$W$7), 0)</f>
        <v>0</v>
      </c>
      <c r="W335" s="5">
        <f>IF(AND(U335&gt;='Amort. Sched.-WORST'!$AA$8, U335&lt;= ($AA$7+$AA$8)), (IPMT($W$8/12, (U335-$AA$8), $AA$7, $W$7)), 0)</f>
        <v>0</v>
      </c>
      <c r="X335" s="23">
        <f>IF(AND(U335&gt;='Amort. Sched.-WORST'!$AA$8, U335&lt;= ($AA$7+$AA$8)), (PPMT($W$8/12, (U335-$AA$8), $AA$7, $W$7)), 0)</f>
        <v>0</v>
      </c>
      <c r="Y335" s="5">
        <f>IF(CreditAmort2WORST[[#This Row],[Month]]=AA$8,W$7,0)</f>
        <v>0</v>
      </c>
      <c r="Z335" s="13">
        <f>IF(AND(U335&gt;='Amort. Sched.-WORST'!$AA$8, U335&lt;= ($AA$7+$AA$8)), Z334+X335, 0)</f>
        <v>0</v>
      </c>
      <c r="AA335" s="24" t="str">
        <f>IF(AND(U335&gt;='Amort. Sched.-WORST'!$AA$8, U335&lt;= ($AA$7+$AA$8)), W335/V335, " ")</f>
        <v xml:space="preserve"> </v>
      </c>
      <c r="AB335" s="25" t="str">
        <f>IF(AND(U335&gt;='Amort. Sched.-WORST'!$AA$8, U335&lt;= ($AA$7+$AA$8)), X335/V335, " ")</f>
        <v xml:space="preserve"> </v>
      </c>
      <c r="AD335" s="20">
        <f t="shared" si="88"/>
        <v>324</v>
      </c>
      <c r="AE335" s="5">
        <f t="shared" si="89"/>
        <v>0</v>
      </c>
      <c r="AF335" s="5">
        <f t="shared" si="90"/>
        <v>0</v>
      </c>
      <c r="AG335" s="5">
        <f t="shared" si="91"/>
        <v>0</v>
      </c>
      <c r="AH335" s="5">
        <f>IF(CreditAmort3WORST[[#This Row],[Month]]=AJ$8,AF$7,0)</f>
        <v>0</v>
      </c>
      <c r="AI335" s="13">
        <f t="shared" si="92"/>
        <v>0</v>
      </c>
      <c r="AJ335" s="6" t="str">
        <f t="shared" si="93"/>
        <v xml:space="preserve"> </v>
      </c>
      <c r="AK335" s="21" t="str">
        <f t="shared" si="94"/>
        <v xml:space="preserve"> </v>
      </c>
      <c r="AM335" s="20">
        <f t="shared" si="95"/>
        <v>324</v>
      </c>
      <c r="AN335" s="5">
        <f t="shared" si="96"/>
        <v>0</v>
      </c>
      <c r="AO335" s="5">
        <f t="shared" si="97"/>
        <v>0</v>
      </c>
      <c r="AP335" s="5">
        <f t="shared" si="98"/>
        <v>0</v>
      </c>
      <c r="AQ335" s="5">
        <f>IF(CreditAmort4WORST[[#This Row],[Month]]=AS$8,AO$7,0)</f>
        <v>0</v>
      </c>
      <c r="AR335" s="13">
        <f t="shared" si="99"/>
        <v>0</v>
      </c>
      <c r="AS335" s="6" t="str">
        <f t="shared" si="100"/>
        <v xml:space="preserve"> </v>
      </c>
      <c r="AT335" s="21" t="str">
        <f t="shared" si="101"/>
        <v xml:space="preserve"> </v>
      </c>
    </row>
    <row r="336" spans="3:46">
      <c r="C336" s="22">
        <f t="shared" si="86"/>
        <v>325</v>
      </c>
      <c r="D336" s="23">
        <f>IF(AND(C336&gt;='Amort. Sched.-WORST'!$I$8, C336&lt;= ($I$7+$I$8)), PMT('Amort. Sched.-WORST'!$E$8/12, 'Amort. Sched.-WORST'!$I$7, 'Amort. Sched.-WORST'!$E$7), 0)</f>
        <v>0</v>
      </c>
      <c r="E336" s="5">
        <f>IF(AND(C336&gt;='Amort. Sched.-WORST'!$I$8, C336&lt;= ($I$7+$I$8)), (IPMT($E$8/12, (C336-$I$8), $I$7, $E$7)), 0)</f>
        <v>0</v>
      </c>
      <c r="F336" s="23">
        <f>IF(AND(C336&gt;='Amort. Sched.-WORST'!$I$8, C336&lt;= ($I$7+$I$8)), (PPMT($E$8/12, (C336-$I$8), $I$7, $E$7)), 0)</f>
        <v>0</v>
      </c>
      <c r="G336" s="5">
        <f>IF(MortgageAmortWORST[[#This Row],[Month]]=I$8,E$7,0)</f>
        <v>0</v>
      </c>
      <c r="H336" s="13">
        <f>IF(AND(C336&gt;='Amort. Sched.-WORST'!$I$8, C336&lt;= ($I$7+$I$8)), H335+F336, 0)</f>
        <v>0</v>
      </c>
      <c r="I336" s="24" t="str">
        <f>IF(AND(C336&gt;='Amort. Sched.-WORST'!$I$8, C336&lt;= ($I$7+$I$8)), E336/D336, " ")</f>
        <v xml:space="preserve"> </v>
      </c>
      <c r="J336" s="25" t="str">
        <f>IF(AND(C336&gt;='Amort. Sched.-WORST'!$I$8, C336&lt;= ($I$7+$I$8)), F336/D336, " ")</f>
        <v xml:space="preserve"> </v>
      </c>
      <c r="L336" s="20">
        <f t="shared" si="85"/>
        <v>325</v>
      </c>
      <c r="M336" s="5">
        <f>IF(AND(L336&gt;='Amort. Sched.-WORST'!$R$8, L336&lt;= ($R$7+$R$8)), PMT('Amort. Sched.-WORST'!$N$8/12, 'Amort. Sched.-WORST'!$R$7, 'Amort. Sched.-WORST'!$N$7), 0)</f>
        <v>0</v>
      </c>
      <c r="N336" s="5">
        <f>IF(AND(L336&gt;='Amort. Sched.-WORST'!$R$8, L336&lt;= ($R$7+$R$8)), (IPMT($N$8/12, (L336-$R$8), $R$7, $N$7)), 0)</f>
        <v>0</v>
      </c>
      <c r="O336" s="5">
        <f>IF(AND(L336&gt;='Amort. Sched.-WORST'!$R$8, L336&lt;= ($R$7+$R$8)), (PPMT($N$8/12, (L336-$R$8), $R$7, $N$7)), 0)</f>
        <v>0</v>
      </c>
      <c r="P336" s="5">
        <f>IF(CreditAmort1WORST[[#This Row],[Month]]=R$8,N$7,0)</f>
        <v>0</v>
      </c>
      <c r="Q336" s="13">
        <f>IF(AND(L336&gt;='Amort. Sched.-WORST'!$R$8, L336&lt;= ($R$7+$R$8)), Q335+O336, 0)</f>
        <v>0</v>
      </c>
      <c r="R336" s="6" t="str">
        <f>IF(AND(L336&gt;='Amort. Sched.-WORST'!$R$8, L336&lt;= ($R$7+$R$8)), N336/M336, " ")</f>
        <v xml:space="preserve"> </v>
      </c>
      <c r="S336" s="21" t="str">
        <f>IF(AND(L336&gt;='Amort. Sched.-WORST'!$R$8, L336&lt;= ($R$7+$R$8)), O336/M336, " ")</f>
        <v xml:space="preserve"> </v>
      </c>
      <c r="U336" s="22">
        <f t="shared" si="87"/>
        <v>325</v>
      </c>
      <c r="V336" s="23">
        <f>IF(AND(U336&gt;='Amort. Sched.-WORST'!$AA$8, U336&lt;= ($AA$7+$AA$8)), PMT('Amort. Sched.-WORST'!$W$8/12, 'Amort. Sched.-WORST'!$AA$7, 'Amort. Sched.-WORST'!$W$7), 0)</f>
        <v>0</v>
      </c>
      <c r="W336" s="5">
        <f>IF(AND(U336&gt;='Amort. Sched.-WORST'!$AA$8, U336&lt;= ($AA$7+$AA$8)), (IPMT($W$8/12, (U336-$AA$8), $AA$7, $W$7)), 0)</f>
        <v>0</v>
      </c>
      <c r="X336" s="23">
        <f>IF(AND(U336&gt;='Amort. Sched.-WORST'!$AA$8, U336&lt;= ($AA$7+$AA$8)), (PPMT($W$8/12, (U336-$AA$8), $AA$7, $W$7)), 0)</f>
        <v>0</v>
      </c>
      <c r="Y336" s="5">
        <f>IF(CreditAmort2WORST[[#This Row],[Month]]=AA$8,W$7,0)</f>
        <v>0</v>
      </c>
      <c r="Z336" s="13">
        <f>IF(AND(U336&gt;='Amort. Sched.-WORST'!$AA$8, U336&lt;= ($AA$7+$AA$8)), Z335+X336, 0)</f>
        <v>0</v>
      </c>
      <c r="AA336" s="24" t="str">
        <f>IF(AND(U336&gt;='Amort. Sched.-WORST'!$AA$8, U336&lt;= ($AA$7+$AA$8)), W336/V336, " ")</f>
        <v xml:space="preserve"> </v>
      </c>
      <c r="AB336" s="25" t="str">
        <f>IF(AND(U336&gt;='Amort. Sched.-WORST'!$AA$8, U336&lt;= ($AA$7+$AA$8)), X336/V336, " ")</f>
        <v xml:space="preserve"> </v>
      </c>
      <c r="AD336" s="20">
        <f t="shared" si="88"/>
        <v>325</v>
      </c>
      <c r="AE336" s="5">
        <f t="shared" si="89"/>
        <v>0</v>
      </c>
      <c r="AF336" s="5">
        <f t="shared" si="90"/>
        <v>0</v>
      </c>
      <c r="AG336" s="5">
        <f t="shared" si="91"/>
        <v>0</v>
      </c>
      <c r="AH336" s="5">
        <f>IF(CreditAmort3WORST[[#This Row],[Month]]=AJ$8,AF$7,0)</f>
        <v>0</v>
      </c>
      <c r="AI336" s="13">
        <f t="shared" si="92"/>
        <v>0</v>
      </c>
      <c r="AJ336" s="6" t="str">
        <f t="shared" si="93"/>
        <v xml:space="preserve"> </v>
      </c>
      <c r="AK336" s="21" t="str">
        <f t="shared" si="94"/>
        <v xml:space="preserve"> </v>
      </c>
      <c r="AM336" s="20">
        <f t="shared" si="95"/>
        <v>325</v>
      </c>
      <c r="AN336" s="5">
        <f t="shared" si="96"/>
        <v>0</v>
      </c>
      <c r="AO336" s="5">
        <f t="shared" si="97"/>
        <v>0</v>
      </c>
      <c r="AP336" s="5">
        <f t="shared" si="98"/>
        <v>0</v>
      </c>
      <c r="AQ336" s="5">
        <f>IF(CreditAmort4WORST[[#This Row],[Month]]=AS$8,AO$7,0)</f>
        <v>0</v>
      </c>
      <c r="AR336" s="13">
        <f t="shared" si="99"/>
        <v>0</v>
      </c>
      <c r="AS336" s="6" t="str">
        <f t="shared" si="100"/>
        <v xml:space="preserve"> </v>
      </c>
      <c r="AT336" s="21" t="str">
        <f t="shared" si="101"/>
        <v xml:space="preserve"> </v>
      </c>
    </row>
    <row r="337" spans="3:46">
      <c r="C337" s="22">
        <f t="shared" si="86"/>
        <v>326</v>
      </c>
      <c r="D337" s="23">
        <f>IF(AND(C337&gt;='Amort. Sched.-WORST'!$I$8, C337&lt;= ($I$7+$I$8)), PMT('Amort. Sched.-WORST'!$E$8/12, 'Amort. Sched.-WORST'!$I$7, 'Amort. Sched.-WORST'!$E$7), 0)</f>
        <v>0</v>
      </c>
      <c r="E337" s="5">
        <f>IF(AND(C337&gt;='Amort. Sched.-WORST'!$I$8, C337&lt;= ($I$7+$I$8)), (IPMT($E$8/12, (C337-$I$8), $I$7, $E$7)), 0)</f>
        <v>0</v>
      </c>
      <c r="F337" s="23">
        <f>IF(AND(C337&gt;='Amort. Sched.-WORST'!$I$8, C337&lt;= ($I$7+$I$8)), (PPMT($E$8/12, (C337-$I$8), $I$7, $E$7)), 0)</f>
        <v>0</v>
      </c>
      <c r="G337" s="5">
        <f>IF(MortgageAmortWORST[[#This Row],[Month]]=I$8,E$7,0)</f>
        <v>0</v>
      </c>
      <c r="H337" s="13">
        <f>IF(AND(C337&gt;='Amort. Sched.-WORST'!$I$8, C337&lt;= ($I$7+$I$8)), H336+F337, 0)</f>
        <v>0</v>
      </c>
      <c r="I337" s="24" t="str">
        <f>IF(AND(C337&gt;='Amort. Sched.-WORST'!$I$8, C337&lt;= ($I$7+$I$8)), E337/D337, " ")</f>
        <v xml:space="preserve"> </v>
      </c>
      <c r="J337" s="25" t="str">
        <f>IF(AND(C337&gt;='Amort. Sched.-WORST'!$I$8, C337&lt;= ($I$7+$I$8)), F337/D337, " ")</f>
        <v xml:space="preserve"> </v>
      </c>
      <c r="L337" s="20">
        <f t="shared" si="85"/>
        <v>326</v>
      </c>
      <c r="M337" s="5">
        <f>IF(AND(L337&gt;='Amort. Sched.-WORST'!$R$8, L337&lt;= ($R$7+$R$8)), PMT('Amort. Sched.-WORST'!$N$8/12, 'Amort. Sched.-WORST'!$R$7, 'Amort. Sched.-WORST'!$N$7), 0)</f>
        <v>0</v>
      </c>
      <c r="N337" s="5">
        <f>IF(AND(L337&gt;='Amort. Sched.-WORST'!$R$8, L337&lt;= ($R$7+$R$8)), (IPMT($N$8/12, (L337-$R$8), $R$7, $N$7)), 0)</f>
        <v>0</v>
      </c>
      <c r="O337" s="5">
        <f>IF(AND(L337&gt;='Amort. Sched.-WORST'!$R$8, L337&lt;= ($R$7+$R$8)), (PPMT($N$8/12, (L337-$R$8), $R$7, $N$7)), 0)</f>
        <v>0</v>
      </c>
      <c r="P337" s="5">
        <f>IF(CreditAmort1WORST[[#This Row],[Month]]=R$8,N$7,0)</f>
        <v>0</v>
      </c>
      <c r="Q337" s="13">
        <f>IF(AND(L337&gt;='Amort. Sched.-WORST'!$R$8, L337&lt;= ($R$7+$R$8)), Q336+O337, 0)</f>
        <v>0</v>
      </c>
      <c r="R337" s="6" t="str">
        <f>IF(AND(L337&gt;='Amort. Sched.-WORST'!$R$8, L337&lt;= ($R$7+$R$8)), N337/M337, " ")</f>
        <v xml:space="preserve"> </v>
      </c>
      <c r="S337" s="21" t="str">
        <f>IF(AND(L337&gt;='Amort. Sched.-WORST'!$R$8, L337&lt;= ($R$7+$R$8)), O337/M337, " ")</f>
        <v xml:space="preserve"> </v>
      </c>
      <c r="U337" s="22">
        <f t="shared" si="87"/>
        <v>326</v>
      </c>
      <c r="V337" s="23">
        <f>IF(AND(U337&gt;='Amort. Sched.-WORST'!$AA$8, U337&lt;= ($AA$7+$AA$8)), PMT('Amort. Sched.-WORST'!$W$8/12, 'Amort. Sched.-WORST'!$AA$7, 'Amort. Sched.-WORST'!$W$7), 0)</f>
        <v>0</v>
      </c>
      <c r="W337" s="5">
        <f>IF(AND(U337&gt;='Amort. Sched.-WORST'!$AA$8, U337&lt;= ($AA$7+$AA$8)), (IPMT($W$8/12, (U337-$AA$8), $AA$7, $W$7)), 0)</f>
        <v>0</v>
      </c>
      <c r="X337" s="23">
        <f>IF(AND(U337&gt;='Amort. Sched.-WORST'!$AA$8, U337&lt;= ($AA$7+$AA$8)), (PPMT($W$8/12, (U337-$AA$8), $AA$7, $W$7)), 0)</f>
        <v>0</v>
      </c>
      <c r="Y337" s="5">
        <f>IF(CreditAmort2WORST[[#This Row],[Month]]=AA$8,W$7,0)</f>
        <v>0</v>
      </c>
      <c r="Z337" s="13">
        <f>IF(AND(U337&gt;='Amort. Sched.-WORST'!$AA$8, U337&lt;= ($AA$7+$AA$8)), Z336+X337, 0)</f>
        <v>0</v>
      </c>
      <c r="AA337" s="24" t="str">
        <f>IF(AND(U337&gt;='Amort. Sched.-WORST'!$AA$8, U337&lt;= ($AA$7+$AA$8)), W337/V337, " ")</f>
        <v xml:space="preserve"> </v>
      </c>
      <c r="AB337" s="25" t="str">
        <f>IF(AND(U337&gt;='Amort. Sched.-WORST'!$AA$8, U337&lt;= ($AA$7+$AA$8)), X337/V337, " ")</f>
        <v xml:space="preserve"> </v>
      </c>
      <c r="AD337" s="20">
        <f t="shared" si="88"/>
        <v>326</v>
      </c>
      <c r="AE337" s="5">
        <f t="shared" si="89"/>
        <v>0</v>
      </c>
      <c r="AF337" s="5">
        <f t="shared" si="90"/>
        <v>0</v>
      </c>
      <c r="AG337" s="5">
        <f t="shared" si="91"/>
        <v>0</v>
      </c>
      <c r="AH337" s="5">
        <f>IF(CreditAmort3WORST[[#This Row],[Month]]=AJ$8,AF$7,0)</f>
        <v>0</v>
      </c>
      <c r="AI337" s="13">
        <f t="shared" si="92"/>
        <v>0</v>
      </c>
      <c r="AJ337" s="6" t="str">
        <f t="shared" si="93"/>
        <v xml:space="preserve"> </v>
      </c>
      <c r="AK337" s="21" t="str">
        <f t="shared" si="94"/>
        <v xml:space="preserve"> </v>
      </c>
      <c r="AM337" s="20">
        <f t="shared" si="95"/>
        <v>326</v>
      </c>
      <c r="AN337" s="5">
        <f t="shared" si="96"/>
        <v>0</v>
      </c>
      <c r="AO337" s="5">
        <f t="shared" si="97"/>
        <v>0</v>
      </c>
      <c r="AP337" s="5">
        <f t="shared" si="98"/>
        <v>0</v>
      </c>
      <c r="AQ337" s="5">
        <f>IF(CreditAmort4WORST[[#This Row],[Month]]=AS$8,AO$7,0)</f>
        <v>0</v>
      </c>
      <c r="AR337" s="13">
        <f t="shared" si="99"/>
        <v>0</v>
      </c>
      <c r="AS337" s="6" t="str">
        <f t="shared" si="100"/>
        <v xml:space="preserve"> </v>
      </c>
      <c r="AT337" s="21" t="str">
        <f t="shared" si="101"/>
        <v xml:space="preserve"> </v>
      </c>
    </row>
    <row r="338" spans="3:46">
      <c r="C338" s="22">
        <f t="shared" si="86"/>
        <v>327</v>
      </c>
      <c r="D338" s="23">
        <f>IF(AND(C338&gt;='Amort. Sched.-WORST'!$I$8, C338&lt;= ($I$7+$I$8)), PMT('Amort. Sched.-WORST'!$E$8/12, 'Amort. Sched.-WORST'!$I$7, 'Amort. Sched.-WORST'!$E$7), 0)</f>
        <v>0</v>
      </c>
      <c r="E338" s="5">
        <f>IF(AND(C338&gt;='Amort. Sched.-WORST'!$I$8, C338&lt;= ($I$7+$I$8)), (IPMT($E$8/12, (C338-$I$8), $I$7, $E$7)), 0)</f>
        <v>0</v>
      </c>
      <c r="F338" s="23">
        <f>IF(AND(C338&gt;='Amort. Sched.-WORST'!$I$8, C338&lt;= ($I$7+$I$8)), (PPMT($E$8/12, (C338-$I$8), $I$7, $E$7)), 0)</f>
        <v>0</v>
      </c>
      <c r="G338" s="5">
        <f>IF(MortgageAmortWORST[[#This Row],[Month]]=I$8,E$7,0)</f>
        <v>0</v>
      </c>
      <c r="H338" s="13">
        <f>IF(AND(C338&gt;='Amort. Sched.-WORST'!$I$8, C338&lt;= ($I$7+$I$8)), H337+F338, 0)</f>
        <v>0</v>
      </c>
      <c r="I338" s="24" t="str">
        <f>IF(AND(C338&gt;='Amort. Sched.-WORST'!$I$8, C338&lt;= ($I$7+$I$8)), E338/D338, " ")</f>
        <v xml:space="preserve"> </v>
      </c>
      <c r="J338" s="25" t="str">
        <f>IF(AND(C338&gt;='Amort. Sched.-WORST'!$I$8, C338&lt;= ($I$7+$I$8)), F338/D338, " ")</f>
        <v xml:space="preserve"> </v>
      </c>
      <c r="L338" s="20">
        <f t="shared" si="85"/>
        <v>327</v>
      </c>
      <c r="M338" s="5">
        <f>IF(AND(L338&gt;='Amort. Sched.-WORST'!$R$8, L338&lt;= ($R$7+$R$8)), PMT('Amort. Sched.-WORST'!$N$8/12, 'Amort. Sched.-WORST'!$R$7, 'Amort. Sched.-WORST'!$N$7), 0)</f>
        <v>0</v>
      </c>
      <c r="N338" s="5">
        <f>IF(AND(L338&gt;='Amort. Sched.-WORST'!$R$8, L338&lt;= ($R$7+$R$8)), (IPMT($N$8/12, (L338-$R$8), $R$7, $N$7)), 0)</f>
        <v>0</v>
      </c>
      <c r="O338" s="5">
        <f>IF(AND(L338&gt;='Amort. Sched.-WORST'!$R$8, L338&lt;= ($R$7+$R$8)), (PPMT($N$8/12, (L338-$R$8), $R$7, $N$7)), 0)</f>
        <v>0</v>
      </c>
      <c r="P338" s="5">
        <f>IF(CreditAmort1WORST[[#This Row],[Month]]=R$8,N$7,0)</f>
        <v>0</v>
      </c>
      <c r="Q338" s="13">
        <f>IF(AND(L338&gt;='Amort. Sched.-WORST'!$R$8, L338&lt;= ($R$7+$R$8)), Q337+O338, 0)</f>
        <v>0</v>
      </c>
      <c r="R338" s="6" t="str">
        <f>IF(AND(L338&gt;='Amort. Sched.-WORST'!$R$8, L338&lt;= ($R$7+$R$8)), N338/M338, " ")</f>
        <v xml:space="preserve"> </v>
      </c>
      <c r="S338" s="21" t="str">
        <f>IF(AND(L338&gt;='Amort. Sched.-WORST'!$R$8, L338&lt;= ($R$7+$R$8)), O338/M338, " ")</f>
        <v xml:space="preserve"> </v>
      </c>
      <c r="U338" s="22">
        <f t="shared" si="87"/>
        <v>327</v>
      </c>
      <c r="V338" s="23">
        <f>IF(AND(U338&gt;='Amort. Sched.-WORST'!$AA$8, U338&lt;= ($AA$7+$AA$8)), PMT('Amort. Sched.-WORST'!$W$8/12, 'Amort. Sched.-WORST'!$AA$7, 'Amort. Sched.-WORST'!$W$7), 0)</f>
        <v>0</v>
      </c>
      <c r="W338" s="5">
        <f>IF(AND(U338&gt;='Amort. Sched.-WORST'!$AA$8, U338&lt;= ($AA$7+$AA$8)), (IPMT($W$8/12, (U338-$AA$8), $AA$7, $W$7)), 0)</f>
        <v>0</v>
      </c>
      <c r="X338" s="23">
        <f>IF(AND(U338&gt;='Amort. Sched.-WORST'!$AA$8, U338&lt;= ($AA$7+$AA$8)), (PPMT($W$8/12, (U338-$AA$8), $AA$7, $W$7)), 0)</f>
        <v>0</v>
      </c>
      <c r="Y338" s="5">
        <f>IF(CreditAmort2WORST[[#This Row],[Month]]=AA$8,W$7,0)</f>
        <v>0</v>
      </c>
      <c r="Z338" s="13">
        <f>IF(AND(U338&gt;='Amort. Sched.-WORST'!$AA$8, U338&lt;= ($AA$7+$AA$8)), Z337+X338, 0)</f>
        <v>0</v>
      </c>
      <c r="AA338" s="24" t="str">
        <f>IF(AND(U338&gt;='Amort. Sched.-WORST'!$AA$8, U338&lt;= ($AA$7+$AA$8)), W338/V338, " ")</f>
        <v xml:space="preserve"> </v>
      </c>
      <c r="AB338" s="25" t="str">
        <f>IF(AND(U338&gt;='Amort. Sched.-WORST'!$AA$8, U338&lt;= ($AA$7+$AA$8)), X338/V338, " ")</f>
        <v xml:space="preserve"> </v>
      </c>
      <c r="AD338" s="20">
        <f t="shared" si="88"/>
        <v>327</v>
      </c>
      <c r="AE338" s="5">
        <f t="shared" si="89"/>
        <v>0</v>
      </c>
      <c r="AF338" s="5">
        <f t="shared" si="90"/>
        <v>0</v>
      </c>
      <c r="AG338" s="5">
        <f t="shared" si="91"/>
        <v>0</v>
      </c>
      <c r="AH338" s="5">
        <f>IF(CreditAmort3WORST[[#This Row],[Month]]=AJ$8,AF$7,0)</f>
        <v>0</v>
      </c>
      <c r="AI338" s="13">
        <f t="shared" si="92"/>
        <v>0</v>
      </c>
      <c r="AJ338" s="6" t="str">
        <f t="shared" si="93"/>
        <v xml:space="preserve"> </v>
      </c>
      <c r="AK338" s="21" t="str">
        <f t="shared" si="94"/>
        <v xml:space="preserve"> </v>
      </c>
      <c r="AM338" s="20">
        <f t="shared" si="95"/>
        <v>327</v>
      </c>
      <c r="AN338" s="5">
        <f t="shared" si="96"/>
        <v>0</v>
      </c>
      <c r="AO338" s="5">
        <f t="shared" si="97"/>
        <v>0</v>
      </c>
      <c r="AP338" s="5">
        <f t="shared" si="98"/>
        <v>0</v>
      </c>
      <c r="AQ338" s="5">
        <f>IF(CreditAmort4WORST[[#This Row],[Month]]=AS$8,AO$7,0)</f>
        <v>0</v>
      </c>
      <c r="AR338" s="13">
        <f t="shared" si="99"/>
        <v>0</v>
      </c>
      <c r="AS338" s="6" t="str">
        <f t="shared" si="100"/>
        <v xml:space="preserve"> </v>
      </c>
      <c r="AT338" s="21" t="str">
        <f t="shared" si="101"/>
        <v xml:space="preserve"> </v>
      </c>
    </row>
    <row r="339" spans="3:46">
      <c r="C339" s="22">
        <f t="shared" si="86"/>
        <v>328</v>
      </c>
      <c r="D339" s="23">
        <f>IF(AND(C339&gt;='Amort. Sched.-WORST'!$I$8, C339&lt;= ($I$7+$I$8)), PMT('Amort. Sched.-WORST'!$E$8/12, 'Amort. Sched.-WORST'!$I$7, 'Amort. Sched.-WORST'!$E$7), 0)</f>
        <v>0</v>
      </c>
      <c r="E339" s="5">
        <f>IF(AND(C339&gt;='Amort. Sched.-WORST'!$I$8, C339&lt;= ($I$7+$I$8)), (IPMT($E$8/12, (C339-$I$8), $I$7, $E$7)), 0)</f>
        <v>0</v>
      </c>
      <c r="F339" s="23">
        <f>IF(AND(C339&gt;='Amort. Sched.-WORST'!$I$8, C339&lt;= ($I$7+$I$8)), (PPMT($E$8/12, (C339-$I$8), $I$7, $E$7)), 0)</f>
        <v>0</v>
      </c>
      <c r="G339" s="5">
        <f>IF(MortgageAmortWORST[[#This Row],[Month]]=I$8,E$7,0)</f>
        <v>0</v>
      </c>
      <c r="H339" s="13">
        <f>IF(AND(C339&gt;='Amort. Sched.-WORST'!$I$8, C339&lt;= ($I$7+$I$8)), H338+F339, 0)</f>
        <v>0</v>
      </c>
      <c r="I339" s="24" t="str">
        <f>IF(AND(C339&gt;='Amort. Sched.-WORST'!$I$8, C339&lt;= ($I$7+$I$8)), E339/D339, " ")</f>
        <v xml:space="preserve"> </v>
      </c>
      <c r="J339" s="25" t="str">
        <f>IF(AND(C339&gt;='Amort. Sched.-WORST'!$I$8, C339&lt;= ($I$7+$I$8)), F339/D339, " ")</f>
        <v xml:space="preserve"> </v>
      </c>
      <c r="L339" s="20">
        <f t="shared" si="85"/>
        <v>328</v>
      </c>
      <c r="M339" s="5">
        <f>IF(AND(L339&gt;='Amort. Sched.-WORST'!$R$8, L339&lt;= ($R$7+$R$8)), PMT('Amort. Sched.-WORST'!$N$8/12, 'Amort. Sched.-WORST'!$R$7, 'Amort. Sched.-WORST'!$N$7), 0)</f>
        <v>0</v>
      </c>
      <c r="N339" s="5">
        <f>IF(AND(L339&gt;='Amort. Sched.-WORST'!$R$8, L339&lt;= ($R$7+$R$8)), (IPMT($N$8/12, (L339-$R$8), $R$7, $N$7)), 0)</f>
        <v>0</v>
      </c>
      <c r="O339" s="5">
        <f>IF(AND(L339&gt;='Amort. Sched.-WORST'!$R$8, L339&lt;= ($R$7+$R$8)), (PPMT($N$8/12, (L339-$R$8), $R$7, $N$7)), 0)</f>
        <v>0</v>
      </c>
      <c r="P339" s="5">
        <f>IF(CreditAmort1WORST[[#This Row],[Month]]=R$8,N$7,0)</f>
        <v>0</v>
      </c>
      <c r="Q339" s="13">
        <f>IF(AND(L339&gt;='Amort. Sched.-WORST'!$R$8, L339&lt;= ($R$7+$R$8)), Q338+O339, 0)</f>
        <v>0</v>
      </c>
      <c r="R339" s="6" t="str">
        <f>IF(AND(L339&gt;='Amort. Sched.-WORST'!$R$8, L339&lt;= ($R$7+$R$8)), N339/M339, " ")</f>
        <v xml:space="preserve"> </v>
      </c>
      <c r="S339" s="21" t="str">
        <f>IF(AND(L339&gt;='Amort. Sched.-WORST'!$R$8, L339&lt;= ($R$7+$R$8)), O339/M339, " ")</f>
        <v xml:space="preserve"> </v>
      </c>
      <c r="U339" s="22">
        <f t="shared" si="87"/>
        <v>328</v>
      </c>
      <c r="V339" s="23">
        <f>IF(AND(U339&gt;='Amort. Sched.-WORST'!$AA$8, U339&lt;= ($AA$7+$AA$8)), PMT('Amort. Sched.-WORST'!$W$8/12, 'Amort. Sched.-WORST'!$AA$7, 'Amort. Sched.-WORST'!$W$7), 0)</f>
        <v>0</v>
      </c>
      <c r="W339" s="5">
        <f>IF(AND(U339&gt;='Amort. Sched.-WORST'!$AA$8, U339&lt;= ($AA$7+$AA$8)), (IPMT($W$8/12, (U339-$AA$8), $AA$7, $W$7)), 0)</f>
        <v>0</v>
      </c>
      <c r="X339" s="23">
        <f>IF(AND(U339&gt;='Amort. Sched.-WORST'!$AA$8, U339&lt;= ($AA$7+$AA$8)), (PPMT($W$8/12, (U339-$AA$8), $AA$7, $W$7)), 0)</f>
        <v>0</v>
      </c>
      <c r="Y339" s="5">
        <f>IF(CreditAmort2WORST[[#This Row],[Month]]=AA$8,W$7,0)</f>
        <v>0</v>
      </c>
      <c r="Z339" s="13">
        <f>IF(AND(U339&gt;='Amort. Sched.-WORST'!$AA$8, U339&lt;= ($AA$7+$AA$8)), Z338+X339, 0)</f>
        <v>0</v>
      </c>
      <c r="AA339" s="24" t="str">
        <f>IF(AND(U339&gt;='Amort. Sched.-WORST'!$AA$8, U339&lt;= ($AA$7+$AA$8)), W339/V339, " ")</f>
        <v xml:space="preserve"> </v>
      </c>
      <c r="AB339" s="25" t="str">
        <f>IF(AND(U339&gt;='Amort. Sched.-WORST'!$AA$8, U339&lt;= ($AA$7+$AA$8)), X339/V339, " ")</f>
        <v xml:space="preserve"> </v>
      </c>
      <c r="AD339" s="20">
        <f t="shared" si="88"/>
        <v>328</v>
      </c>
      <c r="AE339" s="5">
        <f t="shared" si="89"/>
        <v>0</v>
      </c>
      <c r="AF339" s="5">
        <f t="shared" si="90"/>
        <v>0</v>
      </c>
      <c r="AG339" s="5">
        <f t="shared" si="91"/>
        <v>0</v>
      </c>
      <c r="AH339" s="5">
        <f>IF(CreditAmort3WORST[[#This Row],[Month]]=AJ$8,AF$7,0)</f>
        <v>0</v>
      </c>
      <c r="AI339" s="13">
        <f t="shared" si="92"/>
        <v>0</v>
      </c>
      <c r="AJ339" s="6" t="str">
        <f t="shared" si="93"/>
        <v xml:space="preserve"> </v>
      </c>
      <c r="AK339" s="21" t="str">
        <f t="shared" si="94"/>
        <v xml:space="preserve"> </v>
      </c>
      <c r="AM339" s="20">
        <f t="shared" si="95"/>
        <v>328</v>
      </c>
      <c r="AN339" s="5">
        <f t="shared" si="96"/>
        <v>0</v>
      </c>
      <c r="AO339" s="5">
        <f t="shared" si="97"/>
        <v>0</v>
      </c>
      <c r="AP339" s="5">
        <f t="shared" si="98"/>
        <v>0</v>
      </c>
      <c r="AQ339" s="5">
        <f>IF(CreditAmort4WORST[[#This Row],[Month]]=AS$8,AO$7,0)</f>
        <v>0</v>
      </c>
      <c r="AR339" s="13">
        <f t="shared" si="99"/>
        <v>0</v>
      </c>
      <c r="AS339" s="6" t="str">
        <f t="shared" si="100"/>
        <v xml:space="preserve"> </v>
      </c>
      <c r="AT339" s="21" t="str">
        <f t="shared" si="101"/>
        <v xml:space="preserve"> </v>
      </c>
    </row>
    <row r="340" spans="3:46">
      <c r="C340" s="22">
        <f t="shared" si="86"/>
        <v>329</v>
      </c>
      <c r="D340" s="23">
        <f>IF(AND(C340&gt;='Amort. Sched.-WORST'!$I$8, C340&lt;= ($I$7+$I$8)), PMT('Amort. Sched.-WORST'!$E$8/12, 'Amort. Sched.-WORST'!$I$7, 'Amort. Sched.-WORST'!$E$7), 0)</f>
        <v>0</v>
      </c>
      <c r="E340" s="5">
        <f>IF(AND(C340&gt;='Amort. Sched.-WORST'!$I$8, C340&lt;= ($I$7+$I$8)), (IPMT($E$8/12, (C340-$I$8), $I$7, $E$7)), 0)</f>
        <v>0</v>
      </c>
      <c r="F340" s="23">
        <f>IF(AND(C340&gt;='Amort. Sched.-WORST'!$I$8, C340&lt;= ($I$7+$I$8)), (PPMT($E$8/12, (C340-$I$8), $I$7, $E$7)), 0)</f>
        <v>0</v>
      </c>
      <c r="G340" s="5">
        <f>IF(MortgageAmortWORST[[#This Row],[Month]]=I$8,E$7,0)</f>
        <v>0</v>
      </c>
      <c r="H340" s="13">
        <f>IF(AND(C340&gt;='Amort. Sched.-WORST'!$I$8, C340&lt;= ($I$7+$I$8)), H339+F340, 0)</f>
        <v>0</v>
      </c>
      <c r="I340" s="24" t="str">
        <f>IF(AND(C340&gt;='Amort. Sched.-WORST'!$I$8, C340&lt;= ($I$7+$I$8)), E340/D340, " ")</f>
        <v xml:space="preserve"> </v>
      </c>
      <c r="J340" s="25" t="str">
        <f>IF(AND(C340&gt;='Amort. Sched.-WORST'!$I$8, C340&lt;= ($I$7+$I$8)), F340/D340, " ")</f>
        <v xml:space="preserve"> </v>
      </c>
      <c r="L340" s="20">
        <f t="shared" si="85"/>
        <v>329</v>
      </c>
      <c r="M340" s="5">
        <f>IF(AND(L340&gt;='Amort. Sched.-WORST'!$R$8, L340&lt;= ($R$7+$R$8)), PMT('Amort. Sched.-WORST'!$N$8/12, 'Amort. Sched.-WORST'!$R$7, 'Amort. Sched.-WORST'!$N$7), 0)</f>
        <v>0</v>
      </c>
      <c r="N340" s="5">
        <f>IF(AND(L340&gt;='Amort. Sched.-WORST'!$R$8, L340&lt;= ($R$7+$R$8)), (IPMT($N$8/12, (L340-$R$8), $R$7, $N$7)), 0)</f>
        <v>0</v>
      </c>
      <c r="O340" s="5">
        <f>IF(AND(L340&gt;='Amort. Sched.-WORST'!$R$8, L340&lt;= ($R$7+$R$8)), (PPMT($N$8/12, (L340-$R$8), $R$7, $N$7)), 0)</f>
        <v>0</v>
      </c>
      <c r="P340" s="5">
        <f>IF(CreditAmort1WORST[[#This Row],[Month]]=R$8,N$7,0)</f>
        <v>0</v>
      </c>
      <c r="Q340" s="13">
        <f>IF(AND(L340&gt;='Amort. Sched.-WORST'!$R$8, L340&lt;= ($R$7+$R$8)), Q339+O340, 0)</f>
        <v>0</v>
      </c>
      <c r="R340" s="6" t="str">
        <f>IF(AND(L340&gt;='Amort. Sched.-WORST'!$R$8, L340&lt;= ($R$7+$R$8)), N340/M340, " ")</f>
        <v xml:space="preserve"> </v>
      </c>
      <c r="S340" s="21" t="str">
        <f>IF(AND(L340&gt;='Amort. Sched.-WORST'!$R$8, L340&lt;= ($R$7+$R$8)), O340/M340, " ")</f>
        <v xml:space="preserve"> </v>
      </c>
      <c r="U340" s="22">
        <f t="shared" si="87"/>
        <v>329</v>
      </c>
      <c r="V340" s="23">
        <f>IF(AND(U340&gt;='Amort. Sched.-WORST'!$AA$8, U340&lt;= ($AA$7+$AA$8)), PMT('Amort. Sched.-WORST'!$W$8/12, 'Amort. Sched.-WORST'!$AA$7, 'Amort. Sched.-WORST'!$W$7), 0)</f>
        <v>0</v>
      </c>
      <c r="W340" s="5">
        <f>IF(AND(U340&gt;='Amort. Sched.-WORST'!$AA$8, U340&lt;= ($AA$7+$AA$8)), (IPMT($W$8/12, (U340-$AA$8), $AA$7, $W$7)), 0)</f>
        <v>0</v>
      </c>
      <c r="X340" s="23">
        <f>IF(AND(U340&gt;='Amort. Sched.-WORST'!$AA$8, U340&lt;= ($AA$7+$AA$8)), (PPMT($W$8/12, (U340-$AA$8), $AA$7, $W$7)), 0)</f>
        <v>0</v>
      </c>
      <c r="Y340" s="5">
        <f>IF(CreditAmort2WORST[[#This Row],[Month]]=AA$8,W$7,0)</f>
        <v>0</v>
      </c>
      <c r="Z340" s="13">
        <f>IF(AND(U340&gt;='Amort. Sched.-WORST'!$AA$8, U340&lt;= ($AA$7+$AA$8)), Z339+X340, 0)</f>
        <v>0</v>
      </c>
      <c r="AA340" s="24" t="str">
        <f>IF(AND(U340&gt;='Amort. Sched.-WORST'!$AA$8, U340&lt;= ($AA$7+$AA$8)), W340/V340, " ")</f>
        <v xml:space="preserve"> </v>
      </c>
      <c r="AB340" s="25" t="str">
        <f>IF(AND(U340&gt;='Amort. Sched.-WORST'!$AA$8, U340&lt;= ($AA$7+$AA$8)), X340/V340, " ")</f>
        <v xml:space="preserve"> </v>
      </c>
      <c r="AD340" s="20">
        <f t="shared" si="88"/>
        <v>329</v>
      </c>
      <c r="AE340" s="5">
        <f t="shared" si="89"/>
        <v>0</v>
      </c>
      <c r="AF340" s="5">
        <f t="shared" si="90"/>
        <v>0</v>
      </c>
      <c r="AG340" s="5">
        <f t="shared" si="91"/>
        <v>0</v>
      </c>
      <c r="AH340" s="5">
        <f>IF(CreditAmort3WORST[[#This Row],[Month]]=AJ$8,AF$7,0)</f>
        <v>0</v>
      </c>
      <c r="AI340" s="13">
        <f t="shared" si="92"/>
        <v>0</v>
      </c>
      <c r="AJ340" s="6" t="str">
        <f t="shared" si="93"/>
        <v xml:space="preserve"> </v>
      </c>
      <c r="AK340" s="21" t="str">
        <f t="shared" si="94"/>
        <v xml:space="preserve"> </v>
      </c>
      <c r="AM340" s="20">
        <f t="shared" si="95"/>
        <v>329</v>
      </c>
      <c r="AN340" s="5">
        <f t="shared" si="96"/>
        <v>0</v>
      </c>
      <c r="AO340" s="5">
        <f t="shared" si="97"/>
        <v>0</v>
      </c>
      <c r="AP340" s="5">
        <f t="shared" si="98"/>
        <v>0</v>
      </c>
      <c r="AQ340" s="5">
        <f>IF(CreditAmort4WORST[[#This Row],[Month]]=AS$8,AO$7,0)</f>
        <v>0</v>
      </c>
      <c r="AR340" s="13">
        <f t="shared" si="99"/>
        <v>0</v>
      </c>
      <c r="AS340" s="6" t="str">
        <f t="shared" si="100"/>
        <v xml:space="preserve"> </v>
      </c>
      <c r="AT340" s="21" t="str">
        <f t="shared" si="101"/>
        <v xml:space="preserve"> </v>
      </c>
    </row>
    <row r="341" spans="3:46">
      <c r="C341" s="22">
        <f t="shared" si="86"/>
        <v>330</v>
      </c>
      <c r="D341" s="23">
        <f>IF(AND(C341&gt;='Amort. Sched.-WORST'!$I$8, C341&lt;= ($I$7+$I$8)), PMT('Amort. Sched.-WORST'!$E$8/12, 'Amort. Sched.-WORST'!$I$7, 'Amort. Sched.-WORST'!$E$7), 0)</f>
        <v>0</v>
      </c>
      <c r="E341" s="5">
        <f>IF(AND(C341&gt;='Amort. Sched.-WORST'!$I$8, C341&lt;= ($I$7+$I$8)), (IPMT($E$8/12, (C341-$I$8), $I$7, $E$7)), 0)</f>
        <v>0</v>
      </c>
      <c r="F341" s="23">
        <f>IF(AND(C341&gt;='Amort. Sched.-WORST'!$I$8, C341&lt;= ($I$7+$I$8)), (PPMT($E$8/12, (C341-$I$8), $I$7, $E$7)), 0)</f>
        <v>0</v>
      </c>
      <c r="G341" s="5">
        <f>IF(MortgageAmortWORST[[#This Row],[Month]]=I$8,E$7,0)</f>
        <v>0</v>
      </c>
      <c r="H341" s="13">
        <f>IF(AND(C341&gt;='Amort. Sched.-WORST'!$I$8, C341&lt;= ($I$7+$I$8)), H340+F341, 0)</f>
        <v>0</v>
      </c>
      <c r="I341" s="24" t="str">
        <f>IF(AND(C341&gt;='Amort. Sched.-WORST'!$I$8, C341&lt;= ($I$7+$I$8)), E341/D341, " ")</f>
        <v xml:space="preserve"> </v>
      </c>
      <c r="J341" s="25" t="str">
        <f>IF(AND(C341&gt;='Amort. Sched.-WORST'!$I$8, C341&lt;= ($I$7+$I$8)), F341/D341, " ")</f>
        <v xml:space="preserve"> </v>
      </c>
      <c r="L341" s="20">
        <f t="shared" si="85"/>
        <v>330</v>
      </c>
      <c r="M341" s="5">
        <f>IF(AND(L341&gt;='Amort. Sched.-WORST'!$R$8, L341&lt;= ($R$7+$R$8)), PMT('Amort. Sched.-WORST'!$N$8/12, 'Amort. Sched.-WORST'!$R$7, 'Amort. Sched.-WORST'!$N$7), 0)</f>
        <v>0</v>
      </c>
      <c r="N341" s="5">
        <f>IF(AND(L341&gt;='Amort. Sched.-WORST'!$R$8, L341&lt;= ($R$7+$R$8)), (IPMT($N$8/12, (L341-$R$8), $R$7, $N$7)), 0)</f>
        <v>0</v>
      </c>
      <c r="O341" s="5">
        <f>IF(AND(L341&gt;='Amort. Sched.-WORST'!$R$8, L341&lt;= ($R$7+$R$8)), (PPMT($N$8/12, (L341-$R$8), $R$7, $N$7)), 0)</f>
        <v>0</v>
      </c>
      <c r="P341" s="5">
        <f>IF(CreditAmort1WORST[[#This Row],[Month]]=R$8,N$7,0)</f>
        <v>0</v>
      </c>
      <c r="Q341" s="13">
        <f>IF(AND(L341&gt;='Amort. Sched.-WORST'!$R$8, L341&lt;= ($R$7+$R$8)), Q340+O341, 0)</f>
        <v>0</v>
      </c>
      <c r="R341" s="6" t="str">
        <f>IF(AND(L341&gt;='Amort. Sched.-WORST'!$R$8, L341&lt;= ($R$7+$R$8)), N341/M341, " ")</f>
        <v xml:space="preserve"> </v>
      </c>
      <c r="S341" s="21" t="str">
        <f>IF(AND(L341&gt;='Amort. Sched.-WORST'!$R$8, L341&lt;= ($R$7+$R$8)), O341/M341, " ")</f>
        <v xml:space="preserve"> </v>
      </c>
      <c r="U341" s="22">
        <f t="shared" si="87"/>
        <v>330</v>
      </c>
      <c r="V341" s="23">
        <f>IF(AND(U341&gt;='Amort. Sched.-WORST'!$AA$8, U341&lt;= ($AA$7+$AA$8)), PMT('Amort. Sched.-WORST'!$W$8/12, 'Amort. Sched.-WORST'!$AA$7, 'Amort. Sched.-WORST'!$W$7), 0)</f>
        <v>0</v>
      </c>
      <c r="W341" s="5">
        <f>IF(AND(U341&gt;='Amort. Sched.-WORST'!$AA$8, U341&lt;= ($AA$7+$AA$8)), (IPMT($W$8/12, (U341-$AA$8), $AA$7, $W$7)), 0)</f>
        <v>0</v>
      </c>
      <c r="X341" s="23">
        <f>IF(AND(U341&gt;='Amort. Sched.-WORST'!$AA$8, U341&lt;= ($AA$7+$AA$8)), (PPMT($W$8/12, (U341-$AA$8), $AA$7, $W$7)), 0)</f>
        <v>0</v>
      </c>
      <c r="Y341" s="5">
        <f>IF(CreditAmort2WORST[[#This Row],[Month]]=AA$8,W$7,0)</f>
        <v>0</v>
      </c>
      <c r="Z341" s="13">
        <f>IF(AND(U341&gt;='Amort. Sched.-WORST'!$AA$8, U341&lt;= ($AA$7+$AA$8)), Z340+X341, 0)</f>
        <v>0</v>
      </c>
      <c r="AA341" s="24" t="str">
        <f>IF(AND(U341&gt;='Amort. Sched.-WORST'!$AA$8, U341&lt;= ($AA$7+$AA$8)), W341/V341, " ")</f>
        <v xml:space="preserve"> </v>
      </c>
      <c r="AB341" s="25" t="str">
        <f>IF(AND(U341&gt;='Amort. Sched.-WORST'!$AA$8, U341&lt;= ($AA$7+$AA$8)), X341/V341, " ")</f>
        <v xml:space="preserve"> </v>
      </c>
      <c r="AD341" s="20">
        <f t="shared" si="88"/>
        <v>330</v>
      </c>
      <c r="AE341" s="5">
        <f t="shared" si="89"/>
        <v>0</v>
      </c>
      <c r="AF341" s="5">
        <f t="shared" si="90"/>
        <v>0</v>
      </c>
      <c r="AG341" s="5">
        <f t="shared" si="91"/>
        <v>0</v>
      </c>
      <c r="AH341" s="5">
        <f>IF(CreditAmort3WORST[[#This Row],[Month]]=AJ$8,AF$7,0)</f>
        <v>0</v>
      </c>
      <c r="AI341" s="13">
        <f t="shared" si="92"/>
        <v>0</v>
      </c>
      <c r="AJ341" s="6" t="str">
        <f t="shared" si="93"/>
        <v xml:space="preserve"> </v>
      </c>
      <c r="AK341" s="21" t="str">
        <f t="shared" si="94"/>
        <v xml:space="preserve"> </v>
      </c>
      <c r="AM341" s="20">
        <f t="shared" si="95"/>
        <v>330</v>
      </c>
      <c r="AN341" s="5">
        <f t="shared" si="96"/>
        <v>0</v>
      </c>
      <c r="AO341" s="5">
        <f t="shared" si="97"/>
        <v>0</v>
      </c>
      <c r="AP341" s="5">
        <f t="shared" si="98"/>
        <v>0</v>
      </c>
      <c r="AQ341" s="5">
        <f>IF(CreditAmort4WORST[[#This Row],[Month]]=AS$8,AO$7,0)</f>
        <v>0</v>
      </c>
      <c r="AR341" s="13">
        <f t="shared" si="99"/>
        <v>0</v>
      </c>
      <c r="AS341" s="6" t="str">
        <f t="shared" si="100"/>
        <v xml:space="preserve"> </v>
      </c>
      <c r="AT341" s="21" t="str">
        <f t="shared" si="101"/>
        <v xml:space="preserve"> </v>
      </c>
    </row>
    <row r="342" spans="3:46">
      <c r="C342" s="22">
        <f t="shared" si="86"/>
        <v>331</v>
      </c>
      <c r="D342" s="23">
        <f>IF(AND(C342&gt;='Amort. Sched.-WORST'!$I$8, C342&lt;= ($I$7+$I$8)), PMT('Amort. Sched.-WORST'!$E$8/12, 'Amort. Sched.-WORST'!$I$7, 'Amort. Sched.-WORST'!$E$7), 0)</f>
        <v>0</v>
      </c>
      <c r="E342" s="5">
        <f>IF(AND(C342&gt;='Amort. Sched.-WORST'!$I$8, C342&lt;= ($I$7+$I$8)), (IPMT($E$8/12, (C342-$I$8), $I$7, $E$7)), 0)</f>
        <v>0</v>
      </c>
      <c r="F342" s="23">
        <f>IF(AND(C342&gt;='Amort. Sched.-WORST'!$I$8, C342&lt;= ($I$7+$I$8)), (PPMT($E$8/12, (C342-$I$8), $I$7, $E$7)), 0)</f>
        <v>0</v>
      </c>
      <c r="G342" s="5">
        <f>IF(MortgageAmortWORST[[#This Row],[Month]]=I$8,E$7,0)</f>
        <v>0</v>
      </c>
      <c r="H342" s="13">
        <f>IF(AND(C342&gt;='Amort. Sched.-WORST'!$I$8, C342&lt;= ($I$7+$I$8)), H341+F342, 0)</f>
        <v>0</v>
      </c>
      <c r="I342" s="24" t="str">
        <f>IF(AND(C342&gt;='Amort. Sched.-WORST'!$I$8, C342&lt;= ($I$7+$I$8)), E342/D342, " ")</f>
        <v xml:space="preserve"> </v>
      </c>
      <c r="J342" s="25" t="str">
        <f>IF(AND(C342&gt;='Amort. Sched.-WORST'!$I$8, C342&lt;= ($I$7+$I$8)), F342/D342, " ")</f>
        <v xml:space="preserve"> </v>
      </c>
      <c r="L342" s="20">
        <f t="shared" si="85"/>
        <v>331</v>
      </c>
      <c r="M342" s="5">
        <f>IF(AND(L342&gt;='Amort. Sched.-WORST'!$R$8, L342&lt;= ($R$7+$R$8)), PMT('Amort. Sched.-WORST'!$N$8/12, 'Amort. Sched.-WORST'!$R$7, 'Amort. Sched.-WORST'!$N$7), 0)</f>
        <v>0</v>
      </c>
      <c r="N342" s="5">
        <f>IF(AND(L342&gt;='Amort. Sched.-WORST'!$R$8, L342&lt;= ($R$7+$R$8)), (IPMT($N$8/12, (L342-$R$8), $R$7, $N$7)), 0)</f>
        <v>0</v>
      </c>
      <c r="O342" s="5">
        <f>IF(AND(L342&gt;='Amort. Sched.-WORST'!$R$8, L342&lt;= ($R$7+$R$8)), (PPMT($N$8/12, (L342-$R$8), $R$7, $N$7)), 0)</f>
        <v>0</v>
      </c>
      <c r="P342" s="5">
        <f>IF(CreditAmort1WORST[[#This Row],[Month]]=R$8,N$7,0)</f>
        <v>0</v>
      </c>
      <c r="Q342" s="13">
        <f>IF(AND(L342&gt;='Amort. Sched.-WORST'!$R$8, L342&lt;= ($R$7+$R$8)), Q341+O342, 0)</f>
        <v>0</v>
      </c>
      <c r="R342" s="6" t="str">
        <f>IF(AND(L342&gt;='Amort. Sched.-WORST'!$R$8, L342&lt;= ($R$7+$R$8)), N342/M342, " ")</f>
        <v xml:space="preserve"> </v>
      </c>
      <c r="S342" s="21" t="str">
        <f>IF(AND(L342&gt;='Amort. Sched.-WORST'!$R$8, L342&lt;= ($R$7+$R$8)), O342/M342, " ")</f>
        <v xml:space="preserve"> </v>
      </c>
      <c r="U342" s="22">
        <f t="shared" si="87"/>
        <v>331</v>
      </c>
      <c r="V342" s="23">
        <f>IF(AND(U342&gt;='Amort. Sched.-WORST'!$AA$8, U342&lt;= ($AA$7+$AA$8)), PMT('Amort. Sched.-WORST'!$W$8/12, 'Amort. Sched.-WORST'!$AA$7, 'Amort. Sched.-WORST'!$W$7), 0)</f>
        <v>0</v>
      </c>
      <c r="W342" s="5">
        <f>IF(AND(U342&gt;='Amort. Sched.-WORST'!$AA$8, U342&lt;= ($AA$7+$AA$8)), (IPMT($W$8/12, (U342-$AA$8), $AA$7, $W$7)), 0)</f>
        <v>0</v>
      </c>
      <c r="X342" s="23">
        <f>IF(AND(U342&gt;='Amort. Sched.-WORST'!$AA$8, U342&lt;= ($AA$7+$AA$8)), (PPMT($W$8/12, (U342-$AA$8), $AA$7, $W$7)), 0)</f>
        <v>0</v>
      </c>
      <c r="Y342" s="5">
        <f>IF(CreditAmort2WORST[[#This Row],[Month]]=AA$8,W$7,0)</f>
        <v>0</v>
      </c>
      <c r="Z342" s="13">
        <f>IF(AND(U342&gt;='Amort. Sched.-WORST'!$AA$8, U342&lt;= ($AA$7+$AA$8)), Z341+X342, 0)</f>
        <v>0</v>
      </c>
      <c r="AA342" s="24" t="str">
        <f>IF(AND(U342&gt;='Amort. Sched.-WORST'!$AA$8, U342&lt;= ($AA$7+$AA$8)), W342/V342, " ")</f>
        <v xml:space="preserve"> </v>
      </c>
      <c r="AB342" s="25" t="str">
        <f>IF(AND(U342&gt;='Amort. Sched.-WORST'!$AA$8, U342&lt;= ($AA$7+$AA$8)), X342/V342, " ")</f>
        <v xml:space="preserve"> </v>
      </c>
      <c r="AD342" s="20">
        <f t="shared" si="88"/>
        <v>331</v>
      </c>
      <c r="AE342" s="5">
        <f t="shared" si="89"/>
        <v>0</v>
      </c>
      <c r="AF342" s="5">
        <f t="shared" si="90"/>
        <v>0</v>
      </c>
      <c r="AG342" s="5">
        <f t="shared" si="91"/>
        <v>0</v>
      </c>
      <c r="AH342" s="5">
        <f>IF(CreditAmort3WORST[[#This Row],[Month]]=AJ$8,AF$7,0)</f>
        <v>0</v>
      </c>
      <c r="AI342" s="13">
        <f t="shared" si="92"/>
        <v>0</v>
      </c>
      <c r="AJ342" s="6" t="str">
        <f t="shared" si="93"/>
        <v xml:space="preserve"> </v>
      </c>
      <c r="AK342" s="21" t="str">
        <f t="shared" si="94"/>
        <v xml:space="preserve"> </v>
      </c>
      <c r="AM342" s="20">
        <f t="shared" si="95"/>
        <v>331</v>
      </c>
      <c r="AN342" s="5">
        <f t="shared" si="96"/>
        <v>0</v>
      </c>
      <c r="AO342" s="5">
        <f t="shared" si="97"/>
        <v>0</v>
      </c>
      <c r="AP342" s="5">
        <f t="shared" si="98"/>
        <v>0</v>
      </c>
      <c r="AQ342" s="5">
        <f>IF(CreditAmort4WORST[[#This Row],[Month]]=AS$8,AO$7,0)</f>
        <v>0</v>
      </c>
      <c r="AR342" s="13">
        <f t="shared" si="99"/>
        <v>0</v>
      </c>
      <c r="AS342" s="6" t="str">
        <f t="shared" si="100"/>
        <v xml:space="preserve"> </v>
      </c>
      <c r="AT342" s="21" t="str">
        <f t="shared" si="101"/>
        <v xml:space="preserve"> </v>
      </c>
    </row>
    <row r="343" spans="3:46">
      <c r="C343" s="22">
        <f t="shared" si="86"/>
        <v>332</v>
      </c>
      <c r="D343" s="23">
        <f>IF(AND(C343&gt;='Amort. Sched.-WORST'!$I$8, C343&lt;= ($I$7+$I$8)), PMT('Amort. Sched.-WORST'!$E$8/12, 'Amort. Sched.-WORST'!$I$7, 'Amort. Sched.-WORST'!$E$7), 0)</f>
        <v>0</v>
      </c>
      <c r="E343" s="5">
        <f>IF(AND(C343&gt;='Amort. Sched.-WORST'!$I$8, C343&lt;= ($I$7+$I$8)), (IPMT($E$8/12, (C343-$I$8), $I$7, $E$7)), 0)</f>
        <v>0</v>
      </c>
      <c r="F343" s="23">
        <f>IF(AND(C343&gt;='Amort. Sched.-WORST'!$I$8, C343&lt;= ($I$7+$I$8)), (PPMT($E$8/12, (C343-$I$8), $I$7, $E$7)), 0)</f>
        <v>0</v>
      </c>
      <c r="G343" s="5">
        <f>IF(MortgageAmortWORST[[#This Row],[Month]]=I$8,E$7,0)</f>
        <v>0</v>
      </c>
      <c r="H343" s="13">
        <f>IF(AND(C343&gt;='Amort. Sched.-WORST'!$I$8, C343&lt;= ($I$7+$I$8)), H342+F343, 0)</f>
        <v>0</v>
      </c>
      <c r="I343" s="24" t="str">
        <f>IF(AND(C343&gt;='Amort. Sched.-WORST'!$I$8, C343&lt;= ($I$7+$I$8)), E343/D343, " ")</f>
        <v xml:space="preserve"> </v>
      </c>
      <c r="J343" s="25" t="str">
        <f>IF(AND(C343&gt;='Amort. Sched.-WORST'!$I$8, C343&lt;= ($I$7+$I$8)), F343/D343, " ")</f>
        <v xml:space="preserve"> </v>
      </c>
      <c r="L343" s="20">
        <f t="shared" si="85"/>
        <v>332</v>
      </c>
      <c r="M343" s="5">
        <f>IF(AND(L343&gt;='Amort. Sched.-WORST'!$R$8, L343&lt;= ($R$7+$R$8)), PMT('Amort. Sched.-WORST'!$N$8/12, 'Amort. Sched.-WORST'!$R$7, 'Amort. Sched.-WORST'!$N$7), 0)</f>
        <v>0</v>
      </c>
      <c r="N343" s="5">
        <f>IF(AND(L343&gt;='Amort. Sched.-WORST'!$R$8, L343&lt;= ($R$7+$R$8)), (IPMT($N$8/12, (L343-$R$8), $R$7, $N$7)), 0)</f>
        <v>0</v>
      </c>
      <c r="O343" s="5">
        <f>IF(AND(L343&gt;='Amort. Sched.-WORST'!$R$8, L343&lt;= ($R$7+$R$8)), (PPMT($N$8/12, (L343-$R$8), $R$7, $N$7)), 0)</f>
        <v>0</v>
      </c>
      <c r="P343" s="5">
        <f>IF(CreditAmort1WORST[[#This Row],[Month]]=R$8,N$7,0)</f>
        <v>0</v>
      </c>
      <c r="Q343" s="13">
        <f>IF(AND(L343&gt;='Amort. Sched.-WORST'!$R$8, L343&lt;= ($R$7+$R$8)), Q342+O343, 0)</f>
        <v>0</v>
      </c>
      <c r="R343" s="6" t="str">
        <f>IF(AND(L343&gt;='Amort. Sched.-WORST'!$R$8, L343&lt;= ($R$7+$R$8)), N343/M343, " ")</f>
        <v xml:space="preserve"> </v>
      </c>
      <c r="S343" s="21" t="str">
        <f>IF(AND(L343&gt;='Amort. Sched.-WORST'!$R$8, L343&lt;= ($R$7+$R$8)), O343/M343, " ")</f>
        <v xml:space="preserve"> </v>
      </c>
      <c r="U343" s="22">
        <f t="shared" si="87"/>
        <v>332</v>
      </c>
      <c r="V343" s="23">
        <f>IF(AND(U343&gt;='Amort. Sched.-WORST'!$AA$8, U343&lt;= ($AA$7+$AA$8)), PMT('Amort. Sched.-WORST'!$W$8/12, 'Amort. Sched.-WORST'!$AA$7, 'Amort. Sched.-WORST'!$W$7), 0)</f>
        <v>0</v>
      </c>
      <c r="W343" s="5">
        <f>IF(AND(U343&gt;='Amort. Sched.-WORST'!$AA$8, U343&lt;= ($AA$7+$AA$8)), (IPMT($W$8/12, (U343-$AA$8), $AA$7, $W$7)), 0)</f>
        <v>0</v>
      </c>
      <c r="X343" s="23">
        <f>IF(AND(U343&gt;='Amort. Sched.-WORST'!$AA$8, U343&lt;= ($AA$7+$AA$8)), (PPMT($W$8/12, (U343-$AA$8), $AA$7, $W$7)), 0)</f>
        <v>0</v>
      </c>
      <c r="Y343" s="5">
        <f>IF(CreditAmort2WORST[[#This Row],[Month]]=AA$8,W$7,0)</f>
        <v>0</v>
      </c>
      <c r="Z343" s="13">
        <f>IF(AND(U343&gt;='Amort. Sched.-WORST'!$AA$8, U343&lt;= ($AA$7+$AA$8)), Z342+X343, 0)</f>
        <v>0</v>
      </c>
      <c r="AA343" s="24" t="str">
        <f>IF(AND(U343&gt;='Amort. Sched.-WORST'!$AA$8, U343&lt;= ($AA$7+$AA$8)), W343/V343, " ")</f>
        <v xml:space="preserve"> </v>
      </c>
      <c r="AB343" s="25" t="str">
        <f>IF(AND(U343&gt;='Amort. Sched.-WORST'!$AA$8, U343&lt;= ($AA$7+$AA$8)), X343/V343, " ")</f>
        <v xml:space="preserve"> </v>
      </c>
      <c r="AD343" s="20">
        <f t="shared" si="88"/>
        <v>332</v>
      </c>
      <c r="AE343" s="5">
        <f t="shared" si="89"/>
        <v>0</v>
      </c>
      <c r="AF343" s="5">
        <f t="shared" si="90"/>
        <v>0</v>
      </c>
      <c r="AG343" s="5">
        <f t="shared" si="91"/>
        <v>0</v>
      </c>
      <c r="AH343" s="5">
        <f>IF(CreditAmort3WORST[[#This Row],[Month]]=AJ$8,AF$7,0)</f>
        <v>0</v>
      </c>
      <c r="AI343" s="13">
        <f t="shared" si="92"/>
        <v>0</v>
      </c>
      <c r="AJ343" s="6" t="str">
        <f t="shared" si="93"/>
        <v xml:space="preserve"> </v>
      </c>
      <c r="AK343" s="21" t="str">
        <f t="shared" si="94"/>
        <v xml:space="preserve"> </v>
      </c>
      <c r="AM343" s="20">
        <f t="shared" si="95"/>
        <v>332</v>
      </c>
      <c r="AN343" s="5">
        <f t="shared" si="96"/>
        <v>0</v>
      </c>
      <c r="AO343" s="5">
        <f t="shared" si="97"/>
        <v>0</v>
      </c>
      <c r="AP343" s="5">
        <f t="shared" si="98"/>
        <v>0</v>
      </c>
      <c r="AQ343" s="5">
        <f>IF(CreditAmort4WORST[[#This Row],[Month]]=AS$8,AO$7,0)</f>
        <v>0</v>
      </c>
      <c r="AR343" s="13">
        <f t="shared" si="99"/>
        <v>0</v>
      </c>
      <c r="AS343" s="6" t="str">
        <f t="shared" si="100"/>
        <v xml:space="preserve"> </v>
      </c>
      <c r="AT343" s="21" t="str">
        <f t="shared" si="101"/>
        <v xml:space="preserve"> </v>
      </c>
    </row>
    <row r="344" spans="3:46">
      <c r="C344" s="22">
        <f t="shared" si="86"/>
        <v>333</v>
      </c>
      <c r="D344" s="23">
        <f>IF(AND(C344&gt;='Amort. Sched.-WORST'!$I$8, C344&lt;= ($I$7+$I$8)), PMT('Amort. Sched.-WORST'!$E$8/12, 'Amort. Sched.-WORST'!$I$7, 'Amort. Sched.-WORST'!$E$7), 0)</f>
        <v>0</v>
      </c>
      <c r="E344" s="5">
        <f>IF(AND(C344&gt;='Amort. Sched.-WORST'!$I$8, C344&lt;= ($I$7+$I$8)), (IPMT($E$8/12, (C344-$I$8), $I$7, $E$7)), 0)</f>
        <v>0</v>
      </c>
      <c r="F344" s="23">
        <f>IF(AND(C344&gt;='Amort. Sched.-WORST'!$I$8, C344&lt;= ($I$7+$I$8)), (PPMT($E$8/12, (C344-$I$8), $I$7, $E$7)), 0)</f>
        <v>0</v>
      </c>
      <c r="G344" s="5">
        <f>IF(MortgageAmortWORST[[#This Row],[Month]]=I$8,E$7,0)</f>
        <v>0</v>
      </c>
      <c r="H344" s="13">
        <f>IF(AND(C344&gt;='Amort. Sched.-WORST'!$I$8, C344&lt;= ($I$7+$I$8)), H343+F344, 0)</f>
        <v>0</v>
      </c>
      <c r="I344" s="24" t="str">
        <f>IF(AND(C344&gt;='Amort. Sched.-WORST'!$I$8, C344&lt;= ($I$7+$I$8)), E344/D344, " ")</f>
        <v xml:space="preserve"> </v>
      </c>
      <c r="J344" s="25" t="str">
        <f>IF(AND(C344&gt;='Amort. Sched.-WORST'!$I$8, C344&lt;= ($I$7+$I$8)), F344/D344, " ")</f>
        <v xml:space="preserve"> </v>
      </c>
      <c r="L344" s="20">
        <f t="shared" si="85"/>
        <v>333</v>
      </c>
      <c r="M344" s="5">
        <f>IF(AND(L344&gt;='Amort. Sched.-WORST'!$R$8, L344&lt;= ($R$7+$R$8)), PMT('Amort. Sched.-WORST'!$N$8/12, 'Amort. Sched.-WORST'!$R$7, 'Amort. Sched.-WORST'!$N$7), 0)</f>
        <v>0</v>
      </c>
      <c r="N344" s="5">
        <f>IF(AND(L344&gt;='Amort. Sched.-WORST'!$R$8, L344&lt;= ($R$7+$R$8)), (IPMT($N$8/12, (L344-$R$8), $R$7, $N$7)), 0)</f>
        <v>0</v>
      </c>
      <c r="O344" s="5">
        <f>IF(AND(L344&gt;='Amort. Sched.-WORST'!$R$8, L344&lt;= ($R$7+$R$8)), (PPMT($N$8/12, (L344-$R$8), $R$7, $N$7)), 0)</f>
        <v>0</v>
      </c>
      <c r="P344" s="5">
        <f>IF(CreditAmort1WORST[[#This Row],[Month]]=R$8,N$7,0)</f>
        <v>0</v>
      </c>
      <c r="Q344" s="13">
        <f>IF(AND(L344&gt;='Amort. Sched.-WORST'!$R$8, L344&lt;= ($R$7+$R$8)), Q343+O344, 0)</f>
        <v>0</v>
      </c>
      <c r="R344" s="6" t="str">
        <f>IF(AND(L344&gt;='Amort. Sched.-WORST'!$R$8, L344&lt;= ($R$7+$R$8)), N344/M344, " ")</f>
        <v xml:space="preserve"> </v>
      </c>
      <c r="S344" s="21" t="str">
        <f>IF(AND(L344&gt;='Amort. Sched.-WORST'!$R$8, L344&lt;= ($R$7+$R$8)), O344/M344, " ")</f>
        <v xml:space="preserve"> </v>
      </c>
      <c r="U344" s="22">
        <f t="shared" si="87"/>
        <v>333</v>
      </c>
      <c r="V344" s="23">
        <f>IF(AND(U344&gt;='Amort. Sched.-WORST'!$AA$8, U344&lt;= ($AA$7+$AA$8)), PMT('Amort. Sched.-WORST'!$W$8/12, 'Amort. Sched.-WORST'!$AA$7, 'Amort. Sched.-WORST'!$W$7), 0)</f>
        <v>0</v>
      </c>
      <c r="W344" s="5">
        <f>IF(AND(U344&gt;='Amort. Sched.-WORST'!$AA$8, U344&lt;= ($AA$7+$AA$8)), (IPMT($W$8/12, (U344-$AA$8), $AA$7, $W$7)), 0)</f>
        <v>0</v>
      </c>
      <c r="X344" s="23">
        <f>IF(AND(U344&gt;='Amort. Sched.-WORST'!$AA$8, U344&lt;= ($AA$7+$AA$8)), (PPMT($W$8/12, (U344-$AA$8), $AA$7, $W$7)), 0)</f>
        <v>0</v>
      </c>
      <c r="Y344" s="5">
        <f>IF(CreditAmort2WORST[[#This Row],[Month]]=AA$8,W$7,0)</f>
        <v>0</v>
      </c>
      <c r="Z344" s="13">
        <f>IF(AND(U344&gt;='Amort. Sched.-WORST'!$AA$8, U344&lt;= ($AA$7+$AA$8)), Z343+X344, 0)</f>
        <v>0</v>
      </c>
      <c r="AA344" s="24" t="str">
        <f>IF(AND(U344&gt;='Amort. Sched.-WORST'!$AA$8, U344&lt;= ($AA$7+$AA$8)), W344/V344, " ")</f>
        <v xml:space="preserve"> </v>
      </c>
      <c r="AB344" s="25" t="str">
        <f>IF(AND(U344&gt;='Amort. Sched.-WORST'!$AA$8, U344&lt;= ($AA$7+$AA$8)), X344/V344, " ")</f>
        <v xml:space="preserve"> </v>
      </c>
      <c r="AD344" s="20">
        <f t="shared" si="88"/>
        <v>333</v>
      </c>
      <c r="AE344" s="5">
        <f t="shared" si="89"/>
        <v>0</v>
      </c>
      <c r="AF344" s="5">
        <f t="shared" si="90"/>
        <v>0</v>
      </c>
      <c r="AG344" s="5">
        <f t="shared" si="91"/>
        <v>0</v>
      </c>
      <c r="AH344" s="5">
        <f>IF(CreditAmort3WORST[[#This Row],[Month]]=AJ$8,AF$7,0)</f>
        <v>0</v>
      </c>
      <c r="AI344" s="13">
        <f t="shared" si="92"/>
        <v>0</v>
      </c>
      <c r="AJ344" s="6" t="str">
        <f t="shared" si="93"/>
        <v xml:space="preserve"> </v>
      </c>
      <c r="AK344" s="21" t="str">
        <f t="shared" si="94"/>
        <v xml:space="preserve"> </v>
      </c>
      <c r="AM344" s="20">
        <f t="shared" si="95"/>
        <v>333</v>
      </c>
      <c r="AN344" s="5">
        <f t="shared" si="96"/>
        <v>0</v>
      </c>
      <c r="AO344" s="5">
        <f t="shared" si="97"/>
        <v>0</v>
      </c>
      <c r="AP344" s="5">
        <f t="shared" si="98"/>
        <v>0</v>
      </c>
      <c r="AQ344" s="5">
        <f>IF(CreditAmort4WORST[[#This Row],[Month]]=AS$8,AO$7,0)</f>
        <v>0</v>
      </c>
      <c r="AR344" s="13">
        <f t="shared" si="99"/>
        <v>0</v>
      </c>
      <c r="AS344" s="6" t="str">
        <f t="shared" si="100"/>
        <v xml:space="preserve"> </v>
      </c>
      <c r="AT344" s="21" t="str">
        <f t="shared" si="101"/>
        <v xml:space="preserve"> </v>
      </c>
    </row>
    <row r="345" spans="3:46">
      <c r="C345" s="22">
        <f t="shared" si="86"/>
        <v>334</v>
      </c>
      <c r="D345" s="23">
        <f>IF(AND(C345&gt;='Amort. Sched.-WORST'!$I$8, C345&lt;= ($I$7+$I$8)), PMT('Amort. Sched.-WORST'!$E$8/12, 'Amort. Sched.-WORST'!$I$7, 'Amort. Sched.-WORST'!$E$7), 0)</f>
        <v>0</v>
      </c>
      <c r="E345" s="5">
        <f>IF(AND(C345&gt;='Amort. Sched.-WORST'!$I$8, C345&lt;= ($I$7+$I$8)), (IPMT($E$8/12, (C345-$I$8), $I$7, $E$7)), 0)</f>
        <v>0</v>
      </c>
      <c r="F345" s="23">
        <f>IF(AND(C345&gt;='Amort. Sched.-WORST'!$I$8, C345&lt;= ($I$7+$I$8)), (PPMT($E$8/12, (C345-$I$8), $I$7, $E$7)), 0)</f>
        <v>0</v>
      </c>
      <c r="G345" s="5">
        <f>IF(MortgageAmortWORST[[#This Row],[Month]]=I$8,E$7,0)</f>
        <v>0</v>
      </c>
      <c r="H345" s="13">
        <f>IF(AND(C345&gt;='Amort. Sched.-WORST'!$I$8, C345&lt;= ($I$7+$I$8)), H344+F345, 0)</f>
        <v>0</v>
      </c>
      <c r="I345" s="24" t="str">
        <f>IF(AND(C345&gt;='Amort. Sched.-WORST'!$I$8, C345&lt;= ($I$7+$I$8)), E345/D345, " ")</f>
        <v xml:space="preserve"> </v>
      </c>
      <c r="J345" s="25" t="str">
        <f>IF(AND(C345&gt;='Amort. Sched.-WORST'!$I$8, C345&lt;= ($I$7+$I$8)), F345/D345, " ")</f>
        <v xml:space="preserve"> </v>
      </c>
      <c r="L345" s="20">
        <f t="shared" si="85"/>
        <v>334</v>
      </c>
      <c r="M345" s="5">
        <f>IF(AND(L345&gt;='Amort. Sched.-WORST'!$R$8, L345&lt;= ($R$7+$R$8)), PMT('Amort. Sched.-WORST'!$N$8/12, 'Amort. Sched.-WORST'!$R$7, 'Amort. Sched.-WORST'!$N$7), 0)</f>
        <v>0</v>
      </c>
      <c r="N345" s="5">
        <f>IF(AND(L345&gt;='Amort. Sched.-WORST'!$R$8, L345&lt;= ($R$7+$R$8)), (IPMT($N$8/12, (L345-$R$8), $R$7, $N$7)), 0)</f>
        <v>0</v>
      </c>
      <c r="O345" s="5">
        <f>IF(AND(L345&gt;='Amort. Sched.-WORST'!$R$8, L345&lt;= ($R$7+$R$8)), (PPMT($N$8/12, (L345-$R$8), $R$7, $N$7)), 0)</f>
        <v>0</v>
      </c>
      <c r="P345" s="5">
        <f>IF(CreditAmort1WORST[[#This Row],[Month]]=R$8,N$7,0)</f>
        <v>0</v>
      </c>
      <c r="Q345" s="13">
        <f>IF(AND(L345&gt;='Amort. Sched.-WORST'!$R$8, L345&lt;= ($R$7+$R$8)), Q344+O345, 0)</f>
        <v>0</v>
      </c>
      <c r="R345" s="6" t="str">
        <f>IF(AND(L345&gt;='Amort. Sched.-WORST'!$R$8, L345&lt;= ($R$7+$R$8)), N345/M345, " ")</f>
        <v xml:space="preserve"> </v>
      </c>
      <c r="S345" s="21" t="str">
        <f>IF(AND(L345&gt;='Amort. Sched.-WORST'!$R$8, L345&lt;= ($R$7+$R$8)), O345/M345, " ")</f>
        <v xml:space="preserve"> </v>
      </c>
      <c r="U345" s="22">
        <f t="shared" si="87"/>
        <v>334</v>
      </c>
      <c r="V345" s="23">
        <f>IF(AND(U345&gt;='Amort. Sched.-WORST'!$AA$8, U345&lt;= ($AA$7+$AA$8)), PMT('Amort. Sched.-WORST'!$W$8/12, 'Amort. Sched.-WORST'!$AA$7, 'Amort. Sched.-WORST'!$W$7), 0)</f>
        <v>0</v>
      </c>
      <c r="W345" s="5">
        <f>IF(AND(U345&gt;='Amort. Sched.-WORST'!$AA$8, U345&lt;= ($AA$7+$AA$8)), (IPMT($W$8/12, (U345-$AA$8), $AA$7, $W$7)), 0)</f>
        <v>0</v>
      </c>
      <c r="X345" s="23">
        <f>IF(AND(U345&gt;='Amort. Sched.-WORST'!$AA$8, U345&lt;= ($AA$7+$AA$8)), (PPMT($W$8/12, (U345-$AA$8), $AA$7, $W$7)), 0)</f>
        <v>0</v>
      </c>
      <c r="Y345" s="5">
        <f>IF(CreditAmort2WORST[[#This Row],[Month]]=AA$8,W$7,0)</f>
        <v>0</v>
      </c>
      <c r="Z345" s="13">
        <f>IF(AND(U345&gt;='Amort. Sched.-WORST'!$AA$8, U345&lt;= ($AA$7+$AA$8)), Z344+X345, 0)</f>
        <v>0</v>
      </c>
      <c r="AA345" s="24" t="str">
        <f>IF(AND(U345&gt;='Amort. Sched.-WORST'!$AA$8, U345&lt;= ($AA$7+$AA$8)), W345/V345, " ")</f>
        <v xml:space="preserve"> </v>
      </c>
      <c r="AB345" s="25" t="str">
        <f>IF(AND(U345&gt;='Amort. Sched.-WORST'!$AA$8, U345&lt;= ($AA$7+$AA$8)), X345/V345, " ")</f>
        <v xml:space="preserve"> </v>
      </c>
      <c r="AD345" s="20">
        <f t="shared" si="88"/>
        <v>334</v>
      </c>
      <c r="AE345" s="5">
        <f t="shared" si="89"/>
        <v>0</v>
      </c>
      <c r="AF345" s="5">
        <f t="shared" si="90"/>
        <v>0</v>
      </c>
      <c r="AG345" s="5">
        <f t="shared" si="91"/>
        <v>0</v>
      </c>
      <c r="AH345" s="5">
        <f>IF(CreditAmort3WORST[[#This Row],[Month]]=AJ$8,AF$7,0)</f>
        <v>0</v>
      </c>
      <c r="AI345" s="13">
        <f t="shared" si="92"/>
        <v>0</v>
      </c>
      <c r="AJ345" s="6" t="str">
        <f t="shared" si="93"/>
        <v xml:space="preserve"> </v>
      </c>
      <c r="AK345" s="21" t="str">
        <f t="shared" si="94"/>
        <v xml:space="preserve"> </v>
      </c>
      <c r="AM345" s="20">
        <f t="shared" si="95"/>
        <v>334</v>
      </c>
      <c r="AN345" s="5">
        <f t="shared" si="96"/>
        <v>0</v>
      </c>
      <c r="AO345" s="5">
        <f t="shared" si="97"/>
        <v>0</v>
      </c>
      <c r="AP345" s="5">
        <f t="shared" si="98"/>
        <v>0</v>
      </c>
      <c r="AQ345" s="5">
        <f>IF(CreditAmort4WORST[[#This Row],[Month]]=AS$8,AO$7,0)</f>
        <v>0</v>
      </c>
      <c r="AR345" s="13">
        <f t="shared" si="99"/>
        <v>0</v>
      </c>
      <c r="AS345" s="6" t="str">
        <f t="shared" si="100"/>
        <v xml:space="preserve"> </v>
      </c>
      <c r="AT345" s="21" t="str">
        <f t="shared" si="101"/>
        <v xml:space="preserve"> </v>
      </c>
    </row>
    <row r="346" spans="3:46">
      <c r="C346" s="22">
        <f t="shared" si="86"/>
        <v>335</v>
      </c>
      <c r="D346" s="23">
        <f>IF(AND(C346&gt;='Amort. Sched.-WORST'!$I$8, C346&lt;= ($I$7+$I$8)), PMT('Amort. Sched.-WORST'!$E$8/12, 'Amort. Sched.-WORST'!$I$7, 'Amort. Sched.-WORST'!$E$7), 0)</f>
        <v>0</v>
      </c>
      <c r="E346" s="5">
        <f>IF(AND(C346&gt;='Amort. Sched.-WORST'!$I$8, C346&lt;= ($I$7+$I$8)), (IPMT($E$8/12, (C346-$I$8), $I$7, $E$7)), 0)</f>
        <v>0</v>
      </c>
      <c r="F346" s="23">
        <f>IF(AND(C346&gt;='Amort. Sched.-WORST'!$I$8, C346&lt;= ($I$7+$I$8)), (PPMT($E$8/12, (C346-$I$8), $I$7, $E$7)), 0)</f>
        <v>0</v>
      </c>
      <c r="G346" s="5">
        <f>IF(MortgageAmortWORST[[#This Row],[Month]]=I$8,E$7,0)</f>
        <v>0</v>
      </c>
      <c r="H346" s="13">
        <f>IF(AND(C346&gt;='Amort. Sched.-WORST'!$I$8, C346&lt;= ($I$7+$I$8)), H345+F346, 0)</f>
        <v>0</v>
      </c>
      <c r="I346" s="24" t="str">
        <f>IF(AND(C346&gt;='Amort. Sched.-WORST'!$I$8, C346&lt;= ($I$7+$I$8)), E346/D346, " ")</f>
        <v xml:space="preserve"> </v>
      </c>
      <c r="J346" s="25" t="str">
        <f>IF(AND(C346&gt;='Amort. Sched.-WORST'!$I$8, C346&lt;= ($I$7+$I$8)), F346/D346, " ")</f>
        <v xml:space="preserve"> </v>
      </c>
      <c r="L346" s="20">
        <f t="shared" si="85"/>
        <v>335</v>
      </c>
      <c r="M346" s="5">
        <f>IF(AND(L346&gt;='Amort. Sched.-WORST'!$R$8, L346&lt;= ($R$7+$R$8)), PMT('Amort. Sched.-WORST'!$N$8/12, 'Amort. Sched.-WORST'!$R$7, 'Amort. Sched.-WORST'!$N$7), 0)</f>
        <v>0</v>
      </c>
      <c r="N346" s="5">
        <f>IF(AND(L346&gt;='Amort. Sched.-WORST'!$R$8, L346&lt;= ($R$7+$R$8)), (IPMT($N$8/12, (L346-$R$8), $R$7, $N$7)), 0)</f>
        <v>0</v>
      </c>
      <c r="O346" s="5">
        <f>IF(AND(L346&gt;='Amort. Sched.-WORST'!$R$8, L346&lt;= ($R$7+$R$8)), (PPMT($N$8/12, (L346-$R$8), $R$7, $N$7)), 0)</f>
        <v>0</v>
      </c>
      <c r="P346" s="5">
        <f>IF(CreditAmort1WORST[[#This Row],[Month]]=R$8,N$7,0)</f>
        <v>0</v>
      </c>
      <c r="Q346" s="13">
        <f>IF(AND(L346&gt;='Amort. Sched.-WORST'!$R$8, L346&lt;= ($R$7+$R$8)), Q345+O346, 0)</f>
        <v>0</v>
      </c>
      <c r="R346" s="6" t="str">
        <f>IF(AND(L346&gt;='Amort. Sched.-WORST'!$R$8, L346&lt;= ($R$7+$R$8)), N346/M346, " ")</f>
        <v xml:space="preserve"> </v>
      </c>
      <c r="S346" s="21" t="str">
        <f>IF(AND(L346&gt;='Amort. Sched.-WORST'!$R$8, L346&lt;= ($R$7+$R$8)), O346/M346, " ")</f>
        <v xml:space="preserve"> </v>
      </c>
      <c r="U346" s="22">
        <f t="shared" si="87"/>
        <v>335</v>
      </c>
      <c r="V346" s="23">
        <f>IF(AND(U346&gt;='Amort. Sched.-WORST'!$AA$8, U346&lt;= ($AA$7+$AA$8)), PMT('Amort. Sched.-WORST'!$W$8/12, 'Amort. Sched.-WORST'!$AA$7, 'Amort. Sched.-WORST'!$W$7), 0)</f>
        <v>0</v>
      </c>
      <c r="W346" s="5">
        <f>IF(AND(U346&gt;='Amort. Sched.-WORST'!$AA$8, U346&lt;= ($AA$7+$AA$8)), (IPMT($W$8/12, (U346-$AA$8), $AA$7, $W$7)), 0)</f>
        <v>0</v>
      </c>
      <c r="X346" s="23">
        <f>IF(AND(U346&gt;='Amort. Sched.-WORST'!$AA$8, U346&lt;= ($AA$7+$AA$8)), (PPMT($W$8/12, (U346-$AA$8), $AA$7, $W$7)), 0)</f>
        <v>0</v>
      </c>
      <c r="Y346" s="5">
        <f>IF(CreditAmort2WORST[[#This Row],[Month]]=AA$8,W$7,0)</f>
        <v>0</v>
      </c>
      <c r="Z346" s="13">
        <f>IF(AND(U346&gt;='Amort. Sched.-WORST'!$AA$8, U346&lt;= ($AA$7+$AA$8)), Z345+X346, 0)</f>
        <v>0</v>
      </c>
      <c r="AA346" s="24" t="str">
        <f>IF(AND(U346&gt;='Amort. Sched.-WORST'!$AA$8, U346&lt;= ($AA$7+$AA$8)), W346/V346, " ")</f>
        <v xml:space="preserve"> </v>
      </c>
      <c r="AB346" s="25" t="str">
        <f>IF(AND(U346&gt;='Amort. Sched.-WORST'!$AA$8, U346&lt;= ($AA$7+$AA$8)), X346/V346, " ")</f>
        <v xml:space="preserve"> </v>
      </c>
      <c r="AD346" s="20">
        <f t="shared" si="88"/>
        <v>335</v>
      </c>
      <c r="AE346" s="5">
        <f t="shared" si="89"/>
        <v>0</v>
      </c>
      <c r="AF346" s="5">
        <f t="shared" si="90"/>
        <v>0</v>
      </c>
      <c r="AG346" s="5">
        <f t="shared" si="91"/>
        <v>0</v>
      </c>
      <c r="AH346" s="5">
        <f>IF(CreditAmort3WORST[[#This Row],[Month]]=AJ$8,AF$7,0)</f>
        <v>0</v>
      </c>
      <c r="AI346" s="13">
        <f t="shared" si="92"/>
        <v>0</v>
      </c>
      <c r="AJ346" s="6" t="str">
        <f t="shared" si="93"/>
        <v xml:space="preserve"> </v>
      </c>
      <c r="AK346" s="21" t="str">
        <f t="shared" si="94"/>
        <v xml:space="preserve"> </v>
      </c>
      <c r="AM346" s="20">
        <f t="shared" si="95"/>
        <v>335</v>
      </c>
      <c r="AN346" s="5">
        <f t="shared" si="96"/>
        <v>0</v>
      </c>
      <c r="AO346" s="5">
        <f t="shared" si="97"/>
        <v>0</v>
      </c>
      <c r="AP346" s="5">
        <f t="shared" si="98"/>
        <v>0</v>
      </c>
      <c r="AQ346" s="5">
        <f>IF(CreditAmort4WORST[[#This Row],[Month]]=AS$8,AO$7,0)</f>
        <v>0</v>
      </c>
      <c r="AR346" s="13">
        <f t="shared" si="99"/>
        <v>0</v>
      </c>
      <c r="AS346" s="6" t="str">
        <f t="shared" si="100"/>
        <v xml:space="preserve"> </v>
      </c>
      <c r="AT346" s="21" t="str">
        <f t="shared" si="101"/>
        <v xml:space="preserve"> </v>
      </c>
    </row>
    <row r="347" spans="3:46">
      <c r="C347" s="22">
        <f t="shared" si="86"/>
        <v>336</v>
      </c>
      <c r="D347" s="23">
        <f>IF(AND(C347&gt;='Amort. Sched.-WORST'!$I$8, C347&lt;= ($I$7+$I$8)), PMT('Amort. Sched.-WORST'!$E$8/12, 'Amort. Sched.-WORST'!$I$7, 'Amort. Sched.-WORST'!$E$7), 0)</f>
        <v>0</v>
      </c>
      <c r="E347" s="5">
        <f>IF(AND(C347&gt;='Amort. Sched.-WORST'!$I$8, C347&lt;= ($I$7+$I$8)), (IPMT($E$8/12, (C347-$I$8), $I$7, $E$7)), 0)</f>
        <v>0</v>
      </c>
      <c r="F347" s="23">
        <f>IF(AND(C347&gt;='Amort. Sched.-WORST'!$I$8, C347&lt;= ($I$7+$I$8)), (PPMT($E$8/12, (C347-$I$8), $I$7, $E$7)), 0)</f>
        <v>0</v>
      </c>
      <c r="G347" s="5">
        <f>IF(MortgageAmortWORST[[#This Row],[Month]]=I$8,E$7,0)</f>
        <v>0</v>
      </c>
      <c r="H347" s="13">
        <f>IF(AND(C347&gt;='Amort. Sched.-WORST'!$I$8, C347&lt;= ($I$7+$I$8)), H346+F347, 0)</f>
        <v>0</v>
      </c>
      <c r="I347" s="24" t="str">
        <f>IF(AND(C347&gt;='Amort. Sched.-WORST'!$I$8, C347&lt;= ($I$7+$I$8)), E347/D347, " ")</f>
        <v xml:space="preserve"> </v>
      </c>
      <c r="J347" s="25" t="str">
        <f>IF(AND(C347&gt;='Amort. Sched.-WORST'!$I$8, C347&lt;= ($I$7+$I$8)), F347/D347, " ")</f>
        <v xml:space="preserve"> </v>
      </c>
      <c r="L347" s="20">
        <f t="shared" si="85"/>
        <v>336</v>
      </c>
      <c r="M347" s="5">
        <f>IF(AND(L347&gt;='Amort. Sched.-WORST'!$R$8, L347&lt;= ($R$7+$R$8)), PMT('Amort. Sched.-WORST'!$N$8/12, 'Amort. Sched.-WORST'!$R$7, 'Amort. Sched.-WORST'!$N$7), 0)</f>
        <v>0</v>
      </c>
      <c r="N347" s="5">
        <f>IF(AND(L347&gt;='Amort. Sched.-WORST'!$R$8, L347&lt;= ($R$7+$R$8)), (IPMT($N$8/12, (L347-$R$8), $R$7, $N$7)), 0)</f>
        <v>0</v>
      </c>
      <c r="O347" s="5">
        <f>IF(AND(L347&gt;='Amort. Sched.-WORST'!$R$8, L347&lt;= ($R$7+$R$8)), (PPMT($N$8/12, (L347-$R$8), $R$7, $N$7)), 0)</f>
        <v>0</v>
      </c>
      <c r="P347" s="5">
        <f>IF(CreditAmort1WORST[[#This Row],[Month]]=R$8,N$7,0)</f>
        <v>0</v>
      </c>
      <c r="Q347" s="13">
        <f>IF(AND(L347&gt;='Amort. Sched.-WORST'!$R$8, L347&lt;= ($R$7+$R$8)), Q346+O347, 0)</f>
        <v>0</v>
      </c>
      <c r="R347" s="6" t="str">
        <f>IF(AND(L347&gt;='Amort. Sched.-WORST'!$R$8, L347&lt;= ($R$7+$R$8)), N347/M347, " ")</f>
        <v xml:space="preserve"> </v>
      </c>
      <c r="S347" s="21" t="str">
        <f>IF(AND(L347&gt;='Amort. Sched.-WORST'!$R$8, L347&lt;= ($R$7+$R$8)), O347/M347, " ")</f>
        <v xml:space="preserve"> </v>
      </c>
      <c r="U347" s="22">
        <f t="shared" si="87"/>
        <v>336</v>
      </c>
      <c r="V347" s="23">
        <f>IF(AND(U347&gt;='Amort. Sched.-WORST'!$AA$8, U347&lt;= ($AA$7+$AA$8)), PMT('Amort. Sched.-WORST'!$W$8/12, 'Amort. Sched.-WORST'!$AA$7, 'Amort. Sched.-WORST'!$W$7), 0)</f>
        <v>0</v>
      </c>
      <c r="W347" s="5">
        <f>IF(AND(U347&gt;='Amort. Sched.-WORST'!$AA$8, U347&lt;= ($AA$7+$AA$8)), (IPMT($W$8/12, (U347-$AA$8), $AA$7, $W$7)), 0)</f>
        <v>0</v>
      </c>
      <c r="X347" s="23">
        <f>IF(AND(U347&gt;='Amort. Sched.-WORST'!$AA$8, U347&lt;= ($AA$7+$AA$8)), (PPMT($W$8/12, (U347-$AA$8), $AA$7, $W$7)), 0)</f>
        <v>0</v>
      </c>
      <c r="Y347" s="5">
        <f>IF(CreditAmort2WORST[[#This Row],[Month]]=AA$8,W$7,0)</f>
        <v>0</v>
      </c>
      <c r="Z347" s="13">
        <f>IF(AND(U347&gt;='Amort. Sched.-WORST'!$AA$8, U347&lt;= ($AA$7+$AA$8)), Z346+X347, 0)</f>
        <v>0</v>
      </c>
      <c r="AA347" s="24" t="str">
        <f>IF(AND(U347&gt;='Amort. Sched.-WORST'!$AA$8, U347&lt;= ($AA$7+$AA$8)), W347/V347, " ")</f>
        <v xml:space="preserve"> </v>
      </c>
      <c r="AB347" s="25" t="str">
        <f>IF(AND(U347&gt;='Amort. Sched.-WORST'!$AA$8, U347&lt;= ($AA$7+$AA$8)), X347/V347, " ")</f>
        <v xml:space="preserve"> </v>
      </c>
      <c r="AD347" s="20">
        <f t="shared" si="88"/>
        <v>336</v>
      </c>
      <c r="AE347" s="5">
        <f t="shared" si="89"/>
        <v>0</v>
      </c>
      <c r="AF347" s="5">
        <f t="shared" si="90"/>
        <v>0</v>
      </c>
      <c r="AG347" s="5">
        <f t="shared" si="91"/>
        <v>0</v>
      </c>
      <c r="AH347" s="5">
        <f>IF(CreditAmort3WORST[[#This Row],[Month]]=AJ$8,AF$7,0)</f>
        <v>0</v>
      </c>
      <c r="AI347" s="13">
        <f t="shared" si="92"/>
        <v>0</v>
      </c>
      <c r="AJ347" s="6" t="str">
        <f t="shared" si="93"/>
        <v xml:space="preserve"> </v>
      </c>
      <c r="AK347" s="21" t="str">
        <f t="shared" si="94"/>
        <v xml:space="preserve"> </v>
      </c>
      <c r="AM347" s="20">
        <f t="shared" si="95"/>
        <v>336</v>
      </c>
      <c r="AN347" s="5">
        <f t="shared" si="96"/>
        <v>0</v>
      </c>
      <c r="AO347" s="5">
        <f t="shared" si="97"/>
        <v>0</v>
      </c>
      <c r="AP347" s="5">
        <f t="shared" si="98"/>
        <v>0</v>
      </c>
      <c r="AQ347" s="5">
        <f>IF(CreditAmort4WORST[[#This Row],[Month]]=AS$8,AO$7,0)</f>
        <v>0</v>
      </c>
      <c r="AR347" s="13">
        <f t="shared" si="99"/>
        <v>0</v>
      </c>
      <c r="AS347" s="6" t="str">
        <f t="shared" si="100"/>
        <v xml:space="preserve"> </v>
      </c>
      <c r="AT347" s="21" t="str">
        <f t="shared" si="101"/>
        <v xml:space="preserve"> </v>
      </c>
    </row>
    <row r="348" spans="3:46">
      <c r="C348" s="22">
        <f t="shared" si="86"/>
        <v>337</v>
      </c>
      <c r="D348" s="23">
        <f>IF(AND(C348&gt;='Amort. Sched.-WORST'!$I$8, C348&lt;= ($I$7+$I$8)), PMT('Amort. Sched.-WORST'!$E$8/12, 'Amort. Sched.-WORST'!$I$7, 'Amort. Sched.-WORST'!$E$7), 0)</f>
        <v>0</v>
      </c>
      <c r="E348" s="5">
        <f>IF(AND(C348&gt;='Amort. Sched.-WORST'!$I$8, C348&lt;= ($I$7+$I$8)), (IPMT($E$8/12, (C348-$I$8), $I$7, $E$7)), 0)</f>
        <v>0</v>
      </c>
      <c r="F348" s="23">
        <f>IF(AND(C348&gt;='Amort. Sched.-WORST'!$I$8, C348&lt;= ($I$7+$I$8)), (PPMT($E$8/12, (C348-$I$8), $I$7, $E$7)), 0)</f>
        <v>0</v>
      </c>
      <c r="G348" s="5">
        <f>IF(MortgageAmortWORST[[#This Row],[Month]]=I$8,E$7,0)</f>
        <v>0</v>
      </c>
      <c r="H348" s="13">
        <f>IF(AND(C348&gt;='Amort. Sched.-WORST'!$I$8, C348&lt;= ($I$7+$I$8)), H347+F348, 0)</f>
        <v>0</v>
      </c>
      <c r="I348" s="24" t="str">
        <f>IF(AND(C348&gt;='Amort. Sched.-WORST'!$I$8, C348&lt;= ($I$7+$I$8)), E348/D348, " ")</f>
        <v xml:space="preserve"> </v>
      </c>
      <c r="J348" s="25" t="str">
        <f>IF(AND(C348&gt;='Amort. Sched.-WORST'!$I$8, C348&lt;= ($I$7+$I$8)), F348/D348, " ")</f>
        <v xml:space="preserve"> </v>
      </c>
      <c r="L348" s="20">
        <f t="shared" si="85"/>
        <v>337</v>
      </c>
      <c r="M348" s="5">
        <f>IF(AND(L348&gt;='Amort. Sched.-WORST'!$R$8, L348&lt;= ($R$7+$R$8)), PMT('Amort. Sched.-WORST'!$N$8/12, 'Amort. Sched.-WORST'!$R$7, 'Amort. Sched.-WORST'!$N$7), 0)</f>
        <v>0</v>
      </c>
      <c r="N348" s="5">
        <f>IF(AND(L348&gt;='Amort. Sched.-WORST'!$R$8, L348&lt;= ($R$7+$R$8)), (IPMT($N$8/12, (L348-$R$8), $R$7, $N$7)), 0)</f>
        <v>0</v>
      </c>
      <c r="O348" s="5">
        <f>IF(AND(L348&gt;='Amort. Sched.-WORST'!$R$8, L348&lt;= ($R$7+$R$8)), (PPMT($N$8/12, (L348-$R$8), $R$7, $N$7)), 0)</f>
        <v>0</v>
      </c>
      <c r="P348" s="5">
        <f>IF(CreditAmort1WORST[[#This Row],[Month]]=R$8,N$7,0)</f>
        <v>0</v>
      </c>
      <c r="Q348" s="13">
        <f>IF(AND(L348&gt;='Amort. Sched.-WORST'!$R$8, L348&lt;= ($R$7+$R$8)), Q347+O348, 0)</f>
        <v>0</v>
      </c>
      <c r="R348" s="6" t="str">
        <f>IF(AND(L348&gt;='Amort. Sched.-WORST'!$R$8, L348&lt;= ($R$7+$R$8)), N348/M348, " ")</f>
        <v xml:space="preserve"> </v>
      </c>
      <c r="S348" s="21" t="str">
        <f>IF(AND(L348&gt;='Amort. Sched.-WORST'!$R$8, L348&lt;= ($R$7+$R$8)), O348/M348, " ")</f>
        <v xml:space="preserve"> </v>
      </c>
      <c r="U348" s="22">
        <f t="shared" si="87"/>
        <v>337</v>
      </c>
      <c r="V348" s="23">
        <f>IF(AND(U348&gt;='Amort. Sched.-WORST'!$AA$8, U348&lt;= ($AA$7+$AA$8)), PMT('Amort. Sched.-WORST'!$W$8/12, 'Amort. Sched.-WORST'!$AA$7, 'Amort. Sched.-WORST'!$W$7), 0)</f>
        <v>0</v>
      </c>
      <c r="W348" s="5">
        <f>IF(AND(U348&gt;='Amort. Sched.-WORST'!$AA$8, U348&lt;= ($AA$7+$AA$8)), (IPMT($W$8/12, (U348-$AA$8), $AA$7, $W$7)), 0)</f>
        <v>0</v>
      </c>
      <c r="X348" s="23">
        <f>IF(AND(U348&gt;='Amort. Sched.-WORST'!$AA$8, U348&lt;= ($AA$7+$AA$8)), (PPMT($W$8/12, (U348-$AA$8), $AA$7, $W$7)), 0)</f>
        <v>0</v>
      </c>
      <c r="Y348" s="5">
        <f>IF(CreditAmort2WORST[[#This Row],[Month]]=AA$8,W$7,0)</f>
        <v>0</v>
      </c>
      <c r="Z348" s="13">
        <f>IF(AND(U348&gt;='Amort. Sched.-WORST'!$AA$8, U348&lt;= ($AA$7+$AA$8)), Z347+X348, 0)</f>
        <v>0</v>
      </c>
      <c r="AA348" s="24" t="str">
        <f>IF(AND(U348&gt;='Amort. Sched.-WORST'!$AA$8, U348&lt;= ($AA$7+$AA$8)), W348/V348, " ")</f>
        <v xml:space="preserve"> </v>
      </c>
      <c r="AB348" s="25" t="str">
        <f>IF(AND(U348&gt;='Amort. Sched.-WORST'!$AA$8, U348&lt;= ($AA$7+$AA$8)), X348/V348, " ")</f>
        <v xml:space="preserve"> </v>
      </c>
      <c r="AD348" s="20">
        <f t="shared" si="88"/>
        <v>337</v>
      </c>
      <c r="AE348" s="5">
        <f t="shared" si="89"/>
        <v>0</v>
      </c>
      <c r="AF348" s="5">
        <f t="shared" si="90"/>
        <v>0</v>
      </c>
      <c r="AG348" s="5">
        <f t="shared" si="91"/>
        <v>0</v>
      </c>
      <c r="AH348" s="5">
        <f>IF(CreditAmort3WORST[[#This Row],[Month]]=AJ$8,AF$7,0)</f>
        <v>0</v>
      </c>
      <c r="AI348" s="13">
        <f t="shared" si="92"/>
        <v>0</v>
      </c>
      <c r="AJ348" s="6" t="str">
        <f t="shared" si="93"/>
        <v xml:space="preserve"> </v>
      </c>
      <c r="AK348" s="21" t="str">
        <f t="shared" si="94"/>
        <v xml:space="preserve"> </v>
      </c>
      <c r="AM348" s="20">
        <f t="shared" si="95"/>
        <v>337</v>
      </c>
      <c r="AN348" s="5">
        <f t="shared" si="96"/>
        <v>0</v>
      </c>
      <c r="AO348" s="5">
        <f t="shared" si="97"/>
        <v>0</v>
      </c>
      <c r="AP348" s="5">
        <f t="shared" si="98"/>
        <v>0</v>
      </c>
      <c r="AQ348" s="5">
        <f>IF(CreditAmort4WORST[[#This Row],[Month]]=AS$8,AO$7,0)</f>
        <v>0</v>
      </c>
      <c r="AR348" s="13">
        <f t="shared" si="99"/>
        <v>0</v>
      </c>
      <c r="AS348" s="6" t="str">
        <f t="shared" si="100"/>
        <v xml:space="preserve"> </v>
      </c>
      <c r="AT348" s="21" t="str">
        <f t="shared" si="101"/>
        <v xml:space="preserve"> </v>
      </c>
    </row>
    <row r="349" spans="3:46">
      <c r="C349" s="22">
        <f t="shared" si="86"/>
        <v>338</v>
      </c>
      <c r="D349" s="23">
        <f>IF(AND(C349&gt;='Amort. Sched.-WORST'!$I$8, C349&lt;= ($I$7+$I$8)), PMT('Amort. Sched.-WORST'!$E$8/12, 'Amort. Sched.-WORST'!$I$7, 'Amort. Sched.-WORST'!$E$7), 0)</f>
        <v>0</v>
      </c>
      <c r="E349" s="5">
        <f>IF(AND(C349&gt;='Amort. Sched.-WORST'!$I$8, C349&lt;= ($I$7+$I$8)), (IPMT($E$8/12, (C349-$I$8), $I$7, $E$7)), 0)</f>
        <v>0</v>
      </c>
      <c r="F349" s="23">
        <f>IF(AND(C349&gt;='Amort. Sched.-WORST'!$I$8, C349&lt;= ($I$7+$I$8)), (PPMT($E$8/12, (C349-$I$8), $I$7, $E$7)), 0)</f>
        <v>0</v>
      </c>
      <c r="G349" s="5">
        <f>IF(MortgageAmortWORST[[#This Row],[Month]]=I$8,E$7,0)</f>
        <v>0</v>
      </c>
      <c r="H349" s="13">
        <f>IF(AND(C349&gt;='Amort. Sched.-WORST'!$I$8, C349&lt;= ($I$7+$I$8)), H348+F349, 0)</f>
        <v>0</v>
      </c>
      <c r="I349" s="24" t="str">
        <f>IF(AND(C349&gt;='Amort. Sched.-WORST'!$I$8, C349&lt;= ($I$7+$I$8)), E349/D349, " ")</f>
        <v xml:space="preserve"> </v>
      </c>
      <c r="J349" s="25" t="str">
        <f>IF(AND(C349&gt;='Amort. Sched.-WORST'!$I$8, C349&lt;= ($I$7+$I$8)), F349/D349, " ")</f>
        <v xml:space="preserve"> </v>
      </c>
      <c r="L349" s="20">
        <f t="shared" si="85"/>
        <v>338</v>
      </c>
      <c r="M349" s="5">
        <f>IF(AND(L349&gt;='Amort. Sched.-WORST'!$R$8, L349&lt;= ($R$7+$R$8)), PMT('Amort. Sched.-WORST'!$N$8/12, 'Amort. Sched.-WORST'!$R$7, 'Amort. Sched.-WORST'!$N$7), 0)</f>
        <v>0</v>
      </c>
      <c r="N349" s="5">
        <f>IF(AND(L349&gt;='Amort. Sched.-WORST'!$R$8, L349&lt;= ($R$7+$R$8)), (IPMT($N$8/12, (L349-$R$8), $R$7, $N$7)), 0)</f>
        <v>0</v>
      </c>
      <c r="O349" s="5">
        <f>IF(AND(L349&gt;='Amort. Sched.-WORST'!$R$8, L349&lt;= ($R$7+$R$8)), (PPMT($N$8/12, (L349-$R$8), $R$7, $N$7)), 0)</f>
        <v>0</v>
      </c>
      <c r="P349" s="5">
        <f>IF(CreditAmort1WORST[[#This Row],[Month]]=R$8,N$7,0)</f>
        <v>0</v>
      </c>
      <c r="Q349" s="13">
        <f>IF(AND(L349&gt;='Amort. Sched.-WORST'!$R$8, L349&lt;= ($R$7+$R$8)), Q348+O349, 0)</f>
        <v>0</v>
      </c>
      <c r="R349" s="6" t="str">
        <f>IF(AND(L349&gt;='Amort. Sched.-WORST'!$R$8, L349&lt;= ($R$7+$R$8)), N349/M349, " ")</f>
        <v xml:space="preserve"> </v>
      </c>
      <c r="S349" s="21" t="str">
        <f>IF(AND(L349&gt;='Amort. Sched.-WORST'!$R$8, L349&lt;= ($R$7+$R$8)), O349/M349, " ")</f>
        <v xml:space="preserve"> </v>
      </c>
      <c r="U349" s="22">
        <f t="shared" si="87"/>
        <v>338</v>
      </c>
      <c r="V349" s="23">
        <f>IF(AND(U349&gt;='Amort. Sched.-WORST'!$AA$8, U349&lt;= ($AA$7+$AA$8)), PMT('Amort. Sched.-WORST'!$W$8/12, 'Amort. Sched.-WORST'!$AA$7, 'Amort. Sched.-WORST'!$W$7), 0)</f>
        <v>0</v>
      </c>
      <c r="W349" s="5">
        <f>IF(AND(U349&gt;='Amort. Sched.-WORST'!$AA$8, U349&lt;= ($AA$7+$AA$8)), (IPMT($W$8/12, (U349-$AA$8), $AA$7, $W$7)), 0)</f>
        <v>0</v>
      </c>
      <c r="X349" s="23">
        <f>IF(AND(U349&gt;='Amort. Sched.-WORST'!$AA$8, U349&lt;= ($AA$7+$AA$8)), (PPMT($W$8/12, (U349-$AA$8), $AA$7, $W$7)), 0)</f>
        <v>0</v>
      </c>
      <c r="Y349" s="5">
        <f>IF(CreditAmort2WORST[[#This Row],[Month]]=AA$8,W$7,0)</f>
        <v>0</v>
      </c>
      <c r="Z349" s="13">
        <f>IF(AND(U349&gt;='Amort. Sched.-WORST'!$AA$8, U349&lt;= ($AA$7+$AA$8)), Z348+X349, 0)</f>
        <v>0</v>
      </c>
      <c r="AA349" s="24" t="str">
        <f>IF(AND(U349&gt;='Amort. Sched.-WORST'!$AA$8, U349&lt;= ($AA$7+$AA$8)), W349/V349, " ")</f>
        <v xml:space="preserve"> </v>
      </c>
      <c r="AB349" s="25" t="str">
        <f>IF(AND(U349&gt;='Amort. Sched.-WORST'!$AA$8, U349&lt;= ($AA$7+$AA$8)), X349/V349, " ")</f>
        <v xml:space="preserve"> </v>
      </c>
      <c r="AD349" s="20">
        <f t="shared" si="88"/>
        <v>338</v>
      </c>
      <c r="AE349" s="5">
        <f t="shared" si="89"/>
        <v>0</v>
      </c>
      <c r="AF349" s="5">
        <f t="shared" si="90"/>
        <v>0</v>
      </c>
      <c r="AG349" s="5">
        <f t="shared" si="91"/>
        <v>0</v>
      </c>
      <c r="AH349" s="5">
        <f>IF(CreditAmort3WORST[[#This Row],[Month]]=AJ$8,AF$7,0)</f>
        <v>0</v>
      </c>
      <c r="AI349" s="13">
        <f t="shared" si="92"/>
        <v>0</v>
      </c>
      <c r="AJ349" s="6" t="str">
        <f t="shared" si="93"/>
        <v xml:space="preserve"> </v>
      </c>
      <c r="AK349" s="21" t="str">
        <f t="shared" si="94"/>
        <v xml:space="preserve"> </v>
      </c>
      <c r="AM349" s="20">
        <f t="shared" si="95"/>
        <v>338</v>
      </c>
      <c r="AN349" s="5">
        <f t="shared" si="96"/>
        <v>0</v>
      </c>
      <c r="AO349" s="5">
        <f t="shared" si="97"/>
        <v>0</v>
      </c>
      <c r="AP349" s="5">
        <f t="shared" si="98"/>
        <v>0</v>
      </c>
      <c r="AQ349" s="5">
        <f>IF(CreditAmort4WORST[[#This Row],[Month]]=AS$8,AO$7,0)</f>
        <v>0</v>
      </c>
      <c r="AR349" s="13">
        <f t="shared" si="99"/>
        <v>0</v>
      </c>
      <c r="AS349" s="6" t="str">
        <f t="shared" si="100"/>
        <v xml:space="preserve"> </v>
      </c>
      <c r="AT349" s="21" t="str">
        <f t="shared" si="101"/>
        <v xml:space="preserve"> </v>
      </c>
    </row>
    <row r="350" spans="3:46">
      <c r="C350" s="22">
        <f t="shared" si="86"/>
        <v>339</v>
      </c>
      <c r="D350" s="23">
        <f>IF(AND(C350&gt;='Amort. Sched.-WORST'!$I$8, C350&lt;= ($I$7+$I$8)), PMT('Amort. Sched.-WORST'!$E$8/12, 'Amort. Sched.-WORST'!$I$7, 'Amort. Sched.-WORST'!$E$7), 0)</f>
        <v>0</v>
      </c>
      <c r="E350" s="5">
        <f>IF(AND(C350&gt;='Amort. Sched.-WORST'!$I$8, C350&lt;= ($I$7+$I$8)), (IPMT($E$8/12, (C350-$I$8), $I$7, $E$7)), 0)</f>
        <v>0</v>
      </c>
      <c r="F350" s="23">
        <f>IF(AND(C350&gt;='Amort. Sched.-WORST'!$I$8, C350&lt;= ($I$7+$I$8)), (PPMT($E$8/12, (C350-$I$8), $I$7, $E$7)), 0)</f>
        <v>0</v>
      </c>
      <c r="G350" s="5">
        <f>IF(MortgageAmortWORST[[#This Row],[Month]]=I$8,E$7,0)</f>
        <v>0</v>
      </c>
      <c r="H350" s="13">
        <f>IF(AND(C350&gt;='Amort. Sched.-WORST'!$I$8, C350&lt;= ($I$7+$I$8)), H349+F350, 0)</f>
        <v>0</v>
      </c>
      <c r="I350" s="24" t="str">
        <f>IF(AND(C350&gt;='Amort. Sched.-WORST'!$I$8, C350&lt;= ($I$7+$I$8)), E350/D350, " ")</f>
        <v xml:space="preserve"> </v>
      </c>
      <c r="J350" s="25" t="str">
        <f>IF(AND(C350&gt;='Amort. Sched.-WORST'!$I$8, C350&lt;= ($I$7+$I$8)), F350/D350, " ")</f>
        <v xml:space="preserve"> </v>
      </c>
      <c r="L350" s="20">
        <f t="shared" si="85"/>
        <v>339</v>
      </c>
      <c r="M350" s="5">
        <f>IF(AND(L350&gt;='Amort. Sched.-WORST'!$R$8, L350&lt;= ($R$7+$R$8)), PMT('Amort. Sched.-WORST'!$N$8/12, 'Amort. Sched.-WORST'!$R$7, 'Amort. Sched.-WORST'!$N$7), 0)</f>
        <v>0</v>
      </c>
      <c r="N350" s="5">
        <f>IF(AND(L350&gt;='Amort. Sched.-WORST'!$R$8, L350&lt;= ($R$7+$R$8)), (IPMT($N$8/12, (L350-$R$8), $R$7, $N$7)), 0)</f>
        <v>0</v>
      </c>
      <c r="O350" s="5">
        <f>IF(AND(L350&gt;='Amort. Sched.-WORST'!$R$8, L350&lt;= ($R$7+$R$8)), (PPMT($N$8/12, (L350-$R$8), $R$7, $N$7)), 0)</f>
        <v>0</v>
      </c>
      <c r="P350" s="5">
        <f>IF(CreditAmort1WORST[[#This Row],[Month]]=R$8,N$7,0)</f>
        <v>0</v>
      </c>
      <c r="Q350" s="13">
        <f>IF(AND(L350&gt;='Amort. Sched.-WORST'!$R$8, L350&lt;= ($R$7+$R$8)), Q349+O350, 0)</f>
        <v>0</v>
      </c>
      <c r="R350" s="6" t="str">
        <f>IF(AND(L350&gt;='Amort. Sched.-WORST'!$R$8, L350&lt;= ($R$7+$R$8)), N350/M350, " ")</f>
        <v xml:space="preserve"> </v>
      </c>
      <c r="S350" s="21" t="str">
        <f>IF(AND(L350&gt;='Amort. Sched.-WORST'!$R$8, L350&lt;= ($R$7+$R$8)), O350/M350, " ")</f>
        <v xml:space="preserve"> </v>
      </c>
      <c r="U350" s="22">
        <f t="shared" si="87"/>
        <v>339</v>
      </c>
      <c r="V350" s="23">
        <f>IF(AND(U350&gt;='Amort. Sched.-WORST'!$AA$8, U350&lt;= ($AA$7+$AA$8)), PMT('Amort. Sched.-WORST'!$W$8/12, 'Amort. Sched.-WORST'!$AA$7, 'Amort. Sched.-WORST'!$W$7), 0)</f>
        <v>0</v>
      </c>
      <c r="W350" s="5">
        <f>IF(AND(U350&gt;='Amort. Sched.-WORST'!$AA$8, U350&lt;= ($AA$7+$AA$8)), (IPMT($W$8/12, (U350-$AA$8), $AA$7, $W$7)), 0)</f>
        <v>0</v>
      </c>
      <c r="X350" s="23">
        <f>IF(AND(U350&gt;='Amort. Sched.-WORST'!$AA$8, U350&lt;= ($AA$7+$AA$8)), (PPMT($W$8/12, (U350-$AA$8), $AA$7, $W$7)), 0)</f>
        <v>0</v>
      </c>
      <c r="Y350" s="5">
        <f>IF(CreditAmort2WORST[[#This Row],[Month]]=AA$8,W$7,0)</f>
        <v>0</v>
      </c>
      <c r="Z350" s="13">
        <f>IF(AND(U350&gt;='Amort. Sched.-WORST'!$AA$8, U350&lt;= ($AA$7+$AA$8)), Z349+X350, 0)</f>
        <v>0</v>
      </c>
      <c r="AA350" s="24" t="str">
        <f>IF(AND(U350&gt;='Amort. Sched.-WORST'!$AA$8, U350&lt;= ($AA$7+$AA$8)), W350/V350, " ")</f>
        <v xml:space="preserve"> </v>
      </c>
      <c r="AB350" s="25" t="str">
        <f>IF(AND(U350&gt;='Amort. Sched.-WORST'!$AA$8, U350&lt;= ($AA$7+$AA$8)), X350/V350, " ")</f>
        <v xml:space="preserve"> </v>
      </c>
      <c r="AD350" s="20">
        <f t="shared" si="88"/>
        <v>339</v>
      </c>
      <c r="AE350" s="5">
        <f t="shared" si="89"/>
        <v>0</v>
      </c>
      <c r="AF350" s="5">
        <f t="shared" si="90"/>
        <v>0</v>
      </c>
      <c r="AG350" s="5">
        <f t="shared" si="91"/>
        <v>0</v>
      </c>
      <c r="AH350" s="5">
        <f>IF(CreditAmort3WORST[[#This Row],[Month]]=AJ$8,AF$7,0)</f>
        <v>0</v>
      </c>
      <c r="AI350" s="13">
        <f t="shared" si="92"/>
        <v>0</v>
      </c>
      <c r="AJ350" s="6" t="str">
        <f t="shared" si="93"/>
        <v xml:space="preserve"> </v>
      </c>
      <c r="AK350" s="21" t="str">
        <f t="shared" si="94"/>
        <v xml:space="preserve"> </v>
      </c>
      <c r="AM350" s="20">
        <f t="shared" si="95"/>
        <v>339</v>
      </c>
      <c r="AN350" s="5">
        <f t="shared" si="96"/>
        <v>0</v>
      </c>
      <c r="AO350" s="5">
        <f t="shared" si="97"/>
        <v>0</v>
      </c>
      <c r="AP350" s="5">
        <f t="shared" si="98"/>
        <v>0</v>
      </c>
      <c r="AQ350" s="5">
        <f>IF(CreditAmort4WORST[[#This Row],[Month]]=AS$8,AO$7,0)</f>
        <v>0</v>
      </c>
      <c r="AR350" s="13">
        <f t="shared" si="99"/>
        <v>0</v>
      </c>
      <c r="AS350" s="6" t="str">
        <f t="shared" si="100"/>
        <v xml:space="preserve"> </v>
      </c>
      <c r="AT350" s="21" t="str">
        <f t="shared" si="101"/>
        <v xml:space="preserve"> </v>
      </c>
    </row>
    <row r="351" spans="3:46">
      <c r="C351" s="22">
        <f t="shared" si="86"/>
        <v>340</v>
      </c>
      <c r="D351" s="23">
        <f>IF(AND(C351&gt;='Amort. Sched.-WORST'!$I$8, C351&lt;= ($I$7+$I$8)), PMT('Amort. Sched.-WORST'!$E$8/12, 'Amort. Sched.-WORST'!$I$7, 'Amort. Sched.-WORST'!$E$7), 0)</f>
        <v>0</v>
      </c>
      <c r="E351" s="5">
        <f>IF(AND(C351&gt;='Amort. Sched.-WORST'!$I$8, C351&lt;= ($I$7+$I$8)), (IPMT($E$8/12, (C351-$I$8), $I$7, $E$7)), 0)</f>
        <v>0</v>
      </c>
      <c r="F351" s="23">
        <f>IF(AND(C351&gt;='Amort. Sched.-WORST'!$I$8, C351&lt;= ($I$7+$I$8)), (PPMT($E$8/12, (C351-$I$8), $I$7, $E$7)), 0)</f>
        <v>0</v>
      </c>
      <c r="G351" s="5">
        <f>IF(MortgageAmortWORST[[#This Row],[Month]]=I$8,E$7,0)</f>
        <v>0</v>
      </c>
      <c r="H351" s="13">
        <f>IF(AND(C351&gt;='Amort. Sched.-WORST'!$I$8, C351&lt;= ($I$7+$I$8)), H350+F351, 0)</f>
        <v>0</v>
      </c>
      <c r="I351" s="24" t="str">
        <f>IF(AND(C351&gt;='Amort. Sched.-WORST'!$I$8, C351&lt;= ($I$7+$I$8)), E351/D351, " ")</f>
        <v xml:space="preserve"> </v>
      </c>
      <c r="J351" s="25" t="str">
        <f>IF(AND(C351&gt;='Amort. Sched.-WORST'!$I$8, C351&lt;= ($I$7+$I$8)), F351/D351, " ")</f>
        <v xml:space="preserve"> </v>
      </c>
      <c r="L351" s="20">
        <f t="shared" si="85"/>
        <v>340</v>
      </c>
      <c r="M351" s="5">
        <f>IF(AND(L351&gt;='Amort. Sched.-WORST'!$R$8, L351&lt;= ($R$7+$R$8)), PMT('Amort. Sched.-WORST'!$N$8/12, 'Amort. Sched.-WORST'!$R$7, 'Amort. Sched.-WORST'!$N$7), 0)</f>
        <v>0</v>
      </c>
      <c r="N351" s="5">
        <f>IF(AND(L351&gt;='Amort. Sched.-WORST'!$R$8, L351&lt;= ($R$7+$R$8)), (IPMT($N$8/12, (L351-$R$8), $R$7, $N$7)), 0)</f>
        <v>0</v>
      </c>
      <c r="O351" s="5">
        <f>IF(AND(L351&gt;='Amort. Sched.-WORST'!$R$8, L351&lt;= ($R$7+$R$8)), (PPMT($N$8/12, (L351-$R$8), $R$7, $N$7)), 0)</f>
        <v>0</v>
      </c>
      <c r="P351" s="5">
        <f>IF(CreditAmort1WORST[[#This Row],[Month]]=R$8,N$7,0)</f>
        <v>0</v>
      </c>
      <c r="Q351" s="13">
        <f>IF(AND(L351&gt;='Amort. Sched.-WORST'!$R$8, L351&lt;= ($R$7+$R$8)), Q350+O351, 0)</f>
        <v>0</v>
      </c>
      <c r="R351" s="6" t="str">
        <f>IF(AND(L351&gt;='Amort. Sched.-WORST'!$R$8, L351&lt;= ($R$7+$R$8)), N351/M351, " ")</f>
        <v xml:space="preserve"> </v>
      </c>
      <c r="S351" s="21" t="str">
        <f>IF(AND(L351&gt;='Amort. Sched.-WORST'!$R$8, L351&lt;= ($R$7+$R$8)), O351/M351, " ")</f>
        <v xml:space="preserve"> </v>
      </c>
      <c r="U351" s="22">
        <f t="shared" si="87"/>
        <v>340</v>
      </c>
      <c r="V351" s="23">
        <f>IF(AND(U351&gt;='Amort. Sched.-WORST'!$AA$8, U351&lt;= ($AA$7+$AA$8)), PMT('Amort. Sched.-WORST'!$W$8/12, 'Amort. Sched.-WORST'!$AA$7, 'Amort. Sched.-WORST'!$W$7), 0)</f>
        <v>0</v>
      </c>
      <c r="W351" s="5">
        <f>IF(AND(U351&gt;='Amort. Sched.-WORST'!$AA$8, U351&lt;= ($AA$7+$AA$8)), (IPMT($W$8/12, (U351-$AA$8), $AA$7, $W$7)), 0)</f>
        <v>0</v>
      </c>
      <c r="X351" s="23">
        <f>IF(AND(U351&gt;='Amort. Sched.-WORST'!$AA$8, U351&lt;= ($AA$7+$AA$8)), (PPMT($W$8/12, (U351-$AA$8), $AA$7, $W$7)), 0)</f>
        <v>0</v>
      </c>
      <c r="Y351" s="5">
        <f>IF(CreditAmort2WORST[[#This Row],[Month]]=AA$8,W$7,0)</f>
        <v>0</v>
      </c>
      <c r="Z351" s="13">
        <f>IF(AND(U351&gt;='Amort. Sched.-WORST'!$AA$8, U351&lt;= ($AA$7+$AA$8)), Z350+X351, 0)</f>
        <v>0</v>
      </c>
      <c r="AA351" s="24" t="str">
        <f>IF(AND(U351&gt;='Amort. Sched.-WORST'!$AA$8, U351&lt;= ($AA$7+$AA$8)), W351/V351, " ")</f>
        <v xml:space="preserve"> </v>
      </c>
      <c r="AB351" s="25" t="str">
        <f>IF(AND(U351&gt;='Amort. Sched.-WORST'!$AA$8, U351&lt;= ($AA$7+$AA$8)), X351/V351, " ")</f>
        <v xml:space="preserve"> </v>
      </c>
      <c r="AD351" s="20">
        <f t="shared" si="88"/>
        <v>340</v>
      </c>
      <c r="AE351" s="5">
        <f t="shared" si="89"/>
        <v>0</v>
      </c>
      <c r="AF351" s="5">
        <f t="shared" si="90"/>
        <v>0</v>
      </c>
      <c r="AG351" s="5">
        <f t="shared" si="91"/>
        <v>0</v>
      </c>
      <c r="AH351" s="5">
        <f>IF(CreditAmort3WORST[[#This Row],[Month]]=AJ$8,AF$7,0)</f>
        <v>0</v>
      </c>
      <c r="AI351" s="13">
        <f t="shared" si="92"/>
        <v>0</v>
      </c>
      <c r="AJ351" s="6" t="str">
        <f t="shared" si="93"/>
        <v xml:space="preserve"> </v>
      </c>
      <c r="AK351" s="21" t="str">
        <f t="shared" si="94"/>
        <v xml:space="preserve"> </v>
      </c>
      <c r="AM351" s="20">
        <f t="shared" si="95"/>
        <v>340</v>
      </c>
      <c r="AN351" s="5">
        <f t="shared" si="96"/>
        <v>0</v>
      </c>
      <c r="AO351" s="5">
        <f t="shared" si="97"/>
        <v>0</v>
      </c>
      <c r="AP351" s="5">
        <f t="shared" si="98"/>
        <v>0</v>
      </c>
      <c r="AQ351" s="5">
        <f>IF(CreditAmort4WORST[[#This Row],[Month]]=AS$8,AO$7,0)</f>
        <v>0</v>
      </c>
      <c r="AR351" s="13">
        <f t="shared" si="99"/>
        <v>0</v>
      </c>
      <c r="AS351" s="6" t="str">
        <f t="shared" si="100"/>
        <v xml:space="preserve"> </v>
      </c>
      <c r="AT351" s="21" t="str">
        <f t="shared" si="101"/>
        <v xml:space="preserve"> </v>
      </c>
    </row>
    <row r="352" spans="3:46">
      <c r="C352" s="22">
        <f t="shared" si="86"/>
        <v>341</v>
      </c>
      <c r="D352" s="23">
        <f>IF(AND(C352&gt;='Amort. Sched.-WORST'!$I$8, C352&lt;= ($I$7+$I$8)), PMT('Amort. Sched.-WORST'!$E$8/12, 'Amort. Sched.-WORST'!$I$7, 'Amort. Sched.-WORST'!$E$7), 0)</f>
        <v>0</v>
      </c>
      <c r="E352" s="5">
        <f>IF(AND(C352&gt;='Amort. Sched.-WORST'!$I$8, C352&lt;= ($I$7+$I$8)), (IPMT($E$8/12, (C352-$I$8), $I$7, $E$7)), 0)</f>
        <v>0</v>
      </c>
      <c r="F352" s="23">
        <f>IF(AND(C352&gt;='Amort. Sched.-WORST'!$I$8, C352&lt;= ($I$7+$I$8)), (PPMT($E$8/12, (C352-$I$8), $I$7, $E$7)), 0)</f>
        <v>0</v>
      </c>
      <c r="G352" s="5">
        <f>IF(MortgageAmortWORST[[#This Row],[Month]]=I$8,E$7,0)</f>
        <v>0</v>
      </c>
      <c r="H352" s="13">
        <f>IF(AND(C352&gt;='Amort. Sched.-WORST'!$I$8, C352&lt;= ($I$7+$I$8)), H351+F352, 0)</f>
        <v>0</v>
      </c>
      <c r="I352" s="24" t="str">
        <f>IF(AND(C352&gt;='Amort. Sched.-WORST'!$I$8, C352&lt;= ($I$7+$I$8)), E352/D352, " ")</f>
        <v xml:space="preserve"> </v>
      </c>
      <c r="J352" s="25" t="str">
        <f>IF(AND(C352&gt;='Amort. Sched.-WORST'!$I$8, C352&lt;= ($I$7+$I$8)), F352/D352, " ")</f>
        <v xml:space="preserve"> </v>
      </c>
      <c r="L352" s="20">
        <f t="shared" si="85"/>
        <v>341</v>
      </c>
      <c r="M352" s="5">
        <f>IF(AND(L352&gt;='Amort. Sched.-WORST'!$R$8, L352&lt;= ($R$7+$R$8)), PMT('Amort. Sched.-WORST'!$N$8/12, 'Amort. Sched.-WORST'!$R$7, 'Amort. Sched.-WORST'!$N$7), 0)</f>
        <v>0</v>
      </c>
      <c r="N352" s="5">
        <f>IF(AND(L352&gt;='Amort. Sched.-WORST'!$R$8, L352&lt;= ($R$7+$R$8)), (IPMT($N$8/12, (L352-$R$8), $R$7, $N$7)), 0)</f>
        <v>0</v>
      </c>
      <c r="O352" s="5">
        <f>IF(AND(L352&gt;='Amort. Sched.-WORST'!$R$8, L352&lt;= ($R$7+$R$8)), (PPMT($N$8/12, (L352-$R$8), $R$7, $N$7)), 0)</f>
        <v>0</v>
      </c>
      <c r="P352" s="5">
        <f>IF(CreditAmort1WORST[[#This Row],[Month]]=R$8,N$7,0)</f>
        <v>0</v>
      </c>
      <c r="Q352" s="13">
        <f>IF(AND(L352&gt;='Amort. Sched.-WORST'!$R$8, L352&lt;= ($R$7+$R$8)), Q351+O352, 0)</f>
        <v>0</v>
      </c>
      <c r="R352" s="6" t="str">
        <f>IF(AND(L352&gt;='Amort. Sched.-WORST'!$R$8, L352&lt;= ($R$7+$R$8)), N352/M352, " ")</f>
        <v xml:space="preserve"> </v>
      </c>
      <c r="S352" s="21" t="str">
        <f>IF(AND(L352&gt;='Amort. Sched.-WORST'!$R$8, L352&lt;= ($R$7+$R$8)), O352/M352, " ")</f>
        <v xml:space="preserve"> </v>
      </c>
      <c r="U352" s="22">
        <f t="shared" si="87"/>
        <v>341</v>
      </c>
      <c r="V352" s="23">
        <f>IF(AND(U352&gt;='Amort. Sched.-WORST'!$AA$8, U352&lt;= ($AA$7+$AA$8)), PMT('Amort. Sched.-WORST'!$W$8/12, 'Amort. Sched.-WORST'!$AA$7, 'Amort. Sched.-WORST'!$W$7), 0)</f>
        <v>0</v>
      </c>
      <c r="W352" s="5">
        <f>IF(AND(U352&gt;='Amort. Sched.-WORST'!$AA$8, U352&lt;= ($AA$7+$AA$8)), (IPMT($W$8/12, (U352-$AA$8), $AA$7, $W$7)), 0)</f>
        <v>0</v>
      </c>
      <c r="X352" s="23">
        <f>IF(AND(U352&gt;='Amort. Sched.-WORST'!$AA$8, U352&lt;= ($AA$7+$AA$8)), (PPMT($W$8/12, (U352-$AA$8), $AA$7, $W$7)), 0)</f>
        <v>0</v>
      </c>
      <c r="Y352" s="5">
        <f>IF(CreditAmort2WORST[[#This Row],[Month]]=AA$8,W$7,0)</f>
        <v>0</v>
      </c>
      <c r="Z352" s="13">
        <f>IF(AND(U352&gt;='Amort. Sched.-WORST'!$AA$8, U352&lt;= ($AA$7+$AA$8)), Z351+X352, 0)</f>
        <v>0</v>
      </c>
      <c r="AA352" s="24" t="str">
        <f>IF(AND(U352&gt;='Amort. Sched.-WORST'!$AA$8, U352&lt;= ($AA$7+$AA$8)), W352/V352, " ")</f>
        <v xml:space="preserve"> </v>
      </c>
      <c r="AB352" s="25" t="str">
        <f>IF(AND(U352&gt;='Amort. Sched.-WORST'!$AA$8, U352&lt;= ($AA$7+$AA$8)), X352/V352, " ")</f>
        <v xml:space="preserve"> </v>
      </c>
      <c r="AD352" s="20">
        <f t="shared" si="88"/>
        <v>341</v>
      </c>
      <c r="AE352" s="5">
        <f t="shared" si="89"/>
        <v>0</v>
      </c>
      <c r="AF352" s="5">
        <f t="shared" si="90"/>
        <v>0</v>
      </c>
      <c r="AG352" s="5">
        <f t="shared" si="91"/>
        <v>0</v>
      </c>
      <c r="AH352" s="5">
        <f>IF(CreditAmort3WORST[[#This Row],[Month]]=AJ$8,AF$7,0)</f>
        <v>0</v>
      </c>
      <c r="AI352" s="13">
        <f t="shared" si="92"/>
        <v>0</v>
      </c>
      <c r="AJ352" s="6" t="str">
        <f t="shared" si="93"/>
        <v xml:space="preserve"> </v>
      </c>
      <c r="AK352" s="21" t="str">
        <f t="shared" si="94"/>
        <v xml:space="preserve"> </v>
      </c>
      <c r="AM352" s="20">
        <f t="shared" si="95"/>
        <v>341</v>
      </c>
      <c r="AN352" s="5">
        <f t="shared" si="96"/>
        <v>0</v>
      </c>
      <c r="AO352" s="5">
        <f t="shared" si="97"/>
        <v>0</v>
      </c>
      <c r="AP352" s="5">
        <f t="shared" si="98"/>
        <v>0</v>
      </c>
      <c r="AQ352" s="5">
        <f>IF(CreditAmort4WORST[[#This Row],[Month]]=AS$8,AO$7,0)</f>
        <v>0</v>
      </c>
      <c r="AR352" s="13">
        <f t="shared" si="99"/>
        <v>0</v>
      </c>
      <c r="AS352" s="6" t="str">
        <f t="shared" si="100"/>
        <v xml:space="preserve"> </v>
      </c>
      <c r="AT352" s="21" t="str">
        <f t="shared" si="101"/>
        <v xml:space="preserve"> </v>
      </c>
    </row>
    <row r="353" spans="3:46">
      <c r="C353" s="22">
        <f t="shared" si="86"/>
        <v>342</v>
      </c>
      <c r="D353" s="23">
        <f>IF(AND(C353&gt;='Amort. Sched.-WORST'!$I$8, C353&lt;= ($I$7+$I$8)), PMT('Amort. Sched.-WORST'!$E$8/12, 'Amort. Sched.-WORST'!$I$7, 'Amort. Sched.-WORST'!$E$7), 0)</f>
        <v>0</v>
      </c>
      <c r="E353" s="5">
        <f>IF(AND(C353&gt;='Amort. Sched.-WORST'!$I$8, C353&lt;= ($I$7+$I$8)), (IPMT($E$8/12, (C353-$I$8), $I$7, $E$7)), 0)</f>
        <v>0</v>
      </c>
      <c r="F353" s="23">
        <f>IF(AND(C353&gt;='Amort. Sched.-WORST'!$I$8, C353&lt;= ($I$7+$I$8)), (PPMT($E$8/12, (C353-$I$8), $I$7, $E$7)), 0)</f>
        <v>0</v>
      </c>
      <c r="G353" s="5">
        <f>IF(MortgageAmortWORST[[#This Row],[Month]]=I$8,E$7,0)</f>
        <v>0</v>
      </c>
      <c r="H353" s="13">
        <f>IF(AND(C353&gt;='Amort. Sched.-WORST'!$I$8, C353&lt;= ($I$7+$I$8)), H352+F353, 0)</f>
        <v>0</v>
      </c>
      <c r="I353" s="24" t="str">
        <f>IF(AND(C353&gt;='Amort. Sched.-WORST'!$I$8, C353&lt;= ($I$7+$I$8)), E353/D353, " ")</f>
        <v xml:space="preserve"> </v>
      </c>
      <c r="J353" s="25" t="str">
        <f>IF(AND(C353&gt;='Amort. Sched.-WORST'!$I$8, C353&lt;= ($I$7+$I$8)), F353/D353, " ")</f>
        <v xml:space="preserve"> </v>
      </c>
      <c r="L353" s="20">
        <f t="shared" si="85"/>
        <v>342</v>
      </c>
      <c r="M353" s="5">
        <f>IF(AND(L353&gt;='Amort. Sched.-WORST'!$R$8, L353&lt;= ($R$7+$R$8)), PMT('Amort. Sched.-WORST'!$N$8/12, 'Amort. Sched.-WORST'!$R$7, 'Amort. Sched.-WORST'!$N$7), 0)</f>
        <v>0</v>
      </c>
      <c r="N353" s="5">
        <f>IF(AND(L353&gt;='Amort. Sched.-WORST'!$R$8, L353&lt;= ($R$7+$R$8)), (IPMT($N$8/12, (L353-$R$8), $R$7, $N$7)), 0)</f>
        <v>0</v>
      </c>
      <c r="O353" s="5">
        <f>IF(AND(L353&gt;='Amort. Sched.-WORST'!$R$8, L353&lt;= ($R$7+$R$8)), (PPMT($N$8/12, (L353-$R$8), $R$7, $N$7)), 0)</f>
        <v>0</v>
      </c>
      <c r="P353" s="5">
        <f>IF(CreditAmort1WORST[[#This Row],[Month]]=R$8,N$7,0)</f>
        <v>0</v>
      </c>
      <c r="Q353" s="13">
        <f>IF(AND(L353&gt;='Amort. Sched.-WORST'!$R$8, L353&lt;= ($R$7+$R$8)), Q352+O353, 0)</f>
        <v>0</v>
      </c>
      <c r="R353" s="6" t="str">
        <f>IF(AND(L353&gt;='Amort. Sched.-WORST'!$R$8, L353&lt;= ($R$7+$R$8)), N353/M353, " ")</f>
        <v xml:space="preserve"> </v>
      </c>
      <c r="S353" s="21" t="str">
        <f>IF(AND(L353&gt;='Amort. Sched.-WORST'!$R$8, L353&lt;= ($R$7+$R$8)), O353/M353, " ")</f>
        <v xml:space="preserve"> </v>
      </c>
      <c r="U353" s="22">
        <f t="shared" si="87"/>
        <v>342</v>
      </c>
      <c r="V353" s="23">
        <f>IF(AND(U353&gt;='Amort. Sched.-WORST'!$AA$8, U353&lt;= ($AA$7+$AA$8)), PMT('Amort. Sched.-WORST'!$W$8/12, 'Amort. Sched.-WORST'!$AA$7, 'Amort. Sched.-WORST'!$W$7), 0)</f>
        <v>0</v>
      </c>
      <c r="W353" s="5">
        <f>IF(AND(U353&gt;='Amort. Sched.-WORST'!$AA$8, U353&lt;= ($AA$7+$AA$8)), (IPMT($W$8/12, (U353-$AA$8), $AA$7, $W$7)), 0)</f>
        <v>0</v>
      </c>
      <c r="X353" s="23">
        <f>IF(AND(U353&gt;='Amort. Sched.-WORST'!$AA$8, U353&lt;= ($AA$7+$AA$8)), (PPMT($W$8/12, (U353-$AA$8), $AA$7, $W$7)), 0)</f>
        <v>0</v>
      </c>
      <c r="Y353" s="5">
        <f>IF(CreditAmort2WORST[[#This Row],[Month]]=AA$8,W$7,0)</f>
        <v>0</v>
      </c>
      <c r="Z353" s="13">
        <f>IF(AND(U353&gt;='Amort. Sched.-WORST'!$AA$8, U353&lt;= ($AA$7+$AA$8)), Z352+X353, 0)</f>
        <v>0</v>
      </c>
      <c r="AA353" s="24" t="str">
        <f>IF(AND(U353&gt;='Amort. Sched.-WORST'!$AA$8, U353&lt;= ($AA$7+$AA$8)), W353/V353, " ")</f>
        <v xml:space="preserve"> </v>
      </c>
      <c r="AB353" s="25" t="str">
        <f>IF(AND(U353&gt;='Amort. Sched.-WORST'!$AA$8, U353&lt;= ($AA$7+$AA$8)), X353/V353, " ")</f>
        <v xml:space="preserve"> </v>
      </c>
      <c r="AD353" s="20">
        <f t="shared" si="88"/>
        <v>342</v>
      </c>
      <c r="AE353" s="5">
        <f t="shared" si="89"/>
        <v>0</v>
      </c>
      <c r="AF353" s="5">
        <f t="shared" si="90"/>
        <v>0</v>
      </c>
      <c r="AG353" s="5">
        <f t="shared" si="91"/>
        <v>0</v>
      </c>
      <c r="AH353" s="5">
        <f>IF(CreditAmort3WORST[[#This Row],[Month]]=AJ$8,AF$7,0)</f>
        <v>0</v>
      </c>
      <c r="AI353" s="13">
        <f t="shared" si="92"/>
        <v>0</v>
      </c>
      <c r="AJ353" s="6" t="str">
        <f t="shared" si="93"/>
        <v xml:space="preserve"> </v>
      </c>
      <c r="AK353" s="21" t="str">
        <f t="shared" si="94"/>
        <v xml:space="preserve"> </v>
      </c>
      <c r="AM353" s="20">
        <f t="shared" si="95"/>
        <v>342</v>
      </c>
      <c r="AN353" s="5">
        <f t="shared" si="96"/>
        <v>0</v>
      </c>
      <c r="AO353" s="5">
        <f t="shared" si="97"/>
        <v>0</v>
      </c>
      <c r="AP353" s="5">
        <f t="shared" si="98"/>
        <v>0</v>
      </c>
      <c r="AQ353" s="5">
        <f>IF(CreditAmort4WORST[[#This Row],[Month]]=AS$8,AO$7,0)</f>
        <v>0</v>
      </c>
      <c r="AR353" s="13">
        <f t="shared" si="99"/>
        <v>0</v>
      </c>
      <c r="AS353" s="6" t="str">
        <f t="shared" si="100"/>
        <v xml:space="preserve"> </v>
      </c>
      <c r="AT353" s="21" t="str">
        <f t="shared" si="101"/>
        <v xml:space="preserve"> </v>
      </c>
    </row>
    <row r="354" spans="3:46">
      <c r="C354" s="22">
        <f t="shared" si="86"/>
        <v>343</v>
      </c>
      <c r="D354" s="23">
        <f>IF(AND(C354&gt;='Amort. Sched.-WORST'!$I$8, C354&lt;= ($I$7+$I$8)), PMT('Amort. Sched.-WORST'!$E$8/12, 'Amort. Sched.-WORST'!$I$7, 'Amort. Sched.-WORST'!$E$7), 0)</f>
        <v>0</v>
      </c>
      <c r="E354" s="5">
        <f>IF(AND(C354&gt;='Amort. Sched.-WORST'!$I$8, C354&lt;= ($I$7+$I$8)), (IPMT($E$8/12, (C354-$I$8), $I$7, $E$7)), 0)</f>
        <v>0</v>
      </c>
      <c r="F354" s="23">
        <f>IF(AND(C354&gt;='Amort. Sched.-WORST'!$I$8, C354&lt;= ($I$7+$I$8)), (PPMT($E$8/12, (C354-$I$8), $I$7, $E$7)), 0)</f>
        <v>0</v>
      </c>
      <c r="G354" s="5">
        <f>IF(MortgageAmortWORST[[#This Row],[Month]]=I$8,E$7,0)</f>
        <v>0</v>
      </c>
      <c r="H354" s="13">
        <f>IF(AND(C354&gt;='Amort. Sched.-WORST'!$I$8, C354&lt;= ($I$7+$I$8)), H353+F354, 0)</f>
        <v>0</v>
      </c>
      <c r="I354" s="24" t="str">
        <f>IF(AND(C354&gt;='Amort. Sched.-WORST'!$I$8, C354&lt;= ($I$7+$I$8)), E354/D354, " ")</f>
        <v xml:space="preserve"> </v>
      </c>
      <c r="J354" s="25" t="str">
        <f>IF(AND(C354&gt;='Amort. Sched.-WORST'!$I$8, C354&lt;= ($I$7+$I$8)), F354/D354, " ")</f>
        <v xml:space="preserve"> </v>
      </c>
      <c r="L354" s="20">
        <f t="shared" si="85"/>
        <v>343</v>
      </c>
      <c r="M354" s="5">
        <f>IF(AND(L354&gt;='Amort. Sched.-WORST'!$R$8, L354&lt;= ($R$7+$R$8)), PMT('Amort. Sched.-WORST'!$N$8/12, 'Amort. Sched.-WORST'!$R$7, 'Amort. Sched.-WORST'!$N$7), 0)</f>
        <v>0</v>
      </c>
      <c r="N354" s="5">
        <f>IF(AND(L354&gt;='Amort. Sched.-WORST'!$R$8, L354&lt;= ($R$7+$R$8)), (IPMT($N$8/12, (L354-$R$8), $R$7, $N$7)), 0)</f>
        <v>0</v>
      </c>
      <c r="O354" s="5">
        <f>IF(AND(L354&gt;='Amort. Sched.-WORST'!$R$8, L354&lt;= ($R$7+$R$8)), (PPMT($N$8/12, (L354-$R$8), $R$7, $N$7)), 0)</f>
        <v>0</v>
      </c>
      <c r="P354" s="5">
        <f>IF(CreditAmort1WORST[[#This Row],[Month]]=R$8,N$7,0)</f>
        <v>0</v>
      </c>
      <c r="Q354" s="13">
        <f>IF(AND(L354&gt;='Amort. Sched.-WORST'!$R$8, L354&lt;= ($R$7+$R$8)), Q353+O354, 0)</f>
        <v>0</v>
      </c>
      <c r="R354" s="6" t="str">
        <f>IF(AND(L354&gt;='Amort. Sched.-WORST'!$R$8, L354&lt;= ($R$7+$R$8)), N354/M354, " ")</f>
        <v xml:space="preserve"> </v>
      </c>
      <c r="S354" s="21" t="str">
        <f>IF(AND(L354&gt;='Amort. Sched.-WORST'!$R$8, L354&lt;= ($R$7+$R$8)), O354/M354, " ")</f>
        <v xml:space="preserve"> </v>
      </c>
      <c r="U354" s="22">
        <f t="shared" si="87"/>
        <v>343</v>
      </c>
      <c r="V354" s="23">
        <f>IF(AND(U354&gt;='Amort. Sched.-WORST'!$AA$8, U354&lt;= ($AA$7+$AA$8)), PMT('Amort. Sched.-WORST'!$W$8/12, 'Amort. Sched.-WORST'!$AA$7, 'Amort. Sched.-WORST'!$W$7), 0)</f>
        <v>0</v>
      </c>
      <c r="W354" s="5">
        <f>IF(AND(U354&gt;='Amort. Sched.-WORST'!$AA$8, U354&lt;= ($AA$7+$AA$8)), (IPMT($W$8/12, (U354-$AA$8), $AA$7, $W$7)), 0)</f>
        <v>0</v>
      </c>
      <c r="X354" s="23">
        <f>IF(AND(U354&gt;='Amort. Sched.-WORST'!$AA$8, U354&lt;= ($AA$7+$AA$8)), (PPMT($W$8/12, (U354-$AA$8), $AA$7, $W$7)), 0)</f>
        <v>0</v>
      </c>
      <c r="Y354" s="5">
        <f>IF(CreditAmort2WORST[[#This Row],[Month]]=AA$8,W$7,0)</f>
        <v>0</v>
      </c>
      <c r="Z354" s="13">
        <f>IF(AND(U354&gt;='Amort. Sched.-WORST'!$AA$8, U354&lt;= ($AA$7+$AA$8)), Z353+X354, 0)</f>
        <v>0</v>
      </c>
      <c r="AA354" s="24" t="str">
        <f>IF(AND(U354&gt;='Amort. Sched.-WORST'!$AA$8, U354&lt;= ($AA$7+$AA$8)), W354/V354, " ")</f>
        <v xml:space="preserve"> </v>
      </c>
      <c r="AB354" s="25" t="str">
        <f>IF(AND(U354&gt;='Amort. Sched.-WORST'!$AA$8, U354&lt;= ($AA$7+$AA$8)), X354/V354, " ")</f>
        <v xml:space="preserve"> </v>
      </c>
      <c r="AD354" s="20">
        <f t="shared" si="88"/>
        <v>343</v>
      </c>
      <c r="AE354" s="5">
        <f t="shared" si="89"/>
        <v>0</v>
      </c>
      <c r="AF354" s="5">
        <f t="shared" si="90"/>
        <v>0</v>
      </c>
      <c r="AG354" s="5">
        <f t="shared" si="91"/>
        <v>0</v>
      </c>
      <c r="AH354" s="5">
        <f>IF(CreditAmort3WORST[[#This Row],[Month]]=AJ$8,AF$7,0)</f>
        <v>0</v>
      </c>
      <c r="AI354" s="13">
        <f t="shared" si="92"/>
        <v>0</v>
      </c>
      <c r="AJ354" s="6" t="str">
        <f t="shared" si="93"/>
        <v xml:space="preserve"> </v>
      </c>
      <c r="AK354" s="21" t="str">
        <f t="shared" si="94"/>
        <v xml:space="preserve"> </v>
      </c>
      <c r="AM354" s="20">
        <f t="shared" si="95"/>
        <v>343</v>
      </c>
      <c r="AN354" s="5">
        <f t="shared" si="96"/>
        <v>0</v>
      </c>
      <c r="AO354" s="5">
        <f t="shared" si="97"/>
        <v>0</v>
      </c>
      <c r="AP354" s="5">
        <f t="shared" si="98"/>
        <v>0</v>
      </c>
      <c r="AQ354" s="5">
        <f>IF(CreditAmort4WORST[[#This Row],[Month]]=AS$8,AO$7,0)</f>
        <v>0</v>
      </c>
      <c r="AR354" s="13">
        <f t="shared" si="99"/>
        <v>0</v>
      </c>
      <c r="AS354" s="6" t="str">
        <f t="shared" si="100"/>
        <v xml:space="preserve"> </v>
      </c>
      <c r="AT354" s="21" t="str">
        <f t="shared" si="101"/>
        <v xml:space="preserve"> </v>
      </c>
    </row>
    <row r="355" spans="3:46">
      <c r="C355" s="22">
        <f t="shared" si="86"/>
        <v>344</v>
      </c>
      <c r="D355" s="23">
        <f>IF(AND(C355&gt;='Amort. Sched.-WORST'!$I$8, C355&lt;= ($I$7+$I$8)), PMT('Amort. Sched.-WORST'!$E$8/12, 'Amort. Sched.-WORST'!$I$7, 'Amort. Sched.-WORST'!$E$7), 0)</f>
        <v>0</v>
      </c>
      <c r="E355" s="5">
        <f>IF(AND(C355&gt;='Amort. Sched.-WORST'!$I$8, C355&lt;= ($I$7+$I$8)), (IPMT($E$8/12, (C355-$I$8), $I$7, $E$7)), 0)</f>
        <v>0</v>
      </c>
      <c r="F355" s="23">
        <f>IF(AND(C355&gt;='Amort. Sched.-WORST'!$I$8, C355&lt;= ($I$7+$I$8)), (PPMT($E$8/12, (C355-$I$8), $I$7, $E$7)), 0)</f>
        <v>0</v>
      </c>
      <c r="G355" s="5">
        <f>IF(MortgageAmortWORST[[#This Row],[Month]]=I$8,E$7,0)</f>
        <v>0</v>
      </c>
      <c r="H355" s="13">
        <f>IF(AND(C355&gt;='Amort. Sched.-WORST'!$I$8, C355&lt;= ($I$7+$I$8)), H354+F355, 0)</f>
        <v>0</v>
      </c>
      <c r="I355" s="24" t="str">
        <f>IF(AND(C355&gt;='Amort. Sched.-WORST'!$I$8, C355&lt;= ($I$7+$I$8)), E355/D355, " ")</f>
        <v xml:space="preserve"> </v>
      </c>
      <c r="J355" s="25" t="str">
        <f>IF(AND(C355&gt;='Amort. Sched.-WORST'!$I$8, C355&lt;= ($I$7+$I$8)), F355/D355, " ")</f>
        <v xml:space="preserve"> </v>
      </c>
      <c r="L355" s="20">
        <f t="shared" si="85"/>
        <v>344</v>
      </c>
      <c r="M355" s="5">
        <f>IF(AND(L355&gt;='Amort. Sched.-WORST'!$R$8, L355&lt;= ($R$7+$R$8)), PMT('Amort. Sched.-WORST'!$N$8/12, 'Amort. Sched.-WORST'!$R$7, 'Amort. Sched.-WORST'!$N$7), 0)</f>
        <v>0</v>
      </c>
      <c r="N355" s="5">
        <f>IF(AND(L355&gt;='Amort. Sched.-WORST'!$R$8, L355&lt;= ($R$7+$R$8)), (IPMT($N$8/12, (L355-$R$8), $R$7, $N$7)), 0)</f>
        <v>0</v>
      </c>
      <c r="O355" s="5">
        <f>IF(AND(L355&gt;='Amort. Sched.-WORST'!$R$8, L355&lt;= ($R$7+$R$8)), (PPMT($N$8/12, (L355-$R$8), $R$7, $N$7)), 0)</f>
        <v>0</v>
      </c>
      <c r="P355" s="5">
        <f>IF(CreditAmort1WORST[[#This Row],[Month]]=R$8,N$7,0)</f>
        <v>0</v>
      </c>
      <c r="Q355" s="13">
        <f>IF(AND(L355&gt;='Amort. Sched.-WORST'!$R$8, L355&lt;= ($R$7+$R$8)), Q354+O355, 0)</f>
        <v>0</v>
      </c>
      <c r="R355" s="6" t="str">
        <f>IF(AND(L355&gt;='Amort. Sched.-WORST'!$R$8, L355&lt;= ($R$7+$R$8)), N355/M355, " ")</f>
        <v xml:space="preserve"> </v>
      </c>
      <c r="S355" s="21" t="str">
        <f>IF(AND(L355&gt;='Amort. Sched.-WORST'!$R$8, L355&lt;= ($R$7+$R$8)), O355/M355, " ")</f>
        <v xml:space="preserve"> </v>
      </c>
      <c r="U355" s="22">
        <f t="shared" si="87"/>
        <v>344</v>
      </c>
      <c r="V355" s="23">
        <f>IF(AND(U355&gt;='Amort. Sched.-WORST'!$AA$8, U355&lt;= ($AA$7+$AA$8)), PMT('Amort. Sched.-WORST'!$W$8/12, 'Amort. Sched.-WORST'!$AA$7, 'Amort. Sched.-WORST'!$W$7), 0)</f>
        <v>0</v>
      </c>
      <c r="W355" s="5">
        <f>IF(AND(U355&gt;='Amort. Sched.-WORST'!$AA$8, U355&lt;= ($AA$7+$AA$8)), (IPMT($W$8/12, (U355-$AA$8), $AA$7, $W$7)), 0)</f>
        <v>0</v>
      </c>
      <c r="X355" s="23">
        <f>IF(AND(U355&gt;='Amort. Sched.-WORST'!$AA$8, U355&lt;= ($AA$7+$AA$8)), (PPMT($W$8/12, (U355-$AA$8), $AA$7, $W$7)), 0)</f>
        <v>0</v>
      </c>
      <c r="Y355" s="5">
        <f>IF(CreditAmort2WORST[[#This Row],[Month]]=AA$8,W$7,0)</f>
        <v>0</v>
      </c>
      <c r="Z355" s="13">
        <f>IF(AND(U355&gt;='Amort. Sched.-WORST'!$AA$8, U355&lt;= ($AA$7+$AA$8)), Z354+X355, 0)</f>
        <v>0</v>
      </c>
      <c r="AA355" s="24" t="str">
        <f>IF(AND(U355&gt;='Amort. Sched.-WORST'!$AA$8, U355&lt;= ($AA$7+$AA$8)), W355/V355, " ")</f>
        <v xml:space="preserve"> </v>
      </c>
      <c r="AB355" s="25" t="str">
        <f>IF(AND(U355&gt;='Amort. Sched.-WORST'!$AA$8, U355&lt;= ($AA$7+$AA$8)), X355/V355, " ")</f>
        <v xml:space="preserve"> </v>
      </c>
      <c r="AD355" s="20">
        <f t="shared" si="88"/>
        <v>344</v>
      </c>
      <c r="AE355" s="5">
        <f t="shared" si="89"/>
        <v>0</v>
      </c>
      <c r="AF355" s="5">
        <f t="shared" si="90"/>
        <v>0</v>
      </c>
      <c r="AG355" s="5">
        <f t="shared" si="91"/>
        <v>0</v>
      </c>
      <c r="AH355" s="5">
        <f>IF(CreditAmort3WORST[[#This Row],[Month]]=AJ$8,AF$7,0)</f>
        <v>0</v>
      </c>
      <c r="AI355" s="13">
        <f t="shared" si="92"/>
        <v>0</v>
      </c>
      <c r="AJ355" s="6" t="str">
        <f t="shared" si="93"/>
        <v xml:space="preserve"> </v>
      </c>
      <c r="AK355" s="21" t="str">
        <f t="shared" si="94"/>
        <v xml:space="preserve"> </v>
      </c>
      <c r="AM355" s="20">
        <f t="shared" si="95"/>
        <v>344</v>
      </c>
      <c r="AN355" s="5">
        <f t="shared" si="96"/>
        <v>0</v>
      </c>
      <c r="AO355" s="5">
        <f t="shared" si="97"/>
        <v>0</v>
      </c>
      <c r="AP355" s="5">
        <f t="shared" si="98"/>
        <v>0</v>
      </c>
      <c r="AQ355" s="5">
        <f>IF(CreditAmort4WORST[[#This Row],[Month]]=AS$8,AO$7,0)</f>
        <v>0</v>
      </c>
      <c r="AR355" s="13">
        <f t="shared" si="99"/>
        <v>0</v>
      </c>
      <c r="AS355" s="6" t="str">
        <f t="shared" si="100"/>
        <v xml:space="preserve"> </v>
      </c>
      <c r="AT355" s="21" t="str">
        <f t="shared" si="101"/>
        <v xml:space="preserve"> </v>
      </c>
    </row>
    <row r="356" spans="3:46">
      <c r="C356" s="22">
        <f t="shared" si="86"/>
        <v>345</v>
      </c>
      <c r="D356" s="23">
        <f>IF(AND(C356&gt;='Amort. Sched.-WORST'!$I$8, C356&lt;= ($I$7+$I$8)), PMT('Amort. Sched.-WORST'!$E$8/12, 'Amort. Sched.-WORST'!$I$7, 'Amort. Sched.-WORST'!$E$7), 0)</f>
        <v>0</v>
      </c>
      <c r="E356" s="5">
        <f>IF(AND(C356&gt;='Amort. Sched.-WORST'!$I$8, C356&lt;= ($I$7+$I$8)), (IPMT($E$8/12, (C356-$I$8), $I$7, $E$7)), 0)</f>
        <v>0</v>
      </c>
      <c r="F356" s="23">
        <f>IF(AND(C356&gt;='Amort. Sched.-WORST'!$I$8, C356&lt;= ($I$7+$I$8)), (PPMT($E$8/12, (C356-$I$8), $I$7, $E$7)), 0)</f>
        <v>0</v>
      </c>
      <c r="G356" s="5">
        <f>IF(MortgageAmortWORST[[#This Row],[Month]]=I$8,E$7,0)</f>
        <v>0</v>
      </c>
      <c r="H356" s="13">
        <f>IF(AND(C356&gt;='Amort. Sched.-WORST'!$I$8, C356&lt;= ($I$7+$I$8)), H355+F356, 0)</f>
        <v>0</v>
      </c>
      <c r="I356" s="24" t="str">
        <f>IF(AND(C356&gt;='Amort. Sched.-WORST'!$I$8, C356&lt;= ($I$7+$I$8)), E356/D356, " ")</f>
        <v xml:space="preserve"> </v>
      </c>
      <c r="J356" s="25" t="str">
        <f>IF(AND(C356&gt;='Amort. Sched.-WORST'!$I$8, C356&lt;= ($I$7+$I$8)), F356/D356, " ")</f>
        <v xml:space="preserve"> </v>
      </c>
      <c r="L356" s="20">
        <f t="shared" si="85"/>
        <v>345</v>
      </c>
      <c r="M356" s="5">
        <f>IF(AND(L356&gt;='Amort. Sched.-WORST'!$R$8, L356&lt;= ($R$7+$R$8)), PMT('Amort. Sched.-WORST'!$N$8/12, 'Amort. Sched.-WORST'!$R$7, 'Amort. Sched.-WORST'!$N$7), 0)</f>
        <v>0</v>
      </c>
      <c r="N356" s="5">
        <f>IF(AND(L356&gt;='Amort. Sched.-WORST'!$R$8, L356&lt;= ($R$7+$R$8)), (IPMT($N$8/12, (L356-$R$8), $R$7, $N$7)), 0)</f>
        <v>0</v>
      </c>
      <c r="O356" s="5">
        <f>IF(AND(L356&gt;='Amort. Sched.-WORST'!$R$8, L356&lt;= ($R$7+$R$8)), (PPMT($N$8/12, (L356-$R$8), $R$7, $N$7)), 0)</f>
        <v>0</v>
      </c>
      <c r="P356" s="5">
        <f>IF(CreditAmort1WORST[[#This Row],[Month]]=R$8,N$7,0)</f>
        <v>0</v>
      </c>
      <c r="Q356" s="13">
        <f>IF(AND(L356&gt;='Amort. Sched.-WORST'!$R$8, L356&lt;= ($R$7+$R$8)), Q355+O356, 0)</f>
        <v>0</v>
      </c>
      <c r="R356" s="6" t="str">
        <f>IF(AND(L356&gt;='Amort. Sched.-WORST'!$R$8, L356&lt;= ($R$7+$R$8)), N356/M356, " ")</f>
        <v xml:space="preserve"> </v>
      </c>
      <c r="S356" s="21" t="str">
        <f>IF(AND(L356&gt;='Amort. Sched.-WORST'!$R$8, L356&lt;= ($R$7+$R$8)), O356/M356, " ")</f>
        <v xml:space="preserve"> </v>
      </c>
      <c r="U356" s="22">
        <f t="shared" si="87"/>
        <v>345</v>
      </c>
      <c r="V356" s="23">
        <f>IF(AND(U356&gt;='Amort. Sched.-WORST'!$AA$8, U356&lt;= ($AA$7+$AA$8)), PMT('Amort. Sched.-WORST'!$W$8/12, 'Amort. Sched.-WORST'!$AA$7, 'Amort. Sched.-WORST'!$W$7), 0)</f>
        <v>0</v>
      </c>
      <c r="W356" s="5">
        <f>IF(AND(U356&gt;='Amort. Sched.-WORST'!$AA$8, U356&lt;= ($AA$7+$AA$8)), (IPMT($W$8/12, (U356-$AA$8), $AA$7, $W$7)), 0)</f>
        <v>0</v>
      </c>
      <c r="X356" s="23">
        <f>IF(AND(U356&gt;='Amort. Sched.-WORST'!$AA$8, U356&lt;= ($AA$7+$AA$8)), (PPMT($W$8/12, (U356-$AA$8), $AA$7, $W$7)), 0)</f>
        <v>0</v>
      </c>
      <c r="Y356" s="5">
        <f>IF(CreditAmort2WORST[[#This Row],[Month]]=AA$8,W$7,0)</f>
        <v>0</v>
      </c>
      <c r="Z356" s="13">
        <f>IF(AND(U356&gt;='Amort. Sched.-WORST'!$AA$8, U356&lt;= ($AA$7+$AA$8)), Z355+X356, 0)</f>
        <v>0</v>
      </c>
      <c r="AA356" s="24" t="str">
        <f>IF(AND(U356&gt;='Amort. Sched.-WORST'!$AA$8, U356&lt;= ($AA$7+$AA$8)), W356/V356, " ")</f>
        <v xml:space="preserve"> </v>
      </c>
      <c r="AB356" s="25" t="str">
        <f>IF(AND(U356&gt;='Amort. Sched.-WORST'!$AA$8, U356&lt;= ($AA$7+$AA$8)), X356/V356, " ")</f>
        <v xml:space="preserve"> </v>
      </c>
      <c r="AD356" s="20">
        <f t="shared" si="88"/>
        <v>345</v>
      </c>
      <c r="AE356" s="5">
        <f t="shared" si="89"/>
        <v>0</v>
      </c>
      <c r="AF356" s="5">
        <f t="shared" si="90"/>
        <v>0</v>
      </c>
      <c r="AG356" s="5">
        <f t="shared" si="91"/>
        <v>0</v>
      </c>
      <c r="AH356" s="5">
        <f>IF(CreditAmort3WORST[[#This Row],[Month]]=AJ$8,AF$7,0)</f>
        <v>0</v>
      </c>
      <c r="AI356" s="13">
        <f t="shared" si="92"/>
        <v>0</v>
      </c>
      <c r="AJ356" s="6" t="str">
        <f t="shared" si="93"/>
        <v xml:space="preserve"> </v>
      </c>
      <c r="AK356" s="21" t="str">
        <f t="shared" si="94"/>
        <v xml:space="preserve"> </v>
      </c>
      <c r="AM356" s="20">
        <f t="shared" si="95"/>
        <v>345</v>
      </c>
      <c r="AN356" s="5">
        <f t="shared" si="96"/>
        <v>0</v>
      </c>
      <c r="AO356" s="5">
        <f t="shared" si="97"/>
        <v>0</v>
      </c>
      <c r="AP356" s="5">
        <f t="shared" si="98"/>
        <v>0</v>
      </c>
      <c r="AQ356" s="5">
        <f>IF(CreditAmort4WORST[[#This Row],[Month]]=AS$8,AO$7,0)</f>
        <v>0</v>
      </c>
      <c r="AR356" s="13">
        <f t="shared" si="99"/>
        <v>0</v>
      </c>
      <c r="AS356" s="6" t="str">
        <f t="shared" si="100"/>
        <v xml:space="preserve"> </v>
      </c>
      <c r="AT356" s="21" t="str">
        <f t="shared" si="101"/>
        <v xml:space="preserve"> </v>
      </c>
    </row>
    <row r="357" spans="3:46">
      <c r="C357" s="22">
        <f t="shared" si="86"/>
        <v>346</v>
      </c>
      <c r="D357" s="23">
        <f>IF(AND(C357&gt;='Amort. Sched.-WORST'!$I$8, C357&lt;= ($I$7+$I$8)), PMT('Amort. Sched.-WORST'!$E$8/12, 'Amort. Sched.-WORST'!$I$7, 'Amort. Sched.-WORST'!$E$7), 0)</f>
        <v>0</v>
      </c>
      <c r="E357" s="5">
        <f>IF(AND(C357&gt;='Amort. Sched.-WORST'!$I$8, C357&lt;= ($I$7+$I$8)), (IPMT($E$8/12, (C357-$I$8), $I$7, $E$7)), 0)</f>
        <v>0</v>
      </c>
      <c r="F357" s="23">
        <f>IF(AND(C357&gt;='Amort. Sched.-WORST'!$I$8, C357&lt;= ($I$7+$I$8)), (PPMT($E$8/12, (C357-$I$8), $I$7, $E$7)), 0)</f>
        <v>0</v>
      </c>
      <c r="G357" s="5">
        <f>IF(MortgageAmortWORST[[#This Row],[Month]]=I$8,E$7,0)</f>
        <v>0</v>
      </c>
      <c r="H357" s="13">
        <f>IF(AND(C357&gt;='Amort. Sched.-WORST'!$I$8, C357&lt;= ($I$7+$I$8)), H356+F357, 0)</f>
        <v>0</v>
      </c>
      <c r="I357" s="24" t="str">
        <f>IF(AND(C357&gt;='Amort. Sched.-WORST'!$I$8, C357&lt;= ($I$7+$I$8)), E357/D357, " ")</f>
        <v xml:space="preserve"> </v>
      </c>
      <c r="J357" s="25" t="str">
        <f>IF(AND(C357&gt;='Amort. Sched.-WORST'!$I$8, C357&lt;= ($I$7+$I$8)), F357/D357, " ")</f>
        <v xml:space="preserve"> </v>
      </c>
      <c r="L357" s="20">
        <f t="shared" si="85"/>
        <v>346</v>
      </c>
      <c r="M357" s="5">
        <f>IF(AND(L357&gt;='Amort. Sched.-WORST'!$R$8, L357&lt;= ($R$7+$R$8)), PMT('Amort. Sched.-WORST'!$N$8/12, 'Amort. Sched.-WORST'!$R$7, 'Amort. Sched.-WORST'!$N$7), 0)</f>
        <v>0</v>
      </c>
      <c r="N357" s="5">
        <f>IF(AND(L357&gt;='Amort. Sched.-WORST'!$R$8, L357&lt;= ($R$7+$R$8)), (IPMT($N$8/12, (L357-$R$8), $R$7, $N$7)), 0)</f>
        <v>0</v>
      </c>
      <c r="O357" s="5">
        <f>IF(AND(L357&gt;='Amort. Sched.-WORST'!$R$8, L357&lt;= ($R$7+$R$8)), (PPMT($N$8/12, (L357-$R$8), $R$7, $N$7)), 0)</f>
        <v>0</v>
      </c>
      <c r="P357" s="5">
        <f>IF(CreditAmort1WORST[[#This Row],[Month]]=R$8,N$7,0)</f>
        <v>0</v>
      </c>
      <c r="Q357" s="13">
        <f>IF(AND(L357&gt;='Amort. Sched.-WORST'!$R$8, L357&lt;= ($R$7+$R$8)), Q356+O357, 0)</f>
        <v>0</v>
      </c>
      <c r="R357" s="6" t="str">
        <f>IF(AND(L357&gt;='Amort. Sched.-WORST'!$R$8, L357&lt;= ($R$7+$R$8)), N357/M357, " ")</f>
        <v xml:space="preserve"> </v>
      </c>
      <c r="S357" s="21" t="str">
        <f>IF(AND(L357&gt;='Amort. Sched.-WORST'!$R$8, L357&lt;= ($R$7+$R$8)), O357/M357, " ")</f>
        <v xml:space="preserve"> </v>
      </c>
      <c r="U357" s="22">
        <f t="shared" si="87"/>
        <v>346</v>
      </c>
      <c r="V357" s="23">
        <f>IF(AND(U357&gt;='Amort. Sched.-WORST'!$AA$8, U357&lt;= ($AA$7+$AA$8)), PMT('Amort. Sched.-WORST'!$W$8/12, 'Amort. Sched.-WORST'!$AA$7, 'Amort. Sched.-WORST'!$W$7), 0)</f>
        <v>0</v>
      </c>
      <c r="W357" s="5">
        <f>IF(AND(U357&gt;='Amort. Sched.-WORST'!$AA$8, U357&lt;= ($AA$7+$AA$8)), (IPMT($W$8/12, (U357-$AA$8), $AA$7, $W$7)), 0)</f>
        <v>0</v>
      </c>
      <c r="X357" s="23">
        <f>IF(AND(U357&gt;='Amort. Sched.-WORST'!$AA$8, U357&lt;= ($AA$7+$AA$8)), (PPMT($W$8/12, (U357-$AA$8), $AA$7, $W$7)), 0)</f>
        <v>0</v>
      </c>
      <c r="Y357" s="5">
        <f>IF(CreditAmort2WORST[[#This Row],[Month]]=AA$8,W$7,0)</f>
        <v>0</v>
      </c>
      <c r="Z357" s="13">
        <f>IF(AND(U357&gt;='Amort. Sched.-WORST'!$AA$8, U357&lt;= ($AA$7+$AA$8)), Z356+X357, 0)</f>
        <v>0</v>
      </c>
      <c r="AA357" s="24" t="str">
        <f>IF(AND(U357&gt;='Amort. Sched.-WORST'!$AA$8, U357&lt;= ($AA$7+$AA$8)), W357/V357, " ")</f>
        <v xml:space="preserve"> </v>
      </c>
      <c r="AB357" s="25" t="str">
        <f>IF(AND(U357&gt;='Amort. Sched.-WORST'!$AA$8, U357&lt;= ($AA$7+$AA$8)), X357/V357, " ")</f>
        <v xml:space="preserve"> </v>
      </c>
      <c r="AD357" s="20">
        <f t="shared" si="88"/>
        <v>346</v>
      </c>
      <c r="AE357" s="5">
        <f t="shared" si="89"/>
        <v>0</v>
      </c>
      <c r="AF357" s="5">
        <f t="shared" si="90"/>
        <v>0</v>
      </c>
      <c r="AG357" s="5">
        <f t="shared" si="91"/>
        <v>0</v>
      </c>
      <c r="AH357" s="5">
        <f>IF(CreditAmort3WORST[[#This Row],[Month]]=AJ$8,AF$7,0)</f>
        <v>0</v>
      </c>
      <c r="AI357" s="13">
        <f t="shared" si="92"/>
        <v>0</v>
      </c>
      <c r="AJ357" s="6" t="str">
        <f t="shared" si="93"/>
        <v xml:space="preserve"> </v>
      </c>
      <c r="AK357" s="21" t="str">
        <f t="shared" si="94"/>
        <v xml:space="preserve"> </v>
      </c>
      <c r="AM357" s="20">
        <f t="shared" si="95"/>
        <v>346</v>
      </c>
      <c r="AN357" s="5">
        <f t="shared" si="96"/>
        <v>0</v>
      </c>
      <c r="AO357" s="5">
        <f t="shared" si="97"/>
        <v>0</v>
      </c>
      <c r="AP357" s="5">
        <f t="shared" si="98"/>
        <v>0</v>
      </c>
      <c r="AQ357" s="5">
        <f>IF(CreditAmort4WORST[[#This Row],[Month]]=AS$8,AO$7,0)</f>
        <v>0</v>
      </c>
      <c r="AR357" s="13">
        <f t="shared" si="99"/>
        <v>0</v>
      </c>
      <c r="AS357" s="6" t="str">
        <f t="shared" si="100"/>
        <v xml:space="preserve"> </v>
      </c>
      <c r="AT357" s="21" t="str">
        <f t="shared" si="101"/>
        <v xml:space="preserve"> </v>
      </c>
    </row>
    <row r="358" spans="3:46">
      <c r="C358" s="22">
        <f t="shared" si="86"/>
        <v>347</v>
      </c>
      <c r="D358" s="23">
        <f>IF(AND(C358&gt;='Amort. Sched.-WORST'!$I$8, C358&lt;= ($I$7+$I$8)), PMT('Amort. Sched.-WORST'!$E$8/12, 'Amort. Sched.-WORST'!$I$7, 'Amort. Sched.-WORST'!$E$7), 0)</f>
        <v>0</v>
      </c>
      <c r="E358" s="5">
        <f>IF(AND(C358&gt;='Amort. Sched.-WORST'!$I$8, C358&lt;= ($I$7+$I$8)), (IPMT($E$8/12, (C358-$I$8), $I$7, $E$7)), 0)</f>
        <v>0</v>
      </c>
      <c r="F358" s="23">
        <f>IF(AND(C358&gt;='Amort. Sched.-WORST'!$I$8, C358&lt;= ($I$7+$I$8)), (PPMT($E$8/12, (C358-$I$8), $I$7, $E$7)), 0)</f>
        <v>0</v>
      </c>
      <c r="G358" s="5">
        <f>IF(MortgageAmortWORST[[#This Row],[Month]]=I$8,E$7,0)</f>
        <v>0</v>
      </c>
      <c r="H358" s="13">
        <f>IF(AND(C358&gt;='Amort. Sched.-WORST'!$I$8, C358&lt;= ($I$7+$I$8)), H357+F358, 0)</f>
        <v>0</v>
      </c>
      <c r="I358" s="24" t="str">
        <f>IF(AND(C358&gt;='Amort. Sched.-WORST'!$I$8, C358&lt;= ($I$7+$I$8)), E358/D358, " ")</f>
        <v xml:space="preserve"> </v>
      </c>
      <c r="J358" s="25" t="str">
        <f>IF(AND(C358&gt;='Amort. Sched.-WORST'!$I$8, C358&lt;= ($I$7+$I$8)), F358/D358, " ")</f>
        <v xml:space="preserve"> </v>
      </c>
      <c r="L358" s="20">
        <f t="shared" si="85"/>
        <v>347</v>
      </c>
      <c r="M358" s="5">
        <f>IF(AND(L358&gt;='Amort. Sched.-WORST'!$R$8, L358&lt;= ($R$7+$R$8)), PMT('Amort. Sched.-WORST'!$N$8/12, 'Amort. Sched.-WORST'!$R$7, 'Amort. Sched.-WORST'!$N$7), 0)</f>
        <v>0</v>
      </c>
      <c r="N358" s="5">
        <f>IF(AND(L358&gt;='Amort. Sched.-WORST'!$R$8, L358&lt;= ($R$7+$R$8)), (IPMT($N$8/12, (L358-$R$8), $R$7, $N$7)), 0)</f>
        <v>0</v>
      </c>
      <c r="O358" s="5">
        <f>IF(AND(L358&gt;='Amort. Sched.-WORST'!$R$8, L358&lt;= ($R$7+$R$8)), (PPMT($N$8/12, (L358-$R$8), $R$7, $N$7)), 0)</f>
        <v>0</v>
      </c>
      <c r="P358" s="5">
        <f>IF(CreditAmort1WORST[[#This Row],[Month]]=R$8,N$7,0)</f>
        <v>0</v>
      </c>
      <c r="Q358" s="13">
        <f>IF(AND(L358&gt;='Amort. Sched.-WORST'!$R$8, L358&lt;= ($R$7+$R$8)), Q357+O358, 0)</f>
        <v>0</v>
      </c>
      <c r="R358" s="6" t="str">
        <f>IF(AND(L358&gt;='Amort. Sched.-WORST'!$R$8, L358&lt;= ($R$7+$R$8)), N358/M358, " ")</f>
        <v xml:space="preserve"> </v>
      </c>
      <c r="S358" s="21" t="str">
        <f>IF(AND(L358&gt;='Amort. Sched.-WORST'!$R$8, L358&lt;= ($R$7+$R$8)), O358/M358, " ")</f>
        <v xml:space="preserve"> </v>
      </c>
      <c r="U358" s="22">
        <f t="shared" si="87"/>
        <v>347</v>
      </c>
      <c r="V358" s="23">
        <f>IF(AND(U358&gt;='Amort. Sched.-WORST'!$AA$8, U358&lt;= ($AA$7+$AA$8)), PMT('Amort. Sched.-WORST'!$W$8/12, 'Amort. Sched.-WORST'!$AA$7, 'Amort. Sched.-WORST'!$W$7), 0)</f>
        <v>0</v>
      </c>
      <c r="W358" s="5">
        <f>IF(AND(U358&gt;='Amort. Sched.-WORST'!$AA$8, U358&lt;= ($AA$7+$AA$8)), (IPMT($W$8/12, (U358-$AA$8), $AA$7, $W$7)), 0)</f>
        <v>0</v>
      </c>
      <c r="X358" s="23">
        <f>IF(AND(U358&gt;='Amort. Sched.-WORST'!$AA$8, U358&lt;= ($AA$7+$AA$8)), (PPMT($W$8/12, (U358-$AA$8), $AA$7, $W$7)), 0)</f>
        <v>0</v>
      </c>
      <c r="Y358" s="5">
        <f>IF(CreditAmort2WORST[[#This Row],[Month]]=AA$8,W$7,0)</f>
        <v>0</v>
      </c>
      <c r="Z358" s="13">
        <f>IF(AND(U358&gt;='Amort. Sched.-WORST'!$AA$8, U358&lt;= ($AA$7+$AA$8)), Z357+X358, 0)</f>
        <v>0</v>
      </c>
      <c r="AA358" s="24" t="str">
        <f>IF(AND(U358&gt;='Amort. Sched.-WORST'!$AA$8, U358&lt;= ($AA$7+$AA$8)), W358/V358, " ")</f>
        <v xml:space="preserve"> </v>
      </c>
      <c r="AB358" s="25" t="str">
        <f>IF(AND(U358&gt;='Amort. Sched.-WORST'!$AA$8, U358&lt;= ($AA$7+$AA$8)), X358/V358, " ")</f>
        <v xml:space="preserve"> </v>
      </c>
      <c r="AD358" s="20">
        <f t="shared" si="88"/>
        <v>347</v>
      </c>
      <c r="AE358" s="5">
        <f t="shared" si="89"/>
        <v>0</v>
      </c>
      <c r="AF358" s="5">
        <f t="shared" si="90"/>
        <v>0</v>
      </c>
      <c r="AG358" s="5">
        <f t="shared" si="91"/>
        <v>0</v>
      </c>
      <c r="AH358" s="5">
        <f>IF(CreditAmort3WORST[[#This Row],[Month]]=AJ$8,AF$7,0)</f>
        <v>0</v>
      </c>
      <c r="AI358" s="13">
        <f t="shared" si="92"/>
        <v>0</v>
      </c>
      <c r="AJ358" s="6" t="str">
        <f t="shared" si="93"/>
        <v xml:space="preserve"> </v>
      </c>
      <c r="AK358" s="21" t="str">
        <f t="shared" si="94"/>
        <v xml:space="preserve"> </v>
      </c>
      <c r="AM358" s="20">
        <f t="shared" si="95"/>
        <v>347</v>
      </c>
      <c r="AN358" s="5">
        <f t="shared" si="96"/>
        <v>0</v>
      </c>
      <c r="AO358" s="5">
        <f t="shared" si="97"/>
        <v>0</v>
      </c>
      <c r="AP358" s="5">
        <f t="shared" si="98"/>
        <v>0</v>
      </c>
      <c r="AQ358" s="5">
        <f>IF(CreditAmort4WORST[[#This Row],[Month]]=AS$8,AO$7,0)</f>
        <v>0</v>
      </c>
      <c r="AR358" s="13">
        <f t="shared" si="99"/>
        <v>0</v>
      </c>
      <c r="AS358" s="6" t="str">
        <f t="shared" si="100"/>
        <v xml:space="preserve"> </v>
      </c>
      <c r="AT358" s="21" t="str">
        <f t="shared" si="101"/>
        <v xml:space="preserve"> </v>
      </c>
    </row>
    <row r="359" spans="3:46">
      <c r="C359" s="22">
        <f t="shared" si="86"/>
        <v>348</v>
      </c>
      <c r="D359" s="23">
        <f>IF(AND(C359&gt;='Amort. Sched.-WORST'!$I$8, C359&lt;= ($I$7+$I$8)), PMT('Amort. Sched.-WORST'!$E$8/12, 'Amort. Sched.-WORST'!$I$7, 'Amort. Sched.-WORST'!$E$7), 0)</f>
        <v>0</v>
      </c>
      <c r="E359" s="5">
        <f>IF(AND(C359&gt;='Amort. Sched.-WORST'!$I$8, C359&lt;= ($I$7+$I$8)), (IPMT($E$8/12, (C359-$I$8), $I$7, $E$7)), 0)</f>
        <v>0</v>
      </c>
      <c r="F359" s="23">
        <f>IF(AND(C359&gt;='Amort. Sched.-WORST'!$I$8, C359&lt;= ($I$7+$I$8)), (PPMT($E$8/12, (C359-$I$8), $I$7, $E$7)), 0)</f>
        <v>0</v>
      </c>
      <c r="G359" s="5">
        <f>IF(MortgageAmortWORST[[#This Row],[Month]]=I$8,E$7,0)</f>
        <v>0</v>
      </c>
      <c r="H359" s="13">
        <f>IF(AND(C359&gt;='Amort. Sched.-WORST'!$I$8, C359&lt;= ($I$7+$I$8)), H358+F359, 0)</f>
        <v>0</v>
      </c>
      <c r="I359" s="24" t="str">
        <f>IF(AND(C359&gt;='Amort. Sched.-WORST'!$I$8, C359&lt;= ($I$7+$I$8)), E359/D359, " ")</f>
        <v xml:space="preserve"> </v>
      </c>
      <c r="J359" s="25" t="str">
        <f>IF(AND(C359&gt;='Amort. Sched.-WORST'!$I$8, C359&lt;= ($I$7+$I$8)), F359/D359, " ")</f>
        <v xml:space="preserve"> </v>
      </c>
      <c r="L359" s="20">
        <f t="shared" si="85"/>
        <v>348</v>
      </c>
      <c r="M359" s="5">
        <f>IF(AND(L359&gt;='Amort. Sched.-WORST'!$R$8, L359&lt;= ($R$7+$R$8)), PMT('Amort. Sched.-WORST'!$N$8/12, 'Amort. Sched.-WORST'!$R$7, 'Amort. Sched.-WORST'!$N$7), 0)</f>
        <v>0</v>
      </c>
      <c r="N359" s="5">
        <f>IF(AND(L359&gt;='Amort. Sched.-WORST'!$R$8, L359&lt;= ($R$7+$R$8)), (IPMT($N$8/12, (L359-$R$8), $R$7, $N$7)), 0)</f>
        <v>0</v>
      </c>
      <c r="O359" s="5">
        <f>IF(AND(L359&gt;='Amort. Sched.-WORST'!$R$8, L359&lt;= ($R$7+$R$8)), (PPMT($N$8/12, (L359-$R$8), $R$7, $N$7)), 0)</f>
        <v>0</v>
      </c>
      <c r="P359" s="5">
        <f>IF(CreditAmort1WORST[[#This Row],[Month]]=R$8,N$7,0)</f>
        <v>0</v>
      </c>
      <c r="Q359" s="13">
        <f>IF(AND(L359&gt;='Amort. Sched.-WORST'!$R$8, L359&lt;= ($R$7+$R$8)), Q358+O359, 0)</f>
        <v>0</v>
      </c>
      <c r="R359" s="6" t="str">
        <f>IF(AND(L359&gt;='Amort. Sched.-WORST'!$R$8, L359&lt;= ($R$7+$R$8)), N359/M359, " ")</f>
        <v xml:space="preserve"> </v>
      </c>
      <c r="S359" s="21" t="str">
        <f>IF(AND(L359&gt;='Amort. Sched.-WORST'!$R$8, L359&lt;= ($R$7+$R$8)), O359/M359, " ")</f>
        <v xml:space="preserve"> </v>
      </c>
      <c r="U359" s="22">
        <f t="shared" si="87"/>
        <v>348</v>
      </c>
      <c r="V359" s="23">
        <f>IF(AND(U359&gt;='Amort. Sched.-WORST'!$AA$8, U359&lt;= ($AA$7+$AA$8)), PMT('Amort. Sched.-WORST'!$W$8/12, 'Amort. Sched.-WORST'!$AA$7, 'Amort. Sched.-WORST'!$W$7), 0)</f>
        <v>0</v>
      </c>
      <c r="W359" s="5">
        <f>IF(AND(U359&gt;='Amort. Sched.-WORST'!$AA$8, U359&lt;= ($AA$7+$AA$8)), (IPMT($W$8/12, (U359-$AA$8), $AA$7, $W$7)), 0)</f>
        <v>0</v>
      </c>
      <c r="X359" s="23">
        <f>IF(AND(U359&gt;='Amort. Sched.-WORST'!$AA$8, U359&lt;= ($AA$7+$AA$8)), (PPMT($W$8/12, (U359-$AA$8), $AA$7, $W$7)), 0)</f>
        <v>0</v>
      </c>
      <c r="Y359" s="5">
        <f>IF(CreditAmort2WORST[[#This Row],[Month]]=AA$8,W$7,0)</f>
        <v>0</v>
      </c>
      <c r="Z359" s="13">
        <f>IF(AND(U359&gt;='Amort. Sched.-WORST'!$AA$8, U359&lt;= ($AA$7+$AA$8)), Z358+X359, 0)</f>
        <v>0</v>
      </c>
      <c r="AA359" s="24" t="str">
        <f>IF(AND(U359&gt;='Amort. Sched.-WORST'!$AA$8, U359&lt;= ($AA$7+$AA$8)), W359/V359, " ")</f>
        <v xml:space="preserve"> </v>
      </c>
      <c r="AB359" s="25" t="str">
        <f>IF(AND(U359&gt;='Amort. Sched.-WORST'!$AA$8, U359&lt;= ($AA$7+$AA$8)), X359/V359, " ")</f>
        <v xml:space="preserve"> </v>
      </c>
      <c r="AD359" s="20">
        <f t="shared" si="88"/>
        <v>348</v>
      </c>
      <c r="AE359" s="5">
        <f t="shared" si="89"/>
        <v>0</v>
      </c>
      <c r="AF359" s="5">
        <f t="shared" si="90"/>
        <v>0</v>
      </c>
      <c r="AG359" s="5">
        <f t="shared" si="91"/>
        <v>0</v>
      </c>
      <c r="AH359" s="5">
        <f>IF(CreditAmort3WORST[[#This Row],[Month]]=AJ$8,AF$7,0)</f>
        <v>0</v>
      </c>
      <c r="AI359" s="13">
        <f t="shared" si="92"/>
        <v>0</v>
      </c>
      <c r="AJ359" s="6" t="str">
        <f t="shared" si="93"/>
        <v xml:space="preserve"> </v>
      </c>
      <c r="AK359" s="21" t="str">
        <f t="shared" si="94"/>
        <v xml:space="preserve"> </v>
      </c>
      <c r="AM359" s="20">
        <f t="shared" si="95"/>
        <v>348</v>
      </c>
      <c r="AN359" s="5">
        <f t="shared" si="96"/>
        <v>0</v>
      </c>
      <c r="AO359" s="5">
        <f t="shared" si="97"/>
        <v>0</v>
      </c>
      <c r="AP359" s="5">
        <f t="shared" si="98"/>
        <v>0</v>
      </c>
      <c r="AQ359" s="5">
        <f>IF(CreditAmort4WORST[[#This Row],[Month]]=AS$8,AO$7,0)</f>
        <v>0</v>
      </c>
      <c r="AR359" s="13">
        <f t="shared" si="99"/>
        <v>0</v>
      </c>
      <c r="AS359" s="6" t="str">
        <f t="shared" si="100"/>
        <v xml:space="preserve"> </v>
      </c>
      <c r="AT359" s="21" t="str">
        <f t="shared" si="101"/>
        <v xml:space="preserve"> </v>
      </c>
    </row>
    <row r="360" spans="3:46">
      <c r="C360" s="22">
        <f t="shared" si="86"/>
        <v>349</v>
      </c>
      <c r="D360" s="23">
        <f>IF(AND(C360&gt;='Amort. Sched.-WORST'!$I$8, C360&lt;= ($I$7+$I$8)), PMT('Amort. Sched.-WORST'!$E$8/12, 'Amort. Sched.-WORST'!$I$7, 'Amort. Sched.-WORST'!$E$7), 0)</f>
        <v>0</v>
      </c>
      <c r="E360" s="5">
        <f>IF(AND(C360&gt;='Amort. Sched.-WORST'!$I$8, C360&lt;= ($I$7+$I$8)), (IPMT($E$8/12, (C360-$I$8), $I$7, $E$7)), 0)</f>
        <v>0</v>
      </c>
      <c r="F360" s="23">
        <f>IF(AND(C360&gt;='Amort. Sched.-WORST'!$I$8, C360&lt;= ($I$7+$I$8)), (PPMT($E$8/12, (C360-$I$8), $I$7, $E$7)), 0)</f>
        <v>0</v>
      </c>
      <c r="G360" s="5">
        <f>IF(MortgageAmortWORST[[#This Row],[Month]]=I$8,E$7,0)</f>
        <v>0</v>
      </c>
      <c r="H360" s="13">
        <f>IF(AND(C360&gt;='Amort. Sched.-WORST'!$I$8, C360&lt;= ($I$7+$I$8)), H359+F360, 0)</f>
        <v>0</v>
      </c>
      <c r="I360" s="24" t="str">
        <f>IF(AND(C360&gt;='Amort. Sched.-WORST'!$I$8, C360&lt;= ($I$7+$I$8)), E360/D360, " ")</f>
        <v xml:space="preserve"> </v>
      </c>
      <c r="J360" s="25" t="str">
        <f>IF(AND(C360&gt;='Amort. Sched.-WORST'!$I$8, C360&lt;= ($I$7+$I$8)), F360/D360, " ")</f>
        <v xml:space="preserve"> </v>
      </c>
      <c r="L360" s="20">
        <f t="shared" si="85"/>
        <v>349</v>
      </c>
      <c r="M360" s="5">
        <f>IF(AND(L360&gt;='Amort. Sched.-WORST'!$R$8, L360&lt;= ($R$7+$R$8)), PMT('Amort. Sched.-WORST'!$N$8/12, 'Amort. Sched.-WORST'!$R$7, 'Amort. Sched.-WORST'!$N$7), 0)</f>
        <v>0</v>
      </c>
      <c r="N360" s="5">
        <f>IF(AND(L360&gt;='Amort. Sched.-WORST'!$R$8, L360&lt;= ($R$7+$R$8)), (IPMT($N$8/12, (L360-$R$8), $R$7, $N$7)), 0)</f>
        <v>0</v>
      </c>
      <c r="O360" s="5">
        <f>IF(AND(L360&gt;='Amort. Sched.-WORST'!$R$8, L360&lt;= ($R$7+$R$8)), (PPMT($N$8/12, (L360-$R$8), $R$7, $N$7)), 0)</f>
        <v>0</v>
      </c>
      <c r="P360" s="5">
        <f>IF(CreditAmort1WORST[[#This Row],[Month]]=R$8,N$7,0)</f>
        <v>0</v>
      </c>
      <c r="Q360" s="13">
        <f>IF(AND(L360&gt;='Amort. Sched.-WORST'!$R$8, L360&lt;= ($R$7+$R$8)), Q359+O360, 0)</f>
        <v>0</v>
      </c>
      <c r="R360" s="6" t="str">
        <f>IF(AND(L360&gt;='Amort. Sched.-WORST'!$R$8, L360&lt;= ($R$7+$R$8)), N360/M360, " ")</f>
        <v xml:space="preserve"> </v>
      </c>
      <c r="S360" s="21" t="str">
        <f>IF(AND(L360&gt;='Amort. Sched.-WORST'!$R$8, L360&lt;= ($R$7+$R$8)), O360/M360, " ")</f>
        <v xml:space="preserve"> </v>
      </c>
      <c r="U360" s="22">
        <f t="shared" si="87"/>
        <v>349</v>
      </c>
      <c r="V360" s="23">
        <f>IF(AND(U360&gt;='Amort. Sched.-WORST'!$AA$8, U360&lt;= ($AA$7+$AA$8)), PMT('Amort. Sched.-WORST'!$W$8/12, 'Amort. Sched.-WORST'!$AA$7, 'Amort. Sched.-WORST'!$W$7), 0)</f>
        <v>0</v>
      </c>
      <c r="W360" s="5">
        <f>IF(AND(U360&gt;='Amort. Sched.-WORST'!$AA$8, U360&lt;= ($AA$7+$AA$8)), (IPMT($W$8/12, (U360-$AA$8), $AA$7, $W$7)), 0)</f>
        <v>0</v>
      </c>
      <c r="X360" s="23">
        <f>IF(AND(U360&gt;='Amort. Sched.-WORST'!$AA$8, U360&lt;= ($AA$7+$AA$8)), (PPMT($W$8/12, (U360-$AA$8), $AA$7, $W$7)), 0)</f>
        <v>0</v>
      </c>
      <c r="Y360" s="5">
        <f>IF(CreditAmort2WORST[[#This Row],[Month]]=AA$8,W$7,0)</f>
        <v>0</v>
      </c>
      <c r="Z360" s="13">
        <f>IF(AND(U360&gt;='Amort. Sched.-WORST'!$AA$8, U360&lt;= ($AA$7+$AA$8)), Z359+X360, 0)</f>
        <v>0</v>
      </c>
      <c r="AA360" s="24" t="str">
        <f>IF(AND(U360&gt;='Amort. Sched.-WORST'!$AA$8, U360&lt;= ($AA$7+$AA$8)), W360/V360, " ")</f>
        <v xml:space="preserve"> </v>
      </c>
      <c r="AB360" s="25" t="str">
        <f>IF(AND(U360&gt;='Amort. Sched.-WORST'!$AA$8, U360&lt;= ($AA$7+$AA$8)), X360/V360, " ")</f>
        <v xml:space="preserve"> </v>
      </c>
      <c r="AD360" s="20">
        <f t="shared" si="88"/>
        <v>349</v>
      </c>
      <c r="AE360" s="5">
        <f t="shared" si="89"/>
        <v>0</v>
      </c>
      <c r="AF360" s="5">
        <f t="shared" si="90"/>
        <v>0</v>
      </c>
      <c r="AG360" s="5">
        <f t="shared" si="91"/>
        <v>0</v>
      </c>
      <c r="AH360" s="5">
        <f>IF(CreditAmort3WORST[[#This Row],[Month]]=AJ$8,AF$7,0)</f>
        <v>0</v>
      </c>
      <c r="AI360" s="13">
        <f t="shared" si="92"/>
        <v>0</v>
      </c>
      <c r="AJ360" s="6" t="str">
        <f t="shared" si="93"/>
        <v xml:space="preserve"> </v>
      </c>
      <c r="AK360" s="21" t="str">
        <f t="shared" si="94"/>
        <v xml:space="preserve"> </v>
      </c>
      <c r="AM360" s="20">
        <f t="shared" si="95"/>
        <v>349</v>
      </c>
      <c r="AN360" s="5">
        <f t="shared" si="96"/>
        <v>0</v>
      </c>
      <c r="AO360" s="5">
        <f t="shared" si="97"/>
        <v>0</v>
      </c>
      <c r="AP360" s="5">
        <f t="shared" si="98"/>
        <v>0</v>
      </c>
      <c r="AQ360" s="5">
        <f>IF(CreditAmort4WORST[[#This Row],[Month]]=AS$8,AO$7,0)</f>
        <v>0</v>
      </c>
      <c r="AR360" s="13">
        <f t="shared" si="99"/>
        <v>0</v>
      </c>
      <c r="AS360" s="6" t="str">
        <f t="shared" si="100"/>
        <v xml:space="preserve"> </v>
      </c>
      <c r="AT360" s="21" t="str">
        <f t="shared" si="101"/>
        <v xml:space="preserve"> </v>
      </c>
    </row>
    <row r="361" spans="3:46">
      <c r="C361" s="22">
        <f t="shared" si="86"/>
        <v>350</v>
      </c>
      <c r="D361" s="23">
        <f>IF(AND(C361&gt;='Amort. Sched.-WORST'!$I$8, C361&lt;= ($I$7+$I$8)), PMT('Amort. Sched.-WORST'!$E$8/12, 'Amort. Sched.-WORST'!$I$7, 'Amort. Sched.-WORST'!$E$7), 0)</f>
        <v>0</v>
      </c>
      <c r="E361" s="5">
        <f>IF(AND(C361&gt;='Amort. Sched.-WORST'!$I$8, C361&lt;= ($I$7+$I$8)), (IPMT($E$8/12, (C361-$I$8), $I$7, $E$7)), 0)</f>
        <v>0</v>
      </c>
      <c r="F361" s="23">
        <f>IF(AND(C361&gt;='Amort. Sched.-WORST'!$I$8, C361&lt;= ($I$7+$I$8)), (PPMT($E$8/12, (C361-$I$8), $I$7, $E$7)), 0)</f>
        <v>0</v>
      </c>
      <c r="G361" s="5">
        <f>IF(MortgageAmortWORST[[#This Row],[Month]]=I$8,E$7,0)</f>
        <v>0</v>
      </c>
      <c r="H361" s="13">
        <f>IF(AND(C361&gt;='Amort. Sched.-WORST'!$I$8, C361&lt;= ($I$7+$I$8)), H360+F361, 0)</f>
        <v>0</v>
      </c>
      <c r="I361" s="24" t="str">
        <f>IF(AND(C361&gt;='Amort. Sched.-WORST'!$I$8, C361&lt;= ($I$7+$I$8)), E361/D361, " ")</f>
        <v xml:space="preserve"> </v>
      </c>
      <c r="J361" s="25" t="str">
        <f>IF(AND(C361&gt;='Amort. Sched.-WORST'!$I$8, C361&lt;= ($I$7+$I$8)), F361/D361, " ")</f>
        <v xml:space="preserve"> </v>
      </c>
      <c r="L361" s="20">
        <f t="shared" si="85"/>
        <v>350</v>
      </c>
      <c r="M361" s="5">
        <f>IF(AND(L361&gt;='Amort. Sched.-WORST'!$R$8, L361&lt;= ($R$7+$R$8)), PMT('Amort. Sched.-WORST'!$N$8/12, 'Amort. Sched.-WORST'!$R$7, 'Amort. Sched.-WORST'!$N$7), 0)</f>
        <v>0</v>
      </c>
      <c r="N361" s="5">
        <f>IF(AND(L361&gt;='Amort. Sched.-WORST'!$R$8, L361&lt;= ($R$7+$R$8)), (IPMT($N$8/12, (L361-$R$8), $R$7, $N$7)), 0)</f>
        <v>0</v>
      </c>
      <c r="O361" s="5">
        <f>IF(AND(L361&gt;='Amort. Sched.-WORST'!$R$8, L361&lt;= ($R$7+$R$8)), (PPMT($N$8/12, (L361-$R$8), $R$7, $N$7)), 0)</f>
        <v>0</v>
      </c>
      <c r="P361" s="5">
        <f>IF(CreditAmort1WORST[[#This Row],[Month]]=R$8,N$7,0)</f>
        <v>0</v>
      </c>
      <c r="Q361" s="13">
        <f>IF(AND(L361&gt;='Amort. Sched.-WORST'!$R$8, L361&lt;= ($R$7+$R$8)), Q360+O361, 0)</f>
        <v>0</v>
      </c>
      <c r="R361" s="6" t="str">
        <f>IF(AND(L361&gt;='Amort. Sched.-WORST'!$R$8, L361&lt;= ($R$7+$R$8)), N361/M361, " ")</f>
        <v xml:space="preserve"> </v>
      </c>
      <c r="S361" s="21" t="str">
        <f>IF(AND(L361&gt;='Amort. Sched.-WORST'!$R$8, L361&lt;= ($R$7+$R$8)), O361/M361, " ")</f>
        <v xml:space="preserve"> </v>
      </c>
      <c r="U361" s="22">
        <f t="shared" si="87"/>
        <v>350</v>
      </c>
      <c r="V361" s="23">
        <f>IF(AND(U361&gt;='Amort. Sched.-WORST'!$AA$8, U361&lt;= ($AA$7+$AA$8)), PMT('Amort. Sched.-WORST'!$W$8/12, 'Amort. Sched.-WORST'!$AA$7, 'Amort. Sched.-WORST'!$W$7), 0)</f>
        <v>0</v>
      </c>
      <c r="W361" s="5">
        <f>IF(AND(U361&gt;='Amort. Sched.-WORST'!$AA$8, U361&lt;= ($AA$7+$AA$8)), (IPMT($W$8/12, (U361-$AA$8), $AA$7, $W$7)), 0)</f>
        <v>0</v>
      </c>
      <c r="X361" s="23">
        <f>IF(AND(U361&gt;='Amort. Sched.-WORST'!$AA$8, U361&lt;= ($AA$7+$AA$8)), (PPMT($W$8/12, (U361-$AA$8), $AA$7, $W$7)), 0)</f>
        <v>0</v>
      </c>
      <c r="Y361" s="5">
        <f>IF(CreditAmort2WORST[[#This Row],[Month]]=AA$8,W$7,0)</f>
        <v>0</v>
      </c>
      <c r="Z361" s="13">
        <f>IF(AND(U361&gt;='Amort. Sched.-WORST'!$AA$8, U361&lt;= ($AA$7+$AA$8)), Z360+X361, 0)</f>
        <v>0</v>
      </c>
      <c r="AA361" s="24" t="str">
        <f>IF(AND(U361&gt;='Amort. Sched.-WORST'!$AA$8, U361&lt;= ($AA$7+$AA$8)), W361/V361, " ")</f>
        <v xml:space="preserve"> </v>
      </c>
      <c r="AB361" s="25" t="str">
        <f>IF(AND(U361&gt;='Amort. Sched.-WORST'!$AA$8, U361&lt;= ($AA$7+$AA$8)), X361/V361, " ")</f>
        <v xml:space="preserve"> </v>
      </c>
      <c r="AD361" s="20">
        <f t="shared" si="88"/>
        <v>350</v>
      </c>
      <c r="AE361" s="5">
        <f t="shared" si="89"/>
        <v>0</v>
      </c>
      <c r="AF361" s="5">
        <f t="shared" si="90"/>
        <v>0</v>
      </c>
      <c r="AG361" s="5">
        <f t="shared" si="91"/>
        <v>0</v>
      </c>
      <c r="AH361" s="5">
        <f>IF(CreditAmort3WORST[[#This Row],[Month]]=AJ$8,AF$7,0)</f>
        <v>0</v>
      </c>
      <c r="AI361" s="13">
        <f t="shared" si="92"/>
        <v>0</v>
      </c>
      <c r="AJ361" s="6" t="str">
        <f t="shared" si="93"/>
        <v xml:space="preserve"> </v>
      </c>
      <c r="AK361" s="21" t="str">
        <f t="shared" si="94"/>
        <v xml:space="preserve"> </v>
      </c>
      <c r="AM361" s="20">
        <f t="shared" si="95"/>
        <v>350</v>
      </c>
      <c r="AN361" s="5">
        <f t="shared" si="96"/>
        <v>0</v>
      </c>
      <c r="AO361" s="5">
        <f t="shared" si="97"/>
        <v>0</v>
      </c>
      <c r="AP361" s="5">
        <f t="shared" si="98"/>
        <v>0</v>
      </c>
      <c r="AQ361" s="5">
        <f>IF(CreditAmort4WORST[[#This Row],[Month]]=AS$8,AO$7,0)</f>
        <v>0</v>
      </c>
      <c r="AR361" s="13">
        <f t="shared" si="99"/>
        <v>0</v>
      </c>
      <c r="AS361" s="6" t="str">
        <f t="shared" si="100"/>
        <v xml:space="preserve"> </v>
      </c>
      <c r="AT361" s="21" t="str">
        <f t="shared" si="101"/>
        <v xml:space="preserve"> </v>
      </c>
    </row>
    <row r="362" spans="3:46">
      <c r="C362" s="22">
        <f t="shared" si="86"/>
        <v>351</v>
      </c>
      <c r="D362" s="23">
        <f>IF(AND(C362&gt;='Amort. Sched.-WORST'!$I$8, C362&lt;= ($I$7+$I$8)), PMT('Amort. Sched.-WORST'!$E$8/12, 'Amort. Sched.-WORST'!$I$7, 'Amort. Sched.-WORST'!$E$7), 0)</f>
        <v>0</v>
      </c>
      <c r="E362" s="5">
        <f>IF(AND(C362&gt;='Amort. Sched.-WORST'!$I$8, C362&lt;= ($I$7+$I$8)), (IPMT($E$8/12, (C362-$I$8), $I$7, $E$7)), 0)</f>
        <v>0</v>
      </c>
      <c r="F362" s="23">
        <f>IF(AND(C362&gt;='Amort. Sched.-WORST'!$I$8, C362&lt;= ($I$7+$I$8)), (PPMT($E$8/12, (C362-$I$8), $I$7, $E$7)), 0)</f>
        <v>0</v>
      </c>
      <c r="G362" s="5">
        <f>IF(MortgageAmortWORST[[#This Row],[Month]]=I$8,E$7,0)</f>
        <v>0</v>
      </c>
      <c r="H362" s="13">
        <f>IF(AND(C362&gt;='Amort. Sched.-WORST'!$I$8, C362&lt;= ($I$7+$I$8)), H361+F362, 0)</f>
        <v>0</v>
      </c>
      <c r="I362" s="24" t="str">
        <f>IF(AND(C362&gt;='Amort. Sched.-WORST'!$I$8, C362&lt;= ($I$7+$I$8)), E362/D362, " ")</f>
        <v xml:space="preserve"> </v>
      </c>
      <c r="J362" s="25" t="str">
        <f>IF(AND(C362&gt;='Amort. Sched.-WORST'!$I$8, C362&lt;= ($I$7+$I$8)), F362/D362, " ")</f>
        <v xml:space="preserve"> </v>
      </c>
      <c r="L362" s="20">
        <f t="shared" si="85"/>
        <v>351</v>
      </c>
      <c r="M362" s="5">
        <f>IF(AND(L362&gt;='Amort. Sched.-WORST'!$R$8, L362&lt;= ($R$7+$R$8)), PMT('Amort. Sched.-WORST'!$N$8/12, 'Amort. Sched.-WORST'!$R$7, 'Amort. Sched.-WORST'!$N$7), 0)</f>
        <v>0</v>
      </c>
      <c r="N362" s="5">
        <f>IF(AND(L362&gt;='Amort. Sched.-WORST'!$R$8, L362&lt;= ($R$7+$R$8)), (IPMT($N$8/12, (L362-$R$8), $R$7, $N$7)), 0)</f>
        <v>0</v>
      </c>
      <c r="O362" s="5">
        <f>IF(AND(L362&gt;='Amort. Sched.-WORST'!$R$8, L362&lt;= ($R$7+$R$8)), (PPMT($N$8/12, (L362-$R$8), $R$7, $N$7)), 0)</f>
        <v>0</v>
      </c>
      <c r="P362" s="5">
        <f>IF(CreditAmort1WORST[[#This Row],[Month]]=R$8,N$7,0)</f>
        <v>0</v>
      </c>
      <c r="Q362" s="13">
        <f>IF(AND(L362&gt;='Amort. Sched.-WORST'!$R$8, L362&lt;= ($R$7+$R$8)), Q361+O362, 0)</f>
        <v>0</v>
      </c>
      <c r="R362" s="6" t="str">
        <f>IF(AND(L362&gt;='Amort. Sched.-WORST'!$R$8, L362&lt;= ($R$7+$R$8)), N362/M362, " ")</f>
        <v xml:space="preserve"> </v>
      </c>
      <c r="S362" s="21" t="str">
        <f>IF(AND(L362&gt;='Amort. Sched.-WORST'!$R$8, L362&lt;= ($R$7+$R$8)), O362/M362, " ")</f>
        <v xml:space="preserve"> </v>
      </c>
      <c r="U362" s="22">
        <f t="shared" si="87"/>
        <v>351</v>
      </c>
      <c r="V362" s="23">
        <f>IF(AND(U362&gt;='Amort. Sched.-WORST'!$AA$8, U362&lt;= ($AA$7+$AA$8)), PMT('Amort. Sched.-WORST'!$W$8/12, 'Amort. Sched.-WORST'!$AA$7, 'Amort. Sched.-WORST'!$W$7), 0)</f>
        <v>0</v>
      </c>
      <c r="W362" s="5">
        <f>IF(AND(U362&gt;='Amort. Sched.-WORST'!$AA$8, U362&lt;= ($AA$7+$AA$8)), (IPMT($W$8/12, (U362-$AA$8), $AA$7, $W$7)), 0)</f>
        <v>0</v>
      </c>
      <c r="X362" s="23">
        <f>IF(AND(U362&gt;='Amort. Sched.-WORST'!$AA$8, U362&lt;= ($AA$7+$AA$8)), (PPMT($W$8/12, (U362-$AA$8), $AA$7, $W$7)), 0)</f>
        <v>0</v>
      </c>
      <c r="Y362" s="5">
        <f>IF(CreditAmort2WORST[[#This Row],[Month]]=AA$8,W$7,0)</f>
        <v>0</v>
      </c>
      <c r="Z362" s="13">
        <f>IF(AND(U362&gt;='Amort. Sched.-WORST'!$AA$8, U362&lt;= ($AA$7+$AA$8)), Z361+X362, 0)</f>
        <v>0</v>
      </c>
      <c r="AA362" s="24" t="str">
        <f>IF(AND(U362&gt;='Amort. Sched.-WORST'!$AA$8, U362&lt;= ($AA$7+$AA$8)), W362/V362, " ")</f>
        <v xml:space="preserve"> </v>
      </c>
      <c r="AB362" s="25" t="str">
        <f>IF(AND(U362&gt;='Amort. Sched.-WORST'!$AA$8, U362&lt;= ($AA$7+$AA$8)), X362/V362, " ")</f>
        <v xml:space="preserve"> </v>
      </c>
      <c r="AD362" s="20">
        <f t="shared" si="88"/>
        <v>351</v>
      </c>
      <c r="AE362" s="5">
        <f t="shared" si="89"/>
        <v>0</v>
      </c>
      <c r="AF362" s="5">
        <f t="shared" si="90"/>
        <v>0</v>
      </c>
      <c r="AG362" s="5">
        <f t="shared" si="91"/>
        <v>0</v>
      </c>
      <c r="AH362" s="5">
        <f>IF(CreditAmort3WORST[[#This Row],[Month]]=AJ$8,AF$7,0)</f>
        <v>0</v>
      </c>
      <c r="AI362" s="13">
        <f t="shared" si="92"/>
        <v>0</v>
      </c>
      <c r="AJ362" s="6" t="str">
        <f t="shared" si="93"/>
        <v xml:space="preserve"> </v>
      </c>
      <c r="AK362" s="21" t="str">
        <f t="shared" si="94"/>
        <v xml:space="preserve"> </v>
      </c>
      <c r="AM362" s="20">
        <f t="shared" si="95"/>
        <v>351</v>
      </c>
      <c r="AN362" s="5">
        <f t="shared" si="96"/>
        <v>0</v>
      </c>
      <c r="AO362" s="5">
        <f t="shared" si="97"/>
        <v>0</v>
      </c>
      <c r="AP362" s="5">
        <f t="shared" si="98"/>
        <v>0</v>
      </c>
      <c r="AQ362" s="5">
        <f>IF(CreditAmort4WORST[[#This Row],[Month]]=AS$8,AO$7,0)</f>
        <v>0</v>
      </c>
      <c r="AR362" s="13">
        <f t="shared" si="99"/>
        <v>0</v>
      </c>
      <c r="AS362" s="6" t="str">
        <f t="shared" si="100"/>
        <v xml:space="preserve"> </v>
      </c>
      <c r="AT362" s="21" t="str">
        <f t="shared" si="101"/>
        <v xml:space="preserve"> </v>
      </c>
    </row>
    <row r="363" spans="3:46">
      <c r="C363" s="22">
        <f t="shared" si="86"/>
        <v>352</v>
      </c>
      <c r="D363" s="23">
        <f>IF(AND(C363&gt;='Amort. Sched.-WORST'!$I$8, C363&lt;= ($I$7+$I$8)), PMT('Amort. Sched.-WORST'!$E$8/12, 'Amort. Sched.-WORST'!$I$7, 'Amort. Sched.-WORST'!$E$7), 0)</f>
        <v>0</v>
      </c>
      <c r="E363" s="5">
        <f>IF(AND(C363&gt;='Amort. Sched.-WORST'!$I$8, C363&lt;= ($I$7+$I$8)), (IPMT($E$8/12, (C363-$I$8), $I$7, $E$7)), 0)</f>
        <v>0</v>
      </c>
      <c r="F363" s="23">
        <f>IF(AND(C363&gt;='Amort. Sched.-WORST'!$I$8, C363&lt;= ($I$7+$I$8)), (PPMT($E$8/12, (C363-$I$8), $I$7, $E$7)), 0)</f>
        <v>0</v>
      </c>
      <c r="G363" s="5">
        <f>IF(MortgageAmortWORST[[#This Row],[Month]]=I$8,E$7,0)</f>
        <v>0</v>
      </c>
      <c r="H363" s="13">
        <f>IF(AND(C363&gt;='Amort. Sched.-WORST'!$I$8, C363&lt;= ($I$7+$I$8)), H362+F363, 0)</f>
        <v>0</v>
      </c>
      <c r="I363" s="24" t="str">
        <f>IF(AND(C363&gt;='Amort. Sched.-WORST'!$I$8, C363&lt;= ($I$7+$I$8)), E363/D363, " ")</f>
        <v xml:space="preserve"> </v>
      </c>
      <c r="J363" s="25" t="str">
        <f>IF(AND(C363&gt;='Amort. Sched.-WORST'!$I$8, C363&lt;= ($I$7+$I$8)), F363/D363, " ")</f>
        <v xml:space="preserve"> </v>
      </c>
      <c r="L363" s="20">
        <f t="shared" si="85"/>
        <v>352</v>
      </c>
      <c r="M363" s="5">
        <f>IF(AND(L363&gt;='Amort. Sched.-WORST'!$R$8, L363&lt;= ($R$7+$R$8)), PMT('Amort. Sched.-WORST'!$N$8/12, 'Amort. Sched.-WORST'!$R$7, 'Amort. Sched.-WORST'!$N$7), 0)</f>
        <v>0</v>
      </c>
      <c r="N363" s="5">
        <f>IF(AND(L363&gt;='Amort. Sched.-WORST'!$R$8, L363&lt;= ($R$7+$R$8)), (IPMT($N$8/12, (L363-$R$8), $R$7, $N$7)), 0)</f>
        <v>0</v>
      </c>
      <c r="O363" s="5">
        <f>IF(AND(L363&gt;='Amort. Sched.-WORST'!$R$8, L363&lt;= ($R$7+$R$8)), (PPMT($N$8/12, (L363-$R$8), $R$7, $N$7)), 0)</f>
        <v>0</v>
      </c>
      <c r="P363" s="5">
        <f>IF(CreditAmort1WORST[[#This Row],[Month]]=R$8,N$7,0)</f>
        <v>0</v>
      </c>
      <c r="Q363" s="13">
        <f>IF(AND(L363&gt;='Amort. Sched.-WORST'!$R$8, L363&lt;= ($R$7+$R$8)), Q362+O363, 0)</f>
        <v>0</v>
      </c>
      <c r="R363" s="6" t="str">
        <f>IF(AND(L363&gt;='Amort. Sched.-WORST'!$R$8, L363&lt;= ($R$7+$R$8)), N363/M363, " ")</f>
        <v xml:space="preserve"> </v>
      </c>
      <c r="S363" s="21" t="str">
        <f>IF(AND(L363&gt;='Amort. Sched.-WORST'!$R$8, L363&lt;= ($R$7+$R$8)), O363/M363, " ")</f>
        <v xml:space="preserve"> </v>
      </c>
      <c r="U363" s="22">
        <f t="shared" si="87"/>
        <v>352</v>
      </c>
      <c r="V363" s="23">
        <f>IF(AND(U363&gt;='Amort. Sched.-WORST'!$AA$8, U363&lt;= ($AA$7+$AA$8)), PMT('Amort. Sched.-WORST'!$W$8/12, 'Amort. Sched.-WORST'!$AA$7, 'Amort. Sched.-WORST'!$W$7), 0)</f>
        <v>0</v>
      </c>
      <c r="W363" s="5">
        <f>IF(AND(U363&gt;='Amort. Sched.-WORST'!$AA$8, U363&lt;= ($AA$7+$AA$8)), (IPMT($W$8/12, (U363-$AA$8), $AA$7, $W$7)), 0)</f>
        <v>0</v>
      </c>
      <c r="X363" s="23">
        <f>IF(AND(U363&gt;='Amort. Sched.-WORST'!$AA$8, U363&lt;= ($AA$7+$AA$8)), (PPMT($W$8/12, (U363-$AA$8), $AA$7, $W$7)), 0)</f>
        <v>0</v>
      </c>
      <c r="Y363" s="5">
        <f>IF(CreditAmort2WORST[[#This Row],[Month]]=AA$8,W$7,0)</f>
        <v>0</v>
      </c>
      <c r="Z363" s="13">
        <f>IF(AND(U363&gt;='Amort. Sched.-WORST'!$AA$8, U363&lt;= ($AA$7+$AA$8)), Z362+X363, 0)</f>
        <v>0</v>
      </c>
      <c r="AA363" s="24" t="str">
        <f>IF(AND(U363&gt;='Amort. Sched.-WORST'!$AA$8, U363&lt;= ($AA$7+$AA$8)), W363/V363, " ")</f>
        <v xml:space="preserve"> </v>
      </c>
      <c r="AB363" s="25" t="str">
        <f>IF(AND(U363&gt;='Amort. Sched.-WORST'!$AA$8, U363&lt;= ($AA$7+$AA$8)), X363/V363, " ")</f>
        <v xml:space="preserve"> </v>
      </c>
      <c r="AD363" s="20">
        <f t="shared" si="88"/>
        <v>352</v>
      </c>
      <c r="AE363" s="5">
        <f t="shared" si="89"/>
        <v>0</v>
      </c>
      <c r="AF363" s="5">
        <f t="shared" si="90"/>
        <v>0</v>
      </c>
      <c r="AG363" s="5">
        <f t="shared" si="91"/>
        <v>0</v>
      </c>
      <c r="AH363" s="5">
        <f>IF(CreditAmort3WORST[[#This Row],[Month]]=AJ$8,AF$7,0)</f>
        <v>0</v>
      </c>
      <c r="AI363" s="13">
        <f t="shared" si="92"/>
        <v>0</v>
      </c>
      <c r="AJ363" s="6" t="str">
        <f t="shared" si="93"/>
        <v xml:space="preserve"> </v>
      </c>
      <c r="AK363" s="21" t="str">
        <f t="shared" si="94"/>
        <v xml:space="preserve"> </v>
      </c>
      <c r="AM363" s="20">
        <f t="shared" si="95"/>
        <v>352</v>
      </c>
      <c r="AN363" s="5">
        <f t="shared" si="96"/>
        <v>0</v>
      </c>
      <c r="AO363" s="5">
        <f t="shared" si="97"/>
        <v>0</v>
      </c>
      <c r="AP363" s="5">
        <f t="shared" si="98"/>
        <v>0</v>
      </c>
      <c r="AQ363" s="5">
        <f>IF(CreditAmort4WORST[[#This Row],[Month]]=AS$8,AO$7,0)</f>
        <v>0</v>
      </c>
      <c r="AR363" s="13">
        <f t="shared" si="99"/>
        <v>0</v>
      </c>
      <c r="AS363" s="6" t="str">
        <f t="shared" si="100"/>
        <v xml:space="preserve"> </v>
      </c>
      <c r="AT363" s="21" t="str">
        <f t="shared" si="101"/>
        <v xml:space="preserve"> </v>
      </c>
    </row>
    <row r="364" spans="3:46">
      <c r="C364" s="22">
        <f t="shared" si="86"/>
        <v>353</v>
      </c>
      <c r="D364" s="23">
        <f>IF(AND(C364&gt;='Amort. Sched.-WORST'!$I$8, C364&lt;= ($I$7+$I$8)), PMT('Amort. Sched.-WORST'!$E$8/12, 'Amort. Sched.-WORST'!$I$7, 'Amort. Sched.-WORST'!$E$7), 0)</f>
        <v>0</v>
      </c>
      <c r="E364" s="5">
        <f>IF(AND(C364&gt;='Amort. Sched.-WORST'!$I$8, C364&lt;= ($I$7+$I$8)), (IPMT($E$8/12, (C364-$I$8), $I$7, $E$7)), 0)</f>
        <v>0</v>
      </c>
      <c r="F364" s="23">
        <f>IF(AND(C364&gt;='Amort. Sched.-WORST'!$I$8, C364&lt;= ($I$7+$I$8)), (PPMT($E$8/12, (C364-$I$8), $I$7, $E$7)), 0)</f>
        <v>0</v>
      </c>
      <c r="G364" s="5">
        <f>IF(MortgageAmortWORST[[#This Row],[Month]]=I$8,E$7,0)</f>
        <v>0</v>
      </c>
      <c r="H364" s="13">
        <f>IF(AND(C364&gt;='Amort. Sched.-WORST'!$I$8, C364&lt;= ($I$7+$I$8)), H363+F364, 0)</f>
        <v>0</v>
      </c>
      <c r="I364" s="24" t="str">
        <f>IF(AND(C364&gt;='Amort. Sched.-WORST'!$I$8, C364&lt;= ($I$7+$I$8)), E364/D364, " ")</f>
        <v xml:space="preserve"> </v>
      </c>
      <c r="J364" s="25" t="str">
        <f>IF(AND(C364&gt;='Amort. Sched.-WORST'!$I$8, C364&lt;= ($I$7+$I$8)), F364/D364, " ")</f>
        <v xml:space="preserve"> </v>
      </c>
      <c r="L364" s="20">
        <f t="shared" si="85"/>
        <v>353</v>
      </c>
      <c r="M364" s="5">
        <f>IF(AND(L364&gt;='Amort. Sched.-WORST'!$R$8, L364&lt;= ($R$7+$R$8)), PMT('Amort. Sched.-WORST'!$N$8/12, 'Amort. Sched.-WORST'!$R$7, 'Amort. Sched.-WORST'!$N$7), 0)</f>
        <v>0</v>
      </c>
      <c r="N364" s="5">
        <f>IF(AND(L364&gt;='Amort. Sched.-WORST'!$R$8, L364&lt;= ($R$7+$R$8)), (IPMT($N$8/12, (L364-$R$8), $R$7, $N$7)), 0)</f>
        <v>0</v>
      </c>
      <c r="O364" s="5">
        <f>IF(AND(L364&gt;='Amort. Sched.-WORST'!$R$8, L364&lt;= ($R$7+$R$8)), (PPMT($N$8/12, (L364-$R$8), $R$7, $N$7)), 0)</f>
        <v>0</v>
      </c>
      <c r="P364" s="5">
        <f>IF(CreditAmort1WORST[[#This Row],[Month]]=R$8,N$7,0)</f>
        <v>0</v>
      </c>
      <c r="Q364" s="13">
        <f>IF(AND(L364&gt;='Amort. Sched.-WORST'!$R$8, L364&lt;= ($R$7+$R$8)), Q363+O364, 0)</f>
        <v>0</v>
      </c>
      <c r="R364" s="6" t="str">
        <f>IF(AND(L364&gt;='Amort. Sched.-WORST'!$R$8, L364&lt;= ($R$7+$R$8)), N364/M364, " ")</f>
        <v xml:space="preserve"> </v>
      </c>
      <c r="S364" s="21" t="str">
        <f>IF(AND(L364&gt;='Amort. Sched.-WORST'!$R$8, L364&lt;= ($R$7+$R$8)), O364/M364, " ")</f>
        <v xml:space="preserve"> </v>
      </c>
      <c r="U364" s="22">
        <f t="shared" si="87"/>
        <v>353</v>
      </c>
      <c r="V364" s="23">
        <f>IF(AND(U364&gt;='Amort. Sched.-WORST'!$AA$8, U364&lt;= ($AA$7+$AA$8)), PMT('Amort. Sched.-WORST'!$W$8/12, 'Amort. Sched.-WORST'!$AA$7, 'Amort. Sched.-WORST'!$W$7), 0)</f>
        <v>0</v>
      </c>
      <c r="W364" s="5">
        <f>IF(AND(U364&gt;='Amort. Sched.-WORST'!$AA$8, U364&lt;= ($AA$7+$AA$8)), (IPMT($W$8/12, (U364-$AA$8), $AA$7, $W$7)), 0)</f>
        <v>0</v>
      </c>
      <c r="X364" s="23">
        <f>IF(AND(U364&gt;='Amort. Sched.-WORST'!$AA$8, U364&lt;= ($AA$7+$AA$8)), (PPMT($W$8/12, (U364-$AA$8), $AA$7, $W$7)), 0)</f>
        <v>0</v>
      </c>
      <c r="Y364" s="5">
        <f>IF(CreditAmort2WORST[[#This Row],[Month]]=AA$8,W$7,0)</f>
        <v>0</v>
      </c>
      <c r="Z364" s="13">
        <f>IF(AND(U364&gt;='Amort. Sched.-WORST'!$AA$8, U364&lt;= ($AA$7+$AA$8)), Z363+X364, 0)</f>
        <v>0</v>
      </c>
      <c r="AA364" s="24" t="str">
        <f>IF(AND(U364&gt;='Amort. Sched.-WORST'!$AA$8, U364&lt;= ($AA$7+$AA$8)), W364/V364, " ")</f>
        <v xml:space="preserve"> </v>
      </c>
      <c r="AB364" s="25" t="str">
        <f>IF(AND(U364&gt;='Amort. Sched.-WORST'!$AA$8, U364&lt;= ($AA$7+$AA$8)), X364/V364, " ")</f>
        <v xml:space="preserve"> </v>
      </c>
      <c r="AD364" s="20">
        <f t="shared" si="88"/>
        <v>353</v>
      </c>
      <c r="AE364" s="5">
        <f t="shared" si="89"/>
        <v>0</v>
      </c>
      <c r="AF364" s="5">
        <f t="shared" si="90"/>
        <v>0</v>
      </c>
      <c r="AG364" s="5">
        <f t="shared" si="91"/>
        <v>0</v>
      </c>
      <c r="AH364" s="5">
        <f>IF(CreditAmort3WORST[[#This Row],[Month]]=AJ$8,AF$7,0)</f>
        <v>0</v>
      </c>
      <c r="AI364" s="13">
        <f t="shared" si="92"/>
        <v>0</v>
      </c>
      <c r="AJ364" s="6" t="str">
        <f t="shared" si="93"/>
        <v xml:space="preserve"> </v>
      </c>
      <c r="AK364" s="21" t="str">
        <f t="shared" si="94"/>
        <v xml:space="preserve"> </v>
      </c>
      <c r="AM364" s="20">
        <f t="shared" si="95"/>
        <v>353</v>
      </c>
      <c r="AN364" s="5">
        <f t="shared" si="96"/>
        <v>0</v>
      </c>
      <c r="AO364" s="5">
        <f t="shared" si="97"/>
        <v>0</v>
      </c>
      <c r="AP364" s="5">
        <f t="shared" si="98"/>
        <v>0</v>
      </c>
      <c r="AQ364" s="5">
        <f>IF(CreditAmort4WORST[[#This Row],[Month]]=AS$8,AO$7,0)</f>
        <v>0</v>
      </c>
      <c r="AR364" s="13">
        <f t="shared" si="99"/>
        <v>0</v>
      </c>
      <c r="AS364" s="6" t="str">
        <f t="shared" si="100"/>
        <v xml:space="preserve"> </v>
      </c>
      <c r="AT364" s="21" t="str">
        <f t="shared" si="101"/>
        <v xml:space="preserve"> </v>
      </c>
    </row>
    <row r="365" spans="3:46">
      <c r="C365" s="22">
        <f t="shared" si="86"/>
        <v>354</v>
      </c>
      <c r="D365" s="23">
        <f>IF(AND(C365&gt;='Amort. Sched.-WORST'!$I$8, C365&lt;= ($I$7+$I$8)), PMT('Amort. Sched.-WORST'!$E$8/12, 'Amort. Sched.-WORST'!$I$7, 'Amort. Sched.-WORST'!$E$7), 0)</f>
        <v>0</v>
      </c>
      <c r="E365" s="5">
        <f>IF(AND(C365&gt;='Amort. Sched.-WORST'!$I$8, C365&lt;= ($I$7+$I$8)), (IPMT($E$8/12, (C365-$I$8), $I$7, $E$7)), 0)</f>
        <v>0</v>
      </c>
      <c r="F365" s="23">
        <f>IF(AND(C365&gt;='Amort. Sched.-WORST'!$I$8, C365&lt;= ($I$7+$I$8)), (PPMT($E$8/12, (C365-$I$8), $I$7, $E$7)), 0)</f>
        <v>0</v>
      </c>
      <c r="G365" s="5">
        <f>IF(MortgageAmortWORST[[#This Row],[Month]]=I$8,E$7,0)</f>
        <v>0</v>
      </c>
      <c r="H365" s="13">
        <f>IF(AND(C365&gt;='Amort. Sched.-WORST'!$I$8, C365&lt;= ($I$7+$I$8)), H364+F365, 0)</f>
        <v>0</v>
      </c>
      <c r="I365" s="24" t="str">
        <f>IF(AND(C365&gt;='Amort. Sched.-WORST'!$I$8, C365&lt;= ($I$7+$I$8)), E365/D365, " ")</f>
        <v xml:space="preserve"> </v>
      </c>
      <c r="J365" s="25" t="str">
        <f>IF(AND(C365&gt;='Amort. Sched.-WORST'!$I$8, C365&lt;= ($I$7+$I$8)), F365/D365, " ")</f>
        <v xml:space="preserve"> </v>
      </c>
      <c r="L365" s="20">
        <f t="shared" si="85"/>
        <v>354</v>
      </c>
      <c r="M365" s="5">
        <f>IF(AND(L365&gt;='Amort. Sched.-WORST'!$R$8, L365&lt;= ($R$7+$R$8)), PMT('Amort. Sched.-WORST'!$N$8/12, 'Amort. Sched.-WORST'!$R$7, 'Amort. Sched.-WORST'!$N$7), 0)</f>
        <v>0</v>
      </c>
      <c r="N365" s="5">
        <f>IF(AND(L365&gt;='Amort. Sched.-WORST'!$R$8, L365&lt;= ($R$7+$R$8)), (IPMT($N$8/12, (L365-$R$8), $R$7, $N$7)), 0)</f>
        <v>0</v>
      </c>
      <c r="O365" s="5">
        <f>IF(AND(L365&gt;='Amort. Sched.-WORST'!$R$8, L365&lt;= ($R$7+$R$8)), (PPMT($N$8/12, (L365-$R$8), $R$7, $N$7)), 0)</f>
        <v>0</v>
      </c>
      <c r="P365" s="5">
        <f>IF(CreditAmort1WORST[[#This Row],[Month]]=R$8,N$7,0)</f>
        <v>0</v>
      </c>
      <c r="Q365" s="13">
        <f>IF(AND(L365&gt;='Amort. Sched.-WORST'!$R$8, L365&lt;= ($R$7+$R$8)), Q364+O365, 0)</f>
        <v>0</v>
      </c>
      <c r="R365" s="6" t="str">
        <f>IF(AND(L365&gt;='Amort. Sched.-WORST'!$R$8, L365&lt;= ($R$7+$R$8)), N365/M365, " ")</f>
        <v xml:space="preserve"> </v>
      </c>
      <c r="S365" s="21" t="str">
        <f>IF(AND(L365&gt;='Amort. Sched.-WORST'!$R$8, L365&lt;= ($R$7+$R$8)), O365/M365, " ")</f>
        <v xml:space="preserve"> </v>
      </c>
      <c r="U365" s="22">
        <f t="shared" si="87"/>
        <v>354</v>
      </c>
      <c r="V365" s="23">
        <f>IF(AND(U365&gt;='Amort. Sched.-WORST'!$AA$8, U365&lt;= ($AA$7+$AA$8)), PMT('Amort. Sched.-WORST'!$W$8/12, 'Amort. Sched.-WORST'!$AA$7, 'Amort. Sched.-WORST'!$W$7), 0)</f>
        <v>0</v>
      </c>
      <c r="W365" s="5">
        <f>IF(AND(U365&gt;='Amort. Sched.-WORST'!$AA$8, U365&lt;= ($AA$7+$AA$8)), (IPMT($W$8/12, (U365-$AA$8), $AA$7, $W$7)), 0)</f>
        <v>0</v>
      </c>
      <c r="X365" s="23">
        <f>IF(AND(U365&gt;='Amort. Sched.-WORST'!$AA$8, U365&lt;= ($AA$7+$AA$8)), (PPMT($W$8/12, (U365-$AA$8), $AA$7, $W$7)), 0)</f>
        <v>0</v>
      </c>
      <c r="Y365" s="5">
        <f>IF(CreditAmort2WORST[[#This Row],[Month]]=AA$8,W$7,0)</f>
        <v>0</v>
      </c>
      <c r="Z365" s="13">
        <f>IF(AND(U365&gt;='Amort. Sched.-WORST'!$AA$8, U365&lt;= ($AA$7+$AA$8)), Z364+X365, 0)</f>
        <v>0</v>
      </c>
      <c r="AA365" s="24" t="str">
        <f>IF(AND(U365&gt;='Amort. Sched.-WORST'!$AA$8, U365&lt;= ($AA$7+$AA$8)), W365/V365, " ")</f>
        <v xml:space="preserve"> </v>
      </c>
      <c r="AB365" s="25" t="str">
        <f>IF(AND(U365&gt;='Amort. Sched.-WORST'!$AA$8, U365&lt;= ($AA$7+$AA$8)), X365/V365, " ")</f>
        <v xml:space="preserve"> </v>
      </c>
      <c r="AD365" s="20">
        <f t="shared" si="88"/>
        <v>354</v>
      </c>
      <c r="AE365" s="5">
        <f t="shared" si="89"/>
        <v>0</v>
      </c>
      <c r="AF365" s="5">
        <f t="shared" si="90"/>
        <v>0</v>
      </c>
      <c r="AG365" s="5">
        <f t="shared" si="91"/>
        <v>0</v>
      </c>
      <c r="AH365" s="5">
        <f>IF(CreditAmort3WORST[[#This Row],[Month]]=AJ$8,AF$7,0)</f>
        <v>0</v>
      </c>
      <c r="AI365" s="13">
        <f t="shared" si="92"/>
        <v>0</v>
      </c>
      <c r="AJ365" s="6" t="str">
        <f t="shared" si="93"/>
        <v xml:space="preserve"> </v>
      </c>
      <c r="AK365" s="21" t="str">
        <f t="shared" si="94"/>
        <v xml:space="preserve"> </v>
      </c>
      <c r="AM365" s="20">
        <f t="shared" si="95"/>
        <v>354</v>
      </c>
      <c r="AN365" s="5">
        <f t="shared" si="96"/>
        <v>0</v>
      </c>
      <c r="AO365" s="5">
        <f t="shared" si="97"/>
        <v>0</v>
      </c>
      <c r="AP365" s="5">
        <f t="shared" si="98"/>
        <v>0</v>
      </c>
      <c r="AQ365" s="5">
        <f>IF(CreditAmort4WORST[[#This Row],[Month]]=AS$8,AO$7,0)</f>
        <v>0</v>
      </c>
      <c r="AR365" s="13">
        <f t="shared" si="99"/>
        <v>0</v>
      </c>
      <c r="AS365" s="6" t="str">
        <f t="shared" si="100"/>
        <v xml:space="preserve"> </v>
      </c>
      <c r="AT365" s="21" t="str">
        <f t="shared" si="101"/>
        <v xml:space="preserve"> </v>
      </c>
    </row>
    <row r="366" spans="3:46">
      <c r="C366" s="22">
        <f t="shared" si="86"/>
        <v>355</v>
      </c>
      <c r="D366" s="23">
        <f>IF(AND(C366&gt;='Amort. Sched.-WORST'!$I$8, C366&lt;= ($I$7+$I$8)), PMT('Amort. Sched.-WORST'!$E$8/12, 'Amort. Sched.-WORST'!$I$7, 'Amort. Sched.-WORST'!$E$7), 0)</f>
        <v>0</v>
      </c>
      <c r="E366" s="5">
        <f>IF(AND(C366&gt;='Amort. Sched.-WORST'!$I$8, C366&lt;= ($I$7+$I$8)), (IPMT($E$8/12, (C366-$I$8), $I$7, $E$7)), 0)</f>
        <v>0</v>
      </c>
      <c r="F366" s="23">
        <f>IF(AND(C366&gt;='Amort. Sched.-WORST'!$I$8, C366&lt;= ($I$7+$I$8)), (PPMT($E$8/12, (C366-$I$8), $I$7, $E$7)), 0)</f>
        <v>0</v>
      </c>
      <c r="G366" s="5">
        <f>IF(MortgageAmortWORST[[#This Row],[Month]]=I$8,E$7,0)</f>
        <v>0</v>
      </c>
      <c r="H366" s="13">
        <f>IF(AND(C366&gt;='Amort. Sched.-WORST'!$I$8, C366&lt;= ($I$7+$I$8)), H365+F366, 0)</f>
        <v>0</v>
      </c>
      <c r="I366" s="24" t="str">
        <f>IF(AND(C366&gt;='Amort. Sched.-WORST'!$I$8, C366&lt;= ($I$7+$I$8)), E366/D366, " ")</f>
        <v xml:space="preserve"> </v>
      </c>
      <c r="J366" s="25" t="str">
        <f>IF(AND(C366&gt;='Amort. Sched.-WORST'!$I$8, C366&lt;= ($I$7+$I$8)), F366/D366, " ")</f>
        <v xml:space="preserve"> </v>
      </c>
      <c r="L366" s="20">
        <f t="shared" si="85"/>
        <v>355</v>
      </c>
      <c r="M366" s="5">
        <f>IF(AND(L366&gt;='Amort. Sched.-WORST'!$R$8, L366&lt;= ($R$7+$R$8)), PMT('Amort. Sched.-WORST'!$N$8/12, 'Amort. Sched.-WORST'!$R$7, 'Amort. Sched.-WORST'!$N$7), 0)</f>
        <v>0</v>
      </c>
      <c r="N366" s="5">
        <f>IF(AND(L366&gt;='Amort. Sched.-WORST'!$R$8, L366&lt;= ($R$7+$R$8)), (IPMT($N$8/12, (L366-$R$8), $R$7, $N$7)), 0)</f>
        <v>0</v>
      </c>
      <c r="O366" s="5">
        <f>IF(AND(L366&gt;='Amort. Sched.-WORST'!$R$8, L366&lt;= ($R$7+$R$8)), (PPMT($N$8/12, (L366-$R$8), $R$7, $N$7)), 0)</f>
        <v>0</v>
      </c>
      <c r="P366" s="5">
        <f>IF(CreditAmort1WORST[[#This Row],[Month]]=R$8,N$7,0)</f>
        <v>0</v>
      </c>
      <c r="Q366" s="13">
        <f>IF(AND(L366&gt;='Amort. Sched.-WORST'!$R$8, L366&lt;= ($R$7+$R$8)), Q365+O366, 0)</f>
        <v>0</v>
      </c>
      <c r="R366" s="6" t="str">
        <f>IF(AND(L366&gt;='Amort. Sched.-WORST'!$R$8, L366&lt;= ($R$7+$R$8)), N366/M366, " ")</f>
        <v xml:space="preserve"> </v>
      </c>
      <c r="S366" s="21" t="str">
        <f>IF(AND(L366&gt;='Amort. Sched.-WORST'!$R$8, L366&lt;= ($R$7+$R$8)), O366/M366, " ")</f>
        <v xml:space="preserve"> </v>
      </c>
      <c r="U366" s="22">
        <f t="shared" si="87"/>
        <v>355</v>
      </c>
      <c r="V366" s="23">
        <f>IF(AND(U366&gt;='Amort. Sched.-WORST'!$AA$8, U366&lt;= ($AA$7+$AA$8)), PMT('Amort. Sched.-WORST'!$W$8/12, 'Amort. Sched.-WORST'!$AA$7, 'Amort. Sched.-WORST'!$W$7), 0)</f>
        <v>0</v>
      </c>
      <c r="W366" s="5">
        <f>IF(AND(U366&gt;='Amort. Sched.-WORST'!$AA$8, U366&lt;= ($AA$7+$AA$8)), (IPMT($W$8/12, (U366-$AA$8), $AA$7, $W$7)), 0)</f>
        <v>0</v>
      </c>
      <c r="X366" s="23">
        <f>IF(AND(U366&gt;='Amort. Sched.-WORST'!$AA$8, U366&lt;= ($AA$7+$AA$8)), (PPMT($W$8/12, (U366-$AA$8), $AA$7, $W$7)), 0)</f>
        <v>0</v>
      </c>
      <c r="Y366" s="5">
        <f>IF(CreditAmort2WORST[[#This Row],[Month]]=AA$8,W$7,0)</f>
        <v>0</v>
      </c>
      <c r="Z366" s="13">
        <f>IF(AND(U366&gt;='Amort. Sched.-WORST'!$AA$8, U366&lt;= ($AA$7+$AA$8)), Z365+X366, 0)</f>
        <v>0</v>
      </c>
      <c r="AA366" s="24" t="str">
        <f>IF(AND(U366&gt;='Amort. Sched.-WORST'!$AA$8, U366&lt;= ($AA$7+$AA$8)), W366/V366, " ")</f>
        <v xml:space="preserve"> </v>
      </c>
      <c r="AB366" s="25" t="str">
        <f>IF(AND(U366&gt;='Amort. Sched.-WORST'!$AA$8, U366&lt;= ($AA$7+$AA$8)), X366/V366, " ")</f>
        <v xml:space="preserve"> </v>
      </c>
      <c r="AD366" s="20">
        <f t="shared" si="88"/>
        <v>355</v>
      </c>
      <c r="AE366" s="5">
        <f t="shared" si="89"/>
        <v>0</v>
      </c>
      <c r="AF366" s="5">
        <f t="shared" si="90"/>
        <v>0</v>
      </c>
      <c r="AG366" s="5">
        <f t="shared" si="91"/>
        <v>0</v>
      </c>
      <c r="AH366" s="5">
        <f>IF(CreditAmort3WORST[[#This Row],[Month]]=AJ$8,AF$7,0)</f>
        <v>0</v>
      </c>
      <c r="AI366" s="13">
        <f t="shared" si="92"/>
        <v>0</v>
      </c>
      <c r="AJ366" s="6" t="str">
        <f t="shared" si="93"/>
        <v xml:space="preserve"> </v>
      </c>
      <c r="AK366" s="21" t="str">
        <f t="shared" si="94"/>
        <v xml:space="preserve"> </v>
      </c>
      <c r="AM366" s="20">
        <f t="shared" si="95"/>
        <v>355</v>
      </c>
      <c r="AN366" s="5">
        <f t="shared" si="96"/>
        <v>0</v>
      </c>
      <c r="AO366" s="5">
        <f t="shared" si="97"/>
        <v>0</v>
      </c>
      <c r="AP366" s="5">
        <f t="shared" si="98"/>
        <v>0</v>
      </c>
      <c r="AQ366" s="5">
        <f>IF(CreditAmort4WORST[[#This Row],[Month]]=AS$8,AO$7,0)</f>
        <v>0</v>
      </c>
      <c r="AR366" s="13">
        <f t="shared" si="99"/>
        <v>0</v>
      </c>
      <c r="AS366" s="6" t="str">
        <f t="shared" si="100"/>
        <v xml:space="preserve"> </v>
      </c>
      <c r="AT366" s="21" t="str">
        <f t="shared" si="101"/>
        <v xml:space="preserve"> </v>
      </c>
    </row>
    <row r="367" spans="3:46">
      <c r="C367" s="22">
        <f t="shared" si="86"/>
        <v>356</v>
      </c>
      <c r="D367" s="23">
        <f>IF(AND(C367&gt;='Amort. Sched.-WORST'!$I$8, C367&lt;= ($I$7+$I$8)), PMT('Amort. Sched.-WORST'!$E$8/12, 'Amort. Sched.-WORST'!$I$7, 'Amort. Sched.-WORST'!$E$7), 0)</f>
        <v>0</v>
      </c>
      <c r="E367" s="5">
        <f>IF(AND(C367&gt;='Amort. Sched.-WORST'!$I$8, C367&lt;= ($I$7+$I$8)), (IPMT($E$8/12, (C367-$I$8), $I$7, $E$7)), 0)</f>
        <v>0</v>
      </c>
      <c r="F367" s="23">
        <f>IF(AND(C367&gt;='Amort. Sched.-WORST'!$I$8, C367&lt;= ($I$7+$I$8)), (PPMT($E$8/12, (C367-$I$8), $I$7, $E$7)), 0)</f>
        <v>0</v>
      </c>
      <c r="G367" s="5">
        <f>IF(MortgageAmortWORST[[#This Row],[Month]]=I$8,E$7,0)</f>
        <v>0</v>
      </c>
      <c r="H367" s="13">
        <f>IF(AND(C367&gt;='Amort. Sched.-WORST'!$I$8, C367&lt;= ($I$7+$I$8)), H366+F367, 0)</f>
        <v>0</v>
      </c>
      <c r="I367" s="24" t="str">
        <f>IF(AND(C367&gt;='Amort. Sched.-WORST'!$I$8, C367&lt;= ($I$7+$I$8)), E367/D367, " ")</f>
        <v xml:space="preserve"> </v>
      </c>
      <c r="J367" s="25" t="str">
        <f>IF(AND(C367&gt;='Amort. Sched.-WORST'!$I$8, C367&lt;= ($I$7+$I$8)), F367/D367, " ")</f>
        <v xml:space="preserve"> </v>
      </c>
      <c r="L367" s="20">
        <f t="shared" si="85"/>
        <v>356</v>
      </c>
      <c r="M367" s="5">
        <f>IF(AND(L367&gt;='Amort. Sched.-WORST'!$R$8, L367&lt;= ($R$7+$R$8)), PMT('Amort. Sched.-WORST'!$N$8/12, 'Amort. Sched.-WORST'!$R$7, 'Amort. Sched.-WORST'!$N$7), 0)</f>
        <v>0</v>
      </c>
      <c r="N367" s="5">
        <f>IF(AND(L367&gt;='Amort. Sched.-WORST'!$R$8, L367&lt;= ($R$7+$R$8)), (IPMT($N$8/12, (L367-$R$8), $R$7, $N$7)), 0)</f>
        <v>0</v>
      </c>
      <c r="O367" s="5">
        <f>IF(AND(L367&gt;='Amort. Sched.-WORST'!$R$8, L367&lt;= ($R$7+$R$8)), (PPMT($N$8/12, (L367-$R$8), $R$7, $N$7)), 0)</f>
        <v>0</v>
      </c>
      <c r="P367" s="5">
        <f>IF(CreditAmort1WORST[[#This Row],[Month]]=R$8,N$7,0)</f>
        <v>0</v>
      </c>
      <c r="Q367" s="13">
        <f>IF(AND(L367&gt;='Amort. Sched.-WORST'!$R$8, L367&lt;= ($R$7+$R$8)), Q366+O367, 0)</f>
        <v>0</v>
      </c>
      <c r="R367" s="6" t="str">
        <f>IF(AND(L367&gt;='Amort. Sched.-WORST'!$R$8, L367&lt;= ($R$7+$R$8)), N367/M367, " ")</f>
        <v xml:space="preserve"> </v>
      </c>
      <c r="S367" s="21" t="str">
        <f>IF(AND(L367&gt;='Amort. Sched.-WORST'!$R$8, L367&lt;= ($R$7+$R$8)), O367/M367, " ")</f>
        <v xml:space="preserve"> </v>
      </c>
      <c r="U367" s="22">
        <f t="shared" si="87"/>
        <v>356</v>
      </c>
      <c r="V367" s="23">
        <f>IF(AND(U367&gt;='Amort. Sched.-WORST'!$AA$8, U367&lt;= ($AA$7+$AA$8)), PMT('Amort. Sched.-WORST'!$W$8/12, 'Amort. Sched.-WORST'!$AA$7, 'Amort. Sched.-WORST'!$W$7), 0)</f>
        <v>0</v>
      </c>
      <c r="W367" s="5">
        <f>IF(AND(U367&gt;='Amort. Sched.-WORST'!$AA$8, U367&lt;= ($AA$7+$AA$8)), (IPMT($W$8/12, (U367-$AA$8), $AA$7, $W$7)), 0)</f>
        <v>0</v>
      </c>
      <c r="X367" s="23">
        <f>IF(AND(U367&gt;='Amort. Sched.-WORST'!$AA$8, U367&lt;= ($AA$7+$AA$8)), (PPMT($W$8/12, (U367-$AA$8), $AA$7, $W$7)), 0)</f>
        <v>0</v>
      </c>
      <c r="Y367" s="5">
        <f>IF(CreditAmort2WORST[[#This Row],[Month]]=AA$8,W$7,0)</f>
        <v>0</v>
      </c>
      <c r="Z367" s="13">
        <f>IF(AND(U367&gt;='Amort. Sched.-WORST'!$AA$8, U367&lt;= ($AA$7+$AA$8)), Z366+X367, 0)</f>
        <v>0</v>
      </c>
      <c r="AA367" s="24" t="str">
        <f>IF(AND(U367&gt;='Amort. Sched.-WORST'!$AA$8, U367&lt;= ($AA$7+$AA$8)), W367/V367, " ")</f>
        <v xml:space="preserve"> </v>
      </c>
      <c r="AB367" s="25" t="str">
        <f>IF(AND(U367&gt;='Amort. Sched.-WORST'!$AA$8, U367&lt;= ($AA$7+$AA$8)), X367/V367, " ")</f>
        <v xml:space="preserve"> </v>
      </c>
      <c r="AD367" s="20">
        <f t="shared" si="88"/>
        <v>356</v>
      </c>
      <c r="AE367" s="5">
        <f t="shared" si="89"/>
        <v>0</v>
      </c>
      <c r="AF367" s="5">
        <f t="shared" si="90"/>
        <v>0</v>
      </c>
      <c r="AG367" s="5">
        <f t="shared" si="91"/>
        <v>0</v>
      </c>
      <c r="AH367" s="5">
        <f>IF(CreditAmort3WORST[[#This Row],[Month]]=AJ$8,AF$7,0)</f>
        <v>0</v>
      </c>
      <c r="AI367" s="13">
        <f t="shared" si="92"/>
        <v>0</v>
      </c>
      <c r="AJ367" s="6" t="str">
        <f t="shared" si="93"/>
        <v xml:space="preserve"> </v>
      </c>
      <c r="AK367" s="21" t="str">
        <f t="shared" si="94"/>
        <v xml:space="preserve"> </v>
      </c>
      <c r="AM367" s="20">
        <f t="shared" si="95"/>
        <v>356</v>
      </c>
      <c r="AN367" s="5">
        <f t="shared" si="96"/>
        <v>0</v>
      </c>
      <c r="AO367" s="5">
        <f t="shared" si="97"/>
        <v>0</v>
      </c>
      <c r="AP367" s="5">
        <f t="shared" si="98"/>
        <v>0</v>
      </c>
      <c r="AQ367" s="5">
        <f>IF(CreditAmort4WORST[[#This Row],[Month]]=AS$8,AO$7,0)</f>
        <v>0</v>
      </c>
      <c r="AR367" s="13">
        <f t="shared" si="99"/>
        <v>0</v>
      </c>
      <c r="AS367" s="6" t="str">
        <f t="shared" si="100"/>
        <v xml:space="preserve"> </v>
      </c>
      <c r="AT367" s="21" t="str">
        <f t="shared" si="101"/>
        <v xml:space="preserve"> </v>
      </c>
    </row>
    <row r="368" spans="3:46">
      <c r="C368" s="22">
        <f t="shared" si="86"/>
        <v>357</v>
      </c>
      <c r="D368" s="23">
        <f>IF(AND(C368&gt;='Amort. Sched.-WORST'!$I$8, C368&lt;= ($I$7+$I$8)), PMT('Amort. Sched.-WORST'!$E$8/12, 'Amort. Sched.-WORST'!$I$7, 'Amort. Sched.-WORST'!$E$7), 0)</f>
        <v>0</v>
      </c>
      <c r="E368" s="5">
        <f>IF(AND(C368&gt;='Amort. Sched.-WORST'!$I$8, C368&lt;= ($I$7+$I$8)), (IPMT($E$8/12, (C368-$I$8), $I$7, $E$7)), 0)</f>
        <v>0</v>
      </c>
      <c r="F368" s="23">
        <f>IF(AND(C368&gt;='Amort. Sched.-WORST'!$I$8, C368&lt;= ($I$7+$I$8)), (PPMT($E$8/12, (C368-$I$8), $I$7, $E$7)), 0)</f>
        <v>0</v>
      </c>
      <c r="G368" s="5">
        <f>IF(MortgageAmortWORST[[#This Row],[Month]]=I$8,E$7,0)</f>
        <v>0</v>
      </c>
      <c r="H368" s="13">
        <f>IF(AND(C368&gt;='Amort. Sched.-WORST'!$I$8, C368&lt;= ($I$7+$I$8)), H367+F368, 0)</f>
        <v>0</v>
      </c>
      <c r="I368" s="24" t="str">
        <f>IF(AND(C368&gt;='Amort. Sched.-WORST'!$I$8, C368&lt;= ($I$7+$I$8)), E368/D368, " ")</f>
        <v xml:space="preserve"> </v>
      </c>
      <c r="J368" s="25" t="str">
        <f>IF(AND(C368&gt;='Amort. Sched.-WORST'!$I$8, C368&lt;= ($I$7+$I$8)), F368/D368, " ")</f>
        <v xml:space="preserve"> </v>
      </c>
      <c r="L368" s="20">
        <f t="shared" si="85"/>
        <v>357</v>
      </c>
      <c r="M368" s="5">
        <f>IF(AND(L368&gt;='Amort. Sched.-WORST'!$R$8, L368&lt;= ($R$7+$R$8)), PMT('Amort. Sched.-WORST'!$N$8/12, 'Amort. Sched.-WORST'!$R$7, 'Amort. Sched.-WORST'!$N$7), 0)</f>
        <v>0</v>
      </c>
      <c r="N368" s="5">
        <f>IF(AND(L368&gt;='Amort. Sched.-WORST'!$R$8, L368&lt;= ($R$7+$R$8)), (IPMT($N$8/12, (L368-$R$8), $R$7, $N$7)), 0)</f>
        <v>0</v>
      </c>
      <c r="O368" s="5">
        <f>IF(AND(L368&gt;='Amort. Sched.-WORST'!$R$8, L368&lt;= ($R$7+$R$8)), (PPMT($N$8/12, (L368-$R$8), $R$7, $N$7)), 0)</f>
        <v>0</v>
      </c>
      <c r="P368" s="5">
        <f>IF(CreditAmort1WORST[[#This Row],[Month]]=R$8,N$7,0)</f>
        <v>0</v>
      </c>
      <c r="Q368" s="13">
        <f>IF(AND(L368&gt;='Amort. Sched.-WORST'!$R$8, L368&lt;= ($R$7+$R$8)), Q367+O368, 0)</f>
        <v>0</v>
      </c>
      <c r="R368" s="6" t="str">
        <f>IF(AND(L368&gt;='Amort. Sched.-WORST'!$R$8, L368&lt;= ($R$7+$R$8)), N368/M368, " ")</f>
        <v xml:space="preserve"> </v>
      </c>
      <c r="S368" s="21" t="str">
        <f>IF(AND(L368&gt;='Amort. Sched.-WORST'!$R$8, L368&lt;= ($R$7+$R$8)), O368/M368, " ")</f>
        <v xml:space="preserve"> </v>
      </c>
      <c r="U368" s="22">
        <f t="shared" si="87"/>
        <v>357</v>
      </c>
      <c r="V368" s="23">
        <f>IF(AND(U368&gt;='Amort. Sched.-WORST'!$AA$8, U368&lt;= ($AA$7+$AA$8)), PMT('Amort. Sched.-WORST'!$W$8/12, 'Amort. Sched.-WORST'!$AA$7, 'Amort. Sched.-WORST'!$W$7), 0)</f>
        <v>0</v>
      </c>
      <c r="W368" s="5">
        <f>IF(AND(U368&gt;='Amort. Sched.-WORST'!$AA$8, U368&lt;= ($AA$7+$AA$8)), (IPMT($W$8/12, (U368-$AA$8), $AA$7, $W$7)), 0)</f>
        <v>0</v>
      </c>
      <c r="X368" s="23">
        <f>IF(AND(U368&gt;='Amort. Sched.-WORST'!$AA$8, U368&lt;= ($AA$7+$AA$8)), (PPMT($W$8/12, (U368-$AA$8), $AA$7, $W$7)), 0)</f>
        <v>0</v>
      </c>
      <c r="Y368" s="5">
        <f>IF(CreditAmort2WORST[[#This Row],[Month]]=AA$8,W$7,0)</f>
        <v>0</v>
      </c>
      <c r="Z368" s="13">
        <f>IF(AND(U368&gt;='Amort. Sched.-WORST'!$AA$8, U368&lt;= ($AA$7+$AA$8)), Z367+X368, 0)</f>
        <v>0</v>
      </c>
      <c r="AA368" s="24" t="str">
        <f>IF(AND(U368&gt;='Amort. Sched.-WORST'!$AA$8, U368&lt;= ($AA$7+$AA$8)), W368/V368, " ")</f>
        <v xml:space="preserve"> </v>
      </c>
      <c r="AB368" s="25" t="str">
        <f>IF(AND(U368&gt;='Amort. Sched.-WORST'!$AA$8, U368&lt;= ($AA$7+$AA$8)), X368/V368, " ")</f>
        <v xml:space="preserve"> </v>
      </c>
      <c r="AD368" s="20">
        <f t="shared" si="88"/>
        <v>357</v>
      </c>
      <c r="AE368" s="5">
        <f t="shared" si="89"/>
        <v>0</v>
      </c>
      <c r="AF368" s="5">
        <f t="shared" si="90"/>
        <v>0</v>
      </c>
      <c r="AG368" s="5">
        <f t="shared" si="91"/>
        <v>0</v>
      </c>
      <c r="AH368" s="5">
        <f>IF(CreditAmort3WORST[[#This Row],[Month]]=AJ$8,AF$7,0)</f>
        <v>0</v>
      </c>
      <c r="AI368" s="13">
        <f t="shared" si="92"/>
        <v>0</v>
      </c>
      <c r="AJ368" s="6" t="str">
        <f t="shared" si="93"/>
        <v xml:space="preserve"> </v>
      </c>
      <c r="AK368" s="21" t="str">
        <f t="shared" si="94"/>
        <v xml:space="preserve"> </v>
      </c>
      <c r="AM368" s="20">
        <f t="shared" si="95"/>
        <v>357</v>
      </c>
      <c r="AN368" s="5">
        <f t="shared" si="96"/>
        <v>0</v>
      </c>
      <c r="AO368" s="5">
        <f t="shared" si="97"/>
        <v>0</v>
      </c>
      <c r="AP368" s="5">
        <f t="shared" si="98"/>
        <v>0</v>
      </c>
      <c r="AQ368" s="5">
        <f>IF(CreditAmort4WORST[[#This Row],[Month]]=AS$8,AO$7,0)</f>
        <v>0</v>
      </c>
      <c r="AR368" s="13">
        <f t="shared" si="99"/>
        <v>0</v>
      </c>
      <c r="AS368" s="6" t="str">
        <f t="shared" si="100"/>
        <v xml:space="preserve"> </v>
      </c>
      <c r="AT368" s="21" t="str">
        <f t="shared" si="101"/>
        <v xml:space="preserve"> </v>
      </c>
    </row>
    <row r="369" spans="3:46">
      <c r="C369" s="22">
        <f t="shared" si="86"/>
        <v>358</v>
      </c>
      <c r="D369" s="23">
        <f>IF(AND(C369&gt;='Amort. Sched.-WORST'!$I$8, C369&lt;= ($I$7+$I$8)), PMT('Amort. Sched.-WORST'!$E$8/12, 'Amort. Sched.-WORST'!$I$7, 'Amort. Sched.-WORST'!$E$7), 0)</f>
        <v>0</v>
      </c>
      <c r="E369" s="5">
        <f>IF(AND(C369&gt;='Amort. Sched.-WORST'!$I$8, C369&lt;= ($I$7+$I$8)), (IPMT($E$8/12, (C369-$I$8), $I$7, $E$7)), 0)</f>
        <v>0</v>
      </c>
      <c r="F369" s="23">
        <f>IF(AND(C369&gt;='Amort. Sched.-WORST'!$I$8, C369&lt;= ($I$7+$I$8)), (PPMT($E$8/12, (C369-$I$8), $I$7, $E$7)), 0)</f>
        <v>0</v>
      </c>
      <c r="G369" s="5">
        <f>IF(MortgageAmortWORST[[#This Row],[Month]]=I$8,E$7,0)</f>
        <v>0</v>
      </c>
      <c r="H369" s="13">
        <f>IF(AND(C369&gt;='Amort. Sched.-WORST'!$I$8, C369&lt;= ($I$7+$I$8)), H368+F369, 0)</f>
        <v>0</v>
      </c>
      <c r="I369" s="24" t="str">
        <f>IF(AND(C369&gt;='Amort. Sched.-WORST'!$I$8, C369&lt;= ($I$7+$I$8)), E369/D369, " ")</f>
        <v xml:space="preserve"> </v>
      </c>
      <c r="J369" s="25" t="str">
        <f>IF(AND(C369&gt;='Amort. Sched.-WORST'!$I$8, C369&lt;= ($I$7+$I$8)), F369/D369, " ")</f>
        <v xml:space="preserve"> </v>
      </c>
      <c r="L369" s="20">
        <f t="shared" si="85"/>
        <v>358</v>
      </c>
      <c r="M369" s="5">
        <f>IF(AND(L369&gt;='Amort. Sched.-WORST'!$R$8, L369&lt;= ($R$7+$R$8)), PMT('Amort. Sched.-WORST'!$N$8/12, 'Amort. Sched.-WORST'!$R$7, 'Amort. Sched.-WORST'!$N$7), 0)</f>
        <v>0</v>
      </c>
      <c r="N369" s="5">
        <f>IF(AND(L369&gt;='Amort. Sched.-WORST'!$R$8, L369&lt;= ($R$7+$R$8)), (IPMT($N$8/12, (L369-$R$8), $R$7, $N$7)), 0)</f>
        <v>0</v>
      </c>
      <c r="O369" s="5">
        <f>IF(AND(L369&gt;='Amort. Sched.-WORST'!$R$8, L369&lt;= ($R$7+$R$8)), (PPMT($N$8/12, (L369-$R$8), $R$7, $N$7)), 0)</f>
        <v>0</v>
      </c>
      <c r="P369" s="5">
        <f>IF(CreditAmort1WORST[[#This Row],[Month]]=R$8,N$7,0)</f>
        <v>0</v>
      </c>
      <c r="Q369" s="13">
        <f>IF(AND(L369&gt;='Amort. Sched.-WORST'!$R$8, L369&lt;= ($R$7+$R$8)), Q368+O369, 0)</f>
        <v>0</v>
      </c>
      <c r="R369" s="6" t="str">
        <f>IF(AND(L369&gt;='Amort. Sched.-WORST'!$R$8, L369&lt;= ($R$7+$R$8)), N369/M369, " ")</f>
        <v xml:space="preserve"> </v>
      </c>
      <c r="S369" s="21" t="str">
        <f>IF(AND(L369&gt;='Amort. Sched.-WORST'!$R$8, L369&lt;= ($R$7+$R$8)), O369/M369, " ")</f>
        <v xml:space="preserve"> </v>
      </c>
      <c r="U369" s="22">
        <f t="shared" si="87"/>
        <v>358</v>
      </c>
      <c r="V369" s="23">
        <f>IF(AND(U369&gt;='Amort. Sched.-WORST'!$AA$8, U369&lt;= ($AA$7+$AA$8)), PMT('Amort. Sched.-WORST'!$W$8/12, 'Amort. Sched.-WORST'!$AA$7, 'Amort. Sched.-WORST'!$W$7), 0)</f>
        <v>0</v>
      </c>
      <c r="W369" s="5">
        <f>IF(AND(U369&gt;='Amort. Sched.-WORST'!$AA$8, U369&lt;= ($AA$7+$AA$8)), (IPMT($W$8/12, (U369-$AA$8), $AA$7, $W$7)), 0)</f>
        <v>0</v>
      </c>
      <c r="X369" s="23">
        <f>IF(AND(U369&gt;='Amort. Sched.-WORST'!$AA$8, U369&lt;= ($AA$7+$AA$8)), (PPMT($W$8/12, (U369-$AA$8), $AA$7, $W$7)), 0)</f>
        <v>0</v>
      </c>
      <c r="Y369" s="5">
        <f>IF(CreditAmort2WORST[[#This Row],[Month]]=AA$8,W$7,0)</f>
        <v>0</v>
      </c>
      <c r="Z369" s="13">
        <f>IF(AND(U369&gt;='Amort. Sched.-WORST'!$AA$8, U369&lt;= ($AA$7+$AA$8)), Z368+X369, 0)</f>
        <v>0</v>
      </c>
      <c r="AA369" s="24" t="str">
        <f>IF(AND(U369&gt;='Amort. Sched.-WORST'!$AA$8, U369&lt;= ($AA$7+$AA$8)), W369/V369, " ")</f>
        <v xml:space="preserve"> </v>
      </c>
      <c r="AB369" s="25" t="str">
        <f>IF(AND(U369&gt;='Amort. Sched.-WORST'!$AA$8, U369&lt;= ($AA$7+$AA$8)), X369/V369, " ")</f>
        <v xml:space="preserve"> </v>
      </c>
      <c r="AD369" s="20">
        <f t="shared" si="88"/>
        <v>358</v>
      </c>
      <c r="AE369" s="5">
        <f t="shared" si="89"/>
        <v>0</v>
      </c>
      <c r="AF369" s="5">
        <f t="shared" si="90"/>
        <v>0</v>
      </c>
      <c r="AG369" s="5">
        <f t="shared" si="91"/>
        <v>0</v>
      </c>
      <c r="AH369" s="5">
        <f>IF(CreditAmort3WORST[[#This Row],[Month]]=AJ$8,AF$7,0)</f>
        <v>0</v>
      </c>
      <c r="AI369" s="13">
        <f t="shared" si="92"/>
        <v>0</v>
      </c>
      <c r="AJ369" s="6" t="str">
        <f t="shared" si="93"/>
        <v xml:space="preserve"> </v>
      </c>
      <c r="AK369" s="21" t="str">
        <f t="shared" si="94"/>
        <v xml:space="preserve"> </v>
      </c>
      <c r="AM369" s="20">
        <f t="shared" si="95"/>
        <v>358</v>
      </c>
      <c r="AN369" s="5">
        <f t="shared" si="96"/>
        <v>0</v>
      </c>
      <c r="AO369" s="5">
        <f t="shared" si="97"/>
        <v>0</v>
      </c>
      <c r="AP369" s="5">
        <f t="shared" si="98"/>
        <v>0</v>
      </c>
      <c r="AQ369" s="5">
        <f>IF(CreditAmort4WORST[[#This Row],[Month]]=AS$8,AO$7,0)</f>
        <v>0</v>
      </c>
      <c r="AR369" s="13">
        <f t="shared" si="99"/>
        <v>0</v>
      </c>
      <c r="AS369" s="6" t="str">
        <f t="shared" si="100"/>
        <v xml:space="preserve"> </v>
      </c>
      <c r="AT369" s="21" t="str">
        <f t="shared" si="101"/>
        <v xml:space="preserve"> </v>
      </c>
    </row>
    <row r="370" spans="3:46">
      <c r="C370" s="22">
        <f t="shared" si="86"/>
        <v>359</v>
      </c>
      <c r="D370" s="23">
        <f>IF(AND(C370&gt;='Amort. Sched.-WORST'!$I$8, C370&lt;= ($I$7+$I$8)), PMT('Amort. Sched.-WORST'!$E$8/12, 'Amort. Sched.-WORST'!$I$7, 'Amort. Sched.-WORST'!$E$7), 0)</f>
        <v>0</v>
      </c>
      <c r="E370" s="5">
        <f>IF(AND(C370&gt;='Amort. Sched.-WORST'!$I$8, C370&lt;= ($I$7+$I$8)), (IPMT($E$8/12, (C370-$I$8), $I$7, $E$7)), 0)</f>
        <v>0</v>
      </c>
      <c r="F370" s="23">
        <f>IF(AND(C370&gt;='Amort. Sched.-WORST'!$I$8, C370&lt;= ($I$7+$I$8)), (PPMT($E$8/12, (C370-$I$8), $I$7, $E$7)), 0)</f>
        <v>0</v>
      </c>
      <c r="G370" s="5">
        <f>IF(MortgageAmortWORST[[#This Row],[Month]]=I$8,E$7,0)</f>
        <v>0</v>
      </c>
      <c r="H370" s="13">
        <f>IF(AND(C370&gt;='Amort. Sched.-WORST'!$I$8, C370&lt;= ($I$7+$I$8)), H369+F370, 0)</f>
        <v>0</v>
      </c>
      <c r="I370" s="24" t="str">
        <f>IF(AND(C370&gt;='Amort. Sched.-WORST'!$I$8, C370&lt;= ($I$7+$I$8)), E370/D370, " ")</f>
        <v xml:space="preserve"> </v>
      </c>
      <c r="J370" s="25" t="str">
        <f>IF(AND(C370&gt;='Amort. Sched.-WORST'!$I$8, C370&lt;= ($I$7+$I$8)), F370/D370, " ")</f>
        <v xml:space="preserve"> </v>
      </c>
      <c r="L370" s="20">
        <f t="shared" si="85"/>
        <v>359</v>
      </c>
      <c r="M370" s="5">
        <f>IF(AND(L370&gt;='Amort. Sched.-WORST'!$R$8, L370&lt;= ($R$7+$R$8)), PMT('Amort. Sched.-WORST'!$N$8/12, 'Amort. Sched.-WORST'!$R$7, 'Amort. Sched.-WORST'!$N$7), 0)</f>
        <v>0</v>
      </c>
      <c r="N370" s="5">
        <f>IF(AND(L370&gt;='Amort. Sched.-WORST'!$R$8, L370&lt;= ($R$7+$R$8)), (IPMT($N$8/12, (L370-$R$8), $R$7, $N$7)), 0)</f>
        <v>0</v>
      </c>
      <c r="O370" s="5">
        <f>IF(AND(L370&gt;='Amort. Sched.-WORST'!$R$8, L370&lt;= ($R$7+$R$8)), (PPMT($N$8/12, (L370-$R$8), $R$7, $N$7)), 0)</f>
        <v>0</v>
      </c>
      <c r="P370" s="5">
        <f>IF(CreditAmort1WORST[[#This Row],[Month]]=R$8,N$7,0)</f>
        <v>0</v>
      </c>
      <c r="Q370" s="13">
        <f>IF(AND(L370&gt;='Amort. Sched.-WORST'!$R$8, L370&lt;= ($R$7+$R$8)), Q369+O370, 0)</f>
        <v>0</v>
      </c>
      <c r="R370" s="6" t="str">
        <f>IF(AND(L370&gt;='Amort. Sched.-WORST'!$R$8, L370&lt;= ($R$7+$R$8)), N370/M370, " ")</f>
        <v xml:space="preserve"> </v>
      </c>
      <c r="S370" s="21" t="str">
        <f>IF(AND(L370&gt;='Amort. Sched.-WORST'!$R$8, L370&lt;= ($R$7+$R$8)), O370/M370, " ")</f>
        <v xml:space="preserve"> </v>
      </c>
      <c r="U370" s="22">
        <f t="shared" si="87"/>
        <v>359</v>
      </c>
      <c r="V370" s="23">
        <f>IF(AND(U370&gt;='Amort. Sched.-WORST'!$AA$8, U370&lt;= ($AA$7+$AA$8)), PMT('Amort. Sched.-WORST'!$W$8/12, 'Amort. Sched.-WORST'!$AA$7, 'Amort. Sched.-WORST'!$W$7), 0)</f>
        <v>0</v>
      </c>
      <c r="W370" s="5">
        <f>IF(AND(U370&gt;='Amort. Sched.-WORST'!$AA$8, U370&lt;= ($AA$7+$AA$8)), (IPMT($W$8/12, (U370-$AA$8), $AA$7, $W$7)), 0)</f>
        <v>0</v>
      </c>
      <c r="X370" s="23">
        <f>IF(AND(U370&gt;='Amort. Sched.-WORST'!$AA$8, U370&lt;= ($AA$7+$AA$8)), (PPMT($W$8/12, (U370-$AA$8), $AA$7, $W$7)), 0)</f>
        <v>0</v>
      </c>
      <c r="Y370" s="5">
        <f>IF(CreditAmort2WORST[[#This Row],[Month]]=AA$8,W$7,0)</f>
        <v>0</v>
      </c>
      <c r="Z370" s="13">
        <f>IF(AND(U370&gt;='Amort. Sched.-WORST'!$AA$8, U370&lt;= ($AA$7+$AA$8)), Z369+X370, 0)</f>
        <v>0</v>
      </c>
      <c r="AA370" s="24" t="str">
        <f>IF(AND(U370&gt;='Amort. Sched.-WORST'!$AA$8, U370&lt;= ($AA$7+$AA$8)), W370/V370, " ")</f>
        <v xml:space="preserve"> </v>
      </c>
      <c r="AB370" s="25" t="str">
        <f>IF(AND(U370&gt;='Amort. Sched.-WORST'!$AA$8, U370&lt;= ($AA$7+$AA$8)), X370/V370, " ")</f>
        <v xml:space="preserve"> </v>
      </c>
      <c r="AD370" s="20">
        <f t="shared" si="88"/>
        <v>359</v>
      </c>
      <c r="AE370" s="5">
        <f t="shared" si="89"/>
        <v>0</v>
      </c>
      <c r="AF370" s="5">
        <f t="shared" si="90"/>
        <v>0</v>
      </c>
      <c r="AG370" s="5">
        <f t="shared" si="91"/>
        <v>0</v>
      </c>
      <c r="AH370" s="5">
        <f>IF(CreditAmort3WORST[[#This Row],[Month]]=AJ$8,AF$7,0)</f>
        <v>0</v>
      </c>
      <c r="AI370" s="13">
        <f t="shared" si="92"/>
        <v>0</v>
      </c>
      <c r="AJ370" s="6" t="str">
        <f t="shared" si="93"/>
        <v xml:space="preserve"> </v>
      </c>
      <c r="AK370" s="21" t="str">
        <f t="shared" si="94"/>
        <v xml:space="preserve"> </v>
      </c>
      <c r="AM370" s="20">
        <f t="shared" si="95"/>
        <v>359</v>
      </c>
      <c r="AN370" s="5">
        <f t="shared" si="96"/>
        <v>0</v>
      </c>
      <c r="AO370" s="5">
        <f t="shared" si="97"/>
        <v>0</v>
      </c>
      <c r="AP370" s="5">
        <f t="shared" si="98"/>
        <v>0</v>
      </c>
      <c r="AQ370" s="5">
        <f>IF(CreditAmort4WORST[[#This Row],[Month]]=AS$8,AO$7,0)</f>
        <v>0</v>
      </c>
      <c r="AR370" s="13">
        <f t="shared" si="99"/>
        <v>0</v>
      </c>
      <c r="AS370" s="6" t="str">
        <f t="shared" si="100"/>
        <v xml:space="preserve"> </v>
      </c>
      <c r="AT370" s="21" t="str">
        <f t="shared" si="101"/>
        <v xml:space="preserve"> </v>
      </c>
    </row>
    <row r="371" spans="3:46">
      <c r="C371" s="22">
        <f t="shared" si="86"/>
        <v>360</v>
      </c>
      <c r="D371" s="23">
        <f>IF(AND(C371&gt;='Amort. Sched.-WORST'!$I$8, C371&lt;= ($I$7+$I$8)), PMT('Amort. Sched.-WORST'!$E$8/12, 'Amort. Sched.-WORST'!$I$7, 'Amort. Sched.-WORST'!$E$7), 0)</f>
        <v>0</v>
      </c>
      <c r="E371" s="5">
        <f>IF(AND(C371&gt;='Amort. Sched.-WORST'!$I$8, C371&lt;= ($I$7+$I$8)), (IPMT($E$8/12, (C371-$I$8), $I$7, $E$7)), 0)</f>
        <v>0</v>
      </c>
      <c r="F371" s="23">
        <f>IF(AND(C371&gt;='Amort. Sched.-WORST'!$I$8, C371&lt;= ($I$7+$I$8)), (PPMT($E$8/12, (C371-$I$8), $I$7, $E$7)), 0)</f>
        <v>0</v>
      </c>
      <c r="G371" s="5">
        <f>IF(MortgageAmortWORST[[#This Row],[Month]]=I$8,E$7,0)</f>
        <v>0</v>
      </c>
      <c r="H371" s="13">
        <f>IF(AND(C371&gt;='Amort. Sched.-WORST'!$I$8, C371&lt;= ($I$7+$I$8)), H370+F371, 0)</f>
        <v>0</v>
      </c>
      <c r="I371" s="24" t="str">
        <f>IF(AND(C371&gt;='Amort. Sched.-WORST'!$I$8, C371&lt;= ($I$7+$I$8)), E371/D371, " ")</f>
        <v xml:space="preserve"> </v>
      </c>
      <c r="J371" s="25" t="str">
        <f>IF(AND(C371&gt;='Amort. Sched.-WORST'!$I$8, C371&lt;= ($I$7+$I$8)), F371/D371, " ")</f>
        <v xml:space="preserve"> </v>
      </c>
      <c r="L371" s="20">
        <f t="shared" si="85"/>
        <v>360</v>
      </c>
      <c r="M371" s="5">
        <f>IF(AND(L371&gt;='Amort. Sched.-WORST'!$R$8, L371&lt;= ($R$7+$R$8)), PMT('Amort. Sched.-WORST'!$N$8/12, 'Amort. Sched.-WORST'!$R$7, 'Amort. Sched.-WORST'!$N$7), 0)</f>
        <v>0</v>
      </c>
      <c r="N371" s="5">
        <f>IF(AND(L371&gt;='Amort. Sched.-WORST'!$R$8, L371&lt;= ($R$7+$R$8)), (IPMT($N$8/12, (L371-$R$8), $R$7, $N$7)), 0)</f>
        <v>0</v>
      </c>
      <c r="O371" s="5">
        <f>IF(AND(L371&gt;='Amort. Sched.-WORST'!$R$8, L371&lt;= ($R$7+$R$8)), (PPMT($N$8/12, (L371-$R$8), $R$7, $N$7)), 0)</f>
        <v>0</v>
      </c>
      <c r="P371" s="5">
        <f>IF(CreditAmort1WORST[[#This Row],[Month]]=R$8,N$7,0)</f>
        <v>0</v>
      </c>
      <c r="Q371" s="13">
        <f>IF(AND(L371&gt;='Amort. Sched.-WORST'!$R$8, L371&lt;= ($R$7+$R$8)), Q370+O371, 0)</f>
        <v>0</v>
      </c>
      <c r="R371" s="6" t="str">
        <f>IF(AND(L371&gt;='Amort. Sched.-WORST'!$R$8, L371&lt;= ($R$7+$R$8)), N371/M371, " ")</f>
        <v xml:space="preserve"> </v>
      </c>
      <c r="S371" s="21" t="str">
        <f>IF(AND(L371&gt;='Amort. Sched.-WORST'!$R$8, L371&lt;= ($R$7+$R$8)), O371/M371, " ")</f>
        <v xml:space="preserve"> </v>
      </c>
      <c r="U371" s="22">
        <f t="shared" si="87"/>
        <v>360</v>
      </c>
      <c r="V371" s="23">
        <f>IF(AND(U371&gt;='Amort. Sched.-WORST'!$AA$8, U371&lt;= ($AA$7+$AA$8)), PMT('Amort. Sched.-WORST'!$W$8/12, 'Amort. Sched.-WORST'!$AA$7, 'Amort. Sched.-WORST'!$W$7), 0)</f>
        <v>0</v>
      </c>
      <c r="W371" s="5">
        <f>IF(AND(U371&gt;='Amort. Sched.-WORST'!$AA$8, U371&lt;= ($AA$7+$AA$8)), (IPMT($W$8/12, (U371-$AA$8), $AA$7, $W$7)), 0)</f>
        <v>0</v>
      </c>
      <c r="X371" s="23">
        <f>IF(AND(U371&gt;='Amort. Sched.-WORST'!$AA$8, U371&lt;= ($AA$7+$AA$8)), (PPMT($W$8/12, (U371-$AA$8), $AA$7, $W$7)), 0)</f>
        <v>0</v>
      </c>
      <c r="Y371" s="5">
        <f>IF(CreditAmort2WORST[[#This Row],[Month]]=AA$8,W$7,0)</f>
        <v>0</v>
      </c>
      <c r="Z371" s="13">
        <f>IF(AND(U371&gt;='Amort. Sched.-WORST'!$AA$8, U371&lt;= ($AA$7+$AA$8)), Z370+X371, 0)</f>
        <v>0</v>
      </c>
      <c r="AA371" s="24" t="str">
        <f>IF(AND(U371&gt;='Amort. Sched.-WORST'!$AA$8, U371&lt;= ($AA$7+$AA$8)), W371/V371, " ")</f>
        <v xml:space="preserve"> </v>
      </c>
      <c r="AB371" s="25" t="str">
        <f>IF(AND(U371&gt;='Amort. Sched.-WORST'!$AA$8, U371&lt;= ($AA$7+$AA$8)), X371/V371, " ")</f>
        <v xml:space="preserve"> </v>
      </c>
      <c r="AD371" s="20">
        <f t="shared" si="88"/>
        <v>360</v>
      </c>
      <c r="AE371" s="5">
        <f t="shared" si="89"/>
        <v>0</v>
      </c>
      <c r="AF371" s="5">
        <f t="shared" si="90"/>
        <v>0</v>
      </c>
      <c r="AG371" s="5">
        <f t="shared" si="91"/>
        <v>0</v>
      </c>
      <c r="AH371" s="5">
        <f>IF(CreditAmort3WORST[[#This Row],[Month]]=AJ$8,AF$7,0)</f>
        <v>0</v>
      </c>
      <c r="AI371" s="13">
        <f t="shared" si="92"/>
        <v>0</v>
      </c>
      <c r="AJ371" s="6" t="str">
        <f t="shared" si="93"/>
        <v xml:space="preserve"> </v>
      </c>
      <c r="AK371" s="21" t="str">
        <f t="shared" si="94"/>
        <v xml:space="preserve"> </v>
      </c>
      <c r="AM371" s="20">
        <f t="shared" si="95"/>
        <v>360</v>
      </c>
      <c r="AN371" s="5">
        <f t="shared" si="96"/>
        <v>0</v>
      </c>
      <c r="AO371" s="5">
        <f t="shared" si="97"/>
        <v>0</v>
      </c>
      <c r="AP371" s="5">
        <f t="shared" si="98"/>
        <v>0</v>
      </c>
      <c r="AQ371" s="5">
        <f>IF(CreditAmort4WORST[[#This Row],[Month]]=AS$8,AO$7,0)</f>
        <v>0</v>
      </c>
      <c r="AR371" s="13">
        <f t="shared" si="99"/>
        <v>0</v>
      </c>
      <c r="AS371" s="6" t="str">
        <f t="shared" si="100"/>
        <v xml:space="preserve"> </v>
      </c>
      <c r="AT371" s="21" t="str">
        <f t="shared" si="101"/>
        <v xml:space="preserve"> </v>
      </c>
    </row>
  </sheetData>
  <sheetProtection algorithmName="SHA-512" hashValue="ht9WlLQCbtB36lMsJxIgAlU9oz5Z344h+jt2yWVf+ZN1hnMo3u6mwjbvuWkEwsoLaI+GvjrVthBoGrEiTpIgvQ==" saltValue="WmRk+I2a5/JQ5eWzgu9yUQ==" spinCount="100000" sheet="1" objects="1" scenarios="1"/>
  <mergeCells count="5">
    <mergeCell ref="C6:J6"/>
    <mergeCell ref="L6:S6"/>
    <mergeCell ref="U6:AB6"/>
    <mergeCell ref="AD6:AK6"/>
    <mergeCell ref="AM6:AT6"/>
  </mergeCells>
  <pageMargins left="0.7" right="0.7" top="0.75" bottom="0.75" header="0.3" footer="0.3"/>
  <pageSetup orientation="portrait" r:id="rId1"/>
  <tableParts count="5">
    <tablePart r:id="rId2"/>
    <tablePart r:id="rId3"/>
    <tablePart r:id="rId4"/>
    <tablePart r:id="rId5"/>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AE5A1CB0B408947AD099D69DF8FA52D" ma:contentTypeVersion="17" ma:contentTypeDescription="Create a new document." ma:contentTypeScope="" ma:versionID="d7b8b86ce3d9d160fe99ba671f3c9fb5">
  <xsd:schema xmlns:xsd="http://www.w3.org/2001/XMLSchema" xmlns:xs="http://www.w3.org/2001/XMLSchema" xmlns:p="http://schemas.microsoft.com/office/2006/metadata/properties" xmlns:ns2="854d1f42-430c-40c7-b53c-eaea6829dece" xmlns:ns3="f991faff-2e4b-4c2d-b075-7f57cca7e571" targetNamespace="http://schemas.microsoft.com/office/2006/metadata/properties" ma:root="true" ma:fieldsID="4ea5cc9b9fec386f2a02a9353e448311" ns2:_="" ns3:_="">
    <xsd:import namespace="854d1f42-430c-40c7-b53c-eaea6829dece"/>
    <xsd:import namespace="f991faff-2e4b-4c2d-b075-7f57cca7e57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lcf76f155ced4ddcb4097134ff3c332f" minOccurs="0"/>
                <xsd:element ref="ns3:TaxCatchAll"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4d1f42-430c-40c7-b53c-eaea6829de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98d900d-0589-4081-96eb-513de833a507"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991faff-2e4b-4c2d-b075-7f57cca7e571"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6f24061-d017-48fa-b850-1c1bf33d9af6}" ma:internalName="TaxCatchAll" ma:showField="CatchAllData" ma:web="f991faff-2e4b-4c2d-b075-7f57cca7e5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f991faff-2e4b-4c2d-b075-7f57cca7e571">
      <UserInfo>
        <DisplayName>Baudrit, Raquel</DisplayName>
        <AccountId>76</AccountId>
        <AccountType/>
      </UserInfo>
    </SharedWithUsers>
    <TaxCatchAll xmlns="f991faff-2e4b-4c2d-b075-7f57cca7e571" xsi:nil="true"/>
    <lcf76f155ced4ddcb4097134ff3c332f xmlns="854d1f42-430c-40c7-b53c-eaea6829dec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C7CA54D-523B-4EC8-8D25-F0B6C15A43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4d1f42-430c-40c7-b53c-eaea6829dece"/>
    <ds:schemaRef ds:uri="f991faff-2e4b-4c2d-b075-7f57cca7e5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81DD2E0-5C10-42C0-9A7B-04BEDA0A5E71}">
  <ds:schemaRefs>
    <ds:schemaRef ds:uri="http://schemas.microsoft.com/sharepoint/v3/contenttype/forms"/>
  </ds:schemaRefs>
</ds:datastoreItem>
</file>

<file path=customXml/itemProps3.xml><?xml version="1.0" encoding="utf-8"?>
<ds:datastoreItem xmlns:ds="http://schemas.openxmlformats.org/officeDocument/2006/customXml" ds:itemID="{E44BC44C-4DEF-4D80-8AEF-5784B0EE992C}">
  <ds:schemaRefs>
    <ds:schemaRef ds:uri="http://purl.org/dc/terms/"/>
    <ds:schemaRef ds:uri="http://schemas.openxmlformats.org/package/2006/metadata/core-properties"/>
    <ds:schemaRef ds:uri="http://schemas.microsoft.com/office/2006/documentManagement/types"/>
    <ds:schemaRef ds:uri="http://purl.org/dc/dcmitype/"/>
    <ds:schemaRef ds:uri="f991faff-2e4b-4c2d-b075-7f57cca7e571"/>
    <ds:schemaRef ds:uri="http://schemas.microsoft.com/office/2006/metadata/properties"/>
    <ds:schemaRef ds:uri="http://schemas.microsoft.com/office/infopath/2007/PartnerControls"/>
    <ds:schemaRef ds:uri="854d1f42-430c-40c7-b53c-eaea6829dece"/>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Dashboard</vt:lpstr>
      <vt:lpstr>Inputs</vt:lpstr>
      <vt:lpstr>Seasonality Adjustment</vt:lpstr>
      <vt:lpstr>Projections-BASE</vt:lpstr>
      <vt:lpstr>Projections-BEST</vt:lpstr>
      <vt:lpstr>Projections-WORST</vt:lpstr>
      <vt:lpstr>Amort. Sched.-BASE</vt:lpstr>
      <vt:lpstr>Amort. Sched.-BEST</vt:lpstr>
      <vt:lpstr>Amort. Sched.-WORST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Gregory Payne</dc:creator>
  <cp:keywords/>
  <dc:description/>
  <cp:lastModifiedBy>Gregory Payne</cp:lastModifiedBy>
  <cp:revision/>
  <dcterms:created xsi:type="dcterms:W3CDTF">2022-03-08T05:37:50Z</dcterms:created>
  <dcterms:modified xsi:type="dcterms:W3CDTF">2026-01-29T22:53:06Z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2022-03-08T05:37:51Z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08b6f21f-62a7-400d-add0-5ad640fb732a</vt:lpwstr>
  </property>
  <property fmtid="{D5CDD505-2E9C-101B-9397-08002B2CF9AE}" pid="8" name="MSIP_Label_ea60d57e-af5b-4752-ac57-3e4f28ca11dc_ContentBits">
    <vt:lpwstr>0</vt:lpwstr>
  </property>
  <property fmtid="{D5CDD505-2E9C-101B-9397-08002B2CF9AE}" pid="9" name="ContentTypeId">
    <vt:lpwstr>0x0101001AE5A1CB0B408947AD099D69DF8FA52D</vt:lpwstr>
  </property>
  <property fmtid="{D5CDD505-2E9C-101B-9397-08002B2CF9AE}" pid="10" name="MediaServiceImageTags">
    <vt:lpwstr/>
  </property>
</Properties>
</file>